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952" firstSheet="4" activeTab="11"/>
  </bookViews>
  <sheets>
    <sheet name="Resultatopgørelse til analyse" sheetId="1" r:id="rId1"/>
    <sheet name="Balance til analyse" sheetId="2" r:id="rId2"/>
    <sheet name="beregning af nøgletal" sheetId="3" r:id="rId3"/>
    <sheet name="MR=MC opgave 2.1" sheetId="4" r:id="rId4"/>
    <sheet name="Graf opgave 2.1" sheetId="5" r:id="rId5"/>
    <sheet name="Data til graf " sheetId="6" r:id="rId6"/>
    <sheet name="MR=MC nyt anlæg 2.2" sheetId="7" r:id="rId7"/>
    <sheet name="2.3 investering nyt anlæg" sheetId="8" r:id="rId8"/>
    <sheet name="2.3 investering gamle anlæg " sheetId="9" r:id="rId9"/>
    <sheet name="opgave 3.1" sheetId="10" r:id="rId10"/>
    <sheet name="opgave 3.2" sheetId="11" r:id="rId11"/>
    <sheet name="opgave 4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Brygger</author>
    <author>Roskilde Handelsskole</author>
  </authors>
  <commentList>
    <comment ref="B2" authorId="0">
      <text>
        <r>
          <rPr>
            <sz val="8"/>
            <color indexed="8"/>
            <rFont val="Tahoma"/>
            <family val="2"/>
          </rPr>
          <t>Indsæt årstal. De andre årstal i opgaven justeres efter dette årstal.
Der skal ikke tastes minus foran udgifterne. 
Der må ikke indtastes i beregningscellerne som er markeret med</t>
        </r>
        <r>
          <rPr>
            <b/>
            <sz val="8"/>
            <color indexed="8"/>
            <rFont val="Tahoma"/>
            <family val="2"/>
          </rPr>
          <t xml:space="preserve"> fed</t>
        </r>
        <r>
          <rPr>
            <sz val="8"/>
            <color indexed="8"/>
            <rFont val="Tahoma"/>
            <family val="2"/>
          </rPr>
          <t xml:space="preserve"> (Dækningsbidrag, IB, osv.)</t>
        </r>
      </text>
    </comment>
    <comment ref="B18" authorId="1">
      <text>
        <r>
          <rPr>
            <b/>
            <sz val="8"/>
            <color indexed="58"/>
            <rFont val="Tahoma"/>
            <family val="2"/>
          </rPr>
          <t>Der skal ikke tastes minus foran renteudgifterne</t>
        </r>
      </text>
    </comment>
    <comment ref="A1" authorId="1">
      <text>
        <r>
          <rPr>
            <b/>
            <sz val="8"/>
            <rFont val="Tahoma"/>
            <family val="0"/>
          </rPr>
          <t>Indtast et firma navn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Roskilde Handelsskole</author>
    <author>Brygger</author>
    <author>Jesper Brygger</author>
  </authors>
  <commentList>
    <comment ref="D17" authorId="0">
      <text>
        <r>
          <rPr>
            <b/>
            <sz val="8"/>
            <color indexed="8"/>
            <rFont val="Tahoma"/>
            <family val="2"/>
          </rPr>
          <t>Der skal ikke indtastes beløb her
(Dette er en beregningscelle)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color indexed="8"/>
            <rFont val="Tahoma"/>
            <family val="2"/>
          </rPr>
          <t>Indtast ikke i felter markeret med fed</t>
        </r>
      </text>
    </comment>
    <comment ref="D25" authorId="1">
      <text>
        <r>
          <rPr>
            <b/>
            <sz val="8"/>
            <rFont val="Tahoma"/>
            <family val="0"/>
          </rPr>
          <t>Hvis gælden ikke er udspecificeret kan den indtastes her som samlet kortfristet gæld</t>
        </r>
        <r>
          <rPr>
            <sz val="8"/>
            <rFont val="Tahoma"/>
            <family val="0"/>
          </rPr>
          <t xml:space="preserve">
</t>
        </r>
      </text>
    </comment>
    <comment ref="D24" authorId="1">
      <text>
        <r>
          <rPr>
            <b/>
            <sz val="8"/>
            <rFont val="Tahoma"/>
            <family val="0"/>
          </rPr>
          <t>Indtast ikke her</t>
        </r>
        <r>
          <rPr>
            <sz val="8"/>
            <rFont val="Tahoma"/>
            <family val="0"/>
          </rPr>
          <t xml:space="preserve">
</t>
        </r>
      </text>
    </comment>
    <comment ref="D21" authorId="1">
      <text>
        <r>
          <rPr>
            <sz val="8"/>
            <rFont val="Tahoma"/>
            <family val="0"/>
          </rPr>
          <t xml:space="preserve">Hvis langfristet gæld  ikke er udspecificeret kan den indtastes her som samlet langfristet gæld
</t>
        </r>
      </text>
    </comment>
    <comment ref="D19" authorId="1">
      <text>
        <r>
          <rPr>
            <b/>
            <sz val="8"/>
            <rFont val="Tahoma"/>
            <family val="0"/>
          </rPr>
          <t>Indtast her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b/>
            <sz val="8"/>
            <rFont val="Tahoma"/>
            <family val="0"/>
          </rPr>
          <t>Varelageret må ikke laves om da det danner grundlag for omsætningshastigheden på varelageret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Varedebitorerne må ikke laves om da det danner grundlag for omsætningshastigheden på varedebitorer
</t>
        </r>
        <r>
          <rPr>
            <sz val="8"/>
            <rFont val="Tahoma"/>
            <family val="0"/>
          </rPr>
          <t xml:space="preserve">
</t>
        </r>
      </text>
    </comment>
    <comment ref="A26" authorId="1">
      <text>
        <r>
          <rPr>
            <b/>
            <sz val="8"/>
            <rFont val="Tahoma"/>
            <family val="0"/>
          </rPr>
          <t>Varekreditorerne må ikke laves om da det danner grundlag for omsætningshastigheden på varekreditorer og kreditdage</t>
        </r>
        <r>
          <rPr>
            <sz val="8"/>
            <rFont val="Tahoma"/>
            <family val="0"/>
          </rPr>
          <t xml:space="preserve">
</t>
        </r>
      </text>
    </comment>
    <comment ref="F1" authorId="2">
      <text>
        <r>
          <rPr>
            <b/>
            <sz val="8"/>
            <rFont val="Tahoma"/>
            <family val="0"/>
          </rPr>
          <t>Du kan få vist kolonne G og H ved at markere kolonne F og I,
Venstre klikke på musen og vælge vis.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Roskilde Handelsskole</author>
    <author>Brygger</author>
  </authors>
  <commentList>
    <comment ref="J25" authorId="0">
      <text>
        <r>
          <rPr>
            <sz val="12"/>
            <color indexed="8"/>
            <rFont val="Tahoma"/>
            <family val="2"/>
          </rPr>
          <t>Hvis resultatet er over 1 er der overskud.
Hvis resultatet er under 1 er der underskud. Jo større jo bedre.</t>
        </r>
      </text>
    </comment>
    <comment ref="H64" authorId="1">
      <text>
        <r>
          <rPr>
            <sz val="12"/>
            <rFont val="Tahoma"/>
            <family val="2"/>
          </rPr>
          <t>Skal helst være over 100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Brygger</author>
  </authors>
  <commentList>
    <comment ref="M4" authorId="0">
      <text>
        <r>
          <rPr>
            <b/>
            <sz val="8"/>
            <rFont val="Tahoma"/>
            <family val="0"/>
          </rPr>
          <t xml:space="preserve">Hvis der ikke er nogen hældning på MC - kurven dvs. den er vandret skal der stå 0 her.
</t>
        </r>
        <r>
          <rPr>
            <sz val="8"/>
            <rFont val="Tahoma"/>
            <family val="0"/>
          </rPr>
          <t xml:space="preserve">
</t>
        </r>
      </text>
    </comment>
    <comment ref="N4" authorId="0">
      <text>
        <r>
          <rPr>
            <b/>
            <sz val="8"/>
            <rFont val="Tahoma"/>
            <family val="0"/>
          </rPr>
          <t xml:space="preserve">Hvis der ikke er nogen hældning på MC - kurven dvs. den er vandret skal der stå 1 her.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8"/>
            <rFont val="Tahoma"/>
            <family val="0"/>
          </rPr>
          <t>I</t>
        </r>
        <r>
          <rPr>
            <b/>
            <sz val="8"/>
            <rFont val="Tahoma"/>
            <family val="2"/>
          </rPr>
          <t>ndtast tælleren i brøken
/ hældningskoefficienten 
Hvis det ikke er en brøk 
indtastes det hele tal her 
Hvis der ikke er nogen hældning, dvs. hvis afsætningskurven er vandret skal der stå 0 her</t>
        </r>
      </text>
    </comment>
    <comment ref="E3" authorId="0">
      <text>
        <r>
          <rPr>
            <b/>
            <sz val="8"/>
            <rFont val="Tahoma"/>
            <family val="0"/>
          </rPr>
          <t>Indtast nævneren i brøken/hældningskoefficienten. Hvis hældningskoefficienten er et helt tal tastes 1 her
Hvis der ikke er nogen hældning på MR - kurven dvs. den er vandret skal der også stå 1 her.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Brygger</author>
  </authors>
  <commentList>
    <comment ref="M4" authorId="0">
      <text>
        <r>
          <rPr>
            <b/>
            <sz val="8"/>
            <rFont val="Tahoma"/>
            <family val="0"/>
          </rPr>
          <t xml:space="preserve">Hvis der ikke er nogen hældning på MC - kurven dvs. den er vandret skal der stå 0 her.
</t>
        </r>
        <r>
          <rPr>
            <sz val="8"/>
            <rFont val="Tahoma"/>
            <family val="0"/>
          </rPr>
          <t xml:space="preserve">
</t>
        </r>
      </text>
    </comment>
    <comment ref="N4" authorId="0">
      <text>
        <r>
          <rPr>
            <b/>
            <sz val="8"/>
            <rFont val="Tahoma"/>
            <family val="0"/>
          </rPr>
          <t>Hvis der ikke er nogen hældning på MC - kurven dvs. den er vandret skal der stå 1 her.
Brygger: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8"/>
            <rFont val="Tahoma"/>
            <family val="0"/>
          </rPr>
          <t>I</t>
        </r>
        <r>
          <rPr>
            <b/>
            <sz val="8"/>
            <rFont val="Tahoma"/>
            <family val="2"/>
          </rPr>
          <t xml:space="preserve">ndtast tælleren i brøken
/ hældningskoefficienten 
Hvis det ikke er en brøk 
indtastes det hele tal her 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Indtast nævneren i brøken/hældningskoefficienten. Hvis hældningskoefficienten er et helt tal tastes 1 her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<sst xmlns="http://schemas.openxmlformats.org/spreadsheetml/2006/main" count="377" uniqueCount="255">
  <si>
    <t>Afskrivninger</t>
  </si>
  <si>
    <t>Egenkapital</t>
  </si>
  <si>
    <t>Afkastningsgrad</t>
  </si>
  <si>
    <t>difference</t>
  </si>
  <si>
    <t>Overskudsgrad</t>
  </si>
  <si>
    <t>Aktivernes omh.</t>
  </si>
  <si>
    <t>Gældsrente</t>
  </si>
  <si>
    <t>Egenkapital forrentning</t>
  </si>
  <si>
    <t>Indtjeningsevne:</t>
  </si>
  <si>
    <t>Rentabilitet:</t>
  </si>
  <si>
    <t>overskudsgrad</t>
  </si>
  <si>
    <t>Kapitaltilpasningen</t>
  </si>
  <si>
    <t>Varelagerets omh.</t>
  </si>
  <si>
    <t>Varedebitorerne omh.</t>
  </si>
  <si>
    <t>Skylddage</t>
  </si>
  <si>
    <t>lagerdage</t>
  </si>
  <si>
    <t>Varekreditorernes omh</t>
  </si>
  <si>
    <t>kreditdage</t>
  </si>
  <si>
    <t>Nulpunktsomsætning</t>
  </si>
  <si>
    <t>Omsætning. Pr. beskæftiget</t>
  </si>
  <si>
    <t>Skat</t>
  </si>
  <si>
    <t>Dækningsgrad</t>
  </si>
  <si>
    <t>Balance</t>
  </si>
  <si>
    <t xml:space="preserve">Regnskabsanalyse </t>
  </si>
  <si>
    <t>Årstal</t>
  </si>
  <si>
    <t>Varelager</t>
  </si>
  <si>
    <t>Gæld i alt</t>
  </si>
  <si>
    <t>Passiver i alt</t>
  </si>
  <si>
    <t>*100</t>
  </si>
  <si>
    <t>Beregning for</t>
  </si>
  <si>
    <t>Formler</t>
  </si>
  <si>
    <t>Egenkapitalen primo</t>
  </si>
  <si>
    <t>før skat</t>
  </si>
  <si>
    <t>Indeks:</t>
  </si>
  <si>
    <t>Rente omkostninger</t>
  </si>
  <si>
    <t>Rente indtægter</t>
  </si>
  <si>
    <t>Ekstraordinære omk.</t>
  </si>
  <si>
    <t>Anlægsaktiver i alt</t>
  </si>
  <si>
    <t xml:space="preserve">Omsætningsaktiver i alt </t>
  </si>
  <si>
    <t>Langfristet gæld:</t>
  </si>
  <si>
    <t>Kortfristet gæld:</t>
  </si>
  <si>
    <t>Realkreditinstitutter</t>
  </si>
  <si>
    <t>Markedsføringbidrag</t>
  </si>
  <si>
    <t>efter skat</t>
  </si>
  <si>
    <t>Aktiver i alt</t>
  </si>
  <si>
    <t>Resultat efter renter</t>
  </si>
  <si>
    <t>Resultat efter skat</t>
  </si>
  <si>
    <t>Indtjeningsgraden</t>
  </si>
  <si>
    <t>Kapacitetsgraden</t>
  </si>
  <si>
    <t>Markdesføringsgraden</t>
  </si>
  <si>
    <t>Indtjeningsbidrag</t>
  </si>
  <si>
    <t>Kapacitetsomk incl afskrivninger</t>
  </si>
  <si>
    <t xml:space="preserve">Sikkerhedsmargin </t>
  </si>
  <si>
    <t>Omsætning - Nulpunktoms.</t>
  </si>
  <si>
    <t>-</t>
  </si>
  <si>
    <t>Antal ansatte</t>
  </si>
  <si>
    <t>Resultatopgørelse til analysebrug</t>
  </si>
  <si>
    <t>Balance til analysebrug</t>
  </si>
  <si>
    <t>Hensættelser</t>
  </si>
  <si>
    <t>Antal aktier</t>
  </si>
  <si>
    <t>Børskurs</t>
  </si>
  <si>
    <t>Varekreditorer</t>
  </si>
  <si>
    <t>Kortfristet gæld i alt</t>
  </si>
  <si>
    <t>Langfristet gæld i alt</t>
  </si>
  <si>
    <t>Varedebitorer</t>
  </si>
  <si>
    <t>= 100  basisåret</t>
  </si>
  <si>
    <t>Årets tal</t>
  </si>
  <si>
    <t>Basisårets tal</t>
  </si>
  <si>
    <t>Forudsætning: 100% kreditsalg</t>
  </si>
  <si>
    <t>*1,25</t>
  </si>
  <si>
    <t>Det forudsættes at der ikke er lagerændringer det første år.</t>
  </si>
  <si>
    <t>Likvide</t>
  </si>
  <si>
    <t>Likviditetsgrad I</t>
  </si>
  <si>
    <t>Acid test</t>
  </si>
  <si>
    <t>Oms. Aktiver ex. Varelager</t>
  </si>
  <si>
    <t>Kortfristet gæld</t>
  </si>
  <si>
    <t xml:space="preserve">Omsætningsaktiver: </t>
  </si>
  <si>
    <t>Likviditetsgrad II</t>
  </si>
  <si>
    <t>Current ratio</t>
  </si>
  <si>
    <t>Omsætningsaktiver</t>
  </si>
  <si>
    <t>Soliditetsgrad I</t>
  </si>
  <si>
    <t>Samlet kapital</t>
  </si>
  <si>
    <t>Eksempel for året</t>
  </si>
  <si>
    <t>Resultat pr. aktie</t>
  </si>
  <si>
    <r>
      <t>¤</t>
    </r>
    <r>
      <rPr>
        <sz val="10"/>
        <rFont val="Arial"/>
        <family val="0"/>
      </rPr>
      <t xml:space="preserve"> Kreditkøb er defineret som varforbrug + ultimo lager - primo lager</t>
    </r>
  </si>
  <si>
    <r>
      <t xml:space="preserve">Kreditkøb  </t>
    </r>
    <r>
      <rPr>
        <b/>
        <sz val="10"/>
        <rFont val="Arial"/>
        <family val="2"/>
      </rPr>
      <t>¤</t>
    </r>
  </si>
  <si>
    <t>P/E-værdi</t>
  </si>
  <si>
    <t>Indre værdi pr. aktie</t>
  </si>
  <si>
    <t>Kurs/indre værdi</t>
  </si>
  <si>
    <t>(EPS)</t>
  </si>
  <si>
    <t>(Price/earnings</t>
  </si>
  <si>
    <t>Nettoomsætning</t>
  </si>
  <si>
    <t>Resultat før renter (EBIT)</t>
  </si>
  <si>
    <t>Børsrelaterede nøgletal og øvrige nøgletal:</t>
  </si>
  <si>
    <t>= 100 ,basisår</t>
  </si>
  <si>
    <t xml:space="preserve">Indeks:  </t>
  </si>
  <si>
    <t>Yderligere oplysninger:</t>
  </si>
  <si>
    <t>% ændring</t>
  </si>
  <si>
    <t xml:space="preserve">Ændring </t>
  </si>
  <si>
    <t>%ændring</t>
  </si>
  <si>
    <t>Gæld incl. Hensættelser</t>
  </si>
  <si>
    <t>Periodeafg.</t>
  </si>
  <si>
    <t>Forudbetalinger</t>
  </si>
  <si>
    <t>Anden gæld</t>
  </si>
  <si>
    <t>Udbytte</t>
  </si>
  <si>
    <t xml:space="preserve">Gearingen </t>
  </si>
  <si>
    <t>Gæld</t>
  </si>
  <si>
    <t>Rente marginalen</t>
  </si>
  <si>
    <r>
      <t xml:space="preserve">Afkastningsgrad </t>
    </r>
    <r>
      <rPr>
        <sz val="11"/>
        <rFont val="Arial"/>
        <family val="2"/>
      </rPr>
      <t>-</t>
    </r>
    <r>
      <rPr>
        <sz val="10"/>
        <rFont val="Arial"/>
        <family val="0"/>
      </rPr>
      <t>gældsrente</t>
    </r>
  </si>
  <si>
    <t>Grunde &amp; bygninger</t>
  </si>
  <si>
    <t>Tekniske anlæg</t>
  </si>
  <si>
    <t>Roblon</t>
  </si>
  <si>
    <t>Råvarer</t>
  </si>
  <si>
    <t>Dækningsbidrag</t>
  </si>
  <si>
    <t>Marketing</t>
  </si>
  <si>
    <t>Produktudvikling</t>
  </si>
  <si>
    <t>Revision</t>
  </si>
  <si>
    <t>Reparation</t>
  </si>
  <si>
    <t>Rejser</t>
  </si>
  <si>
    <t>Lønninger</t>
  </si>
  <si>
    <t>Kontorhold</t>
  </si>
  <si>
    <t>Driftsmateriel</t>
  </si>
  <si>
    <t>Andre tilgodehavender</t>
  </si>
  <si>
    <t>obligationer</t>
  </si>
  <si>
    <t>Selskabsskat</t>
  </si>
  <si>
    <t>Fiber X</t>
  </si>
  <si>
    <t>Opgave 2</t>
  </si>
  <si>
    <t>Prisoptimering</t>
  </si>
  <si>
    <t>Ligninger for Indtægterne:</t>
  </si>
  <si>
    <t>Ligninger for omkostningerne:</t>
  </si>
  <si>
    <t>Afsætning</t>
  </si>
  <si>
    <t>P</t>
  </si>
  <si>
    <t>=</t>
  </si>
  <si>
    <t>X</t>
  </si>
  <si>
    <t>+</t>
  </si>
  <si>
    <t>FO</t>
  </si>
  <si>
    <t>VO</t>
  </si>
  <si>
    <t>Omsætning</t>
  </si>
  <si>
    <t>TO</t>
  </si>
  <si>
    <t>MR</t>
  </si>
  <si>
    <t>MC</t>
  </si>
  <si>
    <t>Max.kapacitet</t>
  </si>
  <si>
    <t>For at finde det optimale/maksimale DB skal vi sætte MR lig med MC, derved finder vi den optimale mængde:</t>
  </si>
  <si>
    <t>(Hældningskoeficienten)</t>
  </si>
  <si>
    <t>indsættes i afsætningsfunktionen og man får prisen til:</t>
  </si>
  <si>
    <t>*</t>
  </si>
  <si>
    <t>-VO</t>
  </si>
  <si>
    <t>DB</t>
  </si>
  <si>
    <t>Faste</t>
  </si>
  <si>
    <t>Overskud</t>
  </si>
  <si>
    <t>Tabel løsning prisoptimering</t>
  </si>
  <si>
    <t>Mængde</t>
  </si>
  <si>
    <t>Pris</t>
  </si>
  <si>
    <t>omsætning</t>
  </si>
  <si>
    <t xml:space="preserve">VO </t>
  </si>
  <si>
    <t>Faste omk.</t>
  </si>
  <si>
    <t>(MR-MC)</t>
  </si>
  <si>
    <t>Data til grafen</t>
  </si>
  <si>
    <t>Optimal pris</t>
  </si>
  <si>
    <t>Optimal mængde</t>
  </si>
  <si>
    <t xml:space="preserve">Pris </t>
  </si>
  <si>
    <t>Nyt DB</t>
  </si>
  <si>
    <t>Gammelt DB</t>
  </si>
  <si>
    <t xml:space="preserve">Dvs. Dækningsbidraget stiger med </t>
  </si>
  <si>
    <t>år</t>
  </si>
  <si>
    <t>rente</t>
  </si>
  <si>
    <t>Tid / År</t>
  </si>
  <si>
    <t>Indbetalinger</t>
  </si>
  <si>
    <t>Udbetalinger</t>
  </si>
  <si>
    <t>Net Cash-Flow</t>
  </si>
  <si>
    <t>NPV, nutidsværdimetoden, kapitalværdienmetoden</t>
  </si>
  <si>
    <t>Den interne rente (IRR)</t>
  </si>
  <si>
    <t>Tilbagebetalingstiden i år (pay -back)</t>
  </si>
  <si>
    <t>nutidsværdi</t>
  </si>
  <si>
    <t>omregnet til en annuitet</t>
  </si>
  <si>
    <r>
      <t>Nutidsværdi  (1+r)</t>
    </r>
    <r>
      <rPr>
        <b/>
        <vertAlign val="superscript"/>
        <sz val="12"/>
        <rFont val="Arial"/>
        <family val="2"/>
      </rPr>
      <t>-n</t>
    </r>
  </si>
  <si>
    <r>
      <t>NPV omregnet til en  annuitet = ((1+r)</t>
    </r>
    <r>
      <rPr>
        <b/>
        <vertAlign val="superscript"/>
        <sz val="12"/>
        <rFont val="Arial"/>
        <family val="2"/>
      </rPr>
      <t xml:space="preserve">n </t>
    </r>
    <r>
      <rPr>
        <b/>
        <sz val="12"/>
        <rFont val="Arial"/>
        <family val="2"/>
      </rPr>
      <t>*r) / ((1+r)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>-1)</t>
    </r>
  </si>
  <si>
    <t>Nu 4000 stk</t>
  </si>
  <si>
    <t>Arbejdsløn</t>
  </si>
  <si>
    <t>Miljø</t>
  </si>
  <si>
    <t>totale omk ved 8000 stk.</t>
  </si>
  <si>
    <t>Da jeg ikke kan se nogen pris angivet i opgaven forudsætter jeg at prisen er kr.</t>
  </si>
  <si>
    <t xml:space="preserve">Det giver en Dækningsgrad på </t>
  </si>
  <si>
    <t>Som er det normale for Roblon.</t>
  </si>
  <si>
    <t>Opgaven kan herefter besvares udfra 2 metoder. Jeg viser beregningerne til begge metoder:</t>
  </si>
  <si>
    <t>Den første metode. Da vi normalt kræver 54% i DB vil vi også have det på en ekstra order:</t>
  </si>
  <si>
    <t>Dækningbidrag</t>
  </si>
  <si>
    <t>DG i %</t>
  </si>
  <si>
    <t>Kunden skal mindst betale forskellen i omsætningen for de sidste 4000 stk.</t>
  </si>
  <si>
    <t>Pris pr. stk. for de sidste 4000 stk.</t>
  </si>
  <si>
    <t>Ny gennemsnitspris</t>
  </si>
  <si>
    <t>Den anden metode er at vi skal som minimum have dækket vores mer-omk. ved den ekstra produktion</t>
  </si>
  <si>
    <t>Dvs. DB i kr. skal holdes uændret. (Vi gør kunden en tjeneste)</t>
  </si>
  <si>
    <t>Metode 2 er en universal løsning som vil give samme løsning uanset pris og dækningsgrad.</t>
  </si>
  <si>
    <t>Dette dækker kun mer-omkostningerne ved mer-produktionen.</t>
  </si>
  <si>
    <t>Kunden skal dermed mindst betale 194,80 i minimumspris pr. stk. for de ekstra 4000 stk.</t>
  </si>
  <si>
    <t>Investeringen er rentabel (NPV er positiv) og giver et afkast på 18% og er "tjent hjem" i løbet af 4 år</t>
  </si>
  <si>
    <t>Vi bør foretage investeringen.</t>
  </si>
  <si>
    <t>3.1</t>
  </si>
  <si>
    <t>3.2</t>
  </si>
  <si>
    <t xml:space="preserve">Omsætning </t>
  </si>
  <si>
    <t>Q21</t>
  </si>
  <si>
    <t>Akkordløn</t>
  </si>
  <si>
    <t>Markedsføring</t>
  </si>
  <si>
    <t>Øvrige faste</t>
  </si>
  <si>
    <t>IB</t>
  </si>
  <si>
    <t>Markedsføringsbidrag</t>
  </si>
  <si>
    <t>Oversukd</t>
  </si>
  <si>
    <t>Q22</t>
  </si>
  <si>
    <t>i alt</t>
  </si>
  <si>
    <t>stk</t>
  </si>
  <si>
    <t>pris</t>
  </si>
  <si>
    <t>Resultatbudget</t>
  </si>
  <si>
    <t>Likviditetsbudget</t>
  </si>
  <si>
    <t>Kunder</t>
  </si>
  <si>
    <t>Leverandører</t>
  </si>
  <si>
    <t>Ændringer fra drift</t>
  </si>
  <si>
    <t>Ny investering</t>
  </si>
  <si>
    <t>Lån til investering</t>
  </si>
  <si>
    <t>Samlet ændring i likviditet</t>
  </si>
  <si>
    <t>Primo</t>
  </si>
  <si>
    <t>ultimo</t>
  </si>
  <si>
    <t>Salg /forbrug</t>
  </si>
  <si>
    <t>omh.</t>
  </si>
  <si>
    <t>4.1</t>
  </si>
  <si>
    <t>4.2</t>
  </si>
  <si>
    <t xml:space="preserve">Det bemærkes at likviditeten er negativ. Evt. kan kundekreditten eller lagerbindingen reduceres. </t>
  </si>
  <si>
    <t>Markedsføringsomk og øvrige faste omk. betales kontant. Der er ikke indregnet renteomk. Der er ikke regnet med moms.</t>
  </si>
  <si>
    <t xml:space="preserve">Den optimale mængde er </t>
  </si>
  <si>
    <t>DB (2.1)</t>
  </si>
  <si>
    <t>-VO de næste 3500 stk.</t>
  </si>
  <si>
    <t>-VO de første  8000 stk.</t>
  </si>
  <si>
    <t>2.2</t>
  </si>
  <si>
    <t>2.4</t>
  </si>
  <si>
    <t>Ud fra en investeringsmæssig betragtning bør Roblon vælge at beholde den gamle maskine dette giver en forrentning på næsten 900%</t>
  </si>
  <si>
    <t>2.3</t>
  </si>
  <si>
    <t>Hvis man ønsker ny teknologi og evt. holde konkurrenter ude ved at øge kapaciteten kan den nye maskine komme på tale.</t>
  </si>
  <si>
    <t>Udnyttelse af maskinen (ekstra kapacitet)</t>
  </si>
  <si>
    <t xml:space="preserve">Teknologiske forhold, Prestige, Motivation af medarbejdere, fremskaffelse af kapital/finansieringen </t>
  </si>
  <si>
    <t>eller samlet 779.200.</t>
  </si>
  <si>
    <t>3.3</t>
  </si>
  <si>
    <t>PR i forbindelse med miljøinvesteringen.</t>
  </si>
  <si>
    <t>Bliver miljøomkostningen større i fremtiden ?</t>
  </si>
  <si>
    <t>Holder produktionsniveauet på 8000 stk. i fremtiden ?</t>
  </si>
  <si>
    <t>Benefits /costs:</t>
  </si>
  <si>
    <t>Opgave 3.2</t>
  </si>
  <si>
    <t>Opgave 3.1</t>
  </si>
  <si>
    <t>Opgave 4</t>
  </si>
  <si>
    <t>Opgave 2.3</t>
  </si>
  <si>
    <t>Opgave 1.1</t>
  </si>
  <si>
    <t xml:space="preserve">Forudsætninger: Vi har ikke noget lager af råvarer. I lageret af færdigvarer indgår råvarer og løn. </t>
  </si>
  <si>
    <t>Dvs. forudsætning uændret DG i %.</t>
  </si>
  <si>
    <t>Det årlige overskud/PMT</t>
  </si>
  <si>
    <t>Årlig overskud/PMT</t>
  </si>
  <si>
    <t xml:space="preserve">Færdigvarelager 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</si>
</sst>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00"/>
    <numFmt numFmtId="169" formatCode="0.000000"/>
    <numFmt numFmtId="170" formatCode="0.00000"/>
    <numFmt numFmtId="171" formatCode="0.0000"/>
    <numFmt numFmtId="172" formatCode="0.0000000"/>
    <numFmt numFmtId="173" formatCode="0.00000000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0_);\(0.00\)"/>
    <numFmt numFmtId="178" formatCode="0.0_);\(0.0\)"/>
    <numFmt numFmtId="179" formatCode="0_);\(0\)"/>
    <numFmt numFmtId="180" formatCode="0.0%"/>
    <numFmt numFmtId="181" formatCode="_(* #,##0.0_);_(* \(#,##0.0\);_(* &quot;-&quot;?_);_(@_)"/>
    <numFmt numFmtId="182" formatCode="0.000%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-406]d\.\ mmmm\ yyyy"/>
    <numFmt numFmtId="187" formatCode="####"/>
    <numFmt numFmtId="188" formatCode="0.0000000000"/>
    <numFmt numFmtId="189" formatCode="0.000000000"/>
    <numFmt numFmtId="190" formatCode="&quot;kr&quot;\ #,##0.0_);[Red]\(&quot;kr&quot;\ #,##0.0\)"/>
    <numFmt numFmtId="191" formatCode="&quot;kr&quot;\ #,##0.000_);[Red]\(&quot;kr&quot;\ #,##0.000\)"/>
    <numFmt numFmtId="192" formatCode="&quot;kr&quot;\ #,##0.0000_);[Red]\(&quot;kr&quot;\ #,##0.0000\)"/>
    <numFmt numFmtId="193" formatCode="0.0000%"/>
    <numFmt numFmtId="194" formatCode="0.00000%"/>
    <numFmt numFmtId="195" formatCode="0.000000%"/>
  </numFmts>
  <fonts count="2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5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2"/>
      <color indexed="8"/>
      <name val="Tahoma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4"/>
      <color indexed="13"/>
      <name val="Arial"/>
      <family val="2"/>
    </font>
    <font>
      <sz val="1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6" fontId="3" fillId="0" borderId="1" xfId="15" applyNumberFormat="1" applyFont="1" applyFill="1" applyBorder="1" applyAlignment="1">
      <alignment/>
    </xf>
    <xf numFmtId="166" fontId="3" fillId="0" borderId="3" xfId="15" applyNumberFormat="1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166" fontId="0" fillId="0" borderId="6" xfId="15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0" xfId="15" applyNumberForma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6" fontId="3" fillId="0" borderId="4" xfId="15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2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1" xfId="15" applyNumberFormat="1" applyBorder="1" applyAlignment="1">
      <alignment horizontal="center"/>
    </xf>
    <xf numFmtId="166" fontId="0" fillId="0" borderId="12" xfId="0" applyNumberFormat="1" applyBorder="1" applyAlignment="1">
      <alignment/>
    </xf>
    <xf numFmtId="37" fontId="0" fillId="0" borderId="1" xfId="0" applyNumberFormat="1" applyBorder="1" applyAlignment="1">
      <alignment/>
    </xf>
    <xf numFmtId="166" fontId="0" fillId="0" borderId="12" xfId="15" applyNumberFormat="1" applyBorder="1" applyAlignment="1">
      <alignment horizontal="right"/>
    </xf>
    <xf numFmtId="166" fontId="0" fillId="0" borderId="12" xfId="15" applyNumberFormat="1" applyBorder="1" applyAlignment="1">
      <alignment/>
    </xf>
    <xf numFmtId="0" fontId="0" fillId="0" borderId="14" xfId="0" applyBorder="1" applyAlignment="1">
      <alignment/>
    </xf>
    <xf numFmtId="2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" fontId="0" fillId="0" borderId="12" xfId="15" applyNumberFormat="1" applyBorder="1" applyAlignment="1">
      <alignment/>
    </xf>
    <xf numFmtId="1" fontId="0" fillId="0" borderId="12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1" fontId="0" fillId="0" borderId="12" xfId="0" applyNumberFormat="1" applyBorder="1" applyAlignment="1">
      <alignment horizontal="left"/>
    </xf>
    <xf numFmtId="166" fontId="0" fillId="0" borderId="12" xfId="0" applyNumberFormat="1" applyBorder="1" applyAlignment="1">
      <alignment/>
    </xf>
    <xf numFmtId="166" fontId="0" fillId="0" borderId="1" xfId="15" applyNumberFormat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3" xfId="0" applyFill="1" applyBorder="1" applyAlignment="1">
      <alignment/>
    </xf>
    <xf numFmtId="166" fontId="0" fillId="0" borderId="3" xfId="15" applyNumberFormat="1" applyFill="1" applyBorder="1" applyAlignment="1">
      <alignment horizontal="left"/>
    </xf>
    <xf numFmtId="166" fontId="0" fillId="0" borderId="3" xfId="15" applyNumberFormat="1" applyFill="1" applyBorder="1" applyAlignment="1">
      <alignment/>
    </xf>
    <xf numFmtId="166" fontId="0" fillId="0" borderId="2" xfId="0" applyNumberFormat="1" applyBorder="1" applyAlignment="1">
      <alignment/>
    </xf>
    <xf numFmtId="167" fontId="0" fillId="0" borderId="1" xfId="0" applyNumberFormat="1" applyBorder="1" applyAlignment="1">
      <alignment/>
    </xf>
    <xf numFmtId="166" fontId="0" fillId="0" borderId="12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167" fontId="0" fillId="0" borderId="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43" fontId="0" fillId="0" borderId="0" xfId="15" applyBorder="1" applyAlignment="1">
      <alignment/>
    </xf>
    <xf numFmtId="4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4" borderId="20" xfId="0" applyFill="1" applyBorder="1" applyAlignment="1">
      <alignment/>
    </xf>
    <xf numFmtId="10" fontId="0" fillId="0" borderId="21" xfId="20" applyNumberFormat="1" applyBorder="1" applyAlignment="1">
      <alignment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10" fontId="0" fillId="0" borderId="20" xfId="20" applyNumberFormat="1" applyBorder="1" applyAlignment="1">
      <alignment/>
    </xf>
    <xf numFmtId="0" fontId="0" fillId="0" borderId="20" xfId="0" applyBorder="1" applyAlignment="1">
      <alignment/>
    </xf>
    <xf numFmtId="0" fontId="0" fillId="3" borderId="23" xfId="0" applyFill="1" applyBorder="1" applyAlignment="1">
      <alignment/>
    </xf>
    <xf numFmtId="2" fontId="0" fillId="0" borderId="22" xfId="0" applyNumberFormat="1" applyBorder="1" applyAlignment="1">
      <alignment/>
    </xf>
    <xf numFmtId="166" fontId="0" fillId="0" borderId="21" xfId="15" applyNumberFormat="1" applyBorder="1" applyAlignment="1">
      <alignment/>
    </xf>
    <xf numFmtId="9" fontId="0" fillId="0" borderId="21" xfId="20" applyNumberFormat="1" applyBorder="1" applyAlignment="1">
      <alignment/>
    </xf>
    <xf numFmtId="0" fontId="0" fillId="0" borderId="23" xfId="0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15" applyNumberFormat="1" applyBorder="1" applyAlignment="1">
      <alignment horizontal="right"/>
    </xf>
    <xf numFmtId="167" fontId="0" fillId="0" borderId="20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0" fillId="0" borderId="21" xfId="0" applyNumberFormat="1" applyBorder="1" applyAlignment="1">
      <alignment/>
    </xf>
    <xf numFmtId="165" fontId="0" fillId="0" borderId="21" xfId="15" applyNumberFormat="1" applyBorder="1" applyAlignment="1">
      <alignment/>
    </xf>
    <xf numFmtId="43" fontId="0" fillId="0" borderId="21" xfId="15" applyBorder="1" applyAlignment="1">
      <alignment/>
    </xf>
    <xf numFmtId="43" fontId="0" fillId="0" borderId="21" xfId="0" applyNumberFormat="1" applyBorder="1" applyAlignment="1">
      <alignment/>
    </xf>
    <xf numFmtId="166" fontId="0" fillId="0" borderId="22" xfId="15" applyNumberFormat="1" applyBorder="1" applyAlignment="1">
      <alignment/>
    </xf>
    <xf numFmtId="43" fontId="0" fillId="0" borderId="21" xfId="15" applyNumberFormat="1" applyBorder="1" applyAlignment="1">
      <alignment/>
    </xf>
    <xf numFmtId="0" fontId="0" fillId="0" borderId="21" xfId="0" applyBorder="1" applyAlignment="1">
      <alignment/>
    </xf>
    <xf numFmtId="43" fontId="0" fillId="0" borderId="22" xfId="15" applyBorder="1" applyAlignment="1">
      <alignment horizontal="left" indent="4"/>
    </xf>
    <xf numFmtId="43" fontId="0" fillId="0" borderId="22" xfId="15" applyBorder="1" applyAlignment="1">
      <alignment/>
    </xf>
    <xf numFmtId="166" fontId="3" fillId="0" borderId="22" xfId="15" applyNumberFormat="1" applyFont="1" applyFill="1" applyBorder="1" applyAlignment="1">
      <alignment/>
    </xf>
    <xf numFmtId="166" fontId="0" fillId="0" borderId="20" xfId="15" applyNumberFormat="1" applyFill="1" applyBorder="1" applyAlignment="1">
      <alignment/>
    </xf>
    <xf numFmtId="166" fontId="7" fillId="0" borderId="23" xfId="15" applyNumberFormat="1" applyFont="1" applyFill="1" applyBorder="1" applyAlignment="1">
      <alignment/>
    </xf>
    <xf numFmtId="166" fontId="3" fillId="0" borderId="23" xfId="15" applyNumberFormat="1" applyFont="1" applyFill="1" applyBorder="1" applyAlignment="1">
      <alignment/>
    </xf>
    <xf numFmtId="166" fontId="0" fillId="0" borderId="20" xfId="15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0" fillId="0" borderId="20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25" xfId="15" applyNumberFormat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166" fontId="3" fillId="0" borderId="24" xfId="15" applyNumberFormat="1" applyFont="1" applyFill="1" applyBorder="1" applyAlignment="1">
      <alignment/>
    </xf>
    <xf numFmtId="166" fontId="3" fillId="0" borderId="20" xfId="15" applyNumberFormat="1" applyFont="1" applyFill="1" applyBorder="1" applyAlignment="1">
      <alignment/>
    </xf>
    <xf numFmtId="166" fontId="0" fillId="0" borderId="20" xfId="15" applyNumberFormat="1" applyFont="1" applyFill="1" applyBorder="1" applyAlignment="1">
      <alignment/>
    </xf>
    <xf numFmtId="166" fontId="0" fillId="0" borderId="23" xfId="15" applyNumberFormat="1" applyFill="1" applyBorder="1" applyAlignment="1">
      <alignment/>
    </xf>
    <xf numFmtId="0" fontId="0" fillId="2" borderId="28" xfId="0" applyFill="1" applyBorder="1" applyAlignment="1">
      <alignment/>
    </xf>
    <xf numFmtId="0" fontId="3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23" xfId="0" applyFont="1" applyBorder="1" applyAlignment="1">
      <alignment/>
    </xf>
    <xf numFmtId="166" fontId="0" fillId="0" borderId="23" xfId="15" applyNumberForma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/>
    </xf>
    <xf numFmtId="166" fontId="3" fillId="0" borderId="21" xfId="15" applyNumberFormat="1" applyFont="1" applyBorder="1" applyAlignment="1">
      <alignment/>
    </xf>
    <xf numFmtId="166" fontId="0" fillId="0" borderId="29" xfId="15" applyNumberFormat="1" applyBorder="1" applyAlignment="1">
      <alignment/>
    </xf>
    <xf numFmtId="166" fontId="0" fillId="0" borderId="30" xfId="15" applyNumberFormat="1" applyBorder="1" applyAlignment="1">
      <alignment/>
    </xf>
    <xf numFmtId="166" fontId="3" fillId="0" borderId="30" xfId="15" applyNumberFormat="1" applyFont="1" applyFill="1" applyBorder="1" applyAlignment="1">
      <alignment/>
    </xf>
    <xf numFmtId="166" fontId="0" fillId="0" borderId="29" xfId="15" applyNumberFormat="1" applyFill="1" applyBorder="1" applyAlignment="1">
      <alignment/>
    </xf>
    <xf numFmtId="166" fontId="7" fillId="0" borderId="31" xfId="15" applyNumberFormat="1" applyFont="1" applyFill="1" applyBorder="1" applyAlignment="1">
      <alignment/>
    </xf>
    <xf numFmtId="166" fontId="3" fillId="0" borderId="31" xfId="15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166" fontId="3" fillId="0" borderId="32" xfId="0" applyNumberFormat="1" applyFont="1" applyFill="1" applyBorder="1" applyAlignment="1">
      <alignment/>
    </xf>
    <xf numFmtId="0" fontId="0" fillId="2" borderId="33" xfId="0" applyFill="1" applyBorder="1" applyAlignment="1">
      <alignment/>
    </xf>
    <xf numFmtId="166" fontId="3" fillId="0" borderId="32" xfId="15" applyNumberFormat="1" applyFont="1" applyFill="1" applyBorder="1" applyAlignment="1">
      <alignment/>
    </xf>
    <xf numFmtId="166" fontId="3" fillId="0" borderId="29" xfId="15" applyNumberFormat="1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166" fontId="0" fillId="0" borderId="31" xfId="15" applyNumberForma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0" borderId="34" xfId="0" applyBorder="1" applyAlignment="1">
      <alignment/>
    </xf>
    <xf numFmtId="10" fontId="0" fillId="0" borderId="35" xfId="20" applyNumberFormat="1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2" fontId="0" fillId="0" borderId="35" xfId="0" applyNumberFormat="1" applyBorder="1" applyAlignment="1">
      <alignment/>
    </xf>
    <xf numFmtId="10" fontId="0" fillId="0" borderId="29" xfId="20" applyNumberFormat="1" applyBorder="1" applyAlignment="1">
      <alignment/>
    </xf>
    <xf numFmtId="0" fontId="0" fillId="0" borderId="29" xfId="0" applyBorder="1" applyAlignment="1">
      <alignment/>
    </xf>
    <xf numFmtId="0" fontId="1" fillId="3" borderId="9" xfId="0" applyFont="1" applyFill="1" applyBorder="1" applyAlignment="1">
      <alignment/>
    </xf>
    <xf numFmtId="0" fontId="0" fillId="3" borderId="31" xfId="0" applyFill="1" applyBorder="1" applyAlignment="1">
      <alignment/>
    </xf>
    <xf numFmtId="2" fontId="0" fillId="0" borderId="30" xfId="0" applyNumberFormat="1" applyBorder="1" applyAlignment="1">
      <alignment/>
    </xf>
    <xf numFmtId="166" fontId="0" fillId="0" borderId="35" xfId="15" applyNumberFormat="1" applyBorder="1" applyAlignment="1">
      <alignment/>
    </xf>
    <xf numFmtId="9" fontId="0" fillId="0" borderId="35" xfId="20" applyNumberFormat="1" applyBorder="1" applyAlignment="1">
      <alignment/>
    </xf>
    <xf numFmtId="0" fontId="3" fillId="0" borderId="9" xfId="0" applyFont="1" applyBorder="1" applyAlignment="1">
      <alignment/>
    </xf>
    <xf numFmtId="0" fontId="3" fillId="0" borderId="31" xfId="0" applyFont="1" applyBorder="1" applyAlignment="1">
      <alignment/>
    </xf>
    <xf numFmtId="1" fontId="0" fillId="0" borderId="35" xfId="0" applyNumberFormat="1" applyBorder="1" applyAlignment="1">
      <alignment/>
    </xf>
    <xf numFmtId="1" fontId="0" fillId="0" borderId="30" xfId="0" applyNumberFormat="1" applyBorder="1" applyAlignment="1">
      <alignment/>
    </xf>
    <xf numFmtId="0" fontId="0" fillId="0" borderId="9" xfId="0" applyBorder="1" applyAlignment="1">
      <alignment/>
    </xf>
    <xf numFmtId="1" fontId="0" fillId="0" borderId="31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5" xfId="15" applyNumberFormat="1" applyBorder="1" applyAlignment="1">
      <alignment horizontal="right"/>
    </xf>
    <xf numFmtId="167" fontId="0" fillId="0" borderId="29" xfId="0" applyNumberFormat="1" applyBorder="1" applyAlignment="1">
      <alignment/>
    </xf>
    <xf numFmtId="167" fontId="0" fillId="0" borderId="30" xfId="0" applyNumberFormat="1" applyBorder="1" applyAlignment="1">
      <alignment/>
    </xf>
    <xf numFmtId="0" fontId="0" fillId="0" borderId="34" xfId="0" applyFill="1" applyBorder="1" applyAlignment="1">
      <alignment/>
    </xf>
    <xf numFmtId="167" fontId="0" fillId="0" borderId="35" xfId="0" applyNumberFormat="1" applyBorder="1" applyAlignment="1">
      <alignment/>
    </xf>
    <xf numFmtId="0" fontId="3" fillId="0" borderId="5" xfId="0" applyFont="1" applyBorder="1" applyAlignment="1">
      <alignment/>
    </xf>
    <xf numFmtId="0" fontId="0" fillId="0" borderId="36" xfId="0" applyFill="1" applyBorder="1" applyAlignment="1">
      <alignment/>
    </xf>
    <xf numFmtId="165" fontId="0" fillId="0" borderId="35" xfId="15" applyNumberFormat="1" applyBorder="1" applyAlignment="1">
      <alignment/>
    </xf>
    <xf numFmtId="43" fontId="0" fillId="0" borderId="35" xfId="15" applyBorder="1" applyAlignment="1">
      <alignment/>
    </xf>
    <xf numFmtId="43" fontId="0" fillId="0" borderId="35" xfId="0" applyNumberFormat="1" applyBorder="1" applyAlignment="1">
      <alignment/>
    </xf>
    <xf numFmtId="43" fontId="0" fillId="0" borderId="35" xfId="15" applyNumberFormat="1" applyBorder="1" applyAlignment="1">
      <alignment/>
    </xf>
    <xf numFmtId="0" fontId="3" fillId="0" borderId="34" xfId="0" applyFont="1" applyBorder="1" applyAlignment="1">
      <alignment/>
    </xf>
    <xf numFmtId="166" fontId="3" fillId="0" borderId="37" xfId="15" applyNumberFormat="1" applyFont="1" applyBorder="1" applyAlignment="1">
      <alignment/>
    </xf>
    <xf numFmtId="166" fontId="0" fillId="0" borderId="37" xfId="15" applyNumberFormat="1" applyBorder="1" applyAlignment="1">
      <alignment/>
    </xf>
    <xf numFmtId="0" fontId="0" fillId="0" borderId="6" xfId="0" applyBorder="1" applyAlignment="1">
      <alignment/>
    </xf>
    <xf numFmtId="166" fontId="0" fillId="0" borderId="38" xfId="15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6" fontId="0" fillId="0" borderId="40" xfId="15" applyNumberFormat="1" applyBorder="1" applyAlignment="1">
      <alignment/>
    </xf>
    <xf numFmtId="166" fontId="0" fillId="0" borderId="41" xfId="15" applyNumberFormat="1" applyBorder="1" applyAlignment="1">
      <alignment/>
    </xf>
    <xf numFmtId="0" fontId="9" fillId="0" borderId="16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5" borderId="46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0" fillId="5" borderId="16" xfId="0" applyFill="1" applyBorder="1" applyAlignment="1">
      <alignment/>
    </xf>
    <xf numFmtId="0" fontId="1" fillId="5" borderId="47" xfId="0" applyFont="1" applyFill="1" applyBorder="1" applyAlignment="1">
      <alignment/>
    </xf>
    <xf numFmtId="0" fontId="1" fillId="5" borderId="48" xfId="0" applyFont="1" applyFill="1" applyBorder="1" applyAlignment="1">
      <alignment/>
    </xf>
    <xf numFmtId="1" fontId="0" fillId="0" borderId="40" xfId="0" applyNumberFormat="1" applyBorder="1" applyAlignment="1">
      <alignment/>
    </xf>
    <xf numFmtId="1" fontId="0" fillId="0" borderId="49" xfId="0" applyNumberFormat="1" applyBorder="1" applyAlignment="1">
      <alignment/>
    </xf>
    <xf numFmtId="0" fontId="1" fillId="0" borderId="46" xfId="0" applyFont="1" applyBorder="1" applyAlignment="1">
      <alignment/>
    </xf>
    <xf numFmtId="0" fontId="0" fillId="0" borderId="50" xfId="0" applyFill="1" applyBorder="1" applyAlignment="1">
      <alignment/>
    </xf>
    <xf numFmtId="9" fontId="0" fillId="0" borderId="14" xfId="20" applyBorder="1" applyAlignment="1">
      <alignment/>
    </xf>
    <xf numFmtId="9" fontId="0" fillId="0" borderId="51" xfId="20" applyBorder="1" applyAlignment="1">
      <alignment/>
    </xf>
    <xf numFmtId="9" fontId="0" fillId="0" borderId="13" xfId="20" applyBorder="1" applyAlignment="1">
      <alignment/>
    </xf>
    <xf numFmtId="0" fontId="0" fillId="0" borderId="52" xfId="0" applyFill="1" applyBorder="1" applyAlignment="1">
      <alignment/>
    </xf>
    <xf numFmtId="0" fontId="3" fillId="2" borderId="53" xfId="0" applyFont="1" applyFill="1" applyBorder="1" applyAlignment="1">
      <alignment horizontal="center"/>
    </xf>
    <xf numFmtId="166" fontId="0" fillId="0" borderId="54" xfId="15" applyNumberFormat="1" applyBorder="1" applyAlignment="1">
      <alignment/>
    </xf>
    <xf numFmtId="166" fontId="0" fillId="0" borderId="55" xfId="15" applyNumberFormat="1" applyBorder="1" applyAlignment="1">
      <alignment/>
    </xf>
    <xf numFmtId="0" fontId="0" fillId="0" borderId="52" xfId="0" applyBorder="1" applyAlignment="1">
      <alignment/>
    </xf>
    <xf numFmtId="9" fontId="0" fillId="0" borderId="54" xfId="20" applyBorder="1" applyAlignment="1">
      <alignment/>
    </xf>
    <xf numFmtId="9" fontId="0" fillId="0" borderId="55" xfId="20" applyBorder="1" applyAlignment="1">
      <alignment/>
    </xf>
    <xf numFmtId="166" fontId="0" fillId="0" borderId="56" xfId="15" applyNumberFormat="1" applyBorder="1" applyAlignment="1">
      <alignment/>
    </xf>
    <xf numFmtId="9" fontId="0" fillId="0" borderId="56" xfId="20" applyBorder="1" applyAlignment="1">
      <alignment/>
    </xf>
    <xf numFmtId="9" fontId="0" fillId="0" borderId="0" xfId="20" applyBorder="1" applyAlignment="1">
      <alignment/>
    </xf>
    <xf numFmtId="166" fontId="0" fillId="0" borderId="56" xfId="15" applyNumberFormat="1" applyFill="1" applyBorder="1" applyAlignment="1">
      <alignment/>
    </xf>
    <xf numFmtId="0" fontId="0" fillId="2" borderId="57" xfId="0" applyFill="1" applyBorder="1" applyAlignment="1">
      <alignment horizontal="center"/>
    </xf>
    <xf numFmtId="166" fontId="0" fillId="0" borderId="54" xfId="15" applyNumberFormat="1" applyFill="1" applyBorder="1" applyAlignment="1">
      <alignment/>
    </xf>
    <xf numFmtId="166" fontId="0" fillId="0" borderId="55" xfId="15" applyNumberForma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166" fontId="3" fillId="0" borderId="44" xfId="15" applyNumberFormat="1" applyFont="1" applyFill="1" applyBorder="1" applyAlignment="1">
      <alignment/>
    </xf>
    <xf numFmtId="166" fontId="3" fillId="0" borderId="43" xfId="15" applyNumberFormat="1" applyFont="1" applyFill="1" applyBorder="1" applyAlignment="1">
      <alignment/>
    </xf>
    <xf numFmtId="166" fontId="3" fillId="0" borderId="45" xfId="15" applyNumberFormat="1" applyFont="1" applyFill="1" applyBorder="1" applyAlignment="1">
      <alignment/>
    </xf>
    <xf numFmtId="166" fontId="0" fillId="0" borderId="58" xfId="15" applyNumberFormat="1" applyFill="1" applyBorder="1" applyAlignment="1">
      <alignment/>
    </xf>
    <xf numFmtId="9" fontId="0" fillId="0" borderId="58" xfId="20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20" xfId="15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59" xfId="0" applyBorder="1" applyAlignment="1">
      <alignment/>
    </xf>
    <xf numFmtId="10" fontId="0" fillId="0" borderId="11" xfId="0" applyNumberFormat="1" applyBorder="1" applyAlignment="1">
      <alignment/>
    </xf>
    <xf numFmtId="10" fontId="0" fillId="0" borderId="11" xfId="20" applyNumberFormat="1" applyBorder="1" applyAlignment="1">
      <alignment/>
    </xf>
    <xf numFmtId="10" fontId="0" fillId="0" borderId="21" xfId="15" applyNumberFormat="1" applyBorder="1" applyAlignment="1">
      <alignment/>
    </xf>
    <xf numFmtId="0" fontId="1" fillId="0" borderId="58" xfId="0" applyFont="1" applyFill="1" applyBorder="1" applyAlignment="1">
      <alignment/>
    </xf>
    <xf numFmtId="0" fontId="0" fillId="4" borderId="54" xfId="0" applyFill="1" applyBorder="1" applyAlignment="1">
      <alignment/>
    </xf>
    <xf numFmtId="180" fontId="0" fillId="0" borderId="60" xfId="20" applyNumberFormat="1" applyBorder="1" applyAlignment="1">
      <alignment/>
    </xf>
    <xf numFmtId="180" fontId="0" fillId="0" borderId="61" xfId="20" applyNumberFormat="1" applyBorder="1" applyAlignment="1">
      <alignment/>
    </xf>
    <xf numFmtId="180" fontId="0" fillId="3" borderId="55" xfId="20" applyNumberFormat="1" applyFill="1" applyBorder="1" applyAlignment="1">
      <alignment/>
    </xf>
    <xf numFmtId="180" fontId="0" fillId="0" borderId="55" xfId="20" applyNumberFormat="1" applyBorder="1" applyAlignment="1">
      <alignment/>
    </xf>
    <xf numFmtId="180" fontId="0" fillId="0" borderId="62" xfId="20" applyNumberFormat="1" applyBorder="1" applyAlignment="1">
      <alignment/>
    </xf>
    <xf numFmtId="180" fontId="0" fillId="5" borderId="58" xfId="20" applyNumberFormat="1" applyFill="1" applyBorder="1" applyAlignment="1">
      <alignment/>
    </xf>
    <xf numFmtId="180" fontId="0" fillId="0" borderId="54" xfId="20" applyNumberFormat="1" applyBorder="1" applyAlignment="1">
      <alignment/>
    </xf>
    <xf numFmtId="10" fontId="0" fillId="0" borderId="35" xfId="15" applyNumberFormat="1" applyBorder="1" applyAlignment="1">
      <alignment/>
    </xf>
    <xf numFmtId="0" fontId="13" fillId="6" borderId="6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center"/>
    </xf>
    <xf numFmtId="43" fontId="0" fillId="6" borderId="23" xfId="15" applyFill="1" applyBorder="1" applyAlignment="1">
      <alignment/>
    </xf>
    <xf numFmtId="0" fontId="0" fillId="6" borderId="23" xfId="0" applyFill="1" applyBorder="1" applyAlignment="1">
      <alignment/>
    </xf>
    <xf numFmtId="0" fontId="0" fillId="6" borderId="31" xfId="0" applyFill="1" applyBorder="1" applyAlignment="1">
      <alignment/>
    </xf>
    <xf numFmtId="180" fontId="0" fillId="6" borderId="64" xfId="20" applyNumberFormat="1" applyFill="1" applyBorder="1" applyAlignment="1">
      <alignment/>
    </xf>
    <xf numFmtId="0" fontId="0" fillId="7" borderId="0" xfId="0" applyFill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46" xfId="0" applyFont="1" applyBorder="1" applyAlignment="1">
      <alignment/>
    </xf>
    <xf numFmtId="168" fontId="0" fillId="7" borderId="16" xfId="0" applyNumberFormat="1" applyFill="1" applyBorder="1" applyAlignment="1">
      <alignment/>
    </xf>
    <xf numFmtId="166" fontId="0" fillId="7" borderId="16" xfId="15" applyNumberFormat="1" applyFill="1" applyBorder="1" applyAlignment="1">
      <alignment/>
    </xf>
    <xf numFmtId="0" fontId="15" fillId="7" borderId="16" xfId="0" applyFont="1" applyFill="1" applyBorder="1" applyAlignment="1">
      <alignment horizontal="right"/>
    </xf>
    <xf numFmtId="0" fontId="0" fillId="7" borderId="16" xfId="0" applyFill="1" applyBorder="1" applyAlignment="1">
      <alignment/>
    </xf>
    <xf numFmtId="0" fontId="19" fillId="7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166" fontId="0" fillId="0" borderId="16" xfId="15" applyNumberFormat="1" applyBorder="1" applyAlignment="1">
      <alignment/>
    </xf>
    <xf numFmtId="0" fontId="19" fillId="0" borderId="16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0" fillId="7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left" vertical="top"/>
    </xf>
    <xf numFmtId="0" fontId="19" fillId="7" borderId="0" xfId="0" applyFont="1" applyFill="1" applyBorder="1" applyAlignment="1">
      <alignment vertical="top"/>
    </xf>
    <xf numFmtId="0" fontId="15" fillId="7" borderId="0" xfId="0" applyFont="1" applyFill="1" applyBorder="1" applyAlignment="1">
      <alignment/>
    </xf>
    <xf numFmtId="0" fontId="0" fillId="0" borderId="0" xfId="0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66" fontId="0" fillId="0" borderId="25" xfId="15" applyNumberFormat="1" applyBorder="1" applyAlignment="1">
      <alignment/>
    </xf>
    <xf numFmtId="0" fontId="15" fillId="0" borderId="2" xfId="0" applyFont="1" applyBorder="1" applyAlignment="1">
      <alignment horizontal="right"/>
    </xf>
    <xf numFmtId="0" fontId="19" fillId="0" borderId="2" xfId="0" applyFont="1" applyBorder="1" applyAlignment="1">
      <alignment/>
    </xf>
    <xf numFmtId="0" fontId="0" fillId="0" borderId="27" xfId="0" applyBorder="1" applyAlignment="1">
      <alignment/>
    </xf>
    <xf numFmtId="0" fontId="3" fillId="0" borderId="26" xfId="0" applyFont="1" applyBorder="1" applyAlignment="1">
      <alignment/>
    </xf>
    <xf numFmtId="0" fontId="3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7" borderId="0" xfId="15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66" fontId="0" fillId="0" borderId="0" xfId="15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2" fontId="0" fillId="0" borderId="0" xfId="20" applyNumberFormat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 horizontal="center"/>
    </xf>
    <xf numFmtId="166" fontId="0" fillId="0" borderId="22" xfId="15" applyNumberFormat="1" applyBorder="1" applyAlignment="1">
      <alignment/>
    </xf>
    <xf numFmtId="166" fontId="0" fillId="0" borderId="22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30" xfId="0" applyNumberFormat="1" applyBorder="1" applyAlignment="1">
      <alignment/>
    </xf>
    <xf numFmtId="166" fontId="0" fillId="0" borderId="23" xfId="15" applyNumberFormat="1" applyBorder="1" applyAlignment="1">
      <alignment/>
    </xf>
    <xf numFmtId="166" fontId="0" fillId="0" borderId="23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31" xfId="0" applyNumberFormat="1" applyBorder="1" applyAlignment="1">
      <alignment/>
    </xf>
    <xf numFmtId="166" fontId="0" fillId="0" borderId="23" xfId="15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43" fontId="0" fillId="0" borderId="23" xfId="0" applyNumberFormat="1" applyFill="1" applyBorder="1" applyAlignment="1">
      <alignment/>
    </xf>
    <xf numFmtId="43" fontId="0" fillId="0" borderId="31" xfId="0" applyNumberFormat="1" applyFill="1" applyBorder="1" applyAlignment="1">
      <alignment/>
    </xf>
    <xf numFmtId="166" fontId="0" fillId="0" borderId="40" xfId="15" applyNumberFormat="1" applyBorder="1" applyAlignment="1">
      <alignment/>
    </xf>
    <xf numFmtId="166" fontId="0" fillId="0" borderId="40" xfId="0" applyNumberFormat="1" applyBorder="1" applyAlignment="1">
      <alignment/>
    </xf>
    <xf numFmtId="43" fontId="0" fillId="0" borderId="40" xfId="0" applyNumberFormat="1" applyBorder="1" applyAlignment="1">
      <alignment/>
    </xf>
    <xf numFmtId="43" fontId="0" fillId="0" borderId="49" xfId="0" applyNumberFormat="1" applyBorder="1" applyAlignment="1">
      <alignment/>
    </xf>
    <xf numFmtId="0" fontId="2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46" xfId="0" applyNumberFormat="1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31" xfId="0" applyFont="1" applyBorder="1" applyAlignment="1">
      <alignment/>
    </xf>
    <xf numFmtId="1" fontId="22" fillId="0" borderId="64" xfId="15" applyNumberFormat="1" applyFont="1" applyBorder="1" applyAlignment="1">
      <alignment/>
    </xf>
    <xf numFmtId="1" fontId="22" fillId="0" borderId="31" xfId="15" applyNumberFormat="1" applyFont="1" applyBorder="1" applyAlignment="1">
      <alignment/>
    </xf>
    <xf numFmtId="1" fontId="22" fillId="0" borderId="66" xfId="15" applyNumberFormat="1" applyFont="1" applyBorder="1" applyAlignment="1">
      <alignment/>
    </xf>
    <xf numFmtId="1" fontId="22" fillId="0" borderId="49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3" fillId="0" borderId="65" xfId="15" applyNumberFormat="1" applyFon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166" fontId="3" fillId="0" borderId="4" xfId="15" applyNumberFormat="1" applyFont="1" applyBorder="1" applyAlignment="1">
      <alignment/>
    </xf>
    <xf numFmtId="0" fontId="1" fillId="0" borderId="0" xfId="0" applyFont="1" applyAlignment="1">
      <alignment/>
    </xf>
    <xf numFmtId="0" fontId="22" fillId="5" borderId="0" xfId="0" applyFont="1" applyFill="1" applyAlignment="1">
      <alignment horizontal="left" indent="1"/>
    </xf>
    <xf numFmtId="10" fontId="22" fillId="5" borderId="0" xfId="0" applyNumberFormat="1" applyFont="1" applyFill="1" applyAlignment="1">
      <alignment horizontal="left" indent="1"/>
    </xf>
    <xf numFmtId="0" fontId="1" fillId="0" borderId="57" xfId="0" applyFont="1" applyBorder="1" applyAlignment="1">
      <alignment wrapText="1"/>
    </xf>
    <xf numFmtId="0" fontId="1" fillId="5" borderId="50" xfId="0" applyFont="1" applyFill="1" applyBorder="1" applyAlignment="1">
      <alignment/>
    </xf>
    <xf numFmtId="0" fontId="1" fillId="5" borderId="57" xfId="0" applyFont="1" applyFill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3" fillId="0" borderId="54" xfId="0" applyFont="1" applyBorder="1" applyAlignment="1">
      <alignment/>
    </xf>
    <xf numFmtId="3" fontId="13" fillId="5" borderId="0" xfId="0" applyNumberFormat="1" applyFont="1" applyFill="1" applyBorder="1" applyAlignment="1">
      <alignment/>
    </xf>
    <xf numFmtId="3" fontId="13" fillId="5" borderId="52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4" fontId="13" fillId="0" borderId="52" xfId="0" applyNumberFormat="1" applyFont="1" applyBorder="1" applyAlignment="1">
      <alignment/>
    </xf>
    <xf numFmtId="0" fontId="13" fillId="0" borderId="52" xfId="0" applyFont="1" applyBorder="1" applyAlignment="1">
      <alignment/>
    </xf>
    <xf numFmtId="3" fontId="13" fillId="5" borderId="54" xfId="0" applyNumberFormat="1" applyFont="1" applyFill="1" applyBorder="1" applyAlignment="1">
      <alignment/>
    </xf>
    <xf numFmtId="4" fontId="13" fillId="0" borderId="54" xfId="0" applyNumberFormat="1" applyFont="1" applyBorder="1" applyAlignment="1">
      <alignment/>
    </xf>
    <xf numFmtId="9" fontId="0" fillId="0" borderId="0" xfId="0" applyNumberFormat="1" applyAlignment="1">
      <alignment/>
    </xf>
    <xf numFmtId="0" fontId="13" fillId="0" borderId="53" xfId="0" applyFont="1" applyBorder="1" applyAlignment="1">
      <alignment/>
    </xf>
    <xf numFmtId="3" fontId="13" fillId="5" borderId="2" xfId="0" applyNumberFormat="1" applyFont="1" applyFill="1" applyBorder="1" applyAlignment="1">
      <alignment/>
    </xf>
    <xf numFmtId="3" fontId="13" fillId="5" borderId="53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4" fontId="13" fillId="0" borderId="53" xfId="0" applyNumberFormat="1" applyFont="1" applyBorder="1" applyAlignment="1">
      <alignment/>
    </xf>
    <xf numFmtId="0" fontId="13" fillId="7" borderId="7" xfId="0" applyFont="1" applyFill="1" applyBorder="1" applyAlignment="1">
      <alignment/>
    </xf>
    <xf numFmtId="0" fontId="13" fillId="7" borderId="8" xfId="0" applyFont="1" applyFill="1" applyBorder="1" applyAlignment="1">
      <alignment/>
    </xf>
    <xf numFmtId="40" fontId="13" fillId="7" borderId="5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7" borderId="5" xfId="0" applyFont="1" applyFill="1" applyBorder="1" applyAlignment="1">
      <alignment/>
    </xf>
    <xf numFmtId="0" fontId="24" fillId="7" borderId="0" xfId="0" applyFont="1" applyFill="1" applyBorder="1" applyAlignment="1">
      <alignment/>
    </xf>
    <xf numFmtId="4" fontId="13" fillId="7" borderId="25" xfId="0" applyNumberFormat="1" applyFont="1" applyFill="1" applyBorder="1" applyAlignment="1">
      <alignment/>
    </xf>
    <xf numFmtId="10" fontId="13" fillId="7" borderId="50" xfId="0" applyNumberFormat="1" applyFont="1" applyFill="1" applyBorder="1" applyAlignment="1">
      <alignment/>
    </xf>
    <xf numFmtId="0" fontId="13" fillId="7" borderId="26" xfId="0" applyFont="1" applyFill="1" applyBorder="1" applyAlignment="1">
      <alignment/>
    </xf>
    <xf numFmtId="0" fontId="13" fillId="7" borderId="2" xfId="0" applyFont="1" applyFill="1" applyBorder="1" applyAlignment="1">
      <alignment/>
    </xf>
    <xf numFmtId="2" fontId="13" fillId="7" borderId="2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166" fontId="3" fillId="0" borderId="4" xfId="0" applyNumberFormat="1" applyFont="1" applyBorder="1" applyAlignment="1">
      <alignment/>
    </xf>
    <xf numFmtId="43" fontId="0" fillId="0" borderId="65" xfId="0" applyNumberFormat="1" applyBorder="1" applyAlignment="1">
      <alignment/>
    </xf>
    <xf numFmtId="0" fontId="25" fillId="0" borderId="0" xfId="0" applyFont="1" applyAlignment="1">
      <alignment/>
    </xf>
    <xf numFmtId="166" fontId="3" fillId="0" borderId="0" xfId="15" applyNumberFormat="1" applyFont="1" applyAlignment="1">
      <alignment/>
    </xf>
    <xf numFmtId="0" fontId="21" fillId="0" borderId="0" xfId="0" applyFont="1" applyAlignment="1">
      <alignment horizontal="left"/>
    </xf>
    <xf numFmtId="0" fontId="18" fillId="0" borderId="46" xfId="0" applyFont="1" applyBorder="1" applyAlignment="1">
      <alignment/>
    </xf>
    <xf numFmtId="0" fontId="0" fillId="0" borderId="46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21" fillId="0" borderId="16" xfId="0" applyFont="1" applyBorder="1" applyAlignment="1">
      <alignment/>
    </xf>
    <xf numFmtId="43" fontId="0" fillId="0" borderId="0" xfId="15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7" fontId="0" fillId="0" borderId="43" xfId="15" applyNumberFormat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50" xfId="0" applyFont="1" applyBorder="1" applyAlignment="1">
      <alignment/>
    </xf>
    <xf numFmtId="166" fontId="0" fillId="0" borderId="6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67" xfId="0" applyBorder="1" applyAlignment="1">
      <alignment/>
    </xf>
    <xf numFmtId="0" fontId="3" fillId="0" borderId="6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69" xfId="0" applyBorder="1" applyAlignment="1">
      <alignment/>
    </xf>
    <xf numFmtId="166" fontId="0" fillId="0" borderId="70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71" xfId="0" applyBorder="1" applyAlignment="1">
      <alignment/>
    </xf>
    <xf numFmtId="166" fontId="0" fillId="0" borderId="6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3" fillId="0" borderId="28" xfId="0" applyFon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23" xfId="0" applyNumberFormat="1" applyFill="1" applyBorder="1" applyAlignment="1">
      <alignment/>
    </xf>
    <xf numFmtId="43" fontId="0" fillId="0" borderId="40" xfId="0" applyNumberFormat="1" applyBorder="1" applyAlignment="1">
      <alignment/>
    </xf>
    <xf numFmtId="166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166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66" fontId="0" fillId="0" borderId="7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59" xfId="0" applyBorder="1" applyAlignment="1">
      <alignment/>
    </xf>
    <xf numFmtId="166" fontId="15" fillId="0" borderId="64" xfId="0" applyNumberFormat="1" applyFont="1" applyFill="1" applyBorder="1" applyAlignment="1">
      <alignment/>
    </xf>
    <xf numFmtId="0" fontId="3" fillId="0" borderId="73" xfId="0" applyFont="1" applyBorder="1" applyAlignment="1">
      <alignment/>
    </xf>
    <xf numFmtId="166" fontId="15" fillId="0" borderId="74" xfId="0" applyNumberFormat="1" applyFont="1" applyFill="1" applyBorder="1" applyAlignment="1">
      <alignment/>
    </xf>
    <xf numFmtId="166" fontId="15" fillId="0" borderId="6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Optimal pris og mængde er der hvor MR og MC har skæringspunkt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7"/>
          <c:w val="0.83125"/>
          <c:h val="0.835"/>
        </c:manualLayout>
      </c:layout>
      <c:scatterChart>
        <c:scatterStyle val="line"/>
        <c:varyColors val="0"/>
        <c:ser>
          <c:idx val="0"/>
          <c:order val="0"/>
          <c:tx>
            <c:strRef>
              <c:f>'Data til graf '!$A$2</c:f>
              <c:strCache>
                <c:ptCount val="1"/>
                <c:pt idx="0">
                  <c:v>Afsætning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'Data til graf '!$B$4:$B$5</c:f>
              <c:numCache>
                <c:ptCount val="2"/>
                <c:pt idx="0">
                  <c:v>0</c:v>
                </c:pt>
                <c:pt idx="1">
                  <c:v>30000</c:v>
                </c:pt>
              </c:numCache>
            </c:numRef>
          </c:xVal>
          <c:yVal>
            <c:numRef>
              <c:f>'Data til graf '!$A$4:$A$5</c:f>
              <c:numCach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til graf '!$C$2</c:f>
              <c:strCache>
                <c:ptCount val="1"/>
                <c:pt idx="0">
                  <c:v>MR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'Data til graf '!$D$4:$D$5</c:f>
              <c:numCache>
                <c:ptCount val="2"/>
                <c:pt idx="0">
                  <c:v>0</c:v>
                </c:pt>
                <c:pt idx="1">
                  <c:v>15000</c:v>
                </c:pt>
              </c:numCache>
            </c:numRef>
          </c:xVal>
          <c:yVal>
            <c:numRef>
              <c:f>'Data til graf '!$C$4:$C$5</c:f>
              <c:numCach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til graf '!$E$2</c:f>
              <c:strCache>
                <c:ptCount val="1"/>
                <c:pt idx="0">
                  <c:v>MC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'Data til graf '!$F$4:$F$5</c:f>
              <c:numCache>
                <c:ptCount val="2"/>
                <c:pt idx="0">
                  <c:v>0</c:v>
                </c:pt>
                <c:pt idx="1">
                  <c:v>30000</c:v>
                </c:pt>
              </c:numCache>
            </c:numRef>
          </c:xVal>
          <c:yVal>
            <c:numRef>
              <c:f>'Data til graf '!$E$4:$E$5</c:f>
              <c:numCach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til graf '!$G$2</c:f>
              <c:strCache>
                <c:ptCount val="1"/>
                <c:pt idx="0">
                  <c:v>Max.kapacitet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til graf '!$H$4:$H$5</c:f>
              <c:numCache>
                <c:ptCount val="2"/>
                <c:pt idx="0">
                  <c:v>12000</c:v>
                </c:pt>
                <c:pt idx="1">
                  <c:v>12000</c:v>
                </c:pt>
              </c:numCache>
            </c:numRef>
          </c:xVal>
          <c:yVal>
            <c:numRef>
              <c:f>'Data til graf '!$G$4:$G$5</c:f>
              <c:numCache>
                <c:ptCount val="2"/>
                <c:pt idx="0">
                  <c:v>1500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Optimal pris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til graf '!$J$4:$J$5</c:f>
              <c:numCache>
                <c:ptCount val="2"/>
                <c:pt idx="0">
                  <c:v>0</c:v>
                </c:pt>
                <c:pt idx="1">
                  <c:v>10000</c:v>
                </c:pt>
              </c:numCache>
            </c:numRef>
          </c:xVal>
          <c:yVal>
            <c:numRef>
              <c:f>'Data til graf '!$I$4:$I$5</c:f>
              <c:numCach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til graf '!$K$2</c:f>
              <c:strCache>
                <c:ptCount val="1"/>
                <c:pt idx="0">
                  <c:v>Optimal mængde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til graf '!$L$4:$L$5</c:f>
              <c:numCache>
                <c:ptCount val="2"/>
                <c:pt idx="0">
                  <c:v>10000</c:v>
                </c:pt>
                <c:pt idx="1">
                  <c:v>10000</c:v>
                </c:pt>
              </c:numCache>
            </c:numRef>
          </c:xVal>
          <c:yVal>
            <c:numRef>
              <c:f>'Data til graf '!$K$4:$K$5</c:f>
              <c:numCach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</c:ser>
        <c:axId val="60554552"/>
        <c:axId val="8120057"/>
      </c:scatterChart>
      <c:valAx>
        <c:axId val="60554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Mængde</a:t>
                </a:r>
              </a:p>
            </c:rich>
          </c:tx>
          <c:layout>
            <c:manualLayout>
              <c:xMode val="factor"/>
              <c:yMode val="factor"/>
              <c:x val="0.018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20057"/>
        <c:crosses val="autoZero"/>
        <c:crossBetween val="midCat"/>
        <c:dispUnits/>
      </c:valAx>
      <c:valAx>
        <c:axId val="8120057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Pris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545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5"/>
          <c:y val="0.10375"/>
          <c:w val="0.1535"/>
          <c:h val="0.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="120" zoomScaleNormal="120" workbookViewId="0" topLeftCell="B1">
      <selection activeCell="I23" sqref="I23"/>
    </sheetView>
  </sheetViews>
  <sheetFormatPr defaultColWidth="9.140625" defaultRowHeight="12.75"/>
  <cols>
    <col min="1" max="1" width="23.57421875" style="0" bestFit="1" customWidth="1"/>
    <col min="2" max="2" width="15.140625" style="0" customWidth="1"/>
    <col min="3" max="3" width="14.57421875" style="0" customWidth="1"/>
    <col min="4" max="5" width="14.421875" style="0" customWidth="1"/>
    <col min="6" max="6" width="10.28125" style="0" customWidth="1"/>
    <col min="7" max="7" width="16.421875" style="0" bestFit="1" customWidth="1"/>
  </cols>
  <sheetData>
    <row r="1" spans="1:6" ht="18">
      <c r="A1" s="204" t="s">
        <v>111</v>
      </c>
      <c r="B1" s="121" t="s">
        <v>56</v>
      </c>
      <c r="C1" s="71"/>
      <c r="D1" s="72"/>
      <c r="E1" s="209"/>
      <c r="F1" s="213"/>
    </row>
    <row r="2" spans="1:6" ht="13.5" thickBot="1">
      <c r="A2" s="118" t="s">
        <v>24</v>
      </c>
      <c r="B2" s="119">
        <v>2000</v>
      </c>
      <c r="C2" s="119">
        <f>B2+1</f>
        <v>2001</v>
      </c>
      <c r="D2" s="120">
        <f>C2+1</f>
        <v>2002</v>
      </c>
      <c r="E2" s="210" t="s">
        <v>98</v>
      </c>
      <c r="F2" s="210" t="s">
        <v>97</v>
      </c>
    </row>
    <row r="3" spans="1:6" ht="12.75">
      <c r="A3" s="10" t="s">
        <v>91</v>
      </c>
      <c r="B3" s="115">
        <v>176004</v>
      </c>
      <c r="C3" s="116">
        <v>276569</v>
      </c>
      <c r="D3" s="137">
        <v>175650</v>
      </c>
      <c r="E3" s="211">
        <f>D3-B3</f>
        <v>-354</v>
      </c>
      <c r="F3" s="214">
        <f>E3/B3</f>
        <v>-0.002011317924592623</v>
      </c>
    </row>
    <row r="4" spans="1:6" ht="12.75">
      <c r="A4" s="10" t="s">
        <v>112</v>
      </c>
      <c r="B4" s="103">
        <v>80604</v>
      </c>
      <c r="C4" s="2">
        <v>133544</v>
      </c>
      <c r="D4" s="138">
        <v>81414</v>
      </c>
      <c r="E4" s="211">
        <f aca="true" t="shared" si="0" ref="E4:E27">D4-B4</f>
        <v>810</v>
      </c>
      <c r="F4" s="214">
        <f aca="true" t="shared" si="1" ref="F4:F27">E4/B4</f>
        <v>0.010049129075480124</v>
      </c>
    </row>
    <row r="5" spans="1:6" ht="12.75">
      <c r="A5" s="18" t="s">
        <v>113</v>
      </c>
      <c r="B5" s="108">
        <f>B3-B4</f>
        <v>95400</v>
      </c>
      <c r="C5" s="7">
        <f>C3-C4</f>
        <v>143025</v>
      </c>
      <c r="D5" s="139">
        <f>D3-D4</f>
        <v>94236</v>
      </c>
      <c r="E5" s="212">
        <f t="shared" si="0"/>
        <v>-1164</v>
      </c>
      <c r="F5" s="215">
        <f t="shared" si="1"/>
        <v>-0.01220125786163522</v>
      </c>
    </row>
    <row r="6" spans="1:6" ht="12.75">
      <c r="A6" s="13" t="s">
        <v>114</v>
      </c>
      <c r="B6" s="109">
        <v>3750</v>
      </c>
      <c r="C6" s="14">
        <v>8500</v>
      </c>
      <c r="D6" s="140">
        <v>6250</v>
      </c>
      <c r="E6" s="212">
        <f t="shared" si="0"/>
        <v>2500</v>
      </c>
      <c r="F6" s="215">
        <f t="shared" si="1"/>
        <v>0.6666666666666666</v>
      </c>
    </row>
    <row r="7" spans="1:6" ht="12.75">
      <c r="A7" s="27" t="s">
        <v>42</v>
      </c>
      <c r="B7" s="110">
        <f>B5-B6</f>
        <v>91650</v>
      </c>
      <c r="C7" s="110">
        <f>C5-C6</f>
        <v>134525</v>
      </c>
      <c r="D7" s="141">
        <f>D5-D6</f>
        <v>87986</v>
      </c>
      <c r="E7" s="212">
        <f t="shared" si="0"/>
        <v>-3664</v>
      </c>
      <c r="F7" s="215">
        <f t="shared" si="1"/>
        <v>-0.03997817785051828</v>
      </c>
    </row>
    <row r="8" spans="1:6" ht="12.75">
      <c r="A8" s="13" t="s">
        <v>120</v>
      </c>
      <c r="B8" s="109">
        <f>3150+500</f>
        <v>3650</v>
      </c>
      <c r="C8" s="3">
        <f>3275+950</f>
        <v>4225</v>
      </c>
      <c r="D8" s="140">
        <f>3400+1450</f>
        <v>4850</v>
      </c>
      <c r="E8" s="211">
        <f t="shared" si="0"/>
        <v>1200</v>
      </c>
      <c r="F8" s="214">
        <f t="shared" si="1"/>
        <v>0.3287671232876712</v>
      </c>
    </row>
    <row r="9" spans="1:6" ht="12.75">
      <c r="A9" s="13" t="s">
        <v>116</v>
      </c>
      <c r="B9" s="109">
        <v>425</v>
      </c>
      <c r="C9" s="3">
        <v>500</v>
      </c>
      <c r="D9" s="140">
        <v>800</v>
      </c>
      <c r="E9" s="211">
        <f t="shared" si="0"/>
        <v>375</v>
      </c>
      <c r="F9" s="214">
        <f t="shared" si="1"/>
        <v>0.8823529411764706</v>
      </c>
    </row>
    <row r="10" spans="1:6" ht="12.75">
      <c r="A10" s="13" t="s">
        <v>117</v>
      </c>
      <c r="B10" s="109">
        <v>8950</v>
      </c>
      <c r="C10" s="3">
        <v>10150</v>
      </c>
      <c r="D10" s="140">
        <v>7500</v>
      </c>
      <c r="E10" s="211">
        <f t="shared" si="0"/>
        <v>-1450</v>
      </c>
      <c r="F10" s="214">
        <f t="shared" si="1"/>
        <v>-0.16201117318435754</v>
      </c>
    </row>
    <row r="11" spans="1:6" ht="12.75">
      <c r="A11" s="13" t="s">
        <v>115</v>
      </c>
      <c r="B11" s="109">
        <v>4500</v>
      </c>
      <c r="C11" s="3">
        <v>9000</v>
      </c>
      <c r="D11" s="140">
        <v>3500</v>
      </c>
      <c r="E11" s="211">
        <f t="shared" si="0"/>
        <v>-1000</v>
      </c>
      <c r="F11" s="214">
        <f t="shared" si="1"/>
        <v>-0.2222222222222222</v>
      </c>
    </row>
    <row r="12" spans="1:6" ht="12.75">
      <c r="A12" s="13" t="s">
        <v>118</v>
      </c>
      <c r="B12" s="109">
        <v>3522</v>
      </c>
      <c r="C12" s="3">
        <v>2179</v>
      </c>
      <c r="D12" s="140">
        <v>2457</v>
      </c>
      <c r="E12" s="211">
        <f t="shared" si="0"/>
        <v>-1065</v>
      </c>
      <c r="F12" s="214">
        <f t="shared" si="1"/>
        <v>-0.3023850085178876</v>
      </c>
    </row>
    <row r="13" spans="1:6" ht="12.75">
      <c r="A13" s="13" t="s">
        <v>119</v>
      </c>
      <c r="B13" s="109">
        <v>44697</v>
      </c>
      <c r="C13" s="3">
        <v>58147</v>
      </c>
      <c r="D13" s="140">
        <v>58614</v>
      </c>
      <c r="E13" s="211">
        <f t="shared" si="0"/>
        <v>13917</v>
      </c>
      <c r="F13" s="214">
        <f t="shared" si="1"/>
        <v>0.31136317873682795</v>
      </c>
    </row>
    <row r="14" spans="1:6" ht="12.75">
      <c r="A14" s="18" t="s">
        <v>50</v>
      </c>
      <c r="B14" s="111">
        <f>B7-B8-B9-B10-B11-B12-B13</f>
        <v>25906</v>
      </c>
      <c r="C14" s="111">
        <f>C7-C8-C9-C10-C11-C12-C13</f>
        <v>50324</v>
      </c>
      <c r="D14" s="142">
        <f>D7-D8-D9-D10-D11-D12-D13</f>
        <v>10265</v>
      </c>
      <c r="E14" s="212">
        <f t="shared" si="0"/>
        <v>-15641</v>
      </c>
      <c r="F14" s="215">
        <f t="shared" si="1"/>
        <v>-0.6037597467768084</v>
      </c>
    </row>
    <row r="15" spans="1:6" ht="12.75">
      <c r="A15" s="13" t="s">
        <v>0</v>
      </c>
      <c r="B15" s="109">
        <v>7647</v>
      </c>
      <c r="C15" s="3">
        <v>9311</v>
      </c>
      <c r="D15" s="140">
        <v>6330</v>
      </c>
      <c r="E15" s="212">
        <f t="shared" si="0"/>
        <v>-1317</v>
      </c>
      <c r="F15" s="215">
        <f t="shared" si="1"/>
        <v>-0.17222440172616713</v>
      </c>
    </row>
    <row r="16" spans="1:6" ht="12.75">
      <c r="A16" s="18" t="s">
        <v>92</v>
      </c>
      <c r="B16" s="111">
        <f>B14-B15</f>
        <v>18259</v>
      </c>
      <c r="C16" s="8">
        <f>C14-C15</f>
        <v>41013</v>
      </c>
      <c r="D16" s="142">
        <f>D14-D15</f>
        <v>3935</v>
      </c>
      <c r="E16" s="212">
        <f t="shared" si="0"/>
        <v>-14324</v>
      </c>
      <c r="F16" s="215">
        <f t="shared" si="1"/>
        <v>-0.7844898406265404</v>
      </c>
    </row>
    <row r="17" spans="1:6" ht="12.75">
      <c r="A17" s="13" t="s">
        <v>35</v>
      </c>
      <c r="B17" s="109">
        <v>1877</v>
      </c>
      <c r="C17" s="3">
        <v>3740</v>
      </c>
      <c r="D17" s="140">
        <v>1396</v>
      </c>
      <c r="E17" s="211">
        <f t="shared" si="0"/>
        <v>-481</v>
      </c>
      <c r="F17" s="214">
        <f t="shared" si="1"/>
        <v>-0.256259989344699</v>
      </c>
    </row>
    <row r="18" spans="1:6" ht="12.75">
      <c r="A18" s="13" t="s">
        <v>34</v>
      </c>
      <c r="B18" s="109">
        <v>117</v>
      </c>
      <c r="C18" s="3">
        <v>137</v>
      </c>
      <c r="D18" s="140">
        <v>111</v>
      </c>
      <c r="E18" s="211">
        <f t="shared" si="0"/>
        <v>-6</v>
      </c>
      <c r="F18" s="214">
        <f t="shared" si="1"/>
        <v>-0.05128205128205128</v>
      </c>
    </row>
    <row r="19" spans="1:6" ht="12.75">
      <c r="A19" s="18" t="s">
        <v>45</v>
      </c>
      <c r="B19" s="111">
        <f>B16-B18+B17</f>
        <v>20019</v>
      </c>
      <c r="C19" s="8">
        <f>C16-C18+C17</f>
        <v>44616</v>
      </c>
      <c r="D19" s="142">
        <f>D16-D18+D17</f>
        <v>5220</v>
      </c>
      <c r="E19" s="212">
        <f t="shared" si="0"/>
        <v>-14799</v>
      </c>
      <c r="F19" s="215">
        <f t="shared" si="1"/>
        <v>-0.7392477146710625</v>
      </c>
    </row>
    <row r="20" spans="1:6" ht="12.75">
      <c r="A20" s="13" t="s">
        <v>36</v>
      </c>
      <c r="B20" s="112"/>
      <c r="C20" s="12"/>
      <c r="D20" s="143"/>
      <c r="E20" s="211">
        <f t="shared" si="0"/>
        <v>0</v>
      </c>
      <c r="F20" s="214">
        <v>0</v>
      </c>
    </row>
    <row r="21" spans="1:6" ht="12.75">
      <c r="A21" s="13" t="s">
        <v>20</v>
      </c>
      <c r="B21" s="109">
        <v>6685</v>
      </c>
      <c r="C21" s="3">
        <v>12266</v>
      </c>
      <c r="D21" s="140">
        <v>1031</v>
      </c>
      <c r="E21" s="211">
        <f t="shared" si="0"/>
        <v>-5654</v>
      </c>
      <c r="F21" s="214">
        <f t="shared" si="1"/>
        <v>-0.8457741211667913</v>
      </c>
    </row>
    <row r="22" spans="1:6" ht="13.5" thickBot="1">
      <c r="A22" s="19" t="s">
        <v>46</v>
      </c>
      <c r="B22" s="114">
        <f>B19-B20-B21</f>
        <v>13334</v>
      </c>
      <c r="C22" s="9">
        <f>C19-C20-C21</f>
        <v>32350</v>
      </c>
      <c r="D22" s="144">
        <f>D19-D20-D21</f>
        <v>4189</v>
      </c>
      <c r="E22" s="216">
        <f t="shared" si="0"/>
        <v>-9145</v>
      </c>
      <c r="F22" s="217">
        <f t="shared" si="1"/>
        <v>-0.6858407079646017</v>
      </c>
    </row>
    <row r="23" spans="1:6" ht="13.5" thickTop="1">
      <c r="A23" s="12"/>
      <c r="B23" s="12"/>
      <c r="C23" s="12"/>
      <c r="D23" s="12"/>
      <c r="E23" s="116">
        <f t="shared" si="0"/>
        <v>0</v>
      </c>
      <c r="F23" s="218"/>
    </row>
    <row r="24" spans="1:6" ht="12.75">
      <c r="A24" s="21" t="s">
        <v>96</v>
      </c>
      <c r="B24" s="12"/>
      <c r="C24" s="12"/>
      <c r="D24" s="12"/>
      <c r="E24" s="116">
        <f t="shared" si="0"/>
        <v>0</v>
      </c>
      <c r="F24" s="218"/>
    </row>
    <row r="25" spans="1:6" ht="12.75">
      <c r="A25" s="62" t="s">
        <v>55</v>
      </c>
      <c r="B25" s="28">
        <v>148</v>
      </c>
      <c r="C25" s="28">
        <v>186</v>
      </c>
      <c r="D25" s="40">
        <v>185</v>
      </c>
      <c r="E25" s="162">
        <v>0</v>
      </c>
      <c r="F25" s="206">
        <f t="shared" si="1"/>
        <v>0</v>
      </c>
    </row>
    <row r="26" spans="1:6" ht="12.75">
      <c r="A26" s="73" t="s">
        <v>59</v>
      </c>
      <c r="B26" s="116">
        <f>'Balance til analyse'!D17/342</f>
        <v>337.3830409356725</v>
      </c>
      <c r="C26" s="116">
        <f>'Balance til analyse'!E17/409</f>
        <v>337.320293398533</v>
      </c>
      <c r="D26" s="116">
        <f>'Balance til analyse'!F17/411</f>
        <v>337.6666666666667</v>
      </c>
      <c r="E26" s="137">
        <f t="shared" si="0"/>
        <v>0.2836257309941743</v>
      </c>
      <c r="F26" s="207">
        <f t="shared" si="1"/>
        <v>0.0008406638644538511</v>
      </c>
    </row>
    <row r="27" spans="1:6" ht="12.75">
      <c r="A27" s="68" t="s">
        <v>60</v>
      </c>
      <c r="B27" s="32">
        <v>471</v>
      </c>
      <c r="C27" s="32">
        <v>800</v>
      </c>
      <c r="D27" s="34">
        <v>520</v>
      </c>
      <c r="E27" s="138">
        <f t="shared" si="0"/>
        <v>49</v>
      </c>
      <c r="F27" s="208">
        <f t="shared" si="1"/>
        <v>0.1040339702760085</v>
      </c>
    </row>
    <row r="43" ht="12.75" hidden="1"/>
  </sheetData>
  <printOptions/>
  <pageMargins left="0.7874015748031497" right="0.2755905511811024" top="0.5905511811023623" bottom="0.5905511811023623" header="0.5118110236220472" footer="0.5118110236220472"/>
  <pageSetup horizontalDpi="300" verticalDpi="300" orientation="landscape" paperSize="9" scale="14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B1">
      <selection activeCell="F56" sqref="F56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6.140625" style="0" customWidth="1"/>
    <col min="4" max="4" width="20.7109375" style="0" customWidth="1"/>
    <col min="5" max="5" width="23.8515625" style="0" customWidth="1"/>
    <col min="6" max="6" width="31.57421875" style="0" customWidth="1"/>
    <col min="7" max="7" width="35.421875" style="0" customWidth="1"/>
  </cols>
  <sheetData>
    <row r="1" spans="2:4" ht="20.25">
      <c r="B1" s="341" t="s">
        <v>164</v>
      </c>
      <c r="C1" s="342">
        <v>5</v>
      </c>
      <c r="D1" s="255" t="s">
        <v>245</v>
      </c>
    </row>
    <row r="2" spans="2:3" ht="16.5" thickBot="1">
      <c r="B2" s="341" t="s">
        <v>165</v>
      </c>
      <c r="C2" s="343">
        <v>0.12</v>
      </c>
    </row>
    <row r="3" spans="2:7" ht="37.5" customHeight="1" thickBot="1">
      <c r="B3" s="344" t="s">
        <v>166</v>
      </c>
      <c r="C3" s="345" t="s">
        <v>167</v>
      </c>
      <c r="D3" s="346" t="s">
        <v>168</v>
      </c>
      <c r="E3" s="347" t="s">
        <v>169</v>
      </c>
      <c r="F3" s="344" t="s">
        <v>175</v>
      </c>
      <c r="G3" s="348" t="s">
        <v>176</v>
      </c>
    </row>
    <row r="4" spans="2:7" ht="18">
      <c r="B4" s="349">
        <v>0</v>
      </c>
      <c r="C4" s="350">
        <v>0</v>
      </c>
      <c r="D4" s="351">
        <v>250000</v>
      </c>
      <c r="E4" s="352">
        <f aca="true" t="shared" si="0" ref="E4:E35">C4-D4</f>
        <v>-250000</v>
      </c>
      <c r="F4" s="353">
        <f>E4</f>
        <v>-250000</v>
      </c>
      <c r="G4" s="354"/>
    </row>
    <row r="5" spans="2:7" ht="18">
      <c r="B5" s="349">
        <f aca="true" t="shared" si="1" ref="B5:B36">B4+1</f>
        <v>1</v>
      </c>
      <c r="C5" s="350">
        <v>80000</v>
      </c>
      <c r="D5" s="355">
        <v>0</v>
      </c>
      <c r="E5" s="352">
        <f t="shared" si="0"/>
        <v>80000</v>
      </c>
      <c r="F5" s="356">
        <f aca="true" t="shared" si="2" ref="F5:F36">PV($C$2,B5,0,E5)*-1</f>
        <v>71428.57142857142</v>
      </c>
      <c r="G5" s="356">
        <f>PMT($C$2,$C$1,$F$55)*-1</f>
        <v>10647.567014737764</v>
      </c>
    </row>
    <row r="6" spans="2:7" ht="18">
      <c r="B6" s="349">
        <f t="shared" si="1"/>
        <v>2</v>
      </c>
      <c r="C6" s="350">
        <f>C5</f>
        <v>80000</v>
      </c>
      <c r="D6" s="355">
        <v>0</v>
      </c>
      <c r="E6" s="352">
        <f t="shared" si="0"/>
        <v>80000</v>
      </c>
      <c r="F6" s="356">
        <f t="shared" si="2"/>
        <v>63775.51020408162</v>
      </c>
      <c r="G6" s="356">
        <f aca="true" t="shared" si="3" ref="G6:G53">IF(F6&gt;0,G5,0)</f>
        <v>10647.567014737764</v>
      </c>
    </row>
    <row r="7" spans="2:7" ht="18">
      <c r="B7" s="349">
        <f t="shared" si="1"/>
        <v>3</v>
      </c>
      <c r="C7" s="350">
        <f>C6</f>
        <v>80000</v>
      </c>
      <c r="D7" s="355">
        <v>0</v>
      </c>
      <c r="E7" s="352">
        <f t="shared" si="0"/>
        <v>80000</v>
      </c>
      <c r="F7" s="356">
        <f t="shared" si="2"/>
        <v>56942.41982507287</v>
      </c>
      <c r="G7" s="356">
        <f t="shared" si="3"/>
        <v>10647.567014737764</v>
      </c>
    </row>
    <row r="8" spans="2:7" ht="18">
      <c r="B8" s="349">
        <f t="shared" si="1"/>
        <v>4</v>
      </c>
      <c r="C8" s="350">
        <f>C7</f>
        <v>80000</v>
      </c>
      <c r="D8" s="355">
        <v>0</v>
      </c>
      <c r="E8" s="352">
        <f t="shared" si="0"/>
        <v>80000</v>
      </c>
      <c r="F8" s="356">
        <f t="shared" si="2"/>
        <v>50841.44627238649</v>
      </c>
      <c r="G8" s="356">
        <f t="shared" si="3"/>
        <v>10647.567014737764</v>
      </c>
    </row>
    <row r="9" spans="2:7" ht="18">
      <c r="B9" s="349">
        <f t="shared" si="1"/>
        <v>5</v>
      </c>
      <c r="C9" s="350">
        <f>C8</f>
        <v>80000</v>
      </c>
      <c r="D9" s="355">
        <v>0</v>
      </c>
      <c r="E9" s="352">
        <f t="shared" si="0"/>
        <v>80000</v>
      </c>
      <c r="F9" s="356">
        <f t="shared" si="2"/>
        <v>45394.148457487936</v>
      </c>
      <c r="G9" s="356">
        <f t="shared" si="3"/>
        <v>10647.567014737764</v>
      </c>
    </row>
    <row r="10" spans="2:7" ht="18">
      <c r="B10" s="349">
        <f t="shared" si="1"/>
        <v>6</v>
      </c>
      <c r="C10" s="350">
        <v>0</v>
      </c>
      <c r="D10" s="355">
        <v>0</v>
      </c>
      <c r="E10" s="352">
        <f t="shared" si="0"/>
        <v>0</v>
      </c>
      <c r="F10" s="356">
        <f t="shared" si="2"/>
        <v>0</v>
      </c>
      <c r="G10" s="356">
        <f t="shared" si="3"/>
        <v>0</v>
      </c>
    </row>
    <row r="11" spans="2:7" ht="18">
      <c r="B11" s="349">
        <f t="shared" si="1"/>
        <v>7</v>
      </c>
      <c r="C11" s="350">
        <v>0</v>
      </c>
      <c r="D11" s="355">
        <v>0</v>
      </c>
      <c r="E11" s="352">
        <f t="shared" si="0"/>
        <v>0</v>
      </c>
      <c r="F11" s="356">
        <f t="shared" si="2"/>
        <v>0</v>
      </c>
      <c r="G11" s="356">
        <f t="shared" si="3"/>
        <v>0</v>
      </c>
    </row>
    <row r="12" spans="2:9" ht="18">
      <c r="B12" s="349">
        <f t="shared" si="1"/>
        <v>8</v>
      </c>
      <c r="C12" s="350">
        <v>0</v>
      </c>
      <c r="D12" s="355">
        <v>0</v>
      </c>
      <c r="E12" s="352">
        <f t="shared" si="0"/>
        <v>0</v>
      </c>
      <c r="F12" s="356">
        <f t="shared" si="2"/>
        <v>0</v>
      </c>
      <c r="G12" s="356">
        <f t="shared" si="3"/>
        <v>0</v>
      </c>
      <c r="I12" s="357"/>
    </row>
    <row r="13" spans="2:7" ht="18">
      <c r="B13" s="349">
        <f t="shared" si="1"/>
        <v>9</v>
      </c>
      <c r="C13" s="350">
        <v>0</v>
      </c>
      <c r="D13" s="355">
        <v>0</v>
      </c>
      <c r="E13" s="352">
        <f t="shared" si="0"/>
        <v>0</v>
      </c>
      <c r="F13" s="356">
        <f t="shared" si="2"/>
        <v>0</v>
      </c>
      <c r="G13" s="356">
        <f t="shared" si="3"/>
        <v>0</v>
      </c>
    </row>
    <row r="14" spans="2:7" ht="18">
      <c r="B14" s="349">
        <f t="shared" si="1"/>
        <v>10</v>
      </c>
      <c r="C14" s="350">
        <v>0</v>
      </c>
      <c r="D14" s="355">
        <v>0</v>
      </c>
      <c r="E14" s="352">
        <f t="shared" si="0"/>
        <v>0</v>
      </c>
      <c r="F14" s="356">
        <f t="shared" si="2"/>
        <v>0</v>
      </c>
      <c r="G14" s="356">
        <f t="shared" si="3"/>
        <v>0</v>
      </c>
    </row>
    <row r="15" spans="2:7" ht="18">
      <c r="B15" s="349">
        <f t="shared" si="1"/>
        <v>11</v>
      </c>
      <c r="C15" s="350">
        <v>0</v>
      </c>
      <c r="D15" s="355">
        <v>0</v>
      </c>
      <c r="E15" s="352">
        <f t="shared" si="0"/>
        <v>0</v>
      </c>
      <c r="F15" s="356">
        <f t="shared" si="2"/>
        <v>0</v>
      </c>
      <c r="G15" s="356">
        <f t="shared" si="3"/>
        <v>0</v>
      </c>
    </row>
    <row r="16" spans="2:7" ht="18">
      <c r="B16" s="349">
        <f t="shared" si="1"/>
        <v>12</v>
      </c>
      <c r="C16" s="350">
        <v>0</v>
      </c>
      <c r="D16" s="355">
        <v>0</v>
      </c>
      <c r="E16" s="352">
        <f t="shared" si="0"/>
        <v>0</v>
      </c>
      <c r="F16" s="356">
        <f t="shared" si="2"/>
        <v>0</v>
      </c>
      <c r="G16" s="356">
        <f t="shared" si="3"/>
        <v>0</v>
      </c>
    </row>
    <row r="17" spans="2:9" ht="18">
      <c r="B17" s="349">
        <f t="shared" si="1"/>
        <v>13</v>
      </c>
      <c r="C17" s="350">
        <v>0</v>
      </c>
      <c r="D17" s="355">
        <v>0</v>
      </c>
      <c r="E17" s="352">
        <f t="shared" si="0"/>
        <v>0</v>
      </c>
      <c r="F17" s="356">
        <f t="shared" si="2"/>
        <v>0</v>
      </c>
      <c r="G17" s="356">
        <f t="shared" si="3"/>
        <v>0</v>
      </c>
      <c r="I17" s="357"/>
    </row>
    <row r="18" spans="2:7" ht="18">
      <c r="B18" s="349">
        <f t="shared" si="1"/>
        <v>14</v>
      </c>
      <c r="C18" s="350">
        <v>0</v>
      </c>
      <c r="D18" s="355">
        <v>0</v>
      </c>
      <c r="E18" s="352">
        <f t="shared" si="0"/>
        <v>0</v>
      </c>
      <c r="F18" s="356">
        <f t="shared" si="2"/>
        <v>0</v>
      </c>
      <c r="G18" s="356">
        <f t="shared" si="3"/>
        <v>0</v>
      </c>
    </row>
    <row r="19" spans="2:7" ht="18.75" thickBot="1">
      <c r="B19" s="358">
        <f t="shared" si="1"/>
        <v>15</v>
      </c>
      <c r="C19" s="359">
        <v>0</v>
      </c>
      <c r="D19" s="360">
        <v>0</v>
      </c>
      <c r="E19" s="361">
        <f t="shared" si="0"/>
        <v>0</v>
      </c>
      <c r="F19" s="362">
        <f t="shared" si="2"/>
        <v>0</v>
      </c>
      <c r="G19" s="362">
        <f t="shared" si="3"/>
        <v>0</v>
      </c>
    </row>
    <row r="20" spans="2:7" ht="18" hidden="1">
      <c r="B20" s="349">
        <f t="shared" si="1"/>
        <v>16</v>
      </c>
      <c r="C20" s="350">
        <v>0</v>
      </c>
      <c r="D20" s="355">
        <v>0</v>
      </c>
      <c r="E20" s="352">
        <f t="shared" si="0"/>
        <v>0</v>
      </c>
      <c r="F20" s="356">
        <f t="shared" si="2"/>
        <v>0</v>
      </c>
      <c r="G20" s="356">
        <f t="shared" si="3"/>
        <v>0</v>
      </c>
    </row>
    <row r="21" spans="2:7" ht="18" hidden="1">
      <c r="B21" s="349">
        <f t="shared" si="1"/>
        <v>17</v>
      </c>
      <c r="C21" s="350">
        <v>0</v>
      </c>
      <c r="D21" s="355">
        <v>0</v>
      </c>
      <c r="E21" s="352">
        <f t="shared" si="0"/>
        <v>0</v>
      </c>
      <c r="F21" s="356">
        <f t="shared" si="2"/>
        <v>0</v>
      </c>
      <c r="G21" s="356">
        <f t="shared" si="3"/>
        <v>0</v>
      </c>
    </row>
    <row r="22" spans="2:7" ht="18" hidden="1">
      <c r="B22" s="349">
        <f t="shared" si="1"/>
        <v>18</v>
      </c>
      <c r="C22" s="350">
        <v>0</v>
      </c>
      <c r="D22" s="355">
        <v>0</v>
      </c>
      <c r="E22" s="352">
        <f t="shared" si="0"/>
        <v>0</v>
      </c>
      <c r="F22" s="356">
        <f t="shared" si="2"/>
        <v>0</v>
      </c>
      <c r="G22" s="356">
        <f t="shared" si="3"/>
        <v>0</v>
      </c>
    </row>
    <row r="23" spans="2:7" ht="18" hidden="1">
      <c r="B23" s="349">
        <f t="shared" si="1"/>
        <v>19</v>
      </c>
      <c r="C23" s="350">
        <v>0</v>
      </c>
      <c r="D23" s="355">
        <v>0</v>
      </c>
      <c r="E23" s="352">
        <f t="shared" si="0"/>
        <v>0</v>
      </c>
      <c r="F23" s="356">
        <f t="shared" si="2"/>
        <v>0</v>
      </c>
      <c r="G23" s="356">
        <f t="shared" si="3"/>
        <v>0</v>
      </c>
    </row>
    <row r="24" spans="2:7" ht="18" hidden="1">
      <c r="B24" s="349">
        <f t="shared" si="1"/>
        <v>20</v>
      </c>
      <c r="C24" s="350">
        <v>0</v>
      </c>
      <c r="D24" s="355">
        <v>0</v>
      </c>
      <c r="E24" s="352">
        <f t="shared" si="0"/>
        <v>0</v>
      </c>
      <c r="F24" s="356">
        <f t="shared" si="2"/>
        <v>0</v>
      </c>
      <c r="G24" s="356">
        <f t="shared" si="3"/>
        <v>0</v>
      </c>
    </row>
    <row r="25" spans="2:7" ht="18" hidden="1">
      <c r="B25" s="349">
        <f t="shared" si="1"/>
        <v>21</v>
      </c>
      <c r="C25" s="350">
        <v>0</v>
      </c>
      <c r="D25" s="355">
        <v>0</v>
      </c>
      <c r="E25" s="352">
        <f t="shared" si="0"/>
        <v>0</v>
      </c>
      <c r="F25" s="356">
        <f t="shared" si="2"/>
        <v>0</v>
      </c>
      <c r="G25" s="356">
        <f t="shared" si="3"/>
        <v>0</v>
      </c>
    </row>
    <row r="26" spans="2:7" ht="18" hidden="1">
      <c r="B26" s="349">
        <f t="shared" si="1"/>
        <v>22</v>
      </c>
      <c r="C26" s="350">
        <v>0</v>
      </c>
      <c r="D26" s="355">
        <v>0</v>
      </c>
      <c r="E26" s="352">
        <f t="shared" si="0"/>
        <v>0</v>
      </c>
      <c r="F26" s="356">
        <f t="shared" si="2"/>
        <v>0</v>
      </c>
      <c r="G26" s="356">
        <f t="shared" si="3"/>
        <v>0</v>
      </c>
    </row>
    <row r="27" spans="2:7" ht="18" hidden="1">
      <c r="B27" s="349">
        <f t="shared" si="1"/>
        <v>23</v>
      </c>
      <c r="C27" s="350">
        <v>0</v>
      </c>
      <c r="D27" s="355">
        <v>0</v>
      </c>
      <c r="E27" s="352">
        <f t="shared" si="0"/>
        <v>0</v>
      </c>
      <c r="F27" s="356">
        <f t="shared" si="2"/>
        <v>0</v>
      </c>
      <c r="G27" s="356">
        <f t="shared" si="3"/>
        <v>0</v>
      </c>
    </row>
    <row r="28" spans="2:7" ht="18" hidden="1">
      <c r="B28" s="349">
        <f t="shared" si="1"/>
        <v>24</v>
      </c>
      <c r="C28" s="350">
        <v>0</v>
      </c>
      <c r="D28" s="355">
        <v>0</v>
      </c>
      <c r="E28" s="352">
        <f t="shared" si="0"/>
        <v>0</v>
      </c>
      <c r="F28" s="356">
        <f t="shared" si="2"/>
        <v>0</v>
      </c>
      <c r="G28" s="356">
        <f t="shared" si="3"/>
        <v>0</v>
      </c>
    </row>
    <row r="29" spans="2:7" ht="18" hidden="1">
      <c r="B29" s="349">
        <f t="shared" si="1"/>
        <v>25</v>
      </c>
      <c r="C29" s="350">
        <v>0</v>
      </c>
      <c r="D29" s="355">
        <v>0</v>
      </c>
      <c r="E29" s="352">
        <f t="shared" si="0"/>
        <v>0</v>
      </c>
      <c r="F29" s="356">
        <f t="shared" si="2"/>
        <v>0</v>
      </c>
      <c r="G29" s="356">
        <f t="shared" si="3"/>
        <v>0</v>
      </c>
    </row>
    <row r="30" spans="2:7" ht="18" hidden="1">
      <c r="B30" s="349">
        <f t="shared" si="1"/>
        <v>26</v>
      </c>
      <c r="C30" s="350">
        <v>0</v>
      </c>
      <c r="D30" s="355">
        <v>0</v>
      </c>
      <c r="E30" s="352">
        <f t="shared" si="0"/>
        <v>0</v>
      </c>
      <c r="F30" s="356">
        <f t="shared" si="2"/>
        <v>0</v>
      </c>
      <c r="G30" s="356">
        <f t="shared" si="3"/>
        <v>0</v>
      </c>
    </row>
    <row r="31" spans="2:7" ht="18" hidden="1">
      <c r="B31" s="349">
        <f t="shared" si="1"/>
        <v>27</v>
      </c>
      <c r="C31" s="350">
        <v>0</v>
      </c>
      <c r="D31" s="355">
        <v>0</v>
      </c>
      <c r="E31" s="352">
        <f t="shared" si="0"/>
        <v>0</v>
      </c>
      <c r="F31" s="356">
        <f t="shared" si="2"/>
        <v>0</v>
      </c>
      <c r="G31" s="356">
        <f t="shared" si="3"/>
        <v>0</v>
      </c>
    </row>
    <row r="32" spans="2:7" ht="18" hidden="1">
      <c r="B32" s="349">
        <f t="shared" si="1"/>
        <v>28</v>
      </c>
      <c r="C32" s="350">
        <v>0</v>
      </c>
      <c r="D32" s="355">
        <v>0</v>
      </c>
      <c r="E32" s="352">
        <f t="shared" si="0"/>
        <v>0</v>
      </c>
      <c r="F32" s="356">
        <f t="shared" si="2"/>
        <v>0</v>
      </c>
      <c r="G32" s="356">
        <f t="shared" si="3"/>
        <v>0</v>
      </c>
    </row>
    <row r="33" spans="2:7" ht="18" hidden="1">
      <c r="B33" s="349">
        <f t="shared" si="1"/>
        <v>29</v>
      </c>
      <c r="C33" s="350">
        <v>0</v>
      </c>
      <c r="D33" s="355">
        <v>0</v>
      </c>
      <c r="E33" s="352">
        <f t="shared" si="0"/>
        <v>0</v>
      </c>
      <c r="F33" s="356">
        <f t="shared" si="2"/>
        <v>0</v>
      </c>
      <c r="G33" s="356">
        <f t="shared" si="3"/>
        <v>0</v>
      </c>
    </row>
    <row r="34" spans="2:7" ht="18" hidden="1">
      <c r="B34" s="349">
        <f t="shared" si="1"/>
        <v>30</v>
      </c>
      <c r="C34" s="350">
        <v>0</v>
      </c>
      <c r="D34" s="355">
        <v>0</v>
      </c>
      <c r="E34" s="352">
        <f t="shared" si="0"/>
        <v>0</v>
      </c>
      <c r="F34" s="356">
        <f t="shared" si="2"/>
        <v>0</v>
      </c>
      <c r="G34" s="356">
        <f t="shared" si="3"/>
        <v>0</v>
      </c>
    </row>
    <row r="35" spans="2:7" ht="18" hidden="1">
      <c r="B35" s="349">
        <f t="shared" si="1"/>
        <v>31</v>
      </c>
      <c r="C35" s="350">
        <v>0</v>
      </c>
      <c r="D35" s="355">
        <v>0</v>
      </c>
      <c r="E35" s="352">
        <f t="shared" si="0"/>
        <v>0</v>
      </c>
      <c r="F35" s="356">
        <f t="shared" si="2"/>
        <v>0</v>
      </c>
      <c r="G35" s="356">
        <f t="shared" si="3"/>
        <v>0</v>
      </c>
    </row>
    <row r="36" spans="2:7" ht="18" hidden="1">
      <c r="B36" s="349">
        <f t="shared" si="1"/>
        <v>32</v>
      </c>
      <c r="C36" s="350">
        <v>0</v>
      </c>
      <c r="D36" s="355">
        <v>0</v>
      </c>
      <c r="E36" s="352">
        <f aca="true" t="shared" si="4" ref="E36:E54">C36-D36</f>
        <v>0</v>
      </c>
      <c r="F36" s="356">
        <f t="shared" si="2"/>
        <v>0</v>
      </c>
      <c r="G36" s="356">
        <f t="shared" si="3"/>
        <v>0</v>
      </c>
    </row>
    <row r="37" spans="2:7" ht="18" hidden="1">
      <c r="B37" s="349">
        <f aca="true" t="shared" si="5" ref="B37:B54">B36+1</f>
        <v>33</v>
      </c>
      <c r="C37" s="350">
        <v>0</v>
      </c>
      <c r="D37" s="355">
        <v>0</v>
      </c>
      <c r="E37" s="352">
        <f t="shared" si="4"/>
        <v>0</v>
      </c>
      <c r="F37" s="356">
        <f aca="true" t="shared" si="6" ref="F37:F54">PV($C$2,B37,0,E37)*-1</f>
        <v>0</v>
      </c>
      <c r="G37" s="356">
        <f t="shared" si="3"/>
        <v>0</v>
      </c>
    </row>
    <row r="38" spans="2:7" ht="18" hidden="1">
      <c r="B38" s="349">
        <f t="shared" si="5"/>
        <v>34</v>
      </c>
      <c r="C38" s="350">
        <v>0</v>
      </c>
      <c r="D38" s="355">
        <v>0</v>
      </c>
      <c r="E38" s="352">
        <f t="shared" si="4"/>
        <v>0</v>
      </c>
      <c r="F38" s="356">
        <f t="shared" si="6"/>
        <v>0</v>
      </c>
      <c r="G38" s="356">
        <f t="shared" si="3"/>
        <v>0</v>
      </c>
    </row>
    <row r="39" spans="2:7" ht="18" hidden="1">
      <c r="B39" s="349">
        <f t="shared" si="5"/>
        <v>35</v>
      </c>
      <c r="C39" s="350">
        <v>0</v>
      </c>
      <c r="D39" s="355">
        <v>0</v>
      </c>
      <c r="E39" s="352">
        <f t="shared" si="4"/>
        <v>0</v>
      </c>
      <c r="F39" s="356">
        <f t="shared" si="6"/>
        <v>0</v>
      </c>
      <c r="G39" s="356">
        <f t="shared" si="3"/>
        <v>0</v>
      </c>
    </row>
    <row r="40" spans="2:7" ht="18" hidden="1">
      <c r="B40" s="349">
        <f t="shared" si="5"/>
        <v>36</v>
      </c>
      <c r="C40" s="350">
        <v>0</v>
      </c>
      <c r="D40" s="355">
        <v>0</v>
      </c>
      <c r="E40" s="352">
        <f t="shared" si="4"/>
        <v>0</v>
      </c>
      <c r="F40" s="356">
        <f t="shared" si="6"/>
        <v>0</v>
      </c>
      <c r="G40" s="356">
        <f t="shared" si="3"/>
        <v>0</v>
      </c>
    </row>
    <row r="41" spans="2:7" ht="18" hidden="1">
      <c r="B41" s="349">
        <f t="shared" si="5"/>
        <v>37</v>
      </c>
      <c r="C41" s="350">
        <v>0</v>
      </c>
      <c r="D41" s="355">
        <v>0</v>
      </c>
      <c r="E41" s="352">
        <f t="shared" si="4"/>
        <v>0</v>
      </c>
      <c r="F41" s="356">
        <f t="shared" si="6"/>
        <v>0</v>
      </c>
      <c r="G41" s="356">
        <f t="shared" si="3"/>
        <v>0</v>
      </c>
    </row>
    <row r="42" spans="2:7" ht="18" hidden="1">
      <c r="B42" s="349">
        <f t="shared" si="5"/>
        <v>38</v>
      </c>
      <c r="C42" s="350">
        <v>0</v>
      </c>
      <c r="D42" s="355">
        <v>0</v>
      </c>
      <c r="E42" s="352">
        <f t="shared" si="4"/>
        <v>0</v>
      </c>
      <c r="F42" s="356">
        <f t="shared" si="6"/>
        <v>0</v>
      </c>
      <c r="G42" s="356">
        <f t="shared" si="3"/>
        <v>0</v>
      </c>
    </row>
    <row r="43" spans="2:7" ht="18" hidden="1">
      <c r="B43" s="349">
        <f t="shared" si="5"/>
        <v>39</v>
      </c>
      <c r="C43" s="350">
        <v>0</v>
      </c>
      <c r="D43" s="355">
        <v>0</v>
      </c>
      <c r="E43" s="352">
        <f t="shared" si="4"/>
        <v>0</v>
      </c>
      <c r="F43" s="356">
        <f t="shared" si="6"/>
        <v>0</v>
      </c>
      <c r="G43" s="356">
        <f t="shared" si="3"/>
        <v>0</v>
      </c>
    </row>
    <row r="44" spans="2:7" ht="18" hidden="1">
      <c r="B44" s="349">
        <f t="shared" si="5"/>
        <v>40</v>
      </c>
      <c r="C44" s="350">
        <v>0</v>
      </c>
      <c r="D44" s="355">
        <v>0</v>
      </c>
      <c r="E44" s="352">
        <f t="shared" si="4"/>
        <v>0</v>
      </c>
      <c r="F44" s="356">
        <f t="shared" si="6"/>
        <v>0</v>
      </c>
      <c r="G44" s="356">
        <f t="shared" si="3"/>
        <v>0</v>
      </c>
    </row>
    <row r="45" spans="2:7" ht="18" hidden="1">
      <c r="B45" s="349">
        <f t="shared" si="5"/>
        <v>41</v>
      </c>
      <c r="C45" s="350">
        <v>0</v>
      </c>
      <c r="D45" s="355">
        <v>0</v>
      </c>
      <c r="E45" s="352">
        <f t="shared" si="4"/>
        <v>0</v>
      </c>
      <c r="F45" s="356">
        <f t="shared" si="6"/>
        <v>0</v>
      </c>
      <c r="G45" s="356">
        <f t="shared" si="3"/>
        <v>0</v>
      </c>
    </row>
    <row r="46" spans="2:7" ht="18" hidden="1">
      <c r="B46" s="349">
        <f t="shared" si="5"/>
        <v>42</v>
      </c>
      <c r="C46" s="350">
        <v>0</v>
      </c>
      <c r="D46" s="355">
        <v>0</v>
      </c>
      <c r="E46" s="352">
        <f t="shared" si="4"/>
        <v>0</v>
      </c>
      <c r="F46" s="356">
        <f t="shared" si="6"/>
        <v>0</v>
      </c>
      <c r="G46" s="356">
        <f t="shared" si="3"/>
        <v>0</v>
      </c>
    </row>
    <row r="47" spans="2:7" ht="18" hidden="1">
      <c r="B47" s="349">
        <f t="shared" si="5"/>
        <v>43</v>
      </c>
      <c r="C47" s="350">
        <v>0</v>
      </c>
      <c r="D47" s="355">
        <v>0</v>
      </c>
      <c r="E47" s="352">
        <f t="shared" si="4"/>
        <v>0</v>
      </c>
      <c r="F47" s="356">
        <f t="shared" si="6"/>
        <v>0</v>
      </c>
      <c r="G47" s="356">
        <f t="shared" si="3"/>
        <v>0</v>
      </c>
    </row>
    <row r="48" spans="2:7" ht="18" hidden="1">
      <c r="B48" s="349">
        <f t="shared" si="5"/>
        <v>44</v>
      </c>
      <c r="C48" s="350">
        <v>0</v>
      </c>
      <c r="D48" s="355">
        <v>0</v>
      </c>
      <c r="E48" s="352">
        <f t="shared" si="4"/>
        <v>0</v>
      </c>
      <c r="F48" s="356">
        <f t="shared" si="6"/>
        <v>0</v>
      </c>
      <c r="G48" s="356">
        <f t="shared" si="3"/>
        <v>0</v>
      </c>
    </row>
    <row r="49" spans="2:7" ht="18" hidden="1">
      <c r="B49" s="349">
        <f t="shared" si="5"/>
        <v>45</v>
      </c>
      <c r="C49" s="350">
        <v>0</v>
      </c>
      <c r="D49" s="355">
        <v>0</v>
      </c>
      <c r="E49" s="352">
        <f t="shared" si="4"/>
        <v>0</v>
      </c>
      <c r="F49" s="356">
        <f t="shared" si="6"/>
        <v>0</v>
      </c>
      <c r="G49" s="356">
        <f t="shared" si="3"/>
        <v>0</v>
      </c>
    </row>
    <row r="50" spans="2:7" ht="18" hidden="1">
      <c r="B50" s="349">
        <f t="shared" si="5"/>
        <v>46</v>
      </c>
      <c r="C50" s="350">
        <v>0</v>
      </c>
      <c r="D50" s="355">
        <v>0</v>
      </c>
      <c r="E50" s="352">
        <f t="shared" si="4"/>
        <v>0</v>
      </c>
      <c r="F50" s="356">
        <f t="shared" si="6"/>
        <v>0</v>
      </c>
      <c r="G50" s="356">
        <f t="shared" si="3"/>
        <v>0</v>
      </c>
    </row>
    <row r="51" spans="2:7" ht="18" hidden="1">
      <c r="B51" s="349">
        <f t="shared" si="5"/>
        <v>47</v>
      </c>
      <c r="C51" s="350">
        <v>0</v>
      </c>
      <c r="D51" s="355">
        <v>0</v>
      </c>
      <c r="E51" s="352">
        <f t="shared" si="4"/>
        <v>0</v>
      </c>
      <c r="F51" s="356">
        <f t="shared" si="6"/>
        <v>0</v>
      </c>
      <c r="G51" s="356">
        <f t="shared" si="3"/>
        <v>0</v>
      </c>
    </row>
    <row r="52" spans="2:7" ht="18" hidden="1">
      <c r="B52" s="349">
        <f t="shared" si="5"/>
        <v>48</v>
      </c>
      <c r="C52" s="350">
        <v>0</v>
      </c>
      <c r="D52" s="355">
        <v>0</v>
      </c>
      <c r="E52" s="352">
        <f t="shared" si="4"/>
        <v>0</v>
      </c>
      <c r="F52" s="356">
        <f t="shared" si="6"/>
        <v>0</v>
      </c>
      <c r="G52" s="356">
        <f t="shared" si="3"/>
        <v>0</v>
      </c>
    </row>
    <row r="53" spans="2:7" ht="18" hidden="1">
      <c r="B53" s="349">
        <f t="shared" si="5"/>
        <v>49</v>
      </c>
      <c r="C53" s="350">
        <v>0</v>
      </c>
      <c r="D53" s="355">
        <v>0</v>
      </c>
      <c r="E53" s="352">
        <f t="shared" si="4"/>
        <v>0</v>
      </c>
      <c r="F53" s="356">
        <f t="shared" si="6"/>
        <v>0</v>
      </c>
      <c r="G53" s="356">
        <f t="shared" si="3"/>
        <v>0</v>
      </c>
    </row>
    <row r="54" spans="2:7" ht="18.75" hidden="1" thickBot="1">
      <c r="B54" s="358">
        <f t="shared" si="5"/>
        <v>50</v>
      </c>
      <c r="C54" s="359">
        <v>0</v>
      </c>
      <c r="D54" s="360">
        <v>0</v>
      </c>
      <c r="E54" s="361">
        <f t="shared" si="4"/>
        <v>0</v>
      </c>
      <c r="F54" s="362">
        <f t="shared" si="6"/>
        <v>0</v>
      </c>
      <c r="G54" s="362">
        <f>IF(F54&gt;0,G33,0)</f>
        <v>0</v>
      </c>
    </row>
    <row r="55" spans="2:7" ht="18.75" thickBot="1">
      <c r="B55" s="363" t="s">
        <v>170</v>
      </c>
      <c r="C55" s="364"/>
      <c r="D55" s="364"/>
      <c r="E55" s="364"/>
      <c r="F55" s="365">
        <f>SUM(F4:F54)</f>
        <v>38382.09618760035</v>
      </c>
      <c r="G55" s="366"/>
    </row>
    <row r="56" spans="2:7" ht="18.75" thickBot="1">
      <c r="B56" s="367" t="s">
        <v>253</v>
      </c>
      <c r="C56" s="368"/>
      <c r="D56" s="368"/>
      <c r="E56" s="368"/>
      <c r="F56" s="369">
        <f>G5</f>
        <v>10647.567014737764</v>
      </c>
      <c r="G56" s="366"/>
    </row>
    <row r="57" spans="2:7" ht="18.75" thickBot="1">
      <c r="B57" s="363" t="s">
        <v>171</v>
      </c>
      <c r="C57" s="364"/>
      <c r="D57" s="364"/>
      <c r="E57" s="364"/>
      <c r="F57" s="370">
        <f>IRR(E4:E54)</f>
        <v>0.18030666893029224</v>
      </c>
      <c r="G57" s="366"/>
    </row>
    <row r="58" spans="2:7" ht="18.75" thickBot="1">
      <c r="B58" s="371" t="s">
        <v>172</v>
      </c>
      <c r="C58" s="372"/>
      <c r="D58" s="372"/>
      <c r="E58" s="372"/>
      <c r="F58" s="373">
        <f>NPER(C2,F60,F4,0)</f>
        <v>4.147260933739003</v>
      </c>
      <c r="G58" s="366"/>
    </row>
    <row r="59" spans="2:6" ht="12.75" hidden="1">
      <c r="B59" s="13" t="s">
        <v>173</v>
      </c>
      <c r="F59" s="374">
        <f>SUM(F5:F54)</f>
        <v>288382.09618760034</v>
      </c>
    </row>
    <row r="60" spans="2:6" ht="12.75" hidden="1">
      <c r="B60" s="13" t="s">
        <v>174</v>
      </c>
      <c r="F60" s="375">
        <f>PMT(C2,C1,F59,0)*-1</f>
        <v>79999.99999999994</v>
      </c>
    </row>
    <row r="62" ht="20.25">
      <c r="A62" s="378" t="s">
        <v>199</v>
      </c>
    </row>
    <row r="63" ht="20.25">
      <c r="A63" s="378" t="s">
        <v>196</v>
      </c>
    </row>
    <row r="64" spans="1:3" ht="20.25">
      <c r="A64" s="378" t="s">
        <v>197</v>
      </c>
      <c r="B64" s="43"/>
      <c r="C64" s="43"/>
    </row>
    <row r="65" spans="1:3" ht="20.25">
      <c r="A65" s="378" t="s">
        <v>240</v>
      </c>
      <c r="B65" s="43"/>
      <c r="C65" s="43"/>
    </row>
    <row r="66" spans="1:3" ht="20.25">
      <c r="A66" s="378" t="s">
        <v>244</v>
      </c>
      <c r="B66" s="43"/>
      <c r="C66" s="43"/>
    </row>
    <row r="67" spans="1:3" ht="20.25">
      <c r="A67" s="378" t="s">
        <v>241</v>
      </c>
      <c r="B67" s="43"/>
      <c r="C67" s="43"/>
    </row>
    <row r="68" spans="1:3" ht="20.25">
      <c r="A68" s="378" t="s">
        <v>242</v>
      </c>
      <c r="B68" s="43"/>
      <c r="C68" s="43"/>
    </row>
    <row r="69" spans="1:3" ht="20.25">
      <c r="A69" s="378" t="s">
        <v>243</v>
      </c>
      <c r="B69" s="43"/>
      <c r="C69" s="43"/>
    </row>
    <row r="70" ht="20.25">
      <c r="A70" s="378"/>
    </row>
    <row r="71" ht="20.25">
      <c r="A71" s="378"/>
    </row>
  </sheetData>
  <printOptions/>
  <pageMargins left="0.7874015748031497" right="0.3937007874015748" top="0.984251968503937" bottom="0.984251968503937" header="0" footer="0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20" zoomScaleNormal="120" workbookViewId="0" topLeftCell="A1">
      <selection activeCell="A19" sqref="A19"/>
    </sheetView>
  </sheetViews>
  <sheetFormatPr defaultColWidth="9.140625" defaultRowHeight="12.75"/>
  <cols>
    <col min="3" max="4" width="9.28125" style="0" bestFit="1" customWidth="1"/>
    <col min="5" max="5" width="12.8515625" style="0" bestFit="1" customWidth="1"/>
    <col min="6" max="7" width="9.28125" style="0" bestFit="1" customWidth="1"/>
    <col min="8" max="9" width="12.8515625" style="0" bestFit="1" customWidth="1"/>
  </cols>
  <sheetData>
    <row r="1" spans="1:4" ht="23.25">
      <c r="A1" s="257" t="s">
        <v>247</v>
      </c>
      <c r="D1" s="380" t="s">
        <v>212</v>
      </c>
    </row>
    <row r="2" spans="1:9" ht="12.75">
      <c r="A2" t="s">
        <v>224</v>
      </c>
      <c r="C2" t="s">
        <v>211</v>
      </c>
      <c r="D2" t="s">
        <v>210</v>
      </c>
      <c r="E2" t="s">
        <v>201</v>
      </c>
      <c r="F2" t="s">
        <v>211</v>
      </c>
      <c r="G2" t="s">
        <v>210</v>
      </c>
      <c r="H2" t="s">
        <v>208</v>
      </c>
      <c r="I2" t="s">
        <v>209</v>
      </c>
    </row>
    <row r="3" spans="1:9" ht="12.75">
      <c r="A3" t="s">
        <v>200</v>
      </c>
      <c r="C3" s="1">
        <v>500</v>
      </c>
      <c r="D3" s="1">
        <v>4000</v>
      </c>
      <c r="E3" s="1">
        <f>D3*C3</f>
        <v>2000000</v>
      </c>
      <c r="F3" s="1">
        <v>1000</v>
      </c>
      <c r="G3" s="1">
        <v>2000</v>
      </c>
      <c r="H3" s="1">
        <f>G3*F3</f>
        <v>2000000</v>
      </c>
      <c r="I3" s="1">
        <f>H3+E3</f>
        <v>4000000</v>
      </c>
    </row>
    <row r="4" spans="1:9" ht="12.75">
      <c r="A4" t="s">
        <v>112</v>
      </c>
      <c r="C4" s="1">
        <v>200</v>
      </c>
      <c r="D4" s="1">
        <v>4000</v>
      </c>
      <c r="E4" s="1">
        <f>D4*C4</f>
        <v>800000</v>
      </c>
      <c r="F4" s="1">
        <v>500</v>
      </c>
      <c r="G4" s="1">
        <v>2000</v>
      </c>
      <c r="H4" s="1">
        <f>G4*F4</f>
        <v>1000000</v>
      </c>
      <c r="I4" s="1">
        <f aca="true" t="shared" si="0" ref="I4:I10">H4+E4</f>
        <v>1800000</v>
      </c>
    </row>
    <row r="5" spans="1:9" ht="12.75">
      <c r="A5" t="s">
        <v>202</v>
      </c>
      <c r="C5" s="1">
        <v>100</v>
      </c>
      <c r="D5" s="1">
        <v>4000</v>
      </c>
      <c r="E5" s="1">
        <f>D5*C5</f>
        <v>400000</v>
      </c>
      <c r="F5" s="1">
        <v>200</v>
      </c>
      <c r="G5" s="1">
        <v>2000</v>
      </c>
      <c r="H5" s="1">
        <f>G5*F5</f>
        <v>400000</v>
      </c>
      <c r="I5" s="1">
        <f t="shared" si="0"/>
        <v>800000</v>
      </c>
    </row>
    <row r="6" spans="1:9" ht="12.75">
      <c r="A6" t="s">
        <v>147</v>
      </c>
      <c r="C6" s="1"/>
      <c r="D6" s="1"/>
      <c r="E6" s="1">
        <f>E3-E4-E5</f>
        <v>800000</v>
      </c>
      <c r="F6" s="1"/>
      <c r="G6" s="1"/>
      <c r="H6" s="1">
        <f>H3-H4-H5</f>
        <v>600000</v>
      </c>
      <c r="I6" s="1">
        <f t="shared" si="0"/>
        <v>1400000</v>
      </c>
    </row>
    <row r="7" spans="1:9" ht="12.75">
      <c r="A7" t="s">
        <v>203</v>
      </c>
      <c r="C7" s="1"/>
      <c r="D7" s="1"/>
      <c r="E7" s="1">
        <v>200000</v>
      </c>
      <c r="F7" s="1"/>
      <c r="G7" s="1"/>
      <c r="H7" s="1">
        <v>150000</v>
      </c>
      <c r="I7" s="1">
        <f t="shared" si="0"/>
        <v>350000</v>
      </c>
    </row>
    <row r="8" spans="1:9" ht="12.75">
      <c r="A8" t="s">
        <v>206</v>
      </c>
      <c r="C8" s="1"/>
      <c r="D8" s="1"/>
      <c r="E8" s="1">
        <f>E6-E7</f>
        <v>600000</v>
      </c>
      <c r="F8" s="1"/>
      <c r="G8" s="1"/>
      <c r="H8" s="1">
        <f>H6-H7</f>
        <v>450000</v>
      </c>
      <c r="I8" s="1">
        <f t="shared" si="0"/>
        <v>1050000</v>
      </c>
    </row>
    <row r="9" spans="1:9" ht="12.75">
      <c r="A9" t="s">
        <v>204</v>
      </c>
      <c r="C9" s="1"/>
      <c r="D9" s="1"/>
      <c r="E9" s="1">
        <v>100000</v>
      </c>
      <c r="F9" s="1"/>
      <c r="G9" s="1"/>
      <c r="H9" s="1">
        <v>200000</v>
      </c>
      <c r="I9" s="1">
        <f t="shared" si="0"/>
        <v>300000</v>
      </c>
    </row>
    <row r="10" spans="1:9" ht="12.75">
      <c r="A10" t="s">
        <v>205</v>
      </c>
      <c r="C10" s="1"/>
      <c r="D10" s="1"/>
      <c r="E10" s="1">
        <f>E8-E9</f>
        <v>500000</v>
      </c>
      <c r="F10" s="1"/>
      <c r="G10" s="1"/>
      <c r="H10" s="1">
        <f>H8-H9</f>
        <v>250000</v>
      </c>
      <c r="I10" s="379">
        <f t="shared" si="0"/>
        <v>750000</v>
      </c>
    </row>
    <row r="11" spans="1:9" ht="12.75">
      <c r="A11" t="s">
        <v>0</v>
      </c>
      <c r="C11" s="1"/>
      <c r="D11" s="1"/>
      <c r="E11" s="1"/>
      <c r="F11" s="1"/>
      <c r="G11" s="1"/>
      <c r="H11" s="1"/>
      <c r="I11" s="1">
        <v>125000</v>
      </c>
    </row>
    <row r="12" spans="1:9" ht="12.75">
      <c r="A12" t="s">
        <v>207</v>
      </c>
      <c r="C12" s="1"/>
      <c r="D12" s="1"/>
      <c r="E12" s="1"/>
      <c r="F12" s="1"/>
      <c r="G12" s="1"/>
      <c r="H12" s="1"/>
      <c r="I12" s="1">
        <f>I10-I11</f>
        <v>625000</v>
      </c>
    </row>
    <row r="14" spans="1:4" ht="23.25">
      <c r="A14" t="s">
        <v>225</v>
      </c>
      <c r="D14" s="327" t="s">
        <v>213</v>
      </c>
    </row>
    <row r="15" spans="1:9" ht="12.75">
      <c r="A15" t="s">
        <v>205</v>
      </c>
      <c r="I15" s="1">
        <f>I10</f>
        <v>750000</v>
      </c>
    </row>
    <row r="16" spans="4:9" ht="12.75">
      <c r="D16" t="s">
        <v>220</v>
      </c>
      <c r="E16" s="294" t="s">
        <v>222</v>
      </c>
      <c r="F16" s="294" t="s">
        <v>223</v>
      </c>
      <c r="H16" t="s">
        <v>221</v>
      </c>
      <c r="I16" s="1"/>
    </row>
    <row r="17" spans="1:9" ht="12.75">
      <c r="A17" t="s">
        <v>214</v>
      </c>
      <c r="D17">
        <v>0</v>
      </c>
      <c r="E17" s="295">
        <f>I3</f>
        <v>4000000</v>
      </c>
      <c r="F17">
        <v>8</v>
      </c>
      <c r="H17" s="295">
        <f>E17/F17</f>
        <v>500000</v>
      </c>
      <c r="I17" s="1">
        <f>D17-H17</f>
        <v>-500000</v>
      </c>
    </row>
    <row r="18" spans="1:9" ht="12.75">
      <c r="A18" t="s">
        <v>254</v>
      </c>
      <c r="D18">
        <v>0</v>
      </c>
      <c r="E18" s="295">
        <f>I4+I5</f>
        <v>2600000</v>
      </c>
      <c r="F18">
        <v>6</v>
      </c>
      <c r="H18" s="295">
        <f>E18/F18</f>
        <v>433333.3333333333</v>
      </c>
      <c r="I18" s="1">
        <f>D18-H18</f>
        <v>-433333.3333333333</v>
      </c>
    </row>
    <row r="19" spans="1:9" ht="12.75">
      <c r="A19" t="s">
        <v>215</v>
      </c>
      <c r="D19">
        <v>0</v>
      </c>
      <c r="H19">
        <v>0</v>
      </c>
      <c r="I19" s="1">
        <v>0</v>
      </c>
    </row>
    <row r="20" spans="1:9" ht="12.75">
      <c r="A20" t="s">
        <v>216</v>
      </c>
      <c r="I20" s="1">
        <f>SUM(I15:I19)</f>
        <v>-183333.3333333333</v>
      </c>
    </row>
    <row r="21" spans="1:9" ht="12.75">
      <c r="A21" t="s">
        <v>217</v>
      </c>
      <c r="I21" s="1">
        <v>-500000</v>
      </c>
    </row>
    <row r="22" spans="1:9" ht="12.75">
      <c r="A22" t="s">
        <v>218</v>
      </c>
      <c r="I22" s="1">
        <v>400000</v>
      </c>
    </row>
    <row r="23" spans="1:9" ht="12.75">
      <c r="A23" t="s">
        <v>219</v>
      </c>
      <c r="I23" s="379">
        <f>SUM(I20:I22)</f>
        <v>-283333.33333333326</v>
      </c>
    </row>
    <row r="25" ht="12.75">
      <c r="A25" t="s">
        <v>250</v>
      </c>
    </row>
    <row r="26" ht="12.75">
      <c r="A26" t="s">
        <v>227</v>
      </c>
    </row>
    <row r="29" ht="12.75">
      <c r="A29" t="s">
        <v>226</v>
      </c>
    </row>
  </sheetData>
  <printOptions/>
  <pageMargins left="0.75" right="0.75" top="1" bottom="1" header="0" footer="0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I22" sqref="I22"/>
    </sheetView>
  </sheetViews>
  <sheetFormatPr defaultColWidth="9.140625" defaultRowHeight="12.75"/>
  <cols>
    <col min="3" max="3" width="5.8515625" style="0" customWidth="1"/>
    <col min="4" max="4" width="10.28125" style="0" bestFit="1" customWidth="1"/>
    <col min="5" max="5" width="11.28125" style="0" customWidth="1"/>
    <col min="6" max="6" width="11.28125" style="0" bestFit="1" customWidth="1"/>
    <col min="7" max="7" width="11.7109375" style="0" hidden="1" customWidth="1"/>
    <col min="8" max="8" width="9.57421875" style="0" hidden="1" customWidth="1"/>
  </cols>
  <sheetData>
    <row r="1" spans="1:8" ht="18.75" thickBot="1">
      <c r="A1" s="388" t="str">
        <f>'Resultatopgørelse til analyse'!A1</f>
        <v>Roblon</v>
      </c>
      <c r="B1" s="389"/>
      <c r="C1" s="66" t="s">
        <v>57</v>
      </c>
      <c r="D1" s="65"/>
      <c r="E1" s="65"/>
      <c r="F1" s="67"/>
      <c r="G1" s="213"/>
      <c r="H1" s="213"/>
    </row>
    <row r="2" spans="1:8" ht="13.5" thickBot="1">
      <c r="A2" s="16" t="s">
        <v>22</v>
      </c>
      <c r="B2" s="17"/>
      <c r="C2" s="17"/>
      <c r="D2" s="126">
        <f>'Resultatopgørelse til analyse'!B2</f>
        <v>2000</v>
      </c>
      <c r="E2" s="126">
        <f>'Resultatopgørelse til analyse'!C2</f>
        <v>2001</v>
      </c>
      <c r="F2" s="145">
        <f>'Resultatopgørelse til analyse'!D2</f>
        <v>2002</v>
      </c>
      <c r="G2" s="220" t="str">
        <f>'Resultatopgørelse til analyse'!E2</f>
        <v>Ændring </v>
      </c>
      <c r="H2" s="220" t="s">
        <v>99</v>
      </c>
    </row>
    <row r="3" spans="1:8" ht="12.75">
      <c r="A3" s="13" t="s">
        <v>109</v>
      </c>
      <c r="B3" s="12"/>
      <c r="C3" s="12"/>
      <c r="D3" s="109">
        <f>27954+348</f>
        <v>28302</v>
      </c>
      <c r="E3" s="3">
        <f>31044+2258</f>
        <v>33302</v>
      </c>
      <c r="F3" s="140">
        <f>29418+13047+350</f>
        <v>42815</v>
      </c>
      <c r="G3" s="221">
        <f>F3-D3</f>
        <v>14513</v>
      </c>
      <c r="H3" s="214">
        <f>G3/D3</f>
        <v>0.5127906155042047</v>
      </c>
    </row>
    <row r="4" spans="1:8" ht="12.75">
      <c r="A4" s="13" t="s">
        <v>110</v>
      </c>
      <c r="B4" s="12"/>
      <c r="C4" s="12"/>
      <c r="D4" s="109">
        <v>17733</v>
      </c>
      <c r="E4" s="3">
        <v>25415</v>
      </c>
      <c r="F4" s="140">
        <v>29479</v>
      </c>
      <c r="G4" s="221">
        <f aca="true" t="shared" si="0" ref="G4:G35">F4-D4</f>
        <v>11746</v>
      </c>
      <c r="H4" s="214">
        <f aca="true" t="shared" si="1" ref="H4:H35">G4/D4</f>
        <v>0.6623808718208989</v>
      </c>
    </row>
    <row r="5" spans="1:8" ht="12.75">
      <c r="A5" s="13" t="s">
        <v>121</v>
      </c>
      <c r="B5" s="12"/>
      <c r="C5" s="12"/>
      <c r="D5" s="109">
        <f>2955</f>
        <v>2955</v>
      </c>
      <c r="E5" s="3">
        <f>3269</f>
        <v>3269</v>
      </c>
      <c r="F5" s="140">
        <f>2904</f>
        <v>2904</v>
      </c>
      <c r="G5" s="221">
        <f t="shared" si="0"/>
        <v>-51</v>
      </c>
      <c r="H5" s="214">
        <f t="shared" si="1"/>
        <v>-0.017258883248730966</v>
      </c>
    </row>
    <row r="6" spans="1:8" ht="12.75">
      <c r="A6" s="18" t="s">
        <v>37</v>
      </c>
      <c r="B6" s="25"/>
      <c r="C6" s="25"/>
      <c r="D6" s="111">
        <f>SUM(D3:D5)</f>
        <v>48990</v>
      </c>
      <c r="E6" s="8">
        <f>SUM(E3:E5)</f>
        <v>61986</v>
      </c>
      <c r="F6" s="142">
        <f>SUM(F3:F5)</f>
        <v>75198</v>
      </c>
      <c r="G6" s="222">
        <f t="shared" si="0"/>
        <v>26208</v>
      </c>
      <c r="H6" s="215">
        <f t="shared" si="1"/>
        <v>0.5349663196570729</v>
      </c>
    </row>
    <row r="7" spans="1:8" ht="12.75">
      <c r="A7" s="13" t="s">
        <v>76</v>
      </c>
      <c r="B7" s="12"/>
      <c r="C7" s="12"/>
      <c r="D7" s="109">
        <v>0</v>
      </c>
      <c r="E7" s="3">
        <v>0</v>
      </c>
      <c r="F7" s="140">
        <v>0</v>
      </c>
      <c r="G7" s="221">
        <f t="shared" si="0"/>
        <v>0</v>
      </c>
      <c r="H7" s="214" t="e">
        <f t="shared" si="1"/>
        <v>#DIV/0!</v>
      </c>
    </row>
    <row r="8" spans="1:8" ht="12.75">
      <c r="A8" s="13" t="s">
        <v>25</v>
      </c>
      <c r="B8" s="12"/>
      <c r="C8" s="3"/>
      <c r="D8" s="109">
        <v>44214</v>
      </c>
      <c r="E8" s="3">
        <v>61581</v>
      </c>
      <c r="F8" s="140">
        <v>54716</v>
      </c>
      <c r="G8" s="221">
        <f t="shared" si="0"/>
        <v>10502</v>
      </c>
      <c r="H8" s="214">
        <f t="shared" si="1"/>
        <v>0.23752657529289364</v>
      </c>
    </row>
    <row r="9" spans="1:8" ht="12.75">
      <c r="A9" s="13" t="s">
        <v>64</v>
      </c>
      <c r="B9" s="12"/>
      <c r="C9" s="12"/>
      <c r="D9" s="109">
        <v>27371</v>
      </c>
      <c r="E9" s="3">
        <v>35357</v>
      </c>
      <c r="F9" s="140">
        <v>26167</v>
      </c>
      <c r="G9" s="221">
        <f t="shared" si="0"/>
        <v>-1204</v>
      </c>
      <c r="H9" s="214">
        <f t="shared" si="1"/>
        <v>-0.04398816265390377</v>
      </c>
    </row>
    <row r="10" spans="1:8" ht="12.75">
      <c r="A10" s="13" t="s">
        <v>122</v>
      </c>
      <c r="B10" s="12"/>
      <c r="C10" s="12"/>
      <c r="D10" s="109">
        <v>5366</v>
      </c>
      <c r="E10" s="3">
        <v>1347</v>
      </c>
      <c r="F10" s="140">
        <v>5324</v>
      </c>
      <c r="G10" s="221">
        <f t="shared" si="0"/>
        <v>-42</v>
      </c>
      <c r="H10" s="214">
        <f t="shared" si="1"/>
        <v>-0.007827059262020127</v>
      </c>
    </row>
    <row r="11" spans="1:8" ht="12.75">
      <c r="A11" s="13" t="s">
        <v>101</v>
      </c>
      <c r="B11" s="12"/>
      <c r="C11" s="12"/>
      <c r="D11" s="109">
        <v>337</v>
      </c>
      <c r="E11" s="3">
        <v>320</v>
      </c>
      <c r="F11" s="140">
        <v>430</v>
      </c>
      <c r="G11" s="221">
        <f t="shared" si="0"/>
        <v>93</v>
      </c>
      <c r="H11" s="214">
        <f t="shared" si="1"/>
        <v>0.27596439169139464</v>
      </c>
    </row>
    <row r="12" spans="1:8" ht="12.75">
      <c r="A12" s="13" t="s">
        <v>123</v>
      </c>
      <c r="B12" s="12"/>
      <c r="C12" s="12"/>
      <c r="D12" s="109">
        <v>10157</v>
      </c>
      <c r="E12" s="3">
        <v>10014</v>
      </c>
      <c r="F12" s="140">
        <v>167</v>
      </c>
      <c r="G12" s="221">
        <f t="shared" si="0"/>
        <v>-9990</v>
      </c>
      <c r="H12" s="214">
        <f t="shared" si="1"/>
        <v>-0.9835581372452495</v>
      </c>
    </row>
    <row r="13" spans="1:8" ht="12.75">
      <c r="A13" s="13" t="s">
        <v>71</v>
      </c>
      <c r="B13" s="12"/>
      <c r="C13" s="12"/>
      <c r="D13" s="109">
        <v>17414</v>
      </c>
      <c r="E13" s="3">
        <v>23902</v>
      </c>
      <c r="F13" s="140">
        <v>9820</v>
      </c>
      <c r="G13" s="221">
        <f t="shared" si="0"/>
        <v>-7594</v>
      </c>
      <c r="H13" s="214">
        <f t="shared" si="1"/>
        <v>-0.4360859078902033</v>
      </c>
    </row>
    <row r="14" spans="1:8" ht="12.75">
      <c r="A14" s="18" t="s">
        <v>38</v>
      </c>
      <c r="B14" s="25"/>
      <c r="C14" s="25"/>
      <c r="D14" s="111">
        <f>SUM(D7:D13)</f>
        <v>104859</v>
      </c>
      <c r="E14" s="8">
        <f>SUM(E7:E13)</f>
        <v>132521</v>
      </c>
      <c r="F14" s="142">
        <f>SUM(F7:F13)</f>
        <v>96624</v>
      </c>
      <c r="G14" s="222">
        <f t="shared" si="0"/>
        <v>-8235</v>
      </c>
      <c r="H14" s="215">
        <f t="shared" si="1"/>
        <v>-0.07853403141361257</v>
      </c>
    </row>
    <row r="15" spans="1:8" ht="13.5" thickBot="1">
      <c r="A15" s="19" t="s">
        <v>44</v>
      </c>
      <c r="B15" s="23"/>
      <c r="C15" s="23"/>
      <c r="D15" s="122">
        <f>SUM(D6:D13)</f>
        <v>153849</v>
      </c>
      <c r="E15" s="24">
        <f>SUM(E6:E13)</f>
        <v>194507</v>
      </c>
      <c r="F15" s="146">
        <f>SUM(F6:F13)</f>
        <v>171822</v>
      </c>
      <c r="G15" s="219">
        <f t="shared" si="0"/>
        <v>17973</v>
      </c>
      <c r="H15" s="217">
        <f t="shared" si="1"/>
        <v>0.11682233878673244</v>
      </c>
    </row>
    <row r="16" spans="1:8" ht="14.25" thickBot="1" thickTop="1">
      <c r="A16" s="21"/>
      <c r="B16" s="21"/>
      <c r="C16" s="21"/>
      <c r="D16" s="22"/>
      <c r="E16" s="22"/>
      <c r="F16" s="22"/>
      <c r="G16" s="3"/>
      <c r="H16" s="218"/>
    </row>
    <row r="17" spans="1:8" ht="12.75">
      <c r="A17" s="223" t="s">
        <v>1</v>
      </c>
      <c r="B17" s="224"/>
      <c r="C17" s="224"/>
      <c r="D17" s="225">
        <f>D33</f>
        <v>115385</v>
      </c>
      <c r="E17" s="226">
        <f>E33</f>
        <v>137964</v>
      </c>
      <c r="F17" s="227">
        <f>F33</f>
        <v>138781</v>
      </c>
      <c r="G17" s="228">
        <f t="shared" si="0"/>
        <v>23396</v>
      </c>
      <c r="H17" s="229">
        <f t="shared" si="1"/>
        <v>0.20276465745114183</v>
      </c>
    </row>
    <row r="18" spans="1:8" ht="12.75">
      <c r="A18" s="20"/>
      <c r="B18" s="21"/>
      <c r="C18" s="21"/>
      <c r="D18" s="123"/>
      <c r="E18" s="22"/>
      <c r="F18" s="147"/>
      <c r="G18" s="221">
        <f t="shared" si="0"/>
        <v>0</v>
      </c>
      <c r="H18" s="214" t="e">
        <f t="shared" si="1"/>
        <v>#DIV/0!</v>
      </c>
    </row>
    <row r="19" spans="1:8" ht="12.75">
      <c r="A19" s="20" t="s">
        <v>58</v>
      </c>
      <c r="B19" s="21"/>
      <c r="C19" s="21"/>
      <c r="D19" s="109">
        <v>5909</v>
      </c>
      <c r="E19" s="3">
        <v>5992</v>
      </c>
      <c r="F19" s="140">
        <v>5843</v>
      </c>
      <c r="G19" s="221">
        <f t="shared" si="0"/>
        <v>-66</v>
      </c>
      <c r="H19" s="214">
        <f t="shared" si="1"/>
        <v>-0.01116940260619394</v>
      </c>
    </row>
    <row r="20" spans="1:8" ht="12.75">
      <c r="A20" s="20"/>
      <c r="B20" s="21"/>
      <c r="C20" s="21"/>
      <c r="D20" s="123"/>
      <c r="E20" s="22"/>
      <c r="F20" s="147"/>
      <c r="G20" s="221">
        <f t="shared" si="0"/>
        <v>0</v>
      </c>
      <c r="H20" s="214" t="e">
        <f t="shared" si="1"/>
        <v>#DIV/0!</v>
      </c>
    </row>
    <row r="21" spans="1:8" ht="12.75">
      <c r="A21" s="55" t="s">
        <v>39</v>
      </c>
      <c r="B21" s="21"/>
      <c r="C21" s="21"/>
      <c r="D21" s="124">
        <v>0</v>
      </c>
      <c r="E21" s="26">
        <v>0</v>
      </c>
      <c r="F21" s="148">
        <v>0</v>
      </c>
      <c r="G21" s="221">
        <f t="shared" si="0"/>
        <v>0</v>
      </c>
      <c r="H21" s="214" t="e">
        <f t="shared" si="1"/>
        <v>#DIV/0!</v>
      </c>
    </row>
    <row r="22" spans="1:8" ht="12.75">
      <c r="A22" s="55" t="s">
        <v>54</v>
      </c>
      <c r="B22" s="21"/>
      <c r="C22" s="21"/>
      <c r="D22" s="124">
        <v>0</v>
      </c>
      <c r="E22" s="26">
        <v>0</v>
      </c>
      <c r="F22" s="148">
        <v>0</v>
      </c>
      <c r="G22" s="221">
        <f t="shared" si="0"/>
        <v>0</v>
      </c>
      <c r="H22" s="214" t="e">
        <f t="shared" si="1"/>
        <v>#DIV/0!</v>
      </c>
    </row>
    <row r="23" spans="1:8" ht="12.75">
      <c r="A23" s="13" t="s">
        <v>41</v>
      </c>
      <c r="B23" s="12"/>
      <c r="C23" s="3"/>
      <c r="D23" s="124">
        <v>0</v>
      </c>
      <c r="E23" s="26">
        <v>0</v>
      </c>
      <c r="F23" s="148">
        <v>0</v>
      </c>
      <c r="G23" s="221">
        <f t="shared" si="0"/>
        <v>0</v>
      </c>
      <c r="H23" s="214" t="e">
        <f t="shared" si="1"/>
        <v>#DIV/0!</v>
      </c>
    </row>
    <row r="24" spans="1:8" ht="12.75">
      <c r="A24" s="18" t="s">
        <v>63</v>
      </c>
      <c r="B24" s="56"/>
      <c r="C24" s="57"/>
      <c r="D24" s="125">
        <f>SUM(D21:D23)</f>
        <v>0</v>
      </c>
      <c r="E24" s="58">
        <f>SUM(E21:E23)</f>
        <v>0</v>
      </c>
      <c r="F24" s="149">
        <f>SUM(F21:F23)</f>
        <v>0</v>
      </c>
      <c r="G24" s="222">
        <f t="shared" si="0"/>
        <v>0</v>
      </c>
      <c r="H24" s="215" t="e">
        <f t="shared" si="1"/>
        <v>#DIV/0!</v>
      </c>
    </row>
    <row r="25" spans="1:8" ht="12.75">
      <c r="A25" s="55" t="s">
        <v>40</v>
      </c>
      <c r="B25" s="21"/>
      <c r="C25" s="15"/>
      <c r="D25" s="109">
        <v>0</v>
      </c>
      <c r="E25" s="3">
        <v>0</v>
      </c>
      <c r="F25" s="140">
        <v>0</v>
      </c>
      <c r="G25" s="221">
        <f t="shared" si="0"/>
        <v>0</v>
      </c>
      <c r="H25" s="214" t="e">
        <f t="shared" si="1"/>
        <v>#DIV/0!</v>
      </c>
    </row>
    <row r="26" spans="1:8" ht="12.75">
      <c r="A26" s="13" t="s">
        <v>61</v>
      </c>
      <c r="B26" s="12"/>
      <c r="C26" s="12"/>
      <c r="D26" s="109">
        <v>13301</v>
      </c>
      <c r="E26" s="3">
        <v>14942</v>
      </c>
      <c r="F26" s="140">
        <v>10236</v>
      </c>
      <c r="G26" s="221">
        <f t="shared" si="0"/>
        <v>-3065</v>
      </c>
      <c r="H26" s="214">
        <f t="shared" si="1"/>
        <v>-0.2304338019697767</v>
      </c>
    </row>
    <row r="27" spans="1:8" ht="12.75">
      <c r="A27" s="13" t="s">
        <v>124</v>
      </c>
      <c r="B27" s="12"/>
      <c r="C27" s="12"/>
      <c r="D27" s="109">
        <v>0</v>
      </c>
      <c r="E27" s="3">
        <v>10108</v>
      </c>
      <c r="F27" s="140">
        <v>0</v>
      </c>
      <c r="G27" s="221">
        <f t="shared" si="0"/>
        <v>0</v>
      </c>
      <c r="H27" s="214" t="e">
        <f t="shared" si="1"/>
        <v>#DIV/0!</v>
      </c>
    </row>
    <row r="28" spans="1:8" ht="12.75">
      <c r="A28" s="13" t="s">
        <v>102</v>
      </c>
      <c r="B28" s="12"/>
      <c r="C28" s="12"/>
      <c r="D28" s="109">
        <v>2749</v>
      </c>
      <c r="E28" s="3">
        <v>1875</v>
      </c>
      <c r="F28" s="140">
        <v>1917</v>
      </c>
      <c r="G28" s="221">
        <f t="shared" si="0"/>
        <v>-832</v>
      </c>
      <c r="H28" s="214">
        <f t="shared" si="1"/>
        <v>-0.3026555110949436</v>
      </c>
    </row>
    <row r="29" spans="1:8" ht="12.75">
      <c r="A29" s="13" t="s">
        <v>103</v>
      </c>
      <c r="B29" s="12"/>
      <c r="C29" s="12"/>
      <c r="D29" s="109">
        <v>11496</v>
      </c>
      <c r="E29" s="3">
        <v>13502</v>
      </c>
      <c r="F29" s="140">
        <v>11670</v>
      </c>
      <c r="G29" s="221">
        <f t="shared" si="0"/>
        <v>174</v>
      </c>
      <c r="H29" s="214">
        <f t="shared" si="1"/>
        <v>0.015135699373695199</v>
      </c>
    </row>
    <row r="30" spans="1:8" ht="12.75">
      <c r="A30" s="13" t="s">
        <v>104</v>
      </c>
      <c r="B30" s="12"/>
      <c r="C30" s="12"/>
      <c r="D30" s="109">
        <v>5009</v>
      </c>
      <c r="E30" s="3">
        <v>10124</v>
      </c>
      <c r="F30" s="140">
        <v>3375</v>
      </c>
      <c r="G30" s="221">
        <f t="shared" si="0"/>
        <v>-1634</v>
      </c>
      <c r="H30" s="214">
        <f t="shared" si="1"/>
        <v>-0.32621281692952686</v>
      </c>
    </row>
    <row r="31" spans="1:8" ht="12.75">
      <c r="A31" s="18" t="s">
        <v>62</v>
      </c>
      <c r="B31" s="25"/>
      <c r="C31" s="25"/>
      <c r="D31" s="111">
        <f>SUM(D25:D30)</f>
        <v>32555</v>
      </c>
      <c r="E31" s="8">
        <f>SUM(E25:E30)</f>
        <v>50551</v>
      </c>
      <c r="F31" s="142">
        <f>SUM(F25:F30)</f>
        <v>27198</v>
      </c>
      <c r="G31" s="222">
        <f t="shared" si="0"/>
        <v>-5357</v>
      </c>
      <c r="H31" s="215">
        <f t="shared" si="1"/>
        <v>-0.16455229611426817</v>
      </c>
    </row>
    <row r="32" spans="1:8" ht="12.75">
      <c r="A32" s="20" t="s">
        <v>26</v>
      </c>
      <c r="B32" s="21"/>
      <c r="C32" s="21"/>
      <c r="D32" s="123">
        <f>D31+D24+D19</f>
        <v>38464</v>
      </c>
      <c r="E32" s="22">
        <f>E31+E24+E19</f>
        <v>56543</v>
      </c>
      <c r="F32" s="147">
        <f>F31+F24+F19</f>
        <v>33041</v>
      </c>
      <c r="G32" s="222">
        <f t="shared" si="0"/>
        <v>-5423</v>
      </c>
      <c r="H32" s="215">
        <f t="shared" si="1"/>
        <v>-0.14098897670549085</v>
      </c>
    </row>
    <row r="33" spans="1:8" ht="12.75" hidden="1">
      <c r="A33" s="13" t="s">
        <v>3</v>
      </c>
      <c r="B33" s="12"/>
      <c r="C33" s="12"/>
      <c r="D33" s="109">
        <f>D15-D32</f>
        <v>115385</v>
      </c>
      <c r="E33" s="3">
        <f>E15-E32</f>
        <v>137964</v>
      </c>
      <c r="F33" s="140">
        <f>F15-F32</f>
        <v>138781</v>
      </c>
      <c r="G33" s="222">
        <f t="shared" si="0"/>
        <v>23396</v>
      </c>
      <c r="H33" s="215">
        <f t="shared" si="1"/>
        <v>0.20276465745114183</v>
      </c>
    </row>
    <row r="34" spans="1:8" ht="12.75" hidden="1">
      <c r="A34" s="13"/>
      <c r="B34" s="12"/>
      <c r="C34" s="12"/>
      <c r="D34" s="113"/>
      <c r="E34" s="12"/>
      <c r="F34" s="143"/>
      <c r="G34" s="222">
        <f t="shared" si="0"/>
        <v>0</v>
      </c>
      <c r="H34" s="215" t="e">
        <f t="shared" si="1"/>
        <v>#DIV/0!</v>
      </c>
    </row>
    <row r="35" spans="1:8" ht="13.5" thickBot="1">
      <c r="A35" s="19" t="s">
        <v>27</v>
      </c>
      <c r="B35" s="23"/>
      <c r="C35" s="23"/>
      <c r="D35" s="114">
        <f>D32+D17</f>
        <v>153849</v>
      </c>
      <c r="E35" s="9">
        <f>E32+E17</f>
        <v>194507</v>
      </c>
      <c r="F35" s="144">
        <f>F32+F17</f>
        <v>171822</v>
      </c>
      <c r="G35" s="219">
        <f t="shared" si="0"/>
        <v>17973</v>
      </c>
      <c r="H35" s="217">
        <f t="shared" si="1"/>
        <v>0.11682233878673244</v>
      </c>
    </row>
    <row r="36" ht="13.5" thickTop="1"/>
  </sheetData>
  <mergeCells count="1">
    <mergeCell ref="A1:B1"/>
  </mergeCells>
  <printOptions/>
  <pageMargins left="0.5905511811023623" right="0.3937007874015748" top="0.984251968503937" bottom="0.984251968503937" header="0" footer="0"/>
  <pageSetup horizontalDpi="300" verticalDpi="300" orientation="portrait" paperSize="9" scale="12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4"/>
  <sheetViews>
    <sheetView zoomScale="98" zoomScaleNormal="98" workbookViewId="0" topLeftCell="A16">
      <selection activeCell="J32" sqref="J32:J46"/>
    </sheetView>
  </sheetViews>
  <sheetFormatPr defaultColWidth="9.140625" defaultRowHeight="12.75"/>
  <cols>
    <col min="2" max="2" width="15.140625" style="0" customWidth="1"/>
    <col min="3" max="3" width="27.28125" style="0" customWidth="1"/>
    <col min="4" max="4" width="6.28125" style="0" customWidth="1"/>
    <col min="5" max="5" width="3.7109375" style="0" customWidth="1"/>
    <col min="6" max="6" width="17.140625" style="0" bestFit="1" customWidth="1"/>
    <col min="7" max="7" width="10.28125" style="0" bestFit="1" customWidth="1"/>
    <col min="8" max="8" width="13.7109375" style="0" customWidth="1"/>
    <col min="9" max="9" width="12.28125" style="0" customWidth="1"/>
    <col min="10" max="10" width="14.57421875" style="0" customWidth="1"/>
    <col min="11" max="11" width="13.00390625" style="0" customWidth="1"/>
  </cols>
  <sheetData>
    <row r="1" spans="1:11" ht="27" thickBot="1">
      <c r="A1" s="381" t="s">
        <v>249</v>
      </c>
      <c r="B1" s="65"/>
      <c r="C1" s="191" t="s">
        <v>23</v>
      </c>
      <c r="D1" s="65"/>
      <c r="E1" s="65"/>
      <c r="F1" s="391" t="str">
        <f>'Resultatopgørelse til analyse'!A1</f>
        <v>Roblon</v>
      </c>
      <c r="G1" s="392"/>
      <c r="H1" s="392"/>
      <c r="I1" s="392"/>
      <c r="J1" s="393"/>
      <c r="K1" s="205"/>
    </row>
    <row r="2" spans="1:11" ht="15.75">
      <c r="A2" s="192"/>
      <c r="B2" s="193"/>
      <c r="C2" s="194"/>
      <c r="D2" s="194"/>
      <c r="E2" s="194"/>
      <c r="F2" s="194"/>
      <c r="G2" s="194"/>
      <c r="H2" s="195">
        <f>'Resultatopgørelse til analyse'!B2</f>
        <v>2000</v>
      </c>
      <c r="I2" s="195">
        <f>'Resultatopgørelse til analyse'!C2</f>
        <v>2001</v>
      </c>
      <c r="J2" s="196">
        <f>'Resultatopgørelse til analyse'!D2</f>
        <v>2002</v>
      </c>
      <c r="K2" s="237" t="s">
        <v>97</v>
      </c>
    </row>
    <row r="3" spans="1:11" ht="15.75">
      <c r="A3" s="150" t="s">
        <v>9</v>
      </c>
      <c r="B3" s="77"/>
      <c r="C3" s="78" t="s">
        <v>30</v>
      </c>
      <c r="D3" s="78"/>
      <c r="E3" s="78"/>
      <c r="F3" s="79" t="s">
        <v>29</v>
      </c>
      <c r="G3" s="80">
        <f>H2</f>
        <v>2000</v>
      </c>
      <c r="H3" s="81"/>
      <c r="I3" s="81"/>
      <c r="J3" s="151"/>
      <c r="K3" s="238"/>
    </row>
    <row r="4" spans="1:11" ht="13.5" thickBot="1">
      <c r="A4" s="152" t="s">
        <v>2</v>
      </c>
      <c r="B4" s="28"/>
      <c r="C4" s="31" t="str">
        <f>'Resultatopgørelse til analyse'!A16</f>
        <v>Resultat før renter (EBIT)</v>
      </c>
      <c r="D4" s="29" t="s">
        <v>28</v>
      </c>
      <c r="E4" s="28"/>
      <c r="F4" s="30">
        <f>'Resultatopgørelse til analyse'!B16</f>
        <v>18259</v>
      </c>
      <c r="G4" s="46" t="s">
        <v>28</v>
      </c>
      <c r="H4" s="82">
        <f>'Resultatopgørelse til analyse'!B16/'Balance til analyse'!D15</f>
        <v>0.11868130439586867</v>
      </c>
      <c r="I4" s="82">
        <f>'Resultatopgørelse til analyse'!C16/'Balance til analyse'!E15</f>
        <v>0.21085616455963024</v>
      </c>
      <c r="J4" s="153">
        <f>'Resultatopgørelse til analyse'!D16/'Balance til analyse'!F15</f>
        <v>0.02290160747750579</v>
      </c>
      <c r="K4" s="239">
        <f>(J4-H4)/H4</f>
        <v>-0.8070327285827927</v>
      </c>
    </row>
    <row r="5" spans="1:11" ht="12.75">
      <c r="A5" s="154"/>
      <c r="B5" s="32"/>
      <c r="C5" s="33" t="str">
        <f>'Balance til analyse'!A15</f>
        <v>Aktiver i alt</v>
      </c>
      <c r="D5" s="33"/>
      <c r="E5" s="33"/>
      <c r="F5" s="390">
        <f>'Balance til analyse'!D35</f>
        <v>153849</v>
      </c>
      <c r="G5" s="390"/>
      <c r="H5" s="83"/>
      <c r="I5" s="83"/>
      <c r="J5" s="155"/>
      <c r="K5" s="240"/>
    </row>
    <row r="6" spans="1:11" ht="15.75" customHeight="1" thickBot="1">
      <c r="A6" s="152" t="s">
        <v>4</v>
      </c>
      <c r="B6" s="28"/>
      <c r="C6" s="31" t="str">
        <f>C4</f>
        <v>Resultat før renter (EBIT)</v>
      </c>
      <c r="D6" s="46" t="str">
        <f>D4</f>
        <v>*100</v>
      </c>
      <c r="E6" s="44"/>
      <c r="F6" s="30">
        <f>F4</f>
        <v>18259</v>
      </c>
      <c r="G6" s="46" t="s">
        <v>28</v>
      </c>
      <c r="H6" s="82">
        <f>'Resultatopgørelse til analyse'!B16/'Resultatopgørelse til analyse'!B3</f>
        <v>0.10374196040999069</v>
      </c>
      <c r="I6" s="82">
        <f>'Resultatopgørelse til analyse'!C16/'Resultatopgørelse til analyse'!C3</f>
        <v>0.1482921079368982</v>
      </c>
      <c r="J6" s="153">
        <f>'Resultatopgørelse til analyse'!D16/'Resultatopgørelse til analyse'!D3</f>
        <v>0.022402504981497297</v>
      </c>
      <c r="K6" s="239">
        <f aca="true" t="shared" si="0" ref="K6:K68">(J6-H6)/H6</f>
        <v>-0.7840555075982556</v>
      </c>
    </row>
    <row r="7" spans="1:11" ht="12.75">
      <c r="A7" s="154"/>
      <c r="B7" s="32"/>
      <c r="C7" s="33" t="str">
        <f>'Resultatopgørelse til analyse'!A3</f>
        <v>Nettoomsætning</v>
      </c>
      <c r="D7" s="33"/>
      <c r="E7" s="33"/>
      <c r="F7" s="35">
        <f>'Resultatopgørelse til analyse'!B3</f>
        <v>176004</v>
      </c>
      <c r="G7" s="33"/>
      <c r="H7" s="83"/>
      <c r="I7" s="83"/>
      <c r="J7" s="155"/>
      <c r="K7" s="240"/>
    </row>
    <row r="8" spans="1:11" ht="13.5" thickBot="1">
      <c r="A8" s="152" t="s">
        <v>5</v>
      </c>
      <c r="B8" s="28"/>
      <c r="C8" s="31" t="str">
        <f>C7</f>
        <v>Nettoomsætning</v>
      </c>
      <c r="D8" s="31"/>
      <c r="E8" s="44"/>
      <c r="F8" s="36">
        <f>F7</f>
        <v>176004</v>
      </c>
      <c r="G8" s="29"/>
      <c r="H8" s="84">
        <f>'Resultatopgørelse til analyse'!B3/'Balance til analyse'!D15</f>
        <v>1.1440048359105357</v>
      </c>
      <c r="I8" s="84">
        <f>'Resultatopgørelse til analyse'!C3/'Balance til analyse'!E15</f>
        <v>1.4218974124324575</v>
      </c>
      <c r="J8" s="156">
        <f>'Resultatopgørelse til analyse'!D3/'Balance til analyse'!F15</f>
        <v>1.0222788699933651</v>
      </c>
      <c r="K8" s="239">
        <f t="shared" si="0"/>
        <v>-0.10640336657343454</v>
      </c>
    </row>
    <row r="9" spans="1:11" ht="12.75">
      <c r="A9" s="154"/>
      <c r="B9" s="32"/>
      <c r="C9" s="33" t="str">
        <f>C5</f>
        <v>Aktiver i alt</v>
      </c>
      <c r="D9" s="33"/>
      <c r="E9" s="33"/>
      <c r="F9" s="37">
        <f>F5</f>
        <v>153849</v>
      </c>
      <c r="G9" s="32"/>
      <c r="H9" s="83"/>
      <c r="I9" s="83"/>
      <c r="J9" s="155"/>
      <c r="K9" s="240"/>
    </row>
    <row r="10" spans="1:11" ht="13.5" thickBot="1">
      <c r="A10" s="10" t="s">
        <v>6</v>
      </c>
      <c r="B10" s="43"/>
      <c r="C10" s="31" t="str">
        <f>'Resultatopgørelse til analyse'!A18</f>
        <v>Rente omkostninger</v>
      </c>
      <c r="D10" s="29" t="str">
        <f>D6</f>
        <v>*100</v>
      </c>
      <c r="E10" s="43"/>
      <c r="F10" s="4">
        <f>'Resultatopgørelse til analyse'!B18</f>
        <v>117</v>
      </c>
      <c r="G10" s="4" t="str">
        <f>G6</f>
        <v>*100</v>
      </c>
      <c r="H10" s="85">
        <f>('Resultatopgørelse til analyse'!B18/('Balance til analyse'!D32))</f>
        <v>0.0030418053244592345</v>
      </c>
      <c r="I10" s="85">
        <f>('Resultatopgørelse til analyse'!C18/('Balance til analyse'!E32))</f>
        <v>0.002422934757618096</v>
      </c>
      <c r="J10" s="157">
        <f>('Resultatopgørelse til analyse'!D18/('Balance til analyse'!F32))</f>
        <v>0.0033594624860022394</v>
      </c>
      <c r="K10" s="239">
        <f t="shared" si="0"/>
        <v>0.10443047061188156</v>
      </c>
    </row>
    <row r="11" spans="1:11" ht="12.75">
      <c r="A11" s="10"/>
      <c r="B11" s="43"/>
      <c r="C11" s="6" t="s">
        <v>100</v>
      </c>
      <c r="D11" s="6"/>
      <c r="E11" s="6"/>
      <c r="F11" s="43">
        <f>'Balance til analyse'!D32</f>
        <v>38464</v>
      </c>
      <c r="G11" s="45"/>
      <c r="H11" s="86"/>
      <c r="I11" s="86"/>
      <c r="J11" s="158"/>
      <c r="K11" s="240"/>
    </row>
    <row r="12" spans="1:11" ht="13.5" thickBot="1">
      <c r="A12" s="152" t="s">
        <v>7</v>
      </c>
      <c r="B12" s="28"/>
      <c r="C12" s="31" t="str">
        <f>'Resultatopgørelse til analyse'!A19</f>
        <v>Resultat efter renter</v>
      </c>
      <c r="D12" s="46" t="str">
        <f>D10</f>
        <v>*100</v>
      </c>
      <c r="E12" s="44"/>
      <c r="F12" s="38">
        <f>'Resultatopgørelse til analyse'!B19</f>
        <v>20019</v>
      </c>
      <c r="G12" s="29" t="s">
        <v>28</v>
      </c>
      <c r="H12" s="82">
        <f>'Resultatopgørelse til analyse'!B19/'Balance til analyse'!D17</f>
        <v>0.17349742167526108</v>
      </c>
      <c r="I12" s="82">
        <f>'Resultatopgørelse til analyse'!C19/'Balance til analyse'!E17</f>
        <v>0.3233887100982865</v>
      </c>
      <c r="J12" s="153">
        <f>'Resultatopgørelse til analyse'!D19/'Balance til analyse'!F17</f>
        <v>0.037613217947701776</v>
      </c>
      <c r="K12" s="239">
        <f t="shared" si="0"/>
        <v>-0.7832058967533059</v>
      </c>
    </row>
    <row r="13" spans="1:11" ht="12.75">
      <c r="A13" s="154" t="s">
        <v>32</v>
      </c>
      <c r="B13" s="32"/>
      <c r="C13" s="33" t="s">
        <v>31</v>
      </c>
      <c r="D13" s="33"/>
      <c r="E13" s="33"/>
      <c r="F13" s="2">
        <f>'Balance til analyse'!D17</f>
        <v>115385</v>
      </c>
      <c r="G13" s="32"/>
      <c r="H13" s="83"/>
      <c r="I13" s="83"/>
      <c r="J13" s="155"/>
      <c r="K13" s="240"/>
    </row>
    <row r="14" spans="1:11" ht="13.5" thickBot="1">
      <c r="A14" s="152" t="str">
        <f>A12</f>
        <v>Egenkapital forrentning</v>
      </c>
      <c r="B14" s="28"/>
      <c r="C14" s="31" t="str">
        <f>'Resultatopgørelse til analyse'!A22</f>
        <v>Resultat efter skat</v>
      </c>
      <c r="D14" s="46" t="str">
        <f>D12</f>
        <v>*100</v>
      </c>
      <c r="E14" s="44"/>
      <c r="F14" s="39">
        <f>'Resultatopgørelse til analyse'!B22</f>
        <v>13334</v>
      </c>
      <c r="G14" s="29" t="str">
        <f>G12</f>
        <v>*100</v>
      </c>
      <c r="H14" s="82">
        <f>'Resultatopgørelse til analyse'!B22/'Balance til analyse'!D17</f>
        <v>0.1155609481301729</v>
      </c>
      <c r="I14" s="82">
        <f>'Resultatopgørelse til analyse'!C22/'Balance til analyse'!E17</f>
        <v>0.23448145893131542</v>
      </c>
      <c r="J14" s="153">
        <f>'Resultatopgørelse til analyse'!D22/'Balance til analyse'!F17</f>
        <v>0.030184247123165274</v>
      </c>
      <c r="K14" s="239">
        <f t="shared" si="0"/>
        <v>-0.7388023583091026</v>
      </c>
    </row>
    <row r="15" spans="1:11" ht="12.75">
      <c r="A15" s="154" t="s">
        <v>43</v>
      </c>
      <c r="B15" s="32"/>
      <c r="C15" s="33" t="str">
        <f>C13</f>
        <v>Egenkapitalen primo</v>
      </c>
      <c r="D15" s="33"/>
      <c r="E15" s="33"/>
      <c r="F15" s="2">
        <f>F13</f>
        <v>115385</v>
      </c>
      <c r="G15" s="32"/>
      <c r="H15" s="83"/>
      <c r="I15" s="83"/>
      <c r="J15" s="155"/>
      <c r="K15" s="240"/>
    </row>
    <row r="16" spans="1:11" ht="15.75">
      <c r="A16" s="159" t="s">
        <v>8</v>
      </c>
      <c r="B16" s="47"/>
      <c r="C16" s="48"/>
      <c r="D16" s="48"/>
      <c r="E16" s="48"/>
      <c r="F16" s="48"/>
      <c r="G16" s="48"/>
      <c r="H16" s="87"/>
      <c r="I16" s="87"/>
      <c r="J16" s="160"/>
      <c r="K16" s="241"/>
    </row>
    <row r="17" spans="1:11" ht="13.5" thickBot="1">
      <c r="A17" s="10" t="s">
        <v>10</v>
      </c>
      <c r="B17" s="43"/>
      <c r="C17" s="5" t="str">
        <f>C6</f>
        <v>Resultat før renter (EBIT)</v>
      </c>
      <c r="D17" s="4"/>
      <c r="E17" s="43"/>
      <c r="F17" s="4">
        <f>F6</f>
        <v>18259</v>
      </c>
      <c r="G17" s="4" t="str">
        <f>G6</f>
        <v>*100</v>
      </c>
      <c r="H17" s="85">
        <f>H6</f>
        <v>0.10374196040999069</v>
      </c>
      <c r="I17" s="85">
        <f>I6</f>
        <v>0.1482921079368982</v>
      </c>
      <c r="J17" s="157">
        <f>J6</f>
        <v>0.022402504981497297</v>
      </c>
      <c r="K17" s="239">
        <f t="shared" si="0"/>
        <v>-0.7840555075982556</v>
      </c>
    </row>
    <row r="18" spans="1:11" ht="12.75">
      <c r="A18" s="154"/>
      <c r="B18" s="32"/>
      <c r="C18" s="33" t="str">
        <f>C7</f>
        <v>Nettoomsætning</v>
      </c>
      <c r="D18" s="6"/>
      <c r="E18" s="6"/>
      <c r="F18" s="32">
        <f>F7</f>
        <v>176004</v>
      </c>
      <c r="G18" s="32"/>
      <c r="H18" s="88"/>
      <c r="I18" s="88"/>
      <c r="J18" s="161"/>
      <c r="K18" s="240"/>
    </row>
    <row r="19" spans="1:11" ht="13.5" thickBot="1">
      <c r="A19" s="152" t="s">
        <v>21</v>
      </c>
      <c r="B19" s="28"/>
      <c r="C19" s="31" t="str">
        <f>'Resultatopgørelse til analyse'!A5</f>
        <v>Dækningsbidrag</v>
      </c>
      <c r="D19" s="4" t="str">
        <f>D14</f>
        <v>*100</v>
      </c>
      <c r="E19" s="43"/>
      <c r="F19" s="39">
        <f>'Resultatopgørelse til analyse'!B5</f>
        <v>95400</v>
      </c>
      <c r="G19" s="29" t="s">
        <v>28</v>
      </c>
      <c r="H19" s="82">
        <f>'Resultatopgørelse til analyse'!B5/'Resultatopgørelse til analyse'!B3</f>
        <v>0.5420331356105543</v>
      </c>
      <c r="I19" s="82">
        <f>'Resultatopgørelse til analyse'!C5/'Resultatopgørelse til analyse'!C3</f>
        <v>0.5171403881129122</v>
      </c>
      <c r="J19" s="153">
        <f>'Resultatopgørelse til analyse'!D5/'Resultatopgørelse til analyse'!D3</f>
        <v>0.5364987190435525</v>
      </c>
      <c r="K19" s="239">
        <f t="shared" si="0"/>
        <v>-0.010210476451347887</v>
      </c>
    </row>
    <row r="20" spans="1:11" ht="12.75">
      <c r="A20" s="154"/>
      <c r="B20" s="32"/>
      <c r="C20" s="33" t="str">
        <f>C18</f>
        <v>Nettoomsætning</v>
      </c>
      <c r="D20" s="33"/>
      <c r="E20" s="33"/>
      <c r="F20" s="42">
        <f>F7</f>
        <v>176004</v>
      </c>
      <c r="G20" s="32"/>
      <c r="H20" s="88"/>
      <c r="I20" s="88"/>
      <c r="J20" s="161"/>
      <c r="K20" s="240"/>
    </row>
    <row r="21" spans="1:11" ht="13.5" thickBot="1">
      <c r="A21" s="152" t="s">
        <v>49</v>
      </c>
      <c r="B21" s="28"/>
      <c r="C21" s="31" t="str">
        <f>'Resultatopgørelse til analyse'!A7</f>
        <v>Markedsføringbidrag</v>
      </c>
      <c r="D21" s="29" t="str">
        <f>D19</f>
        <v>*100</v>
      </c>
      <c r="E21" s="28"/>
      <c r="F21" s="39">
        <f>'Resultatopgørelse til analyse'!B7</f>
        <v>91650</v>
      </c>
      <c r="G21" s="49" t="str">
        <f>G19</f>
        <v>*100</v>
      </c>
      <c r="H21" s="82">
        <f>'Resultatopgørelse til analyse'!B7/'Resultatopgørelse til analyse'!B3</f>
        <v>0.5207268016635985</v>
      </c>
      <c r="I21" s="82">
        <f>'Resultatopgørelse til analyse'!C7/'Resultatopgørelse til analyse'!C3</f>
        <v>0.4864066471658067</v>
      </c>
      <c r="J21" s="153">
        <f>'Resultatopgørelse til analyse'!D7/'Resultatopgørelse til analyse'!D3</f>
        <v>0.5009165955024196</v>
      </c>
      <c r="K21" s="239">
        <f t="shared" si="0"/>
        <v>-0.03804337725250553</v>
      </c>
    </row>
    <row r="22" spans="1:11" ht="12.75">
      <c r="A22" s="154"/>
      <c r="B22" s="32"/>
      <c r="C22" s="33" t="str">
        <f>C20</f>
        <v>Nettoomsætning</v>
      </c>
      <c r="D22" s="32"/>
      <c r="E22" s="32"/>
      <c r="F22" s="2">
        <f>'Resultatopgørelse til analyse'!B3</f>
        <v>176004</v>
      </c>
      <c r="G22" s="32"/>
      <c r="H22" s="88"/>
      <c r="I22" s="88"/>
      <c r="J22" s="161"/>
      <c r="K22" s="240"/>
    </row>
    <row r="23" spans="1:11" ht="13.5" thickBot="1">
      <c r="A23" s="152" t="s">
        <v>47</v>
      </c>
      <c r="B23" s="28"/>
      <c r="C23" s="31" t="str">
        <f>'Resultatopgørelse til analyse'!A14</f>
        <v>Indtjeningsbidrag</v>
      </c>
      <c r="D23" s="29" t="str">
        <f>D21</f>
        <v>*100</v>
      </c>
      <c r="E23" s="28"/>
      <c r="F23" s="39">
        <f>'Resultatopgørelse til analyse'!B14</f>
        <v>25906</v>
      </c>
      <c r="G23" s="50" t="str">
        <f>G21</f>
        <v>*100</v>
      </c>
      <c r="H23" s="82">
        <f>'Resultatopgørelse til analyse'!B14/'Resultatopgørelse til analyse'!B3</f>
        <v>0.14718983659462284</v>
      </c>
      <c r="I23" s="82">
        <f>'Resultatopgørelse til analyse'!C14/'Resultatopgørelse til analyse'!C3</f>
        <v>0.1819582093437804</v>
      </c>
      <c r="J23" s="153">
        <f>'Resultatopgørelse til analyse'!D14/'Resultatopgørelse til analyse'!D3</f>
        <v>0.05844007970395673</v>
      </c>
      <c r="K23" s="239">
        <f t="shared" si="0"/>
        <v>-0.6029611754722767</v>
      </c>
    </row>
    <row r="24" spans="1:11" ht="12.75">
      <c r="A24" s="154"/>
      <c r="B24" s="32"/>
      <c r="C24" s="33" t="str">
        <f>C22</f>
        <v>Nettoomsætning</v>
      </c>
      <c r="D24" s="32"/>
      <c r="E24" s="32"/>
      <c r="F24" s="42">
        <f>F22</f>
        <v>176004</v>
      </c>
      <c r="G24" s="32"/>
      <c r="H24" s="88"/>
      <c r="I24" s="88"/>
      <c r="J24" s="161"/>
      <c r="K24" s="240"/>
    </row>
    <row r="25" spans="1:11" ht="13.5" thickBot="1">
      <c r="A25" s="152" t="s">
        <v>48</v>
      </c>
      <c r="B25" s="28"/>
      <c r="C25" s="31" t="str">
        <f>C19</f>
        <v>Dækningsbidrag</v>
      </c>
      <c r="D25" s="29" t="str">
        <f>D23</f>
        <v>*100</v>
      </c>
      <c r="E25" s="28"/>
      <c r="F25" s="39">
        <f>'Resultatopgørelse til analyse'!B5</f>
        <v>95400</v>
      </c>
      <c r="G25" s="50"/>
      <c r="H25" s="84">
        <f>'Resultatopgørelse til analyse'!B5/('Resultatopgørelse til analyse'!B6+'Resultatopgørelse til analyse'!B8+'Resultatopgørelse til analyse'!B9+'Resultatopgørelse til analyse'!B10+'Resultatopgørelse til analyse'!B11+'Resultatopgørelse til analyse'!B12+'Resultatopgørelse til analyse'!B13+'Resultatopgørelse til analyse'!B15)</f>
        <v>1.236696438988346</v>
      </c>
      <c r="I25" s="84">
        <f>'Resultatopgørelse til analyse'!C5/('Resultatopgørelse til analyse'!C6+'Resultatopgørelse til analyse'!C8+'Resultatopgørelse til analyse'!C9+'Resultatopgørelse til analyse'!C10+'Resultatopgørelse til analyse'!C11+'Resultatopgørelse til analyse'!C12+'Resultatopgørelse til analyse'!C13+'Resultatopgørelse til analyse'!C15)</f>
        <v>1.4020409363604283</v>
      </c>
      <c r="J25" s="156">
        <f>'Resultatopgørelse til analyse'!D5/('Resultatopgørelse til analyse'!D6+'Resultatopgørelse til analyse'!D8+'Resultatopgørelse til analyse'!D9+'Resultatopgørelse til analyse'!D10+'Resultatopgørelse til analyse'!D11+'Resultatopgørelse til analyse'!D12+'Resultatopgørelse til analyse'!D13+'Resultatopgørelse til analyse'!D15)</f>
        <v>1.0435764830954253</v>
      </c>
      <c r="K25" s="239">
        <f t="shared" si="0"/>
        <v>-0.15615792995320538</v>
      </c>
    </row>
    <row r="26" spans="1:11" ht="12.75">
      <c r="A26" s="154"/>
      <c r="B26" s="32"/>
      <c r="C26" s="32" t="s">
        <v>51</v>
      </c>
      <c r="D26" s="32"/>
      <c r="E26" s="32"/>
      <c r="F26" s="2">
        <f>'Resultatopgørelse til analyse'!B6+'Resultatopgørelse til analyse'!B8+'Resultatopgørelse til analyse'!B9+'Resultatopgørelse til analyse'!B10+'Resultatopgørelse til analyse'!B11+'Resultatopgørelse til analyse'!B12+'Resultatopgørelse til analyse'!B13+'Resultatopgørelse til analyse'!B15</f>
        <v>77141</v>
      </c>
      <c r="G26" s="32"/>
      <c r="H26" s="88"/>
      <c r="I26" s="88"/>
      <c r="J26" s="161"/>
      <c r="K26" s="240"/>
    </row>
    <row r="27" spans="1:11" ht="13.5" thickBot="1">
      <c r="A27" s="152" t="s">
        <v>18</v>
      </c>
      <c r="B27" s="28"/>
      <c r="C27" s="29" t="str">
        <f>C26</f>
        <v>Kapacitetsomk incl afskrivninger</v>
      </c>
      <c r="D27" s="29" t="str">
        <f>D25</f>
        <v>*100</v>
      </c>
      <c r="E27" s="28"/>
      <c r="F27" s="36">
        <f>F26</f>
        <v>77141</v>
      </c>
      <c r="G27" s="50" t="str">
        <f>G23</f>
        <v>*100</v>
      </c>
      <c r="H27" s="89">
        <f>('Resultatopgørelse til analyse'!B6+'Resultatopgørelse til analyse'!B8+'Resultatopgørelse til analyse'!B9+'Resultatopgørelse til analyse'!B10+'Resultatopgørelse til analyse'!B11+'Resultatopgørelse til analyse'!B12+'Resultatopgørelse til analyse'!B13+'Resultatopgørelse til analyse'!B15)/'beregning af nøgletal'!H19</f>
        <v>142317.8675471698</v>
      </c>
      <c r="I27" s="89">
        <f>('Resultatopgørelse til analyse'!C6+'Resultatopgørelse til analyse'!C8+'Resultatopgørelse til analyse'!C9+'Resultatopgørelse til analyse'!C10+'Resultatopgørelse til analyse'!C11+'Resultatopgørelse til analyse'!C12+'Resultatopgørelse til analyse'!C13+'Resultatopgørelse til analyse'!C15)/'beregning af nøgletal'!I19</f>
        <v>197261.71528054535</v>
      </c>
      <c r="J27" s="162">
        <f>('Resultatopgørelse til analyse'!D6+'Resultatopgørelse til analyse'!D8+'Resultatopgørelse til analyse'!D9+'Resultatopgørelse til analyse'!D10+'Resultatopgørelse til analyse'!D11+'Resultatopgørelse til analyse'!D12+'Resultatopgørelse til analyse'!D13+'Resultatopgørelse til analyse'!D15)/'beregning af nøgletal'!J19</f>
        <v>168315.40653253533</v>
      </c>
      <c r="K27" s="239">
        <f t="shared" si="0"/>
        <v>0.1826723477060877</v>
      </c>
    </row>
    <row r="28" spans="1:11" ht="12.75">
      <c r="A28" s="154"/>
      <c r="B28" s="32"/>
      <c r="C28" s="33" t="str">
        <f>A19</f>
        <v>Dækningsgrad</v>
      </c>
      <c r="D28" s="32"/>
      <c r="E28" s="32"/>
      <c r="F28" s="51">
        <f>H19*100</f>
        <v>54.20331356105543</v>
      </c>
      <c r="G28" s="32"/>
      <c r="H28" s="88"/>
      <c r="I28" s="88"/>
      <c r="J28" s="161"/>
      <c r="K28" s="240"/>
    </row>
    <row r="29" spans="1:11" ht="13.5" thickBot="1">
      <c r="A29" s="152" t="s">
        <v>52</v>
      </c>
      <c r="B29" s="28"/>
      <c r="C29" s="29" t="s">
        <v>53</v>
      </c>
      <c r="D29" s="29" t="str">
        <f>D27</f>
        <v>*100</v>
      </c>
      <c r="E29" s="28"/>
      <c r="F29" s="36">
        <f>F24</f>
        <v>176004</v>
      </c>
      <c r="G29" s="52">
        <f>H27*-1</f>
        <v>-142317.8675471698</v>
      </c>
      <c r="H29" s="90">
        <f>('Resultatopgørelse til analyse'!B3-'beregning af nøgletal'!H27)/'Resultatopgørelse til analyse'!B3</f>
        <v>0.19139412997903574</v>
      </c>
      <c r="I29" s="90">
        <f>('Resultatopgørelse til analyse'!C3-'beregning af nøgletal'!I27)/'Resultatopgørelse til analyse'!C3</f>
        <v>0.2867540639748296</v>
      </c>
      <c r="J29" s="163">
        <f>('Resultatopgørelse til analyse'!D3-'beregning af nøgletal'!J27)/'Resultatopgørelse til analyse'!D3</f>
        <v>0.04175686574133032</v>
      </c>
      <c r="K29" s="239">
        <f t="shared" si="0"/>
        <v>-0.7818278661633763</v>
      </c>
    </row>
    <row r="30" spans="1:11" ht="12.75">
      <c r="A30" s="154"/>
      <c r="B30" s="32"/>
      <c r="C30" s="33" t="str">
        <f>C24</f>
        <v>Nettoomsætning</v>
      </c>
      <c r="D30" s="32"/>
      <c r="E30" s="32"/>
      <c r="F30" s="42">
        <f>F24</f>
        <v>176004</v>
      </c>
      <c r="G30" s="32"/>
      <c r="H30" s="88"/>
      <c r="I30" s="88"/>
      <c r="J30" s="161"/>
      <c r="K30" s="240"/>
    </row>
    <row r="31" spans="1:11" ht="12.75">
      <c r="A31" s="164" t="s">
        <v>33</v>
      </c>
      <c r="B31" s="127">
        <f>H2</f>
        <v>2000</v>
      </c>
      <c r="C31" s="128" t="s">
        <v>65</v>
      </c>
      <c r="D31" s="128"/>
      <c r="E31" s="128"/>
      <c r="F31" s="127" t="s">
        <v>82</v>
      </c>
      <c r="G31" s="129">
        <f>J2</f>
        <v>2002</v>
      </c>
      <c r="H31" s="130"/>
      <c r="I31" s="130"/>
      <c r="J31" s="165"/>
      <c r="K31" s="242"/>
    </row>
    <row r="32" spans="1:11" ht="13.5" thickBot="1">
      <c r="A32" s="152" t="str">
        <f>'Resultatopgørelse til analyse'!A3</f>
        <v>Nettoomsætning</v>
      </c>
      <c r="B32" s="28"/>
      <c r="C32" s="31" t="s">
        <v>66</v>
      </c>
      <c r="D32" s="29" t="s">
        <v>28</v>
      </c>
      <c r="E32" s="28"/>
      <c r="F32" s="36">
        <f>'Resultatopgørelse til analyse'!D3</f>
        <v>175650</v>
      </c>
      <c r="G32" s="50" t="str">
        <f>G27</f>
        <v>*100</v>
      </c>
      <c r="H32" s="92">
        <f>'Resultatopgørelse til analyse'!B3*100/'Resultatopgørelse til analyse'!$B$3</f>
        <v>100</v>
      </c>
      <c r="I32" s="92">
        <f>'Resultatopgørelse til analyse'!C3*100/'Resultatopgørelse til analyse'!$B$3</f>
        <v>157.1379059566828</v>
      </c>
      <c r="J32" s="166">
        <f>'Resultatopgørelse til analyse'!D3*100/'Resultatopgørelse til analyse'!$B$3</f>
        <v>99.79886820754074</v>
      </c>
      <c r="K32" s="239">
        <f t="shared" si="0"/>
        <v>-0.002011317924592646</v>
      </c>
    </row>
    <row r="33" spans="1:11" ht="12.75">
      <c r="A33" s="154"/>
      <c r="B33" s="32"/>
      <c r="C33" s="33" t="s">
        <v>67</v>
      </c>
      <c r="D33" s="32"/>
      <c r="E33" s="32"/>
      <c r="F33" s="42">
        <f>F29</f>
        <v>176004</v>
      </c>
      <c r="G33" s="32"/>
      <c r="H33" s="93"/>
      <c r="I33" s="93"/>
      <c r="J33" s="167"/>
      <c r="K33" s="240"/>
    </row>
    <row r="34" spans="1:11" ht="12.75">
      <c r="A34" s="168" t="str">
        <f>'Resultatopgørelse til analyse'!A4</f>
        <v>Råvarer</v>
      </c>
      <c r="B34" s="76"/>
      <c r="C34" s="76"/>
      <c r="D34" s="76"/>
      <c r="E34" s="76"/>
      <c r="F34" s="76"/>
      <c r="G34" s="76"/>
      <c r="H34" s="94">
        <f>'Resultatopgørelse til analyse'!B4*100/'Resultatopgørelse til analyse'!$B$4</f>
        <v>100</v>
      </c>
      <c r="I34" s="94">
        <f>'Resultatopgørelse til analyse'!C4*100/'Resultatopgørelse til analyse'!$B$4</f>
        <v>165.67912262418739</v>
      </c>
      <c r="J34" s="169">
        <f>'Resultatopgørelse til analyse'!D4*100/'Resultatopgørelse til analyse'!$B$4</f>
        <v>101.00491290754802</v>
      </c>
      <c r="K34" s="242">
        <f t="shared" si="0"/>
        <v>0.010049129075480182</v>
      </c>
    </row>
    <row r="35" spans="1:11" ht="12.75">
      <c r="A35" s="168" t="str">
        <f>'Resultatopgørelse til analyse'!A6</f>
        <v>Marketing</v>
      </c>
      <c r="B35" s="76"/>
      <c r="C35" s="76"/>
      <c r="D35" s="76"/>
      <c r="E35" s="76"/>
      <c r="F35" s="76"/>
      <c r="G35" s="76"/>
      <c r="H35" s="94">
        <f>'Resultatopgørelse til analyse'!B6*100/'Resultatopgørelse til analyse'!B6</f>
        <v>100</v>
      </c>
      <c r="I35" s="94">
        <f>'Resultatopgørelse til analyse'!C6*100/'Resultatopgørelse til analyse'!$B$6</f>
        <v>226.66666666666666</v>
      </c>
      <c r="J35" s="169">
        <f>'Resultatopgørelse til analyse'!D6*100/'Resultatopgørelse til analyse'!$B$6</f>
        <v>166.66666666666666</v>
      </c>
      <c r="K35" s="242">
        <f t="shared" si="0"/>
        <v>0.6666666666666665</v>
      </c>
    </row>
    <row r="36" spans="1:11" ht="12.75">
      <c r="A36" s="168" t="str">
        <f>'Resultatopgørelse til analyse'!A8</f>
        <v>Kontorhold</v>
      </c>
      <c r="B36" s="76"/>
      <c r="C36" s="76"/>
      <c r="D36" s="76"/>
      <c r="E36" s="76"/>
      <c r="F36" s="76"/>
      <c r="G36" s="76"/>
      <c r="H36" s="94">
        <f>'Resultatopgørelse til analyse'!B8*100/'Resultatopgørelse til analyse'!$B$8</f>
        <v>100</v>
      </c>
      <c r="I36" s="94">
        <f>'Resultatopgørelse til analyse'!C8*100/'Resultatopgørelse til analyse'!$B$8</f>
        <v>115.75342465753425</v>
      </c>
      <c r="J36" s="169">
        <f>'Resultatopgørelse til analyse'!D8*100/'Resultatopgørelse til analyse'!$B$8</f>
        <v>132.87671232876713</v>
      </c>
      <c r="K36" s="242">
        <f t="shared" si="0"/>
        <v>0.32876712328767127</v>
      </c>
    </row>
    <row r="37" spans="1:11" ht="12.75">
      <c r="A37" s="168" t="str">
        <f>'Resultatopgørelse til analyse'!A9</f>
        <v>Revision</v>
      </c>
      <c r="B37" s="76"/>
      <c r="C37" s="76"/>
      <c r="D37" s="76"/>
      <c r="E37" s="76"/>
      <c r="F37" s="76"/>
      <c r="G37" s="76"/>
      <c r="H37" s="94">
        <f>'Resultatopgørelse til analyse'!B9*100/'Resultatopgørelse til analyse'!$B$9</f>
        <v>100</v>
      </c>
      <c r="I37" s="94">
        <f>'Resultatopgørelse til analyse'!C9*100/'Resultatopgørelse til analyse'!$B$9</f>
        <v>117.6470588235294</v>
      </c>
      <c r="J37" s="169">
        <f>'Resultatopgørelse til analyse'!D9*100/'Resultatopgørelse til analyse'!$B$9</f>
        <v>188.23529411764707</v>
      </c>
      <c r="K37" s="242">
        <f t="shared" si="0"/>
        <v>0.8823529411764707</v>
      </c>
    </row>
    <row r="38" spans="1:11" ht="12.75">
      <c r="A38" s="168" t="str">
        <f>'Resultatopgørelse til analyse'!A10</f>
        <v>Reparation</v>
      </c>
      <c r="B38" s="76"/>
      <c r="C38" s="76"/>
      <c r="D38" s="76"/>
      <c r="E38" s="76"/>
      <c r="F38" s="76"/>
      <c r="G38" s="76"/>
      <c r="H38" s="94">
        <f>'Resultatopgørelse til analyse'!B10*100/'Resultatopgørelse til analyse'!$B$10</f>
        <v>100</v>
      </c>
      <c r="I38" s="94">
        <f>'Resultatopgørelse til analyse'!C10*100/'Resultatopgørelse til analyse'!$B$10</f>
        <v>113.40782122905028</v>
      </c>
      <c r="J38" s="169">
        <f>'Resultatopgørelse til analyse'!D10*100/'Resultatopgørelse til analyse'!$B$10</f>
        <v>83.79888268156425</v>
      </c>
      <c r="K38" s="242">
        <f t="shared" si="0"/>
        <v>-0.16201117318435748</v>
      </c>
    </row>
    <row r="39" spans="1:11" ht="12.75">
      <c r="A39" s="168" t="str">
        <f>'Resultatopgørelse til analyse'!A11</f>
        <v>Produktudvikling</v>
      </c>
      <c r="B39" s="76"/>
      <c r="C39" s="76"/>
      <c r="D39" s="76"/>
      <c r="E39" s="76"/>
      <c r="F39" s="76"/>
      <c r="G39" s="76"/>
      <c r="H39" s="94">
        <f>'Resultatopgørelse til analyse'!B11*100/'Resultatopgørelse til analyse'!$B$11</f>
        <v>100</v>
      </c>
      <c r="I39" s="94">
        <f>'Resultatopgørelse til analyse'!C11*100/'Resultatopgørelse til analyse'!$B$11</f>
        <v>200</v>
      </c>
      <c r="J39" s="169">
        <f>'Resultatopgørelse til analyse'!D11*100/'Resultatopgørelse til analyse'!$B$11</f>
        <v>77.77777777777777</v>
      </c>
      <c r="K39" s="242">
        <f t="shared" si="0"/>
        <v>-0.2222222222222223</v>
      </c>
    </row>
    <row r="40" spans="1:11" ht="12.75">
      <c r="A40" s="168" t="str">
        <f>'Resultatopgørelse til analyse'!A12</f>
        <v>Rejser</v>
      </c>
      <c r="B40" s="76"/>
      <c r="C40" s="76"/>
      <c r="D40" s="76"/>
      <c r="E40" s="76"/>
      <c r="F40" s="76"/>
      <c r="G40" s="76"/>
      <c r="H40" s="94">
        <f>'Resultatopgørelse til analyse'!B12*100/'Resultatopgørelse til analyse'!$B$12</f>
        <v>100</v>
      </c>
      <c r="I40" s="94">
        <f>'Resultatopgørelse til analyse'!C12*100/'Resultatopgørelse til analyse'!$B$12</f>
        <v>61.86825667234526</v>
      </c>
      <c r="J40" s="169">
        <f>'Resultatopgørelse til analyse'!D12*100/'Resultatopgørelse til analyse'!$B$12</f>
        <v>69.76149914821124</v>
      </c>
      <c r="K40" s="242">
        <f t="shared" si="0"/>
        <v>-0.3023850085178876</v>
      </c>
    </row>
    <row r="41" spans="1:11" ht="12.75">
      <c r="A41" s="168" t="str">
        <f>'Resultatopgørelse til analyse'!A15</f>
        <v>Afskrivninger</v>
      </c>
      <c r="B41" s="76"/>
      <c r="C41" s="76"/>
      <c r="D41" s="76"/>
      <c r="E41" s="76"/>
      <c r="F41" s="76"/>
      <c r="G41" s="76"/>
      <c r="H41" s="94">
        <f>'Resultatopgørelse til analyse'!B15*100/'Resultatopgørelse til analyse'!$B$15</f>
        <v>100</v>
      </c>
      <c r="I41" s="94">
        <f>'Resultatopgørelse til analyse'!C15*100/'Resultatopgørelse til analyse'!$B$15</f>
        <v>121.76016738590297</v>
      </c>
      <c r="J41" s="169">
        <f>'Resultatopgørelse til analyse'!D15*100/'Resultatopgørelse til analyse'!$B$15</f>
        <v>82.77755982738329</v>
      </c>
      <c r="K41" s="242">
        <f t="shared" si="0"/>
        <v>-0.17222440172616715</v>
      </c>
    </row>
    <row r="42" spans="1:11" ht="12.75">
      <c r="A42" s="10" t="str">
        <f>'Resultatopgørelse til analyse'!A17</f>
        <v>Rente indtægter</v>
      </c>
      <c r="B42" s="43"/>
      <c r="C42" s="43"/>
      <c r="D42" s="43"/>
      <c r="E42" s="43"/>
      <c r="F42" s="43"/>
      <c r="G42" s="43"/>
      <c r="H42" s="94">
        <f>'Resultatopgørelse til analyse'!B14*100/'Resultatopgørelse til analyse'!B14</f>
        <v>100</v>
      </c>
      <c r="I42" s="95">
        <f>'Resultatopgørelse til analyse'!C17*100/'Resultatopgørelse til analyse'!$B$17</f>
        <v>199.25412892914224</v>
      </c>
      <c r="J42" s="170">
        <f>'Resultatopgørelse til analyse'!D17*100/'Resultatopgørelse til analyse'!$B$17</f>
        <v>74.3740010655301</v>
      </c>
      <c r="K42" s="242">
        <f t="shared" si="0"/>
        <v>-0.25625998934469907</v>
      </c>
    </row>
    <row r="43" spans="1:11" ht="12.75">
      <c r="A43" s="168" t="str">
        <f>'Resultatopgørelse til analyse'!A18</f>
        <v>Rente omkostninger</v>
      </c>
      <c r="B43" s="76"/>
      <c r="C43" s="76"/>
      <c r="D43" s="76"/>
      <c r="E43" s="76"/>
      <c r="F43" s="76"/>
      <c r="G43" s="76"/>
      <c r="H43" s="94">
        <f>'Resultatopgørelse til analyse'!B18*100/'Resultatopgørelse til analyse'!$B$18</f>
        <v>100</v>
      </c>
      <c r="I43" s="94">
        <f>'Resultatopgørelse til analyse'!C18*100/'Resultatopgørelse til analyse'!$B$18</f>
        <v>117.09401709401709</v>
      </c>
      <c r="J43" s="169">
        <f>'Resultatopgørelse til analyse'!D18*100/'Resultatopgørelse til analyse'!$B$18</f>
        <v>94.87179487179488</v>
      </c>
      <c r="K43" s="242">
        <f t="shared" si="0"/>
        <v>-0.05128205128205124</v>
      </c>
    </row>
    <row r="44" spans="1:11" ht="12.75" hidden="1">
      <c r="A44" s="168" t="str">
        <f>'Resultatopgørelse til analyse'!A20</f>
        <v>Ekstraordinære omk.</v>
      </c>
      <c r="B44" s="76"/>
      <c r="C44" s="76"/>
      <c r="D44" s="76"/>
      <c r="E44" s="76"/>
      <c r="F44" s="76"/>
      <c r="G44" s="76"/>
      <c r="H44" s="94" t="e">
        <f>'Resultatopgørelse til analyse'!B20*100/'Resultatopgørelse til analyse'!$B20</f>
        <v>#DIV/0!</v>
      </c>
      <c r="I44" s="94" t="e">
        <f>'Resultatopgørelse til analyse'!C20*100/'Resultatopgørelse til analyse'!$B$20</f>
        <v>#DIV/0!</v>
      </c>
      <c r="J44" s="169" t="e">
        <f>'Resultatopgørelse til analyse'!D20*100/'Resultatopgørelse til analyse'!$B$20</f>
        <v>#DIV/0!</v>
      </c>
      <c r="K44" s="242" t="e">
        <f t="shared" si="0"/>
        <v>#DIV/0!</v>
      </c>
    </row>
    <row r="45" spans="1:11" ht="12.75">
      <c r="A45" s="10" t="str">
        <f>'Resultatopgørelse til analyse'!A21</f>
        <v>Skat</v>
      </c>
      <c r="B45" s="43"/>
      <c r="C45" s="43"/>
      <c r="D45" s="43"/>
      <c r="E45" s="43"/>
      <c r="F45" s="43"/>
      <c r="G45" s="43"/>
      <c r="H45" s="95">
        <f>'Resultatopgørelse til analyse'!B21*100/'Resultatopgørelse til analyse'!$B$21</f>
        <v>100</v>
      </c>
      <c r="I45" s="95">
        <f>'Resultatopgørelse til analyse'!C21*100/'Resultatopgørelse til analyse'!$B$21</f>
        <v>183.48541510845175</v>
      </c>
      <c r="J45" s="170">
        <f>'Resultatopgørelse til analyse'!D21*100/'Resultatopgørelse til analyse'!$B$21</f>
        <v>15.422587883320867</v>
      </c>
      <c r="K45" s="242">
        <f t="shared" si="0"/>
        <v>-0.8457741211667913</v>
      </c>
    </row>
    <row r="46" spans="1:11" ht="13.5" thickBot="1">
      <c r="A46" s="187" t="str">
        <f>'Resultatopgørelse til analyse'!A22</f>
        <v>Resultat efter skat</v>
      </c>
      <c r="B46" s="29"/>
      <c r="C46" s="29"/>
      <c r="D46" s="29"/>
      <c r="E46" s="29"/>
      <c r="F46" s="29"/>
      <c r="G46" s="29"/>
      <c r="H46" s="202">
        <f>'Resultatopgørelse til analyse'!B22*100/'Resultatopgørelse til analyse'!$B$22</f>
        <v>100</v>
      </c>
      <c r="I46" s="202">
        <f>'Resultatopgørelse til analyse'!C22*100/'Resultatopgørelse til analyse'!$B$22</f>
        <v>242.61286935653217</v>
      </c>
      <c r="J46" s="203">
        <f>'Resultatopgørelse til analyse'!D22*100/'Resultatopgørelse til analyse'!$B$22</f>
        <v>31.41592920353982</v>
      </c>
      <c r="K46" s="243">
        <f t="shared" si="0"/>
        <v>-0.6858407079646018</v>
      </c>
    </row>
    <row r="47" spans="1:11" ht="15.75">
      <c r="A47" s="197" t="s">
        <v>11</v>
      </c>
      <c r="B47" s="198"/>
      <c r="C47" s="199"/>
      <c r="D47" s="199"/>
      <c r="E47" s="199"/>
      <c r="F47" s="199"/>
      <c r="G47" s="199"/>
      <c r="H47" s="200">
        <f>H2</f>
        <v>2000</v>
      </c>
      <c r="I47" s="200">
        <f>I2</f>
        <v>2001</v>
      </c>
      <c r="J47" s="201">
        <f>J2</f>
        <v>2002</v>
      </c>
      <c r="K47" s="244"/>
    </row>
    <row r="48" spans="1:11" ht="13.5" thickBot="1">
      <c r="A48" s="152" t="s">
        <v>5</v>
      </c>
      <c r="B48" s="28"/>
      <c r="C48" s="31" t="str">
        <f>C8</f>
        <v>Nettoomsætning</v>
      </c>
      <c r="D48" s="31"/>
      <c r="E48" s="44"/>
      <c r="F48" s="36">
        <f>F82</f>
        <v>176004</v>
      </c>
      <c r="G48" s="29"/>
      <c r="H48" s="84">
        <f>'Resultatopgørelse til analyse'!B3/'Balance til analyse'!D15</f>
        <v>1.1440048359105357</v>
      </c>
      <c r="I48" s="84">
        <f>'Resultatopgørelse til analyse'!C3/'Balance til analyse'!E15</f>
        <v>1.4218974124324575</v>
      </c>
      <c r="J48" s="156">
        <f>'Resultatopgørelse til analyse'!D3/'Balance til analyse'!F15</f>
        <v>1.0222788699933651</v>
      </c>
      <c r="K48" s="239">
        <f t="shared" si="0"/>
        <v>-0.10640336657343454</v>
      </c>
    </row>
    <row r="49" spans="1:11" ht="12.75">
      <c r="A49" s="154"/>
      <c r="B49" s="32"/>
      <c r="C49" s="33" t="str">
        <f>C9</f>
        <v>Aktiver i alt</v>
      </c>
      <c r="D49" s="33"/>
      <c r="E49" s="33"/>
      <c r="F49" s="37">
        <f>F9</f>
        <v>153849</v>
      </c>
      <c r="G49" s="32"/>
      <c r="H49" s="83"/>
      <c r="I49" s="83"/>
      <c r="J49" s="155"/>
      <c r="K49" s="240"/>
    </row>
    <row r="50" spans="1:11" ht="13.5" thickBot="1">
      <c r="A50" s="152" t="s">
        <v>12</v>
      </c>
      <c r="B50" s="28"/>
      <c r="C50" s="31" t="str">
        <f>'Resultatopgørelse til analyse'!A4</f>
        <v>Råvarer</v>
      </c>
      <c r="D50" s="29"/>
      <c r="E50" s="28"/>
      <c r="F50" s="39">
        <f>'Resultatopgørelse til analyse'!B4</f>
        <v>80604</v>
      </c>
      <c r="G50" s="29"/>
      <c r="H50" s="84">
        <f>'Resultatopgørelse til analyse'!B4/'Balance til analyse'!D8</f>
        <v>1.8230424752340888</v>
      </c>
      <c r="I50" s="84">
        <f>'Resultatopgørelse til analyse'!C4/'Balance til analyse'!E8</f>
        <v>2.1685909614978645</v>
      </c>
      <c r="J50" s="156">
        <f>'Resultatopgørelse til analyse'!D4/'Balance til analyse'!F8</f>
        <v>1.48793771474523</v>
      </c>
      <c r="K50" s="239">
        <f t="shared" si="0"/>
        <v>-0.1838162111093048</v>
      </c>
    </row>
    <row r="51" spans="1:11" ht="12.75">
      <c r="A51" s="154"/>
      <c r="B51" s="32"/>
      <c r="C51" s="33" t="str">
        <f>'Balance til analyse'!A8</f>
        <v>Varelager</v>
      </c>
      <c r="D51" s="32"/>
      <c r="E51" s="32"/>
      <c r="F51" s="2">
        <f>'Balance til analyse'!D8</f>
        <v>44214</v>
      </c>
      <c r="G51" s="32"/>
      <c r="H51" s="88"/>
      <c r="I51" s="88"/>
      <c r="J51" s="161"/>
      <c r="K51" s="240"/>
    </row>
    <row r="52" spans="1:11" ht="13.5" thickBot="1">
      <c r="A52" s="152" t="s">
        <v>15</v>
      </c>
      <c r="B52" s="28"/>
      <c r="C52" s="31">
        <v>360</v>
      </c>
      <c r="D52" s="29"/>
      <c r="E52" s="28"/>
      <c r="F52" s="39">
        <v>360</v>
      </c>
      <c r="G52" s="29"/>
      <c r="H52" s="96">
        <f>$F$52/H50</f>
        <v>197.4720857525681</v>
      </c>
      <c r="I52" s="96">
        <f>$F$52/I50</f>
        <v>166.0064098724016</v>
      </c>
      <c r="J52" s="171">
        <f>$F$52/J50</f>
        <v>241.9456113199204</v>
      </c>
      <c r="K52" s="239">
        <f t="shared" si="0"/>
        <v>0.22521423925747916</v>
      </c>
    </row>
    <row r="53" spans="1:11" ht="12.75">
      <c r="A53" s="154"/>
      <c r="B53" s="32"/>
      <c r="C53" s="33" t="str">
        <f>A50</f>
        <v>Varelagerets omh.</v>
      </c>
      <c r="D53" s="32"/>
      <c r="E53" s="32"/>
      <c r="F53" s="41">
        <f>H50</f>
        <v>1.8230424752340888</v>
      </c>
      <c r="G53" s="32"/>
      <c r="H53" s="106"/>
      <c r="I53" s="93"/>
      <c r="J53" s="167"/>
      <c r="K53" s="240"/>
    </row>
    <row r="54" spans="1:11" ht="13.5" thickBot="1">
      <c r="A54" s="10" t="s">
        <v>13</v>
      </c>
      <c r="B54" s="43"/>
      <c r="C54" s="5" t="str">
        <f>'Resultatopgørelse til analyse'!A3</f>
        <v>Nettoomsætning</v>
      </c>
      <c r="D54" s="4" t="s">
        <v>69</v>
      </c>
      <c r="E54" s="43"/>
      <c r="F54" s="59">
        <f>F82</f>
        <v>176004</v>
      </c>
      <c r="G54" s="4">
        <v>1.25</v>
      </c>
      <c r="H54" s="97">
        <f>'Resultatopgørelse til analyse'!B3*1.25/'Balance til analyse'!D9</f>
        <v>8.03788681451171</v>
      </c>
      <c r="I54" s="97">
        <f>'Resultatopgørelse til analyse'!C3*1.25/'Balance til analyse'!E9</f>
        <v>9.777731425177475</v>
      </c>
      <c r="J54" s="172">
        <f>'Resultatopgørelse til analyse'!D3*1.25/'Balance til analyse'!F9</f>
        <v>8.390816677494554</v>
      </c>
      <c r="K54" s="239">
        <f t="shared" si="0"/>
        <v>0.043908289719340104</v>
      </c>
    </row>
    <row r="55" spans="1:11" ht="12.75">
      <c r="A55" s="154" t="s">
        <v>68</v>
      </c>
      <c r="B55" s="32"/>
      <c r="C55" s="33" t="str">
        <f>'Balance til analyse'!A9</f>
        <v>Varedebitorer</v>
      </c>
      <c r="D55" s="32"/>
      <c r="E55" s="32"/>
      <c r="F55" s="2">
        <f>'Balance til analyse'!D9</f>
        <v>27371</v>
      </c>
      <c r="G55" s="32"/>
      <c r="H55" s="98"/>
      <c r="I55" s="98"/>
      <c r="J55" s="173"/>
      <c r="K55" s="240"/>
    </row>
    <row r="56" spans="1:11" ht="13.5" thickBot="1">
      <c r="A56" s="174" t="s">
        <v>14</v>
      </c>
      <c r="B56" s="28"/>
      <c r="C56" s="31">
        <f>C52</f>
        <v>360</v>
      </c>
      <c r="D56" s="29"/>
      <c r="E56" s="28"/>
      <c r="F56" s="61">
        <f>F52</f>
        <v>360</v>
      </c>
      <c r="G56" s="29"/>
      <c r="H56" s="99">
        <f>$F$56/H54</f>
        <v>44.78789118429126</v>
      </c>
      <c r="I56" s="99">
        <f>$F$56/I54</f>
        <v>36.81835635953415</v>
      </c>
      <c r="J56" s="175">
        <f>$F$56/J54</f>
        <v>42.90404782237404</v>
      </c>
      <c r="K56" s="239">
        <f t="shared" si="0"/>
        <v>-0.042061443664888475</v>
      </c>
    </row>
    <row r="57" spans="1:11" ht="12.75">
      <c r="A57" s="154"/>
      <c r="B57" s="32"/>
      <c r="C57" s="33" t="str">
        <f>A54</f>
        <v>Varedebitorerne omh.</v>
      </c>
      <c r="D57" s="32"/>
      <c r="E57" s="32"/>
      <c r="F57" s="63">
        <f>H54</f>
        <v>8.03788681451171</v>
      </c>
      <c r="G57" s="32"/>
      <c r="H57" s="98"/>
      <c r="I57" s="98"/>
      <c r="J57" s="173"/>
      <c r="K57" s="240"/>
    </row>
    <row r="58" spans="1:11" ht="13.5" thickBot="1">
      <c r="A58" s="152" t="s">
        <v>16</v>
      </c>
      <c r="B58" s="28"/>
      <c r="C58" s="31" t="s">
        <v>85</v>
      </c>
      <c r="D58" s="29" t="str">
        <f>D54</f>
        <v>*1,25</v>
      </c>
      <c r="E58" s="28"/>
      <c r="F58" s="29">
        <f>'Resultatopgørelse til analyse'!B4</f>
        <v>80604</v>
      </c>
      <c r="G58" s="64">
        <v>1.25</v>
      </c>
      <c r="H58" s="99">
        <f>'Resultatopgørelse til analyse'!B4*G58/'Balance til analyse'!D26</f>
        <v>7.574994361326216</v>
      </c>
      <c r="I58" s="99">
        <f>('Resultatopgørelse til analyse'!C4+'Balance til analyse'!E8-'Balance til analyse'!D8)*'beregning af nøgletal'!$G$58/'Balance til analyse'!E26</f>
        <v>12.624732298219783</v>
      </c>
      <c r="J58" s="175">
        <f>('Resultatopgørelse til analyse'!D4+'Balance til analyse'!F8-'Balance til analyse'!E8)*'beregning af nøgletal'!$G$58/'Balance til analyse'!F26</f>
        <v>9.103775889019149</v>
      </c>
      <c r="K58" s="239">
        <f t="shared" si="0"/>
        <v>0.2018194938200952</v>
      </c>
    </row>
    <row r="59" spans="1:11" ht="12.75">
      <c r="A59" s="10"/>
      <c r="B59" s="43"/>
      <c r="C59" s="6" t="str">
        <f>'Balance til analyse'!A26</f>
        <v>Varekreditorer</v>
      </c>
      <c r="D59" s="43"/>
      <c r="E59" s="43"/>
      <c r="F59" s="74">
        <f>'Balance til analyse'!D26</f>
        <v>13301</v>
      </c>
      <c r="G59" s="43"/>
      <c r="H59" s="97"/>
      <c r="I59" s="97"/>
      <c r="J59" s="172"/>
      <c r="K59" s="245"/>
    </row>
    <row r="60" spans="1:11" ht="12.75">
      <c r="A60" s="176" t="s">
        <v>84</v>
      </c>
      <c r="B60" s="43"/>
      <c r="C60" s="43"/>
      <c r="D60" s="43"/>
      <c r="E60" s="43"/>
      <c r="F60" s="74"/>
      <c r="G60" s="43"/>
      <c r="H60" s="97"/>
      <c r="I60" s="97"/>
      <c r="J60" s="172"/>
      <c r="K60" s="245"/>
    </row>
    <row r="61" spans="1:11" ht="12.75">
      <c r="A61" s="10" t="s">
        <v>70</v>
      </c>
      <c r="B61" s="43"/>
      <c r="C61" s="43"/>
      <c r="D61" s="43"/>
      <c r="E61" s="43"/>
      <c r="F61" s="74"/>
      <c r="G61" s="43"/>
      <c r="H61" s="97"/>
      <c r="I61" s="97"/>
      <c r="J61" s="172"/>
      <c r="K61" s="240"/>
    </row>
    <row r="62" spans="1:11" ht="13.5" thickBot="1">
      <c r="A62" s="152" t="s">
        <v>17</v>
      </c>
      <c r="B62" s="28"/>
      <c r="C62" s="31">
        <f>C56</f>
        <v>360</v>
      </c>
      <c r="D62" s="29"/>
      <c r="E62" s="28"/>
      <c r="F62" s="29">
        <f>C62</f>
        <v>360</v>
      </c>
      <c r="G62" s="29"/>
      <c r="H62" s="92">
        <f>$C$62/H58</f>
        <v>47.524787851719516</v>
      </c>
      <c r="I62" s="92">
        <f>$C$62/I58</f>
        <v>28.515456129771852</v>
      </c>
      <c r="J62" s="166">
        <f>$C$62/J58</f>
        <v>39.544031442407004</v>
      </c>
      <c r="K62" s="239">
        <f t="shared" si="0"/>
        <v>-0.1679282911101676</v>
      </c>
    </row>
    <row r="63" spans="1:11" ht="12.75">
      <c r="A63" s="154"/>
      <c r="B63" s="32"/>
      <c r="C63" s="33" t="str">
        <f>A58</f>
        <v>Varekreditorernes omh</v>
      </c>
      <c r="D63" s="32"/>
      <c r="E63" s="32"/>
      <c r="F63" s="60">
        <f>H58</f>
        <v>7.574994361326216</v>
      </c>
      <c r="G63" s="32"/>
      <c r="H63" s="83"/>
      <c r="I63" s="83"/>
      <c r="J63" s="155"/>
      <c r="K63" s="240"/>
    </row>
    <row r="64" spans="1:11" ht="13.5" thickBot="1">
      <c r="A64" s="152" t="s">
        <v>77</v>
      </c>
      <c r="B64" s="28"/>
      <c r="C64" s="31" t="s">
        <v>74</v>
      </c>
      <c r="D64" s="29" t="s">
        <v>28</v>
      </c>
      <c r="E64" s="28"/>
      <c r="F64" s="29">
        <f>'Balance til analyse'!D14-'Balance til analyse'!D8</f>
        <v>60645</v>
      </c>
      <c r="G64" s="50" t="str">
        <f>G32</f>
        <v>*100</v>
      </c>
      <c r="H64" s="89">
        <f>('Balance til analyse'!D14-'Balance til analyse'!D8)/'Balance til analyse'!D31*100</f>
        <v>186.28474888649978</v>
      </c>
      <c r="I64" s="89">
        <f>('Balance til analyse'!E14-'Balance til analyse'!E8)/'Balance til analyse'!E31*100</f>
        <v>140.3335245593559</v>
      </c>
      <c r="J64" s="162">
        <f>('Balance til analyse'!F14-'Balance til analyse'!F8)/'Balance til analyse'!F31*100</f>
        <v>154.08485918082212</v>
      </c>
      <c r="K64" s="239">
        <f t="shared" si="0"/>
        <v>-0.17285306445186516</v>
      </c>
    </row>
    <row r="65" spans="1:11" ht="12.75">
      <c r="A65" s="154" t="s">
        <v>73</v>
      </c>
      <c r="B65" s="32"/>
      <c r="C65" s="33" t="s">
        <v>75</v>
      </c>
      <c r="D65" s="32"/>
      <c r="E65" s="32"/>
      <c r="F65" s="32">
        <f>'Balance til analyse'!D31</f>
        <v>32555</v>
      </c>
      <c r="G65" s="32"/>
      <c r="H65" s="83"/>
      <c r="I65" s="83"/>
      <c r="J65" s="155"/>
      <c r="K65" s="240"/>
    </row>
    <row r="66" spans="1:11" ht="13.5" thickBot="1">
      <c r="A66" s="174" t="s">
        <v>72</v>
      </c>
      <c r="B66" s="28"/>
      <c r="C66" s="31" t="s">
        <v>79</v>
      </c>
      <c r="D66" s="29" t="str">
        <f>D64</f>
        <v>*100</v>
      </c>
      <c r="E66" s="28"/>
      <c r="F66" s="29">
        <f>'Balance til analyse'!D14</f>
        <v>104859</v>
      </c>
      <c r="G66" s="50" t="str">
        <f>G64</f>
        <v>*100</v>
      </c>
      <c r="H66" s="89">
        <f>'Balance til analyse'!D14/'Balance til analyse'!D31*100</f>
        <v>322.09798802027336</v>
      </c>
      <c r="I66" s="89">
        <f>'Balance til analyse'!E14/'Balance til analyse'!E31*100</f>
        <v>262.1530731340626</v>
      </c>
      <c r="J66" s="162">
        <f>'Balance til analyse'!F14/'Balance til analyse'!F31*100</f>
        <v>355.2614162806089</v>
      </c>
      <c r="K66" s="239">
        <f t="shared" si="0"/>
        <v>0.102960681201921</v>
      </c>
    </row>
    <row r="67" spans="1:11" ht="12.75">
      <c r="A67" s="177" t="s">
        <v>78</v>
      </c>
      <c r="B67" s="32"/>
      <c r="C67" s="33" t="str">
        <f>C65</f>
        <v>Kortfristet gæld</v>
      </c>
      <c r="D67" s="32"/>
      <c r="E67" s="32"/>
      <c r="F67" s="32">
        <f>'Balance til analyse'!D31</f>
        <v>32555</v>
      </c>
      <c r="G67" s="32"/>
      <c r="H67" s="83"/>
      <c r="I67" s="83"/>
      <c r="J67" s="155"/>
      <c r="K67" s="245"/>
    </row>
    <row r="68" spans="1:11" ht="13.5" thickBot="1">
      <c r="A68" s="174" t="s">
        <v>80</v>
      </c>
      <c r="B68" s="28"/>
      <c r="C68" s="70" t="s">
        <v>1</v>
      </c>
      <c r="D68" s="29" t="str">
        <f>D66</f>
        <v>*100</v>
      </c>
      <c r="E68" s="28"/>
      <c r="F68" s="29">
        <f>'Balance til analyse'!D17</f>
        <v>115385</v>
      </c>
      <c r="G68" s="29" t="s">
        <v>28</v>
      </c>
      <c r="H68" s="100">
        <f>'Balance til analyse'!D17/'Balance til analyse'!D15*100</f>
        <v>74.99886252104336</v>
      </c>
      <c r="I68" s="100">
        <f>'Balance til analyse'!E17/'Balance til analyse'!E15*100</f>
        <v>70.93009506084614</v>
      </c>
      <c r="J68" s="178">
        <f>'Balance til analyse'!F17/'Balance til analyse'!F15*100</f>
        <v>80.77021568832862</v>
      </c>
      <c r="K68" s="239">
        <f t="shared" si="0"/>
        <v>0.07695254265577581</v>
      </c>
    </row>
    <row r="69" spans="1:11" ht="12.75">
      <c r="A69" s="10"/>
      <c r="B69" s="43"/>
      <c r="C69" s="230" t="s">
        <v>81</v>
      </c>
      <c r="D69" s="43"/>
      <c r="E69" s="43"/>
      <c r="F69" s="43">
        <f>'Balance til analyse'!D15</f>
        <v>153849</v>
      </c>
      <c r="G69" s="43"/>
      <c r="H69" s="231"/>
      <c r="I69" s="86"/>
      <c r="J69" s="158"/>
      <c r="K69" s="240"/>
    </row>
    <row r="70" spans="1:11" ht="13.5" thickBot="1">
      <c r="A70" s="152" t="s">
        <v>105</v>
      </c>
      <c r="B70" s="28"/>
      <c r="C70" s="70" t="s">
        <v>106</v>
      </c>
      <c r="D70" s="28"/>
      <c r="E70" s="28"/>
      <c r="F70" s="29">
        <f>'Balance til analyse'!D32</f>
        <v>38464</v>
      </c>
      <c r="G70" s="233"/>
      <c r="H70" s="100">
        <f>'Balance til analyse'!D32/'Balance til analyse'!D17</f>
        <v>0.3333535554881484</v>
      </c>
      <c r="I70" s="100">
        <f>'Balance til analyse'!E32/'Balance til analyse'!E17</f>
        <v>0.409838798527152</v>
      </c>
      <c r="J70" s="178">
        <f>'Balance til analyse'!F32/'Balance til analyse'!F17</f>
        <v>0.23808014065325944</v>
      </c>
      <c r="K70" s="239">
        <f>(J70-H70)/H70</f>
        <v>-0.28580290585284057</v>
      </c>
    </row>
    <row r="71" spans="1:11" ht="12.75">
      <c r="A71" s="154"/>
      <c r="B71" s="32"/>
      <c r="C71" s="69" t="str">
        <f>C68</f>
        <v>Egenkapital</v>
      </c>
      <c r="D71" s="32"/>
      <c r="E71" s="32"/>
      <c r="F71" s="32">
        <f>'Balance til analyse'!D17</f>
        <v>115385</v>
      </c>
      <c r="G71" s="32"/>
      <c r="H71" s="107"/>
      <c r="I71" s="83"/>
      <c r="J71" s="155"/>
      <c r="K71" s="240"/>
    </row>
    <row r="72" spans="1:11" ht="14.25">
      <c r="A72" s="152" t="s">
        <v>107</v>
      </c>
      <c r="B72" s="28"/>
      <c r="C72" s="232" t="s">
        <v>108</v>
      </c>
      <c r="D72" s="28"/>
      <c r="E72" s="28"/>
      <c r="F72" s="234">
        <f>H4</f>
        <v>0.11868130439586867</v>
      </c>
      <c r="G72" s="235">
        <f>H10*-1</f>
        <v>-0.0030418053244592345</v>
      </c>
      <c r="H72" s="236">
        <f>H4-H10</f>
        <v>0.11563949907140944</v>
      </c>
      <c r="I72" s="236">
        <f>I4-I10</f>
        <v>0.20843322980201215</v>
      </c>
      <c r="J72" s="246">
        <f>J4-J10</f>
        <v>0.01954214499150355</v>
      </c>
      <c r="K72" s="239">
        <f>(J72-H72)/H72</f>
        <v>-0.8310080452749459</v>
      </c>
    </row>
    <row r="73" spans="1:11" ht="18">
      <c r="A73" s="247" t="s">
        <v>93</v>
      </c>
      <c r="B73" s="248"/>
      <c r="C73" s="249"/>
      <c r="D73" s="248"/>
      <c r="E73" s="248"/>
      <c r="F73" s="248"/>
      <c r="G73" s="248"/>
      <c r="H73" s="250"/>
      <c r="I73" s="251"/>
      <c r="J73" s="252"/>
      <c r="K73" s="253"/>
    </row>
    <row r="74" spans="1:11" ht="13.5" thickBot="1">
      <c r="A74" s="174" t="s">
        <v>83</v>
      </c>
      <c r="B74" s="28"/>
      <c r="C74" s="70" t="str">
        <f>'Resultatopgørelse til analyse'!A22</f>
        <v>Resultat efter skat</v>
      </c>
      <c r="D74" s="29"/>
      <c r="E74" s="28"/>
      <c r="F74" s="39">
        <f>'Resultatopgørelse til analyse'!B22</f>
        <v>13334</v>
      </c>
      <c r="G74" s="29"/>
      <c r="H74" s="101">
        <f>'Resultatopgørelse til analyse'!B22/'Resultatopgørelse til analyse'!B26</f>
        <v>39.52184426051913</v>
      </c>
      <c r="I74" s="101">
        <f>'Resultatopgørelse til analyse'!C22/'Resultatopgørelse til analyse'!C26</f>
        <v>95.902916702908</v>
      </c>
      <c r="J74" s="179">
        <f>'Resultatopgørelse til analyse'!D22/'Resultatopgørelse til analyse'!D26</f>
        <v>12.405725567620927</v>
      </c>
      <c r="K74" s="239">
        <f aca="true" t="shared" si="1" ref="K74:K90">(J74-H74)/H74</f>
        <v>-0.6861045884942725</v>
      </c>
    </row>
    <row r="75" spans="1:11" ht="12.75">
      <c r="A75" s="154" t="s">
        <v>89</v>
      </c>
      <c r="B75" s="32"/>
      <c r="C75" s="33" t="str">
        <f>'Resultatopgørelse til analyse'!A26</f>
        <v>Antal aktier</v>
      </c>
      <c r="D75" s="32"/>
      <c r="E75" s="32"/>
      <c r="F75" s="2">
        <f>'Resultatopgørelse til analyse'!B26</f>
        <v>337.3830409356725</v>
      </c>
      <c r="G75" s="32"/>
      <c r="H75" s="98"/>
      <c r="I75" s="98"/>
      <c r="J75" s="173"/>
      <c r="K75" s="240"/>
    </row>
    <row r="76" spans="1:11" ht="13.5" thickBot="1">
      <c r="A76" s="152" t="s">
        <v>86</v>
      </c>
      <c r="B76" s="28"/>
      <c r="C76" s="31" t="str">
        <f>'Resultatopgørelse til analyse'!A27</f>
        <v>Børskurs</v>
      </c>
      <c r="D76" s="29"/>
      <c r="E76" s="28"/>
      <c r="F76" s="39">
        <f>'Resultatopgørelse til analyse'!B27</f>
        <v>471</v>
      </c>
      <c r="G76" s="29"/>
      <c r="H76" s="102">
        <f>'Resultatopgørelse til analyse'!B27/'beregning af nøgletal'!H74</f>
        <v>11.917460048050229</v>
      </c>
      <c r="I76" s="102">
        <f>'Resultatopgørelse til analyse'!C27/'beregning af nøgletal'!I74</f>
        <v>8.341769233966813</v>
      </c>
      <c r="J76" s="180">
        <f>'Resultatopgørelse til analyse'!D27/'beregning af nøgletal'!J74</f>
        <v>41.9161295456354</v>
      </c>
      <c r="K76" s="239">
        <f t="shared" si="1"/>
        <v>2.5172032779327957</v>
      </c>
    </row>
    <row r="77" spans="1:11" ht="12.75">
      <c r="A77" s="154" t="s">
        <v>90</v>
      </c>
      <c r="B77" s="32"/>
      <c r="C77" s="33" t="str">
        <f>A74</f>
        <v>Resultat pr. aktie</v>
      </c>
      <c r="D77" s="32"/>
      <c r="E77" s="32"/>
      <c r="F77" s="75">
        <f>H74</f>
        <v>39.52184426051913</v>
      </c>
      <c r="G77" s="32"/>
      <c r="H77" s="83"/>
      <c r="I77" s="83"/>
      <c r="J77" s="155"/>
      <c r="K77" s="240"/>
    </row>
    <row r="78" spans="1:11" ht="13.5" thickBot="1">
      <c r="A78" s="152" t="s">
        <v>87</v>
      </c>
      <c r="B78" s="28"/>
      <c r="C78" s="31" t="str">
        <f>'Balance til analyse'!A17</f>
        <v>Egenkapital</v>
      </c>
      <c r="D78" s="29"/>
      <c r="E78" s="28"/>
      <c r="F78" s="39">
        <f>'Balance til analyse'!D17</f>
        <v>115385</v>
      </c>
      <c r="G78" s="29"/>
      <c r="H78" s="89">
        <f>'Balance til analyse'!D17/'Resultatopgørelse til analyse'!B26</f>
        <v>342</v>
      </c>
      <c r="I78" s="89">
        <f>'Balance til analyse'!E17/'Resultatopgørelse til analyse'!C26</f>
        <v>409</v>
      </c>
      <c r="J78" s="162">
        <f>'Balance til analyse'!F17/'Resultatopgørelse til analyse'!D26</f>
        <v>411</v>
      </c>
      <c r="K78" s="239">
        <f t="shared" si="1"/>
        <v>0.20175438596491227</v>
      </c>
    </row>
    <row r="79" spans="1:11" ht="12.75">
      <c r="A79" s="154"/>
      <c r="B79" s="32"/>
      <c r="C79" s="33" t="str">
        <f>C75</f>
        <v>Antal aktier</v>
      </c>
      <c r="D79" s="32"/>
      <c r="E79" s="32"/>
      <c r="F79" s="2">
        <f>F75</f>
        <v>337.3830409356725</v>
      </c>
      <c r="G79" s="32"/>
      <c r="H79" s="83"/>
      <c r="I79" s="103"/>
      <c r="J79" s="138"/>
      <c r="K79" s="240"/>
    </row>
    <row r="80" spans="1:11" ht="13.5" thickBot="1">
      <c r="A80" s="152" t="s">
        <v>88</v>
      </c>
      <c r="B80" s="28"/>
      <c r="C80" s="31" t="str">
        <f>C76</f>
        <v>Børskurs</v>
      </c>
      <c r="D80" s="29"/>
      <c r="E80" s="28"/>
      <c r="F80" s="39">
        <f>F76</f>
        <v>471</v>
      </c>
      <c r="G80" s="29"/>
      <c r="H80" s="104">
        <f>'Resultatopgørelse til analyse'!B27/'beregning af nøgletal'!H78</f>
        <v>1.3771929824561404</v>
      </c>
      <c r="I80" s="104">
        <f>'Resultatopgørelse til analyse'!C27/'beregning af nøgletal'!I78</f>
        <v>1.9559902200488997</v>
      </c>
      <c r="J80" s="181">
        <f>'Resultatopgørelse til analyse'!D27/'beregning af nøgletal'!J78</f>
        <v>1.2652068126520681</v>
      </c>
      <c r="K80" s="239">
        <f t="shared" si="1"/>
        <v>-0.08131479845646013</v>
      </c>
    </row>
    <row r="81" spans="1:11" ht="12.75">
      <c r="A81" s="154"/>
      <c r="B81" s="32"/>
      <c r="C81" s="33" t="str">
        <f>A78</f>
        <v>Indre værdi pr. aktie</v>
      </c>
      <c r="D81" s="32"/>
      <c r="E81" s="32"/>
      <c r="F81" s="42">
        <f>H78</f>
        <v>342</v>
      </c>
      <c r="G81" s="32"/>
      <c r="H81" s="83"/>
      <c r="I81" s="103"/>
      <c r="J81" s="138"/>
      <c r="K81" s="240"/>
    </row>
    <row r="82" spans="1:11" ht="13.5" thickBot="1">
      <c r="A82" s="152" t="s">
        <v>19</v>
      </c>
      <c r="B82" s="28"/>
      <c r="C82" s="31" t="str">
        <f>C22</f>
        <v>Nettoomsætning</v>
      </c>
      <c r="D82" s="29"/>
      <c r="E82" s="28"/>
      <c r="F82" s="53">
        <f>F30</f>
        <v>176004</v>
      </c>
      <c r="G82" s="29"/>
      <c r="H82" s="89">
        <f>'Resultatopgørelse til analyse'!B3/'Resultatopgørelse til analyse'!B25</f>
        <v>1189.2162162162163</v>
      </c>
      <c r="I82" s="89">
        <f>'Resultatopgørelse til analyse'!C3/'Resultatopgørelse til analyse'!C25</f>
        <v>1486.9301075268818</v>
      </c>
      <c r="J82" s="162">
        <f>'Resultatopgørelse til analyse'!D3/'Resultatopgørelse til analyse'!D25</f>
        <v>949.4594594594595</v>
      </c>
      <c r="K82" s="239">
        <f t="shared" si="1"/>
        <v>-0.2016090543396741</v>
      </c>
    </row>
    <row r="83" spans="1:11" ht="12.75">
      <c r="A83" s="154"/>
      <c r="B83" s="32"/>
      <c r="C83" s="33" t="str">
        <f>'Resultatopgørelse til analyse'!A25</f>
        <v>Antal ansatte</v>
      </c>
      <c r="D83" s="32"/>
      <c r="E83" s="32"/>
      <c r="F83" s="54">
        <f>'Resultatopgørelse til analyse'!B25</f>
        <v>148</v>
      </c>
      <c r="G83" s="32"/>
      <c r="H83" s="93"/>
      <c r="I83" s="93"/>
      <c r="J83" s="167"/>
      <c r="K83" s="240"/>
    </row>
    <row r="84" spans="1:11" ht="12.75">
      <c r="A84" s="182" t="s">
        <v>95</v>
      </c>
      <c r="B84" s="132">
        <f>B31</f>
        <v>2000</v>
      </c>
      <c r="C84" s="133" t="s">
        <v>94</v>
      </c>
      <c r="D84" s="132"/>
      <c r="E84" s="132"/>
      <c r="F84" s="132" t="str">
        <f>F31</f>
        <v>Eksempel for året</v>
      </c>
      <c r="G84" s="134">
        <f>G31</f>
        <v>2002</v>
      </c>
      <c r="H84" s="135"/>
      <c r="I84" s="136"/>
      <c r="J84" s="183"/>
      <c r="K84" s="242"/>
    </row>
    <row r="85" spans="1:11" ht="13.5" thickBot="1">
      <c r="A85" s="152" t="str">
        <f>'Balance til analyse'!A6</f>
        <v>Anlægsaktiver i alt</v>
      </c>
      <c r="B85" s="28"/>
      <c r="C85" s="31" t="str">
        <f>C32</f>
        <v>Årets tal</v>
      </c>
      <c r="D85" s="29" t="str">
        <f>D32</f>
        <v>*100</v>
      </c>
      <c r="E85" s="28"/>
      <c r="F85" s="39">
        <f>'Balance til analyse'!E6</f>
        <v>61986</v>
      </c>
      <c r="G85" s="29" t="str">
        <f>D85</f>
        <v>*100</v>
      </c>
      <c r="H85" s="105">
        <f>'Balance til analyse'!D6/'Balance til analyse'!$D$6*100</f>
        <v>100</v>
      </c>
      <c r="I85" s="89">
        <f>'Balance til analyse'!E6/'Balance til analyse'!$D$6*100</f>
        <v>126.5278628291488</v>
      </c>
      <c r="J85" s="184">
        <f>'Balance til analyse'!F6/'Balance til analyse'!$D$6*100</f>
        <v>153.49663196570728</v>
      </c>
      <c r="K85" s="239">
        <f t="shared" si="1"/>
        <v>0.5349663196570728</v>
      </c>
    </row>
    <row r="86" spans="1:11" ht="12.75">
      <c r="A86" s="154"/>
      <c r="B86" s="32"/>
      <c r="C86" s="33" t="str">
        <f>C33</f>
        <v>Basisårets tal</v>
      </c>
      <c r="D86" s="32"/>
      <c r="E86" s="32"/>
      <c r="F86" s="2">
        <f>'Balance til analyse'!D6</f>
        <v>48990</v>
      </c>
      <c r="G86" s="32"/>
      <c r="H86" s="83"/>
      <c r="I86" s="83"/>
      <c r="J86" s="185"/>
      <c r="K86" s="240"/>
    </row>
    <row r="87" spans="1:11" ht="12.75">
      <c r="A87" s="154" t="str">
        <f>'Balance til analyse'!A14</f>
        <v>Omsætningsaktiver i alt </v>
      </c>
      <c r="B87" s="43"/>
      <c r="C87" s="43"/>
      <c r="D87" s="43"/>
      <c r="E87" s="43"/>
      <c r="F87" s="43"/>
      <c r="G87" s="43"/>
      <c r="H87" s="83">
        <f>'Balance til analyse'!D14/'Balance til analyse'!$D$14*100</f>
        <v>100</v>
      </c>
      <c r="I87" s="103">
        <f>'Balance til analyse'!E14/'Balance til analyse'!$D$14*100</f>
        <v>126.38018672693806</v>
      </c>
      <c r="J87" s="11">
        <f>'Balance til analyse'!F14/'Balance til analyse'!$D$14*100</f>
        <v>92.14659685863874</v>
      </c>
      <c r="K87" s="245">
        <f t="shared" si="1"/>
        <v>-0.07853403141361255</v>
      </c>
    </row>
    <row r="88" spans="1:11" ht="12.75">
      <c r="A88" s="10" t="str">
        <f>'Balance til analyse'!A17</f>
        <v>Egenkapital</v>
      </c>
      <c r="B88" s="76"/>
      <c r="C88" s="76"/>
      <c r="D88" s="76"/>
      <c r="E88" s="76"/>
      <c r="F88" s="76"/>
      <c r="G88" s="76"/>
      <c r="H88" s="86">
        <f>'Balance til analyse'!D17/'Balance til analyse'!$D$17*100</f>
        <v>100</v>
      </c>
      <c r="I88" s="115">
        <f>'Balance til analyse'!E17/'Balance til analyse'!$D$17*100</f>
        <v>119.56840143866188</v>
      </c>
      <c r="J88" s="117">
        <f>'Balance til analyse'!F17/'Balance til analyse'!$D$17*100</f>
        <v>120.2764657451142</v>
      </c>
      <c r="K88" s="239">
        <f t="shared" si="1"/>
        <v>0.20276465745114194</v>
      </c>
    </row>
    <row r="89" spans="1:11" ht="12.75" hidden="1">
      <c r="A89" s="168" t="str">
        <f>'Balance til analyse'!A24</f>
        <v>Langfristet gæld i alt</v>
      </c>
      <c r="B89" s="76"/>
      <c r="C89" s="76"/>
      <c r="D89" s="76"/>
      <c r="E89" s="76"/>
      <c r="F89" s="76"/>
      <c r="G89" s="76"/>
      <c r="H89" s="91" t="e">
        <f>'Balance til analyse'!D24/'Balance til analyse'!$D$24*100</f>
        <v>#DIV/0!</v>
      </c>
      <c r="I89" s="131" t="e">
        <f>'Balance til analyse'!E24/'Balance til analyse'!$D$24*100</f>
        <v>#DIV/0!</v>
      </c>
      <c r="J89" s="186" t="e">
        <f>'Balance til analyse'!F24/'Balance til analyse'!$D$24*100</f>
        <v>#DIV/0!</v>
      </c>
      <c r="K89" s="239" t="e">
        <f t="shared" si="1"/>
        <v>#DIV/0!</v>
      </c>
    </row>
    <row r="90" spans="1:11" ht="13.5" thickBot="1">
      <c r="A90" s="187" t="str">
        <f>'Balance til analyse'!A31</f>
        <v>Kortfristet gæld i alt</v>
      </c>
      <c r="B90" s="4"/>
      <c r="C90" s="4"/>
      <c r="D90" s="4"/>
      <c r="E90" s="4"/>
      <c r="F90" s="4"/>
      <c r="G90" s="4"/>
      <c r="H90" s="188">
        <f>'Balance til analyse'!D31/'Balance til analyse'!$D$31*100</f>
        <v>100</v>
      </c>
      <c r="I90" s="189">
        <f>'Balance til analyse'!E31/'Balance til analyse'!$D$31*100</f>
        <v>155.27875902319153</v>
      </c>
      <c r="J90" s="190">
        <f>'Balance til analyse'!F31/'Balance til analyse'!$D$31*100</f>
        <v>83.54477038857318</v>
      </c>
      <c r="K90" s="243">
        <f t="shared" si="1"/>
        <v>-0.16455229611426817</v>
      </c>
    </row>
    <row r="91" spans="9:11" ht="12.75">
      <c r="I91" s="1"/>
      <c r="J91" s="1"/>
      <c r="K91" s="1"/>
    </row>
    <row r="92" spans="9:11" ht="12.75">
      <c r="I92" s="1"/>
      <c r="J92" s="1"/>
      <c r="K92" s="1"/>
    </row>
    <row r="93" spans="9:11" ht="12.75">
      <c r="I93" s="1"/>
      <c r="J93" s="1"/>
      <c r="K93" s="1"/>
    </row>
    <row r="94" spans="9:11" ht="12.75">
      <c r="I94" s="1"/>
      <c r="J94" s="1"/>
      <c r="K94" s="1"/>
    </row>
    <row r="95" spans="9:11" ht="12.75">
      <c r="I95" s="1"/>
      <c r="J95" s="1"/>
      <c r="K95" s="1"/>
    </row>
    <row r="96" spans="9:11" ht="12.75">
      <c r="I96" s="1"/>
      <c r="J96" s="1"/>
      <c r="K96" s="1"/>
    </row>
    <row r="97" spans="9:11" ht="12.75">
      <c r="I97" s="1"/>
      <c r="J97" s="1"/>
      <c r="K97" s="1"/>
    </row>
    <row r="98" spans="9:11" ht="12.75">
      <c r="I98" s="1"/>
      <c r="J98" s="1"/>
      <c r="K98" s="1"/>
    </row>
    <row r="99" spans="9:11" ht="12.75">
      <c r="I99" s="1"/>
      <c r="J99" s="1"/>
      <c r="K99" s="1"/>
    </row>
    <row r="100" spans="9:11" ht="12.75">
      <c r="I100" s="1"/>
      <c r="J100" s="1"/>
      <c r="K100" s="1"/>
    </row>
    <row r="101" spans="9:11" ht="12.75">
      <c r="I101" s="1"/>
      <c r="J101" s="1"/>
      <c r="K101" s="1"/>
    </row>
    <row r="102" spans="9:11" ht="12.75">
      <c r="I102" s="1"/>
      <c r="J102" s="1"/>
      <c r="K102" s="1"/>
    </row>
    <row r="103" spans="9:11" ht="12.75">
      <c r="I103" s="1"/>
      <c r="J103" s="1"/>
      <c r="K103" s="1"/>
    </row>
    <row r="104" spans="9:11" ht="12.75">
      <c r="I104" s="1"/>
      <c r="J104" s="1"/>
      <c r="K104" s="1"/>
    </row>
    <row r="105" spans="9:11" ht="12.75">
      <c r="I105" s="1"/>
      <c r="J105" s="1"/>
      <c r="K105" s="1"/>
    </row>
    <row r="106" spans="9:11" ht="12.75">
      <c r="I106" s="1"/>
      <c r="J106" s="1"/>
      <c r="K106" s="1"/>
    </row>
    <row r="107" spans="9:11" ht="12.75">
      <c r="I107" s="1"/>
      <c r="J107" s="1"/>
      <c r="K107" s="1"/>
    </row>
    <row r="108" spans="9:11" ht="12.75">
      <c r="I108" s="1"/>
      <c r="J108" s="1"/>
      <c r="K108" s="1"/>
    </row>
    <row r="109" spans="9:11" ht="12.75">
      <c r="I109" s="1"/>
      <c r="J109" s="1"/>
      <c r="K109" s="1"/>
    </row>
    <row r="110" spans="9:11" ht="12.75">
      <c r="I110" s="1"/>
      <c r="J110" s="1"/>
      <c r="K110" s="1"/>
    </row>
    <row r="111" spans="9:11" ht="12.75">
      <c r="I111" s="1"/>
      <c r="J111" s="1"/>
      <c r="K111" s="1"/>
    </row>
    <row r="112" spans="9:11" ht="12.75">
      <c r="I112" s="1"/>
      <c r="J112" s="1"/>
      <c r="K112" s="1"/>
    </row>
    <row r="113" spans="9:11" ht="12.75">
      <c r="I113" s="1"/>
      <c r="J113" s="1"/>
      <c r="K113" s="1"/>
    </row>
    <row r="114" spans="9:11" ht="12.75">
      <c r="I114" s="1"/>
      <c r="J114" s="1"/>
      <c r="K114" s="1"/>
    </row>
    <row r="115" spans="9:11" ht="12.75">
      <c r="I115" s="1"/>
      <c r="J115" s="1"/>
      <c r="K115" s="1"/>
    </row>
    <row r="116" spans="9:11" ht="12.75">
      <c r="I116" s="1"/>
      <c r="J116" s="1"/>
      <c r="K116" s="1"/>
    </row>
    <row r="117" spans="9:11" ht="12.75">
      <c r="I117" s="1"/>
      <c r="J117" s="1"/>
      <c r="K117" s="1"/>
    </row>
    <row r="118" spans="9:11" ht="12.75">
      <c r="I118" s="1"/>
      <c r="J118" s="1"/>
      <c r="K118" s="1"/>
    </row>
    <row r="119" spans="9:11" ht="12.75">
      <c r="I119" s="1"/>
      <c r="J119" s="1"/>
      <c r="K119" s="1"/>
    </row>
    <row r="120" spans="9:11" ht="12.75">
      <c r="I120" s="1"/>
      <c r="J120" s="1"/>
      <c r="K120" s="1"/>
    </row>
    <row r="121" spans="9:11" ht="12.75">
      <c r="I121" s="1"/>
      <c r="J121" s="1"/>
      <c r="K121" s="1"/>
    </row>
    <row r="122" spans="9:11" ht="12.75">
      <c r="I122" s="1"/>
      <c r="J122" s="1"/>
      <c r="K122" s="1"/>
    </row>
    <row r="123" spans="9:11" ht="12.75">
      <c r="I123" s="1"/>
      <c r="J123" s="1"/>
      <c r="K123" s="1"/>
    </row>
    <row r="124" spans="9:11" ht="12.75">
      <c r="I124" s="1"/>
      <c r="J124" s="1"/>
      <c r="K124" s="1"/>
    </row>
    <row r="125" spans="9:11" ht="12.75">
      <c r="I125" s="1"/>
      <c r="J125" s="1"/>
      <c r="K125" s="1"/>
    </row>
    <row r="126" spans="9:11" ht="12.75">
      <c r="I126" s="1"/>
      <c r="J126" s="1"/>
      <c r="K126" s="1"/>
    </row>
    <row r="127" spans="9:11" ht="12.75">
      <c r="I127" s="1"/>
      <c r="J127" s="1"/>
      <c r="K127" s="1"/>
    </row>
    <row r="128" spans="9:11" ht="12.75">
      <c r="I128" s="1"/>
      <c r="J128" s="1"/>
      <c r="K128" s="1"/>
    </row>
    <row r="129" spans="9:11" ht="12.75">
      <c r="I129" s="1"/>
      <c r="J129" s="1"/>
      <c r="K129" s="1"/>
    </row>
    <row r="130" spans="9:11" ht="12.75">
      <c r="I130" s="1"/>
      <c r="J130" s="1"/>
      <c r="K130" s="1"/>
    </row>
    <row r="131" spans="9:11" ht="12.75">
      <c r="I131" s="1"/>
      <c r="J131" s="1"/>
      <c r="K131" s="1"/>
    </row>
    <row r="132" spans="9:11" ht="12.75">
      <c r="I132" s="1"/>
      <c r="J132" s="1"/>
      <c r="K132" s="1"/>
    </row>
    <row r="133" spans="9:11" ht="12.75">
      <c r="I133" s="1"/>
      <c r="J133" s="1"/>
      <c r="K133" s="1"/>
    </row>
    <row r="134" spans="9:11" ht="12.75">
      <c r="I134" s="1"/>
      <c r="J134" s="1"/>
      <c r="K134" s="1"/>
    </row>
    <row r="135" spans="9:11" ht="12.75">
      <c r="I135" s="1"/>
      <c r="J135" s="1"/>
      <c r="K135" s="1"/>
    </row>
    <row r="136" spans="9:11" ht="12.75">
      <c r="I136" s="1"/>
      <c r="J136" s="1"/>
      <c r="K136" s="1"/>
    </row>
    <row r="137" spans="9:11" ht="12.75">
      <c r="I137" s="1"/>
      <c r="J137" s="1"/>
      <c r="K137" s="1"/>
    </row>
    <row r="138" spans="9:11" ht="12.75">
      <c r="I138" s="1"/>
      <c r="J138" s="1"/>
      <c r="K138" s="1"/>
    </row>
    <row r="139" spans="9:11" ht="12.75">
      <c r="I139" s="1"/>
      <c r="J139" s="1"/>
      <c r="K139" s="1"/>
    </row>
    <row r="140" spans="9:11" ht="12.75">
      <c r="I140" s="1"/>
      <c r="J140" s="1"/>
      <c r="K140" s="1"/>
    </row>
    <row r="141" spans="9:11" ht="12.75">
      <c r="I141" s="1"/>
      <c r="J141" s="1"/>
      <c r="K141" s="1"/>
    </row>
    <row r="142" spans="9:11" ht="12.75">
      <c r="I142" s="1"/>
      <c r="J142" s="1"/>
      <c r="K142" s="1"/>
    </row>
    <row r="143" spans="9:11" ht="12.75">
      <c r="I143" s="1"/>
      <c r="J143" s="1"/>
      <c r="K143" s="1"/>
    </row>
    <row r="144" spans="9:11" ht="12.75">
      <c r="I144" s="1"/>
      <c r="J144" s="1"/>
      <c r="K144" s="1"/>
    </row>
    <row r="145" spans="9:11" ht="12.75">
      <c r="I145" s="1"/>
      <c r="J145" s="1"/>
      <c r="K145" s="1"/>
    </row>
    <row r="146" spans="9:11" ht="12.75">
      <c r="I146" s="1"/>
      <c r="J146" s="1"/>
      <c r="K146" s="1"/>
    </row>
    <row r="147" spans="9:11" ht="12.75">
      <c r="I147" s="1"/>
      <c r="J147" s="1"/>
      <c r="K147" s="1"/>
    </row>
    <row r="148" spans="9:11" ht="12.75">
      <c r="I148" s="1"/>
      <c r="J148" s="1"/>
      <c r="K148" s="1"/>
    </row>
    <row r="149" spans="9:11" ht="12.75">
      <c r="I149" s="1"/>
      <c r="J149" s="1"/>
      <c r="K149" s="1"/>
    </row>
    <row r="150" spans="9:11" ht="12.75">
      <c r="I150" s="1"/>
      <c r="J150" s="1"/>
      <c r="K150" s="1"/>
    </row>
    <row r="151" spans="9:11" ht="12.75">
      <c r="I151" s="1"/>
      <c r="J151" s="1"/>
      <c r="K151" s="1"/>
    </row>
    <row r="152" spans="9:11" ht="12.75">
      <c r="I152" s="1"/>
      <c r="J152" s="1"/>
      <c r="K152" s="1"/>
    </row>
    <row r="153" spans="9:11" ht="12.75">
      <c r="I153" s="1"/>
      <c r="J153" s="1"/>
      <c r="K153" s="1"/>
    </row>
    <row r="154" spans="9:11" ht="12.75">
      <c r="I154" s="1"/>
      <c r="J154" s="1"/>
      <c r="K154" s="1"/>
    </row>
    <row r="155" spans="9:11" ht="12.75">
      <c r="I155" s="1"/>
      <c r="J155" s="1"/>
      <c r="K155" s="1"/>
    </row>
    <row r="156" spans="9:11" ht="12.75">
      <c r="I156" s="1"/>
      <c r="J156" s="1"/>
      <c r="K156" s="1"/>
    </row>
    <row r="157" spans="9:11" ht="12.75">
      <c r="I157" s="1"/>
      <c r="J157" s="1"/>
      <c r="K157" s="1"/>
    </row>
    <row r="158" spans="9:11" ht="12.75">
      <c r="I158" s="1"/>
      <c r="J158" s="1"/>
      <c r="K158" s="1"/>
    </row>
    <row r="159" spans="9:11" ht="12.75">
      <c r="I159" s="1"/>
      <c r="J159" s="1"/>
      <c r="K159" s="1"/>
    </row>
    <row r="160" spans="9:11" ht="12.75">
      <c r="I160" s="1"/>
      <c r="J160" s="1"/>
      <c r="K160" s="1"/>
    </row>
    <row r="161" spans="9:11" ht="12.75">
      <c r="I161" s="1"/>
      <c r="J161" s="1"/>
      <c r="K161" s="1"/>
    </row>
    <row r="162" spans="9:11" ht="12.75">
      <c r="I162" s="1"/>
      <c r="J162" s="1"/>
      <c r="K162" s="1"/>
    </row>
    <row r="163" spans="9:11" ht="12.75">
      <c r="I163" s="1"/>
      <c r="J163" s="1"/>
      <c r="K163" s="1"/>
    </row>
    <row r="164" spans="9:11" ht="12.75">
      <c r="I164" s="1"/>
      <c r="J164" s="1"/>
      <c r="K164" s="1"/>
    </row>
    <row r="165" spans="9:11" ht="12.75">
      <c r="I165" s="1"/>
      <c r="J165" s="1"/>
      <c r="K165" s="1"/>
    </row>
    <row r="166" spans="9:11" ht="12.75">
      <c r="I166" s="1"/>
      <c r="J166" s="1"/>
      <c r="K166" s="1"/>
    </row>
    <row r="167" spans="9:11" ht="12.75">
      <c r="I167" s="1"/>
      <c r="J167" s="1"/>
      <c r="K167" s="1"/>
    </row>
    <row r="168" spans="9:11" ht="12.75">
      <c r="I168" s="1"/>
      <c r="J168" s="1"/>
      <c r="K168" s="1"/>
    </row>
    <row r="169" spans="9:11" ht="12.75">
      <c r="I169" s="1"/>
      <c r="J169" s="1"/>
      <c r="K169" s="1"/>
    </row>
    <row r="170" spans="9:11" ht="12.75">
      <c r="I170" s="1"/>
      <c r="J170" s="1"/>
      <c r="K170" s="1"/>
    </row>
    <row r="171" spans="9:11" ht="12.75">
      <c r="I171" s="1"/>
      <c r="J171" s="1"/>
      <c r="K171" s="1"/>
    </row>
    <row r="172" spans="9:11" ht="12.75">
      <c r="I172" s="1"/>
      <c r="J172" s="1"/>
      <c r="K172" s="1"/>
    </row>
    <row r="173" spans="9:11" ht="12.75">
      <c r="I173" s="1"/>
      <c r="J173" s="1"/>
      <c r="K173" s="1"/>
    </row>
    <row r="174" spans="9:11" ht="12.75">
      <c r="I174" s="1"/>
      <c r="J174" s="1"/>
      <c r="K174" s="1"/>
    </row>
    <row r="175" spans="9:11" ht="12.75">
      <c r="I175" s="1"/>
      <c r="J175" s="1"/>
      <c r="K175" s="1"/>
    </row>
    <row r="176" spans="9:11" ht="12.75">
      <c r="I176" s="1"/>
      <c r="J176" s="1"/>
      <c r="K176" s="1"/>
    </row>
    <row r="177" spans="9:11" ht="12.75">
      <c r="I177" s="1"/>
      <c r="J177" s="1"/>
      <c r="K177" s="1"/>
    </row>
    <row r="178" spans="9:11" ht="12.75">
      <c r="I178" s="1"/>
      <c r="J178" s="1"/>
      <c r="K178" s="1"/>
    </row>
    <row r="179" spans="9:11" ht="12.75">
      <c r="I179" s="1"/>
      <c r="J179" s="1"/>
      <c r="K179" s="1"/>
    </row>
    <row r="180" spans="9:11" ht="12.75">
      <c r="I180" s="1"/>
      <c r="J180" s="1"/>
      <c r="K180" s="1"/>
    </row>
    <row r="181" spans="9:11" ht="12.75">
      <c r="I181" s="1"/>
      <c r="J181" s="1"/>
      <c r="K181" s="1"/>
    </row>
    <row r="182" spans="9:11" ht="12.75">
      <c r="I182" s="1"/>
      <c r="J182" s="1"/>
      <c r="K182" s="1"/>
    </row>
    <row r="183" spans="9:11" ht="12.75">
      <c r="I183" s="1"/>
      <c r="J183" s="1"/>
      <c r="K183" s="1"/>
    </row>
    <row r="184" spans="9:11" ht="12.75">
      <c r="I184" s="1"/>
      <c r="J184" s="1"/>
      <c r="K184" s="1"/>
    </row>
    <row r="185" spans="9:11" ht="12.75">
      <c r="I185" s="1"/>
      <c r="J185" s="1"/>
      <c r="K185" s="1"/>
    </row>
    <row r="186" spans="9:11" ht="12.75">
      <c r="I186" s="1"/>
      <c r="J186" s="1"/>
      <c r="K186" s="1"/>
    </row>
    <row r="187" spans="9:11" ht="12.75">
      <c r="I187" s="1"/>
      <c r="J187" s="1"/>
      <c r="K187" s="1"/>
    </row>
    <row r="188" spans="9:11" ht="12.75">
      <c r="I188" s="1"/>
      <c r="J188" s="1"/>
      <c r="K188" s="1"/>
    </row>
    <row r="189" spans="9:11" ht="12.75">
      <c r="I189" s="1"/>
      <c r="J189" s="1"/>
      <c r="K189" s="1"/>
    </row>
    <row r="190" spans="9:11" ht="12.75">
      <c r="I190" s="1"/>
      <c r="J190" s="1"/>
      <c r="K190" s="1"/>
    </row>
    <row r="191" spans="9:11" ht="12.75">
      <c r="I191" s="1"/>
      <c r="J191" s="1"/>
      <c r="K191" s="1"/>
    </row>
    <row r="192" spans="9:11" ht="12.75">
      <c r="I192" s="1"/>
      <c r="J192" s="1"/>
      <c r="K192" s="1"/>
    </row>
    <row r="193" spans="9:11" ht="12.75">
      <c r="I193" s="1"/>
      <c r="J193" s="1"/>
      <c r="K193" s="1"/>
    </row>
    <row r="194" spans="9:11" ht="12.75">
      <c r="I194" s="1"/>
      <c r="J194" s="1"/>
      <c r="K194" s="1"/>
    </row>
    <row r="195" spans="9:11" ht="12.75">
      <c r="I195" s="1"/>
      <c r="J195" s="1"/>
      <c r="K195" s="1"/>
    </row>
    <row r="196" spans="9:11" ht="12.75">
      <c r="I196" s="1"/>
      <c r="J196" s="1"/>
      <c r="K196" s="1"/>
    </row>
    <row r="197" spans="9:11" ht="12.75">
      <c r="I197" s="1"/>
      <c r="J197" s="1"/>
      <c r="K197" s="1"/>
    </row>
    <row r="198" spans="9:11" ht="12.75">
      <c r="I198" s="1"/>
      <c r="J198" s="1"/>
      <c r="K198" s="1"/>
    </row>
    <row r="199" spans="9:11" ht="12.75">
      <c r="I199" s="1"/>
      <c r="J199" s="1"/>
      <c r="K199" s="1"/>
    </row>
    <row r="200" spans="9:11" ht="12.75">
      <c r="I200" s="1"/>
      <c r="J200" s="1"/>
      <c r="K200" s="1"/>
    </row>
    <row r="201" spans="9:11" ht="12.75">
      <c r="I201" s="1"/>
      <c r="J201" s="1"/>
      <c r="K201" s="1"/>
    </row>
    <row r="202" spans="9:11" ht="12.75">
      <c r="I202" s="1"/>
      <c r="J202" s="1"/>
      <c r="K202" s="1"/>
    </row>
    <row r="203" spans="9:11" ht="12.75">
      <c r="I203" s="1"/>
      <c r="J203" s="1"/>
      <c r="K203" s="1"/>
    </row>
    <row r="204" spans="9:11" ht="12.75">
      <c r="I204" s="1"/>
      <c r="J204" s="1"/>
      <c r="K204" s="1"/>
    </row>
    <row r="205" spans="9:11" ht="12.75">
      <c r="I205" s="1"/>
      <c r="J205" s="1"/>
      <c r="K205" s="1"/>
    </row>
    <row r="206" spans="9:11" ht="12.75">
      <c r="I206" s="1"/>
      <c r="J206" s="1"/>
      <c r="K206" s="1"/>
    </row>
    <row r="207" spans="9:11" ht="12.75">
      <c r="I207" s="1"/>
      <c r="J207" s="1"/>
      <c r="K207" s="1"/>
    </row>
    <row r="208" spans="9:11" ht="12.75">
      <c r="I208" s="1"/>
      <c r="J208" s="1"/>
      <c r="K208" s="1"/>
    </row>
    <row r="209" spans="9:11" ht="12.75">
      <c r="I209" s="1"/>
      <c r="J209" s="1"/>
      <c r="K209" s="1"/>
    </row>
    <row r="210" spans="9:11" ht="12.75">
      <c r="I210" s="1"/>
      <c r="J210" s="1"/>
      <c r="K210" s="1"/>
    </row>
    <row r="211" spans="9:11" ht="12.75">
      <c r="I211" s="1"/>
      <c r="J211" s="1"/>
      <c r="K211" s="1"/>
    </row>
    <row r="212" spans="9:11" ht="12.75">
      <c r="I212" s="1"/>
      <c r="J212" s="1"/>
      <c r="K212" s="1"/>
    </row>
    <row r="213" spans="9:11" ht="12.75">
      <c r="I213" s="1"/>
      <c r="J213" s="1"/>
      <c r="K213" s="1"/>
    </row>
    <row r="214" spans="9:11" ht="12.75">
      <c r="I214" s="1"/>
      <c r="J214" s="1"/>
      <c r="K214" s="1"/>
    </row>
    <row r="215" spans="9:11" ht="12.75">
      <c r="I215" s="1"/>
      <c r="J215" s="1"/>
      <c r="K215" s="1"/>
    </row>
    <row r="216" spans="9:11" ht="12.75">
      <c r="I216" s="1"/>
      <c r="J216" s="1"/>
      <c r="K216" s="1"/>
    </row>
    <row r="217" spans="9:11" ht="12.75">
      <c r="I217" s="1"/>
      <c r="J217" s="1"/>
      <c r="K217" s="1"/>
    </row>
    <row r="218" spans="9:11" ht="12.75">
      <c r="I218" s="1"/>
      <c r="J218" s="1"/>
      <c r="K218" s="1"/>
    </row>
    <row r="219" spans="9:11" ht="12.75">
      <c r="I219" s="1"/>
      <c r="J219" s="1"/>
      <c r="K219" s="1"/>
    </row>
    <row r="220" spans="9:11" ht="12.75">
      <c r="I220" s="1"/>
      <c r="J220" s="1"/>
      <c r="K220" s="1"/>
    </row>
    <row r="221" spans="9:11" ht="12.75">
      <c r="I221" s="1"/>
      <c r="J221" s="1"/>
      <c r="K221" s="1"/>
    </row>
    <row r="222" spans="9:11" ht="12.75">
      <c r="I222" s="1"/>
      <c r="J222" s="1"/>
      <c r="K222" s="1"/>
    </row>
    <row r="223" spans="9:11" ht="12.75">
      <c r="I223" s="1"/>
      <c r="J223" s="1"/>
      <c r="K223" s="1"/>
    </row>
    <row r="224" spans="9:11" ht="12.75">
      <c r="I224" s="1"/>
      <c r="J224" s="1"/>
      <c r="K224" s="1"/>
    </row>
    <row r="225" spans="9:11" ht="12.75">
      <c r="I225" s="1"/>
      <c r="J225" s="1"/>
      <c r="K225" s="1"/>
    </row>
    <row r="226" spans="9:11" ht="12.75">
      <c r="I226" s="1"/>
      <c r="J226" s="1"/>
      <c r="K226" s="1"/>
    </row>
    <row r="227" spans="9:11" ht="12.75">
      <c r="I227" s="1"/>
      <c r="J227" s="1"/>
      <c r="K227" s="1"/>
    </row>
    <row r="228" spans="9:11" ht="12.75">
      <c r="I228" s="1"/>
      <c r="J228" s="1"/>
      <c r="K228" s="1"/>
    </row>
    <row r="229" spans="9:11" ht="12.75">
      <c r="I229" s="1"/>
      <c r="J229" s="1"/>
      <c r="K229" s="1"/>
    </row>
    <row r="230" spans="9:11" ht="12.75">
      <c r="I230" s="1"/>
      <c r="J230" s="1"/>
      <c r="K230" s="1"/>
    </row>
    <row r="231" spans="9:11" ht="12.75">
      <c r="I231" s="1"/>
      <c r="J231" s="1"/>
      <c r="K231" s="1"/>
    </row>
    <row r="232" spans="9:11" ht="12.75">
      <c r="I232" s="1"/>
      <c r="J232" s="1"/>
      <c r="K232" s="1"/>
    </row>
    <row r="233" spans="9:11" ht="12.75">
      <c r="I233" s="1"/>
      <c r="J233" s="1"/>
      <c r="K233" s="1"/>
    </row>
    <row r="234" spans="9:11" ht="12.75">
      <c r="I234" s="1"/>
      <c r="J234" s="1"/>
      <c r="K234" s="1"/>
    </row>
    <row r="235" spans="9:11" ht="12.75">
      <c r="I235" s="1"/>
      <c r="J235" s="1"/>
      <c r="K235" s="1"/>
    </row>
    <row r="236" spans="9:11" ht="12.75">
      <c r="I236" s="1"/>
      <c r="J236" s="1"/>
      <c r="K236" s="1"/>
    </row>
    <row r="237" spans="9:11" ht="12.75">
      <c r="I237" s="1"/>
      <c r="J237" s="1"/>
      <c r="K237" s="1"/>
    </row>
    <row r="238" spans="9:11" ht="12.75">
      <c r="I238" s="1"/>
      <c r="J238" s="1"/>
      <c r="K238" s="1"/>
    </row>
    <row r="239" spans="9:11" ht="12.75">
      <c r="I239" s="1"/>
      <c r="J239" s="1"/>
      <c r="K239" s="1"/>
    </row>
    <row r="240" spans="9:11" ht="12.75">
      <c r="I240" s="1"/>
      <c r="J240" s="1"/>
      <c r="K240" s="1"/>
    </row>
    <row r="241" spans="9:11" ht="12.75">
      <c r="I241" s="1"/>
      <c r="J241" s="1"/>
      <c r="K241" s="1"/>
    </row>
    <row r="242" spans="9:11" ht="12.75">
      <c r="I242" s="1"/>
      <c r="J242" s="1"/>
      <c r="K242" s="1"/>
    </row>
    <row r="243" spans="9:11" ht="12.75">
      <c r="I243" s="1"/>
      <c r="J243" s="1"/>
      <c r="K243" s="1"/>
    </row>
    <row r="244" spans="9:11" ht="12.75">
      <c r="I244" s="1"/>
      <c r="J244" s="1"/>
      <c r="K244" s="1"/>
    </row>
    <row r="245" spans="9:11" ht="12.75">
      <c r="I245" s="1"/>
      <c r="J245" s="1"/>
      <c r="K245" s="1"/>
    </row>
    <row r="246" spans="9:11" ht="12.75">
      <c r="I246" s="1"/>
      <c r="J246" s="1"/>
      <c r="K246" s="1"/>
    </row>
    <row r="247" spans="9:11" ht="12.75">
      <c r="I247" s="1"/>
      <c r="J247" s="1"/>
      <c r="K247" s="1"/>
    </row>
    <row r="248" spans="9:11" ht="12.75">
      <c r="I248" s="1"/>
      <c r="J248" s="1"/>
      <c r="K248" s="1"/>
    </row>
    <row r="249" spans="9:11" ht="12.75">
      <c r="I249" s="1"/>
      <c r="J249" s="1"/>
      <c r="K249" s="1"/>
    </row>
    <row r="250" spans="9:11" ht="12.75">
      <c r="I250" s="1"/>
      <c r="J250" s="1"/>
      <c r="K250" s="1"/>
    </row>
    <row r="251" spans="9:11" ht="12.75">
      <c r="I251" s="1"/>
      <c r="J251" s="1"/>
      <c r="K251" s="1"/>
    </row>
    <row r="252" spans="9:11" ht="12.75">
      <c r="I252" s="1"/>
      <c r="J252" s="1"/>
      <c r="K252" s="1"/>
    </row>
    <row r="253" spans="9:11" ht="12.75">
      <c r="I253" s="1"/>
      <c r="J253" s="1"/>
      <c r="K253" s="1"/>
    </row>
    <row r="254" spans="9:11" ht="12.75">
      <c r="I254" s="1"/>
      <c r="J254" s="1"/>
      <c r="K254" s="1"/>
    </row>
    <row r="255" spans="9:11" ht="12.75">
      <c r="I255" s="1"/>
      <c r="J255" s="1"/>
      <c r="K255" s="1"/>
    </row>
    <row r="256" spans="9:11" ht="12.75">
      <c r="I256" s="1"/>
      <c r="J256" s="1"/>
      <c r="K256" s="1"/>
    </row>
    <row r="257" spans="9:11" ht="12.75">
      <c r="I257" s="1"/>
      <c r="J257" s="1"/>
      <c r="K257" s="1"/>
    </row>
    <row r="258" spans="9:11" ht="12.75">
      <c r="I258" s="1"/>
      <c r="J258" s="1"/>
      <c r="K258" s="1"/>
    </row>
    <row r="259" spans="9:11" ht="12.75">
      <c r="I259" s="1"/>
      <c r="J259" s="1"/>
      <c r="K259" s="1"/>
    </row>
    <row r="260" spans="9:11" ht="12.75">
      <c r="I260" s="1"/>
      <c r="J260" s="1"/>
      <c r="K260" s="1"/>
    </row>
    <row r="261" spans="9:11" ht="12.75">
      <c r="I261" s="1"/>
      <c r="J261" s="1"/>
      <c r="K261" s="1"/>
    </row>
    <row r="262" spans="9:11" ht="12.75">
      <c r="I262" s="1"/>
      <c r="J262" s="1"/>
      <c r="K262" s="1"/>
    </row>
    <row r="263" spans="9:11" ht="12.75">
      <c r="I263" s="1"/>
      <c r="J263" s="1"/>
      <c r="K263" s="1"/>
    </row>
    <row r="264" spans="9:11" ht="12.75">
      <c r="I264" s="1"/>
      <c r="J264" s="1"/>
      <c r="K264" s="1"/>
    </row>
    <row r="265" spans="9:11" ht="12.75">
      <c r="I265" s="1"/>
      <c r="J265" s="1"/>
      <c r="K265" s="1"/>
    </row>
    <row r="266" spans="9:11" ht="12.75">
      <c r="I266" s="1"/>
      <c r="J266" s="1"/>
      <c r="K266" s="1"/>
    </row>
    <row r="267" spans="9:11" ht="12.75">
      <c r="I267" s="1"/>
      <c r="J267" s="1"/>
      <c r="K267" s="1"/>
    </row>
    <row r="268" spans="9:11" ht="12.75">
      <c r="I268" s="1"/>
      <c r="J268" s="1"/>
      <c r="K268" s="1"/>
    </row>
    <row r="269" spans="9:11" ht="12.75">
      <c r="I269" s="1"/>
      <c r="J269" s="1"/>
      <c r="K269" s="1"/>
    </row>
    <row r="270" spans="9:11" ht="12.75">
      <c r="I270" s="1"/>
      <c r="J270" s="1"/>
      <c r="K270" s="1"/>
    </row>
    <row r="271" spans="9:11" ht="12.75">
      <c r="I271" s="1"/>
      <c r="J271" s="1"/>
      <c r="K271" s="1"/>
    </row>
    <row r="272" spans="9:11" ht="12.75">
      <c r="I272" s="1"/>
      <c r="J272" s="1"/>
      <c r="K272" s="1"/>
    </row>
    <row r="273" spans="9:11" ht="12.75">
      <c r="I273" s="1"/>
      <c r="J273" s="1"/>
      <c r="K273" s="1"/>
    </row>
    <row r="274" spans="9:11" ht="12.75">
      <c r="I274" s="1"/>
      <c r="J274" s="1"/>
      <c r="K274" s="1"/>
    </row>
    <row r="275" spans="9:11" ht="12.75">
      <c r="I275" s="1"/>
      <c r="J275" s="1"/>
      <c r="K275" s="1"/>
    </row>
    <row r="276" spans="9:11" ht="12.75">
      <c r="I276" s="1"/>
      <c r="J276" s="1"/>
      <c r="K276" s="1"/>
    </row>
    <row r="277" spans="9:11" ht="12.75">
      <c r="I277" s="1"/>
      <c r="J277" s="1"/>
      <c r="K277" s="1"/>
    </row>
    <row r="278" spans="9:11" ht="12.75">
      <c r="I278" s="1"/>
      <c r="J278" s="1"/>
      <c r="K278" s="1"/>
    </row>
    <row r="279" spans="9:11" ht="12.75">
      <c r="I279" s="1"/>
      <c r="J279" s="1"/>
      <c r="K279" s="1"/>
    </row>
    <row r="280" spans="9:11" ht="12.75">
      <c r="I280" s="1"/>
      <c r="J280" s="1"/>
      <c r="K280" s="1"/>
    </row>
    <row r="281" spans="9:11" ht="12.75">
      <c r="I281" s="1"/>
      <c r="J281" s="1"/>
      <c r="K281" s="1"/>
    </row>
    <row r="282" spans="9:11" ht="12.75">
      <c r="I282" s="1"/>
      <c r="J282" s="1"/>
      <c r="K282" s="1"/>
    </row>
    <row r="283" spans="9:11" ht="12.75">
      <c r="I283" s="1"/>
      <c r="J283" s="1"/>
      <c r="K283" s="1"/>
    </row>
    <row r="284" spans="9:11" ht="12.75">
      <c r="I284" s="1"/>
      <c r="J284" s="1"/>
      <c r="K284" s="1"/>
    </row>
    <row r="285" spans="9:11" ht="12.75">
      <c r="I285" s="1"/>
      <c r="J285" s="1"/>
      <c r="K285" s="1"/>
    </row>
    <row r="286" spans="9:11" ht="12.75">
      <c r="I286" s="1"/>
      <c r="J286" s="1"/>
      <c r="K286" s="1"/>
    </row>
    <row r="287" spans="9:11" ht="12.75">
      <c r="I287" s="1"/>
      <c r="J287" s="1"/>
      <c r="K287" s="1"/>
    </row>
    <row r="288" spans="9:11" ht="12.75">
      <c r="I288" s="1"/>
      <c r="J288" s="1"/>
      <c r="K288" s="1"/>
    </row>
    <row r="289" spans="9:11" ht="12.75">
      <c r="I289" s="1"/>
      <c r="J289" s="1"/>
      <c r="K289" s="1"/>
    </row>
    <row r="290" spans="9:11" ht="12.75">
      <c r="I290" s="1"/>
      <c r="J290" s="1"/>
      <c r="K290" s="1"/>
    </row>
    <row r="291" spans="9:11" ht="12.75">
      <c r="I291" s="1"/>
      <c r="J291" s="1"/>
      <c r="K291" s="1"/>
    </row>
    <row r="292" spans="9:11" ht="12.75">
      <c r="I292" s="1"/>
      <c r="J292" s="1"/>
      <c r="K292" s="1"/>
    </row>
    <row r="293" spans="9:11" ht="12.75">
      <c r="I293" s="1"/>
      <c r="J293" s="1"/>
      <c r="K293" s="1"/>
    </row>
    <row r="294" spans="9:11" ht="12.75">
      <c r="I294" s="1"/>
      <c r="J294" s="1"/>
      <c r="K294" s="1"/>
    </row>
    <row r="295" spans="9:11" ht="12.75">
      <c r="I295" s="1"/>
      <c r="J295" s="1"/>
      <c r="K295" s="1"/>
    </row>
    <row r="296" spans="9:11" ht="12.75">
      <c r="I296" s="1"/>
      <c r="J296" s="1"/>
      <c r="K296" s="1"/>
    </row>
    <row r="297" spans="9:11" ht="12.75">
      <c r="I297" s="1"/>
      <c r="J297" s="1"/>
      <c r="K297" s="1"/>
    </row>
    <row r="298" spans="9:11" ht="12.75">
      <c r="I298" s="1"/>
      <c r="J298" s="1"/>
      <c r="K298" s="1"/>
    </row>
    <row r="299" spans="9:11" ht="12.75">
      <c r="I299" s="1"/>
      <c r="J299" s="1"/>
      <c r="K299" s="1"/>
    </row>
    <row r="300" spans="9:11" ht="12.75">
      <c r="I300" s="1"/>
      <c r="J300" s="1"/>
      <c r="K300" s="1"/>
    </row>
    <row r="301" spans="9:11" ht="12.75">
      <c r="I301" s="1"/>
      <c r="J301" s="1"/>
      <c r="K301" s="1"/>
    </row>
    <row r="302" spans="9:11" ht="12.75">
      <c r="I302" s="1"/>
      <c r="J302" s="1"/>
      <c r="K302" s="1"/>
    </row>
    <row r="303" spans="9:11" ht="12.75">
      <c r="I303" s="1"/>
      <c r="J303" s="1"/>
      <c r="K303" s="1"/>
    </row>
    <row r="304" spans="9:11" ht="12.75">
      <c r="I304" s="1"/>
      <c r="J304" s="1"/>
      <c r="K304" s="1"/>
    </row>
  </sheetData>
  <mergeCells count="2">
    <mergeCell ref="F5:G5"/>
    <mergeCell ref="F1:J1"/>
  </mergeCells>
  <printOptions/>
  <pageMargins left="0.4330708661417323" right="0.2755905511811024" top="0.31496062992125984" bottom="0.07874015748031496" header="0.5118110236220472" footer="0.5118110236220472"/>
  <pageSetup horizontalDpi="300" verticalDpi="300" orientation="landscape" paperSize="9" scale="90" r:id="rId3"/>
  <rowBreaks count="1" manualBreakCount="1">
    <brk id="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zoomScale="90" zoomScaleNormal="90" workbookViewId="0" topLeftCell="A11">
      <selection activeCell="I22" sqref="I22"/>
    </sheetView>
  </sheetViews>
  <sheetFormatPr defaultColWidth="9.140625" defaultRowHeight="12.75"/>
  <cols>
    <col min="1" max="1" width="10.421875" style="0" customWidth="1"/>
    <col min="2" max="2" width="3.140625" style="0" customWidth="1"/>
    <col min="3" max="3" width="2.00390625" style="0" customWidth="1"/>
    <col min="4" max="4" width="10.140625" style="0" customWidth="1"/>
    <col min="5" max="5" width="13.00390625" style="0" customWidth="1"/>
    <col min="6" max="6" width="2.421875" style="0" customWidth="1"/>
    <col min="7" max="7" width="1.8515625" style="0" customWidth="1"/>
    <col min="8" max="8" width="1.7109375" style="0" customWidth="1"/>
    <col min="9" max="9" width="8.140625" style="0" customWidth="1"/>
    <col min="10" max="10" width="4.28125" style="0" customWidth="1"/>
    <col min="11" max="11" width="6.28125" style="0" customWidth="1"/>
    <col min="12" max="12" width="2.421875" style="0" customWidth="1"/>
    <col min="13" max="13" width="12.28125" style="0" customWidth="1"/>
    <col min="14" max="14" width="8.421875" style="0" customWidth="1"/>
    <col min="15" max="15" width="2.421875" style="0" customWidth="1"/>
    <col min="16" max="16" width="2.140625" style="0" customWidth="1"/>
    <col min="17" max="17" width="1.57421875" style="0" customWidth="1"/>
    <col min="18" max="18" width="7.7109375" style="0" customWidth="1"/>
    <col min="19" max="19" width="2.00390625" style="0" customWidth="1"/>
    <col min="20" max="20" width="2.140625" style="0" customWidth="1"/>
    <col min="21" max="21" width="11.28125" style="0" bestFit="1" customWidth="1"/>
    <col min="22" max="22" width="11.28125" style="0" customWidth="1"/>
  </cols>
  <sheetData>
    <row r="1" spans="1:9" ht="26.25">
      <c r="A1" s="254" t="s">
        <v>125</v>
      </c>
      <c r="B1" s="255" t="s">
        <v>126</v>
      </c>
      <c r="H1" s="256" t="s">
        <v>127</v>
      </c>
      <c r="I1" s="257"/>
    </row>
    <row r="2" spans="1:21" ht="13.5" thickBot="1">
      <c r="A2" s="426" t="s">
        <v>128</v>
      </c>
      <c r="B2" s="427"/>
      <c r="C2" s="427"/>
      <c r="D2" s="427"/>
      <c r="E2" s="427"/>
      <c r="F2" s="427"/>
      <c r="G2" s="427"/>
      <c r="H2" s="427"/>
      <c r="I2" s="427"/>
      <c r="K2" s="426" t="s">
        <v>129</v>
      </c>
      <c r="L2" s="426"/>
      <c r="M2" s="427"/>
      <c r="N2" s="427"/>
      <c r="O2" s="427"/>
      <c r="P2" s="427"/>
      <c r="Q2" s="427"/>
      <c r="R2" s="427"/>
      <c r="S2" s="427"/>
      <c r="T2" s="427"/>
      <c r="U2" s="427"/>
    </row>
    <row r="3" spans="1:21" ht="14.25">
      <c r="A3" s="258" t="s">
        <v>130</v>
      </c>
      <c r="B3" s="65" t="s">
        <v>131</v>
      </c>
      <c r="C3" s="65" t="s">
        <v>132</v>
      </c>
      <c r="D3" s="259">
        <v>-1</v>
      </c>
      <c r="E3" s="260">
        <v>20</v>
      </c>
      <c r="F3" s="261" t="s">
        <v>133</v>
      </c>
      <c r="G3" s="262"/>
      <c r="H3" s="263" t="s">
        <v>134</v>
      </c>
      <c r="I3" s="262">
        <v>1500</v>
      </c>
      <c r="J3" s="67"/>
      <c r="K3" s="258" t="s">
        <v>135</v>
      </c>
      <c r="L3" s="264" t="s">
        <v>132</v>
      </c>
      <c r="M3" s="260">
        <v>0</v>
      </c>
      <c r="N3" s="265"/>
      <c r="O3" s="65"/>
      <c r="P3" s="65"/>
      <c r="Q3" s="266"/>
      <c r="R3" s="65"/>
      <c r="S3" s="65"/>
      <c r="T3" s="65"/>
      <c r="U3" s="67"/>
    </row>
    <row r="4" spans="1:21" ht="14.25">
      <c r="A4" s="176"/>
      <c r="B4" s="43"/>
      <c r="C4" s="43"/>
      <c r="D4" s="43"/>
      <c r="E4" s="43"/>
      <c r="F4" s="267"/>
      <c r="G4" s="43"/>
      <c r="H4" s="268"/>
      <c r="I4" s="43"/>
      <c r="J4" s="269"/>
      <c r="K4" s="176" t="s">
        <v>136</v>
      </c>
      <c r="L4" s="270" t="s">
        <v>132</v>
      </c>
      <c r="M4" s="271">
        <v>0</v>
      </c>
      <c r="N4" s="271">
        <v>1</v>
      </c>
      <c r="O4" s="272" t="str">
        <f>F3</f>
        <v>X</v>
      </c>
      <c r="P4" s="273">
        <v>2</v>
      </c>
      <c r="Q4" s="274" t="s">
        <v>134</v>
      </c>
      <c r="R4" s="271">
        <v>500</v>
      </c>
      <c r="S4" s="275" t="str">
        <f>O4</f>
        <v>X</v>
      </c>
      <c r="T4" s="43"/>
      <c r="U4" s="269"/>
    </row>
    <row r="5" spans="1:21" ht="14.25">
      <c r="A5" s="428" t="s">
        <v>137</v>
      </c>
      <c r="B5" s="405"/>
      <c r="C5" s="43" t="s">
        <v>132</v>
      </c>
      <c r="D5" s="43">
        <f>D3</f>
        <v>-1</v>
      </c>
      <c r="E5" s="277">
        <f>E3</f>
        <v>20</v>
      </c>
      <c r="F5" s="267" t="str">
        <f>F3</f>
        <v>X</v>
      </c>
      <c r="G5" s="278">
        <v>2</v>
      </c>
      <c r="H5" s="279" t="s">
        <v>134</v>
      </c>
      <c r="I5" s="43">
        <f>I3</f>
        <v>1500</v>
      </c>
      <c r="J5" s="269" t="str">
        <f>F3</f>
        <v>X</v>
      </c>
      <c r="K5" s="176" t="s">
        <v>138</v>
      </c>
      <c r="L5" s="270" t="s">
        <v>132</v>
      </c>
      <c r="M5" s="43">
        <f aca="true" t="shared" si="0" ref="M5:S5">M4</f>
        <v>0</v>
      </c>
      <c r="N5" s="43">
        <f t="shared" si="0"/>
        <v>1</v>
      </c>
      <c r="O5" s="280" t="str">
        <f t="shared" si="0"/>
        <v>X</v>
      </c>
      <c r="P5" s="278">
        <f t="shared" si="0"/>
        <v>2</v>
      </c>
      <c r="Q5" s="268" t="str">
        <f t="shared" si="0"/>
        <v>+</v>
      </c>
      <c r="R5" s="43">
        <f t="shared" si="0"/>
        <v>500</v>
      </c>
      <c r="S5" s="281" t="str">
        <f t="shared" si="0"/>
        <v>X</v>
      </c>
      <c r="T5" s="268" t="s">
        <v>134</v>
      </c>
      <c r="U5" s="282">
        <f>M3</f>
        <v>0</v>
      </c>
    </row>
    <row r="6" spans="1:21" ht="14.25">
      <c r="A6" s="176"/>
      <c r="B6" s="43"/>
      <c r="C6" s="43"/>
      <c r="D6" s="43"/>
      <c r="E6" s="43"/>
      <c r="F6" s="267"/>
      <c r="G6" s="43"/>
      <c r="H6" s="268"/>
      <c r="I6" s="43"/>
      <c r="J6" s="269"/>
      <c r="K6" s="176"/>
      <c r="L6" s="270"/>
      <c r="M6" s="43"/>
      <c r="N6" s="43"/>
      <c r="O6" s="280"/>
      <c r="P6" s="43"/>
      <c r="Q6" s="268"/>
      <c r="R6" s="43"/>
      <c r="S6" s="43"/>
      <c r="T6" s="43"/>
      <c r="U6" s="269"/>
    </row>
    <row r="7" spans="1:21" ht="15" thickBot="1">
      <c r="A7" s="429" t="s">
        <v>139</v>
      </c>
      <c r="B7" s="427"/>
      <c r="C7" s="4" t="s">
        <v>132</v>
      </c>
      <c r="D7" s="4">
        <f>D5*2</f>
        <v>-2</v>
      </c>
      <c r="E7" s="59">
        <f>E3</f>
        <v>20</v>
      </c>
      <c r="F7" s="283" t="str">
        <f>F5</f>
        <v>X</v>
      </c>
      <c r="G7" s="4"/>
      <c r="H7" s="284" t="s">
        <v>134</v>
      </c>
      <c r="I7" s="4">
        <f>I5</f>
        <v>1500</v>
      </c>
      <c r="J7" s="285"/>
      <c r="K7" s="286" t="s">
        <v>140</v>
      </c>
      <c r="L7" s="287" t="s">
        <v>132</v>
      </c>
      <c r="M7" s="4">
        <f>M5*P5</f>
        <v>0</v>
      </c>
      <c r="N7" s="4">
        <f>N5</f>
        <v>1</v>
      </c>
      <c r="O7" s="288" t="str">
        <f>O5</f>
        <v>X</v>
      </c>
      <c r="P7" s="4"/>
      <c r="Q7" s="284" t="str">
        <f>Q5</f>
        <v>+</v>
      </c>
      <c r="R7" s="4">
        <f>R5</f>
        <v>500</v>
      </c>
      <c r="S7" s="4"/>
      <c r="T7" s="4"/>
      <c r="U7" s="285"/>
    </row>
    <row r="8" spans="1:21" ht="14.25">
      <c r="A8" s="289"/>
      <c r="B8" s="290"/>
      <c r="C8" s="43"/>
      <c r="D8" s="43"/>
      <c r="E8" s="277"/>
      <c r="F8" s="267"/>
      <c r="G8" s="43"/>
      <c r="H8" s="268"/>
      <c r="I8" s="43"/>
      <c r="J8" s="43"/>
      <c r="K8" s="270"/>
      <c r="L8" s="270"/>
      <c r="M8" s="43"/>
      <c r="N8" s="43"/>
      <c r="O8" s="280"/>
      <c r="P8" s="43"/>
      <c r="Q8" s="268"/>
      <c r="R8" s="43"/>
      <c r="S8" s="43"/>
      <c r="T8" s="43"/>
      <c r="U8" s="43"/>
    </row>
    <row r="9" spans="1:21" ht="14.25">
      <c r="A9" s="289" t="s">
        <v>141</v>
      </c>
      <c r="B9" s="290"/>
      <c r="C9" s="43" t="str">
        <f>C5</f>
        <v>=</v>
      </c>
      <c r="D9" s="291">
        <v>12000</v>
      </c>
      <c r="E9" s="277"/>
      <c r="F9" s="267"/>
      <c r="G9" s="43"/>
      <c r="H9" s="268"/>
      <c r="I9" s="43"/>
      <c r="J9" s="43"/>
      <c r="K9" s="270"/>
      <c r="L9" s="270"/>
      <c r="M9" s="43"/>
      <c r="N9" s="43"/>
      <c r="O9" s="280"/>
      <c r="P9" s="43"/>
      <c r="Q9" s="268"/>
      <c r="R9" s="43"/>
      <c r="S9" s="43"/>
      <c r="T9" s="43"/>
      <c r="U9" s="43"/>
    </row>
    <row r="10" spans="8:17" ht="12.75">
      <c r="H10" s="292"/>
      <c r="Q10" s="292"/>
    </row>
    <row r="11" spans="1:17" ht="12.75">
      <c r="A11" t="s">
        <v>142</v>
      </c>
      <c r="H11" s="292"/>
      <c r="Q11" s="292"/>
    </row>
    <row r="12" spans="8:17" ht="12.75">
      <c r="H12" s="292"/>
      <c r="Q12" s="292"/>
    </row>
    <row r="13" spans="8:17" ht="12.75">
      <c r="H13" s="292"/>
      <c r="I13" s="293" t="s">
        <v>139</v>
      </c>
      <c r="J13" s="294" t="s">
        <v>132</v>
      </c>
      <c r="K13" t="s">
        <v>140</v>
      </c>
      <c r="Q13" s="292"/>
    </row>
    <row r="14" spans="4:17" ht="12.75">
      <c r="D14" s="425" t="str">
        <f>M14</f>
        <v>(Hældningskoeficienten)</v>
      </c>
      <c r="E14" s="425"/>
      <c r="H14" s="292"/>
      <c r="J14" s="294"/>
      <c r="M14" s="425" t="s">
        <v>143</v>
      </c>
      <c r="N14" s="425"/>
      <c r="Q14" s="292"/>
    </row>
    <row r="15" spans="4:18" ht="12.75">
      <c r="D15">
        <f>D7</f>
        <v>-2</v>
      </c>
      <c r="E15" s="295">
        <f>E7</f>
        <v>20</v>
      </c>
      <c r="F15" t="str">
        <f>F7</f>
        <v>X</v>
      </c>
      <c r="H15" s="292" t="str">
        <f>H7</f>
        <v>+</v>
      </c>
      <c r="I15">
        <f>I7</f>
        <v>1500</v>
      </c>
      <c r="J15" s="294" t="str">
        <f>J13</f>
        <v>=</v>
      </c>
      <c r="M15">
        <f>M7</f>
        <v>0</v>
      </c>
      <c r="N15">
        <f>N7</f>
        <v>1</v>
      </c>
      <c r="O15" t="str">
        <f>O7</f>
        <v>X</v>
      </c>
      <c r="Q15" s="292" t="str">
        <f>Q7</f>
        <v>+</v>
      </c>
      <c r="R15">
        <f>R7</f>
        <v>500</v>
      </c>
    </row>
    <row r="16" spans="8:17" ht="12.75">
      <c r="H16" s="292"/>
      <c r="J16" s="294"/>
      <c r="Q16" s="292"/>
    </row>
    <row r="17" spans="8:17" ht="12.75">
      <c r="H17" s="292"/>
      <c r="I17">
        <f>I15-R15</f>
        <v>1000</v>
      </c>
      <c r="J17" s="294" t="str">
        <f>J15</f>
        <v>=</v>
      </c>
      <c r="N17">
        <f>-1*(D15/E15)+(M15/N15)</f>
        <v>0.1</v>
      </c>
      <c r="O17" t="str">
        <f>O15</f>
        <v>X</v>
      </c>
      <c r="Q17" s="292"/>
    </row>
    <row r="19" spans="1:17" ht="12.75">
      <c r="A19" s="296">
        <f>IF(I20=D9,"Da løsningen er større end max. Kap. er den ugyldig",0)</f>
        <v>0</v>
      </c>
      <c r="H19" s="292"/>
      <c r="I19" s="297">
        <f>I17/N17</f>
        <v>10000</v>
      </c>
      <c r="J19" s="298" t="str">
        <f>J17</f>
        <v>=</v>
      </c>
      <c r="K19" s="298" t="str">
        <f>O4</f>
        <v>X</v>
      </c>
      <c r="L19" s="270"/>
      <c r="M19" s="270"/>
      <c r="N19" s="270"/>
      <c r="O19" s="270"/>
      <c r="Q19" s="292"/>
    </row>
    <row r="20" spans="1:17" ht="13.5" thickBot="1">
      <c r="A20" s="305" t="s">
        <v>228</v>
      </c>
      <c r="H20" s="292"/>
      <c r="I20" s="299">
        <f>IF(I19&gt;D9,D9,I19)</f>
        <v>10000</v>
      </c>
      <c r="J20" s="300" t="str">
        <f>J19</f>
        <v>=</v>
      </c>
      <c r="K20" s="300" t="str">
        <f>O5</f>
        <v>X</v>
      </c>
      <c r="L20" s="299"/>
      <c r="Q20" s="292"/>
    </row>
    <row r="21" spans="8:17" ht="13.5" thickTop="1">
      <c r="H21" s="292"/>
      <c r="I21" s="270"/>
      <c r="J21" s="301"/>
      <c r="K21" s="301"/>
      <c r="L21" s="270"/>
      <c r="Q21" s="292"/>
    </row>
    <row r="22" spans="1:8" ht="12.75">
      <c r="A22">
        <f>I19</f>
        <v>10000</v>
      </c>
      <c r="B22" t="str">
        <f>J19</f>
        <v>=</v>
      </c>
      <c r="C22" t="str">
        <f>K19</f>
        <v>X</v>
      </c>
      <c r="D22" t="s">
        <v>144</v>
      </c>
      <c r="H22" s="292"/>
    </row>
    <row r="23" ht="12.75">
      <c r="H23" s="292"/>
    </row>
    <row r="24" spans="2:9" ht="12.75">
      <c r="B24" t="str">
        <f>B3</f>
        <v>P</v>
      </c>
      <c r="C24" t="str">
        <f>C3</f>
        <v>=</v>
      </c>
      <c r="D24">
        <f>D3</f>
        <v>-1</v>
      </c>
      <c r="E24" s="295">
        <f>E3</f>
        <v>20</v>
      </c>
      <c r="F24" t="str">
        <f>F3</f>
        <v>X</v>
      </c>
      <c r="H24" t="str">
        <f>H3</f>
        <v>+</v>
      </c>
      <c r="I24">
        <f>I3</f>
        <v>1500</v>
      </c>
    </row>
    <row r="25" spans="2:9" ht="12.75">
      <c r="B25" t="str">
        <f>B24</f>
        <v>P</v>
      </c>
      <c r="C25" t="str">
        <f>C24</f>
        <v>=</v>
      </c>
      <c r="D25" s="302">
        <f>I20*(D24/E24)</f>
        <v>-500</v>
      </c>
      <c r="H25" t="str">
        <f>H24</f>
        <v>+</v>
      </c>
      <c r="I25">
        <f>I24</f>
        <v>1500</v>
      </c>
    </row>
    <row r="26" spans="2:5" ht="13.5" thickBot="1">
      <c r="B26" s="299" t="str">
        <f>B25</f>
        <v>P</v>
      </c>
      <c r="C26" s="299" t="str">
        <f>C25</f>
        <v>=</v>
      </c>
      <c r="D26" s="299">
        <f>I25+D25</f>
        <v>1000</v>
      </c>
      <c r="E26" s="301" t="s">
        <v>158</v>
      </c>
    </row>
    <row r="27" ht="13.5" thickTop="1"/>
    <row r="28" spans="1:13" ht="12.75">
      <c r="A28" t="s">
        <v>137</v>
      </c>
      <c r="E28">
        <f>D26</f>
        <v>1000</v>
      </c>
      <c r="G28" t="s">
        <v>145</v>
      </c>
      <c r="I28">
        <f>I20</f>
        <v>10000</v>
      </c>
      <c r="M28" s="303">
        <f>E28*I28</f>
        <v>10000000</v>
      </c>
    </row>
    <row r="29" spans="1:13" ht="12.75">
      <c r="A29" s="304" t="s">
        <v>146</v>
      </c>
      <c r="M29" s="303">
        <f>(POWER(I19,P5))*(M4/N4)+(R4*I28)</f>
        <v>5000000</v>
      </c>
    </row>
    <row r="30" spans="1:13" ht="12.75">
      <c r="A30" s="305" t="s">
        <v>229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6">
        <f>M28-M29</f>
        <v>5000000</v>
      </c>
    </row>
    <row r="31" spans="1:13" ht="12.75">
      <c r="A31" t="s">
        <v>148</v>
      </c>
      <c r="M31" s="295">
        <f>M3</f>
        <v>0</v>
      </c>
    </row>
    <row r="32" spans="1:13" ht="13.5" thickBot="1">
      <c r="A32" t="s">
        <v>149</v>
      </c>
      <c r="M32" s="307">
        <f>M30-M31</f>
        <v>5000000</v>
      </c>
    </row>
    <row r="33" ht="13.5" thickTop="1"/>
    <row r="35" spans="11:13" ht="12.75">
      <c r="K35" s="303"/>
      <c r="M35" s="308"/>
    </row>
    <row r="39" spans="1:4" ht="12.75">
      <c r="A39" s="405"/>
      <c r="B39" s="405"/>
      <c r="C39" s="405"/>
      <c r="D39" s="405"/>
    </row>
    <row r="40" spans="1:22" ht="27" thickBot="1">
      <c r="A40" s="405"/>
      <c r="B40" s="405"/>
      <c r="C40" s="405"/>
      <c r="D40" s="405"/>
      <c r="F40" s="256" t="s">
        <v>150</v>
      </c>
      <c r="V40" s="305"/>
    </row>
    <row r="41" spans="1:22" ht="13.5" thickBot="1">
      <c r="A41" s="422" t="s">
        <v>151</v>
      </c>
      <c r="B41" s="406"/>
      <c r="C41" s="406" t="s">
        <v>152</v>
      </c>
      <c r="D41" s="406"/>
      <c r="E41" s="309" t="s">
        <v>153</v>
      </c>
      <c r="F41" s="406" t="s">
        <v>154</v>
      </c>
      <c r="G41" s="406"/>
      <c r="H41" s="406"/>
      <c r="I41" s="406"/>
      <c r="J41" s="397" t="s">
        <v>147</v>
      </c>
      <c r="K41" s="398"/>
      <c r="L41" s="399"/>
      <c r="M41" s="309" t="s">
        <v>155</v>
      </c>
      <c r="N41" s="406" t="s">
        <v>149</v>
      </c>
      <c r="O41" s="406"/>
      <c r="P41" s="406"/>
      <c r="Q41" s="406"/>
      <c r="R41" s="406" t="s">
        <v>139</v>
      </c>
      <c r="S41" s="406"/>
      <c r="T41" s="406"/>
      <c r="U41" s="309" t="s">
        <v>140</v>
      </c>
      <c r="V41" s="310" t="s">
        <v>156</v>
      </c>
    </row>
    <row r="42" spans="1:22" ht="14.25">
      <c r="A42" s="423">
        <f>$A$45*-60%+$A$45</f>
        <v>4000</v>
      </c>
      <c r="B42" s="417"/>
      <c r="C42" s="407">
        <f aca="true" t="shared" si="1" ref="C42:C49">A42*($D$24/$E$24)+$I$24</f>
        <v>1300</v>
      </c>
      <c r="D42" s="407"/>
      <c r="E42" s="311">
        <f aca="true" t="shared" si="2" ref="E42:E49">C42*A42</f>
        <v>5200000</v>
      </c>
      <c r="F42" s="416">
        <f aca="true" t="shared" si="3" ref="F42:F49">(POWER(A42,$P$4))*($M$4/$N$4)+($R$4*A42)</f>
        <v>2000000</v>
      </c>
      <c r="G42" s="417"/>
      <c r="H42" s="417"/>
      <c r="I42" s="417"/>
      <c r="J42" s="400">
        <f aca="true" t="shared" si="4" ref="J42:J49">E42-F42</f>
        <v>3200000</v>
      </c>
      <c r="K42" s="401"/>
      <c r="L42" s="402"/>
      <c r="M42" s="312">
        <f aca="true" t="shared" si="5" ref="M42:M49">$M$3</f>
        <v>0</v>
      </c>
      <c r="N42" s="416">
        <f aca="true" t="shared" si="6" ref="N42:N49">J42-M42</f>
        <v>3200000</v>
      </c>
      <c r="O42" s="417"/>
      <c r="P42" s="417"/>
      <c r="Q42" s="417"/>
      <c r="R42" s="407">
        <f aca="true" t="shared" si="7" ref="R42:R49">$I$7+($D$7/$E$7)*A42</f>
        <v>1100</v>
      </c>
      <c r="S42" s="407"/>
      <c r="T42" s="407"/>
      <c r="U42" s="313">
        <f aca="true" t="shared" si="8" ref="U42:U49">$R$7+($M$7/$N$7)*A42</f>
        <v>500</v>
      </c>
      <c r="V42" s="314">
        <f aca="true" t="shared" si="9" ref="V42:V49">R42-U42</f>
        <v>600</v>
      </c>
    </row>
    <row r="43" spans="1:22" ht="14.25">
      <c r="A43" s="421">
        <f>$A$45*-40%+$A$45</f>
        <v>6000</v>
      </c>
      <c r="B43" s="384"/>
      <c r="C43" s="408">
        <f t="shared" si="1"/>
        <v>1200</v>
      </c>
      <c r="D43" s="408"/>
      <c r="E43" s="315">
        <f t="shared" si="2"/>
        <v>7200000</v>
      </c>
      <c r="F43" s="415">
        <f t="shared" si="3"/>
        <v>3000000</v>
      </c>
      <c r="G43" s="384"/>
      <c r="H43" s="384"/>
      <c r="I43" s="384"/>
      <c r="J43" s="403">
        <f t="shared" si="4"/>
        <v>4200000</v>
      </c>
      <c r="K43" s="404"/>
      <c r="L43" s="396"/>
      <c r="M43" s="316">
        <f t="shared" si="5"/>
        <v>0</v>
      </c>
      <c r="N43" s="415">
        <f t="shared" si="6"/>
        <v>4200000</v>
      </c>
      <c r="O43" s="384"/>
      <c r="P43" s="384"/>
      <c r="Q43" s="384"/>
      <c r="R43" s="408">
        <f t="shared" si="7"/>
        <v>900</v>
      </c>
      <c r="S43" s="408"/>
      <c r="T43" s="408"/>
      <c r="U43" s="317">
        <f t="shared" si="8"/>
        <v>500</v>
      </c>
      <c r="V43" s="318">
        <f t="shared" si="9"/>
        <v>400</v>
      </c>
    </row>
    <row r="44" spans="1:22" ht="14.25">
      <c r="A44" s="421">
        <f>$A$45*-20%+$A$45</f>
        <v>8000</v>
      </c>
      <c r="B44" s="384"/>
      <c r="C44" s="408">
        <f t="shared" si="1"/>
        <v>1100</v>
      </c>
      <c r="D44" s="408"/>
      <c r="E44" s="315">
        <f t="shared" si="2"/>
        <v>8800000</v>
      </c>
      <c r="F44" s="415">
        <f t="shared" si="3"/>
        <v>4000000</v>
      </c>
      <c r="G44" s="384"/>
      <c r="H44" s="384"/>
      <c r="I44" s="384"/>
      <c r="J44" s="403">
        <f t="shared" si="4"/>
        <v>4800000</v>
      </c>
      <c r="K44" s="404"/>
      <c r="L44" s="396"/>
      <c r="M44" s="316">
        <f t="shared" si="5"/>
        <v>0</v>
      </c>
      <c r="N44" s="415">
        <f t="shared" si="6"/>
        <v>4800000</v>
      </c>
      <c r="O44" s="384"/>
      <c r="P44" s="384"/>
      <c r="Q44" s="384"/>
      <c r="R44" s="408">
        <f t="shared" si="7"/>
        <v>700</v>
      </c>
      <c r="S44" s="408"/>
      <c r="T44" s="408"/>
      <c r="U44" s="317">
        <f t="shared" si="8"/>
        <v>500</v>
      </c>
      <c r="V44" s="318">
        <f t="shared" si="9"/>
        <v>200</v>
      </c>
    </row>
    <row r="45" spans="1:22" ht="14.25">
      <c r="A45" s="421">
        <f>I19</f>
        <v>10000</v>
      </c>
      <c r="B45" s="414"/>
      <c r="C45" s="409">
        <f t="shared" si="1"/>
        <v>1000</v>
      </c>
      <c r="D45" s="409"/>
      <c r="E45" s="319">
        <f t="shared" si="2"/>
        <v>10000000</v>
      </c>
      <c r="F45" s="413">
        <f t="shared" si="3"/>
        <v>5000000</v>
      </c>
      <c r="G45" s="414"/>
      <c r="H45" s="414"/>
      <c r="I45" s="414"/>
      <c r="J45" s="394">
        <f t="shared" si="4"/>
        <v>5000000</v>
      </c>
      <c r="K45" s="395"/>
      <c r="L45" s="396"/>
      <c r="M45" s="320">
        <f t="shared" si="5"/>
        <v>0</v>
      </c>
      <c r="N45" s="413">
        <f t="shared" si="6"/>
        <v>5000000</v>
      </c>
      <c r="O45" s="414"/>
      <c r="P45" s="414"/>
      <c r="Q45" s="414"/>
      <c r="R45" s="409">
        <f t="shared" si="7"/>
        <v>500</v>
      </c>
      <c r="S45" s="409"/>
      <c r="T45" s="409"/>
      <c r="U45" s="321">
        <f t="shared" si="8"/>
        <v>500</v>
      </c>
      <c r="V45" s="322">
        <f t="shared" si="9"/>
        <v>0</v>
      </c>
    </row>
    <row r="46" spans="1:22" ht="14.25">
      <c r="A46" s="421">
        <f>$A$45*20%+$A$45</f>
        <v>12000</v>
      </c>
      <c r="B46" s="384"/>
      <c r="C46" s="408">
        <f t="shared" si="1"/>
        <v>900</v>
      </c>
      <c r="D46" s="408"/>
      <c r="E46" s="315">
        <f t="shared" si="2"/>
        <v>10800000</v>
      </c>
      <c r="F46" s="415">
        <f t="shared" si="3"/>
        <v>6000000</v>
      </c>
      <c r="G46" s="384"/>
      <c r="H46" s="384"/>
      <c r="I46" s="384"/>
      <c r="J46" s="403">
        <f t="shared" si="4"/>
        <v>4800000</v>
      </c>
      <c r="K46" s="404"/>
      <c r="L46" s="396"/>
      <c r="M46" s="316">
        <f t="shared" si="5"/>
        <v>0</v>
      </c>
      <c r="N46" s="415">
        <f t="shared" si="6"/>
        <v>4800000</v>
      </c>
      <c r="O46" s="384"/>
      <c r="P46" s="384"/>
      <c r="Q46" s="384"/>
      <c r="R46" s="408">
        <f t="shared" si="7"/>
        <v>300</v>
      </c>
      <c r="S46" s="408"/>
      <c r="T46" s="408"/>
      <c r="U46" s="317">
        <f t="shared" si="8"/>
        <v>500</v>
      </c>
      <c r="V46" s="318">
        <f t="shared" si="9"/>
        <v>-200</v>
      </c>
    </row>
    <row r="47" spans="1:22" ht="14.25">
      <c r="A47" s="421">
        <f>$A$45*40%+$A$45</f>
        <v>14000</v>
      </c>
      <c r="B47" s="384"/>
      <c r="C47" s="408">
        <f t="shared" si="1"/>
        <v>800</v>
      </c>
      <c r="D47" s="408"/>
      <c r="E47" s="315">
        <f t="shared" si="2"/>
        <v>11200000</v>
      </c>
      <c r="F47" s="415">
        <f t="shared" si="3"/>
        <v>7000000</v>
      </c>
      <c r="G47" s="384"/>
      <c r="H47" s="384"/>
      <c r="I47" s="384"/>
      <c r="J47" s="403">
        <f t="shared" si="4"/>
        <v>4200000</v>
      </c>
      <c r="K47" s="404"/>
      <c r="L47" s="396"/>
      <c r="M47" s="316">
        <f t="shared" si="5"/>
        <v>0</v>
      </c>
      <c r="N47" s="415">
        <f t="shared" si="6"/>
        <v>4200000</v>
      </c>
      <c r="O47" s="384"/>
      <c r="P47" s="384"/>
      <c r="Q47" s="384"/>
      <c r="R47" s="408">
        <f t="shared" si="7"/>
        <v>100</v>
      </c>
      <c r="S47" s="408"/>
      <c r="T47" s="408"/>
      <c r="U47" s="317">
        <f t="shared" si="8"/>
        <v>500</v>
      </c>
      <c r="V47" s="318">
        <f t="shared" si="9"/>
        <v>-400</v>
      </c>
    </row>
    <row r="48" spans="1:22" ht="14.25">
      <c r="A48" s="421">
        <f>$A$45*60%+$A$45</f>
        <v>16000</v>
      </c>
      <c r="B48" s="384"/>
      <c r="C48" s="408">
        <f t="shared" si="1"/>
        <v>700</v>
      </c>
      <c r="D48" s="408"/>
      <c r="E48" s="315">
        <f t="shared" si="2"/>
        <v>11200000</v>
      </c>
      <c r="F48" s="415">
        <f t="shared" si="3"/>
        <v>8000000</v>
      </c>
      <c r="G48" s="384"/>
      <c r="H48" s="384"/>
      <c r="I48" s="384"/>
      <c r="J48" s="403">
        <f t="shared" si="4"/>
        <v>3200000</v>
      </c>
      <c r="K48" s="404"/>
      <c r="L48" s="396"/>
      <c r="M48" s="316">
        <f t="shared" si="5"/>
        <v>0</v>
      </c>
      <c r="N48" s="415">
        <f t="shared" si="6"/>
        <v>3200000</v>
      </c>
      <c r="O48" s="384"/>
      <c r="P48" s="384"/>
      <c r="Q48" s="384"/>
      <c r="R48" s="408">
        <f t="shared" si="7"/>
        <v>-100</v>
      </c>
      <c r="S48" s="408"/>
      <c r="T48" s="408"/>
      <c r="U48" s="317">
        <f t="shared" si="8"/>
        <v>500</v>
      </c>
      <c r="V48" s="318">
        <f t="shared" si="9"/>
        <v>-600</v>
      </c>
    </row>
    <row r="49" spans="1:22" ht="15" thickBot="1">
      <c r="A49" s="424">
        <f>$A$45*80%+$A$45</f>
        <v>18000</v>
      </c>
      <c r="B49" s="412"/>
      <c r="C49" s="410">
        <f t="shared" si="1"/>
        <v>600</v>
      </c>
      <c r="D49" s="410"/>
      <c r="E49" s="323">
        <f t="shared" si="2"/>
        <v>10800000</v>
      </c>
      <c r="F49" s="411">
        <f t="shared" si="3"/>
        <v>9000000</v>
      </c>
      <c r="G49" s="412"/>
      <c r="H49" s="412"/>
      <c r="I49" s="412"/>
      <c r="J49" s="418">
        <f t="shared" si="4"/>
        <v>1800000</v>
      </c>
      <c r="K49" s="419"/>
      <c r="L49" s="420"/>
      <c r="M49" s="324">
        <f t="shared" si="5"/>
        <v>0</v>
      </c>
      <c r="N49" s="411">
        <f t="shared" si="6"/>
        <v>1800000</v>
      </c>
      <c r="O49" s="412"/>
      <c r="P49" s="412"/>
      <c r="Q49" s="412"/>
      <c r="R49" s="410">
        <f t="shared" si="7"/>
        <v>-300</v>
      </c>
      <c r="S49" s="410"/>
      <c r="T49" s="410"/>
      <c r="U49" s="325">
        <f t="shared" si="8"/>
        <v>500</v>
      </c>
      <c r="V49" s="326">
        <f t="shared" si="9"/>
        <v>-800</v>
      </c>
    </row>
    <row r="50" spans="1:20" ht="12.75">
      <c r="A50" s="405"/>
      <c r="B50" s="405"/>
      <c r="C50" s="405"/>
      <c r="D50" s="405"/>
      <c r="F50" s="405"/>
      <c r="G50" s="405"/>
      <c r="H50" s="405"/>
      <c r="I50" s="405"/>
      <c r="J50" s="405"/>
      <c r="K50" s="405"/>
      <c r="L50" s="276"/>
      <c r="N50" s="405"/>
      <c r="O50" s="405"/>
      <c r="P50" s="405"/>
      <c r="Q50" s="405"/>
      <c r="R50" s="405"/>
      <c r="S50" s="405"/>
      <c r="T50" s="405"/>
    </row>
    <row r="51" spans="1:20" ht="12.75">
      <c r="A51" s="405"/>
      <c r="B51" s="405"/>
      <c r="C51" s="405"/>
      <c r="D51" s="405"/>
      <c r="F51" s="405"/>
      <c r="G51" s="405"/>
      <c r="H51" s="405"/>
      <c r="I51" s="405"/>
      <c r="J51" s="405"/>
      <c r="K51" s="405"/>
      <c r="L51" s="276"/>
      <c r="N51" s="405"/>
      <c r="O51" s="405"/>
      <c r="P51" s="405"/>
      <c r="Q51" s="405"/>
      <c r="R51" s="405"/>
      <c r="S51" s="405"/>
      <c r="T51" s="405"/>
    </row>
    <row r="52" spans="1:20" ht="12.75">
      <c r="A52" s="405"/>
      <c r="B52" s="405"/>
      <c r="C52" s="405"/>
      <c r="D52" s="405"/>
      <c r="F52" s="405"/>
      <c r="G52" s="405"/>
      <c r="H52" s="405"/>
      <c r="I52" s="405"/>
      <c r="J52" s="405"/>
      <c r="K52" s="405"/>
      <c r="L52" s="276"/>
      <c r="N52" s="405"/>
      <c r="O52" s="405"/>
      <c r="P52" s="405"/>
      <c r="Q52" s="405"/>
      <c r="R52" s="405"/>
      <c r="S52" s="405"/>
      <c r="T52" s="405"/>
    </row>
    <row r="53" spans="1:20" ht="12.75">
      <c r="A53" s="405"/>
      <c r="B53" s="405"/>
      <c r="C53" s="405"/>
      <c r="D53" s="405"/>
      <c r="F53" s="405"/>
      <c r="G53" s="405"/>
      <c r="H53" s="405"/>
      <c r="I53" s="405"/>
      <c r="J53" s="405"/>
      <c r="K53" s="405"/>
      <c r="L53" s="276"/>
      <c r="N53" s="405"/>
      <c r="O53" s="405"/>
      <c r="P53" s="405"/>
      <c r="Q53" s="405"/>
      <c r="R53" s="405"/>
      <c r="S53" s="405"/>
      <c r="T53" s="405"/>
    </row>
  </sheetData>
  <mergeCells count="88">
    <mergeCell ref="A49:B49"/>
    <mergeCell ref="M14:N14"/>
    <mergeCell ref="D14:E14"/>
    <mergeCell ref="A2:I2"/>
    <mergeCell ref="K2:U2"/>
    <mergeCell ref="A5:B5"/>
    <mergeCell ref="A7:B7"/>
    <mergeCell ref="A45:B45"/>
    <mergeCell ref="A46:B46"/>
    <mergeCell ref="A47:B47"/>
    <mergeCell ref="A48:B48"/>
    <mergeCell ref="A41:B41"/>
    <mergeCell ref="A42:B42"/>
    <mergeCell ref="A43:B43"/>
    <mergeCell ref="A44:B44"/>
    <mergeCell ref="A50:B50"/>
    <mergeCell ref="A51:B51"/>
    <mergeCell ref="A52:B52"/>
    <mergeCell ref="A53:B53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F45:I45"/>
    <mergeCell ref="F46:I46"/>
    <mergeCell ref="F47:I47"/>
    <mergeCell ref="F48:I48"/>
    <mergeCell ref="F41:I41"/>
    <mergeCell ref="F42:I42"/>
    <mergeCell ref="F43:I43"/>
    <mergeCell ref="F44:I44"/>
    <mergeCell ref="F51:I51"/>
    <mergeCell ref="F52:I52"/>
    <mergeCell ref="F53:I53"/>
    <mergeCell ref="C53:D53"/>
    <mergeCell ref="J46:L46"/>
    <mergeCell ref="J47:L47"/>
    <mergeCell ref="J48:L48"/>
    <mergeCell ref="F50:I50"/>
    <mergeCell ref="F49:I49"/>
    <mergeCell ref="J50:K50"/>
    <mergeCell ref="J51:K51"/>
    <mergeCell ref="J52:K52"/>
    <mergeCell ref="J49:L49"/>
    <mergeCell ref="J53:K53"/>
    <mergeCell ref="N41:Q41"/>
    <mergeCell ref="N42:Q42"/>
    <mergeCell ref="N43:Q43"/>
    <mergeCell ref="N44:Q44"/>
    <mergeCell ref="N45:Q45"/>
    <mergeCell ref="N46:Q46"/>
    <mergeCell ref="N47:Q47"/>
    <mergeCell ref="N48:Q48"/>
    <mergeCell ref="N49:Q49"/>
    <mergeCell ref="N50:Q50"/>
    <mergeCell ref="N51:Q51"/>
    <mergeCell ref="N52:Q52"/>
    <mergeCell ref="N53:Q53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A39:B39"/>
    <mergeCell ref="A40:B40"/>
    <mergeCell ref="C39:D39"/>
    <mergeCell ref="C40:D40"/>
    <mergeCell ref="J45:L45"/>
    <mergeCell ref="J41:L41"/>
    <mergeCell ref="J42:L42"/>
    <mergeCell ref="J43:L43"/>
    <mergeCell ref="J44:L44"/>
  </mergeCells>
  <printOptions/>
  <pageMargins left="0.7874015748031497" right="0.7874015748031497" top="0.5905511811023623" bottom="0.984251968503937" header="0" footer="0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workbookViewId="0" topLeftCell="A1">
      <selection activeCell="I22" sqref="I22"/>
    </sheetView>
  </sheetViews>
  <sheetFormatPr defaultColWidth="9.140625" defaultRowHeight="12.75"/>
  <cols>
    <col min="1" max="1" width="9.28125" style="0" bestFit="1" customWidth="1"/>
    <col min="2" max="2" width="14.28125" style="0" bestFit="1" customWidth="1"/>
    <col min="3" max="3" width="10.57421875" style="0" customWidth="1"/>
    <col min="4" max="4" width="12.8515625" style="0" bestFit="1" customWidth="1"/>
    <col min="5" max="5" width="12.00390625" style="0" bestFit="1" customWidth="1"/>
    <col min="6" max="6" width="14.28125" style="0" bestFit="1" customWidth="1"/>
    <col min="7" max="7" width="9.28125" style="0" bestFit="1" customWidth="1"/>
    <col min="8" max="8" width="12.8515625" style="0" bestFit="1" customWidth="1"/>
    <col min="9" max="9" width="9.28125" style="0" bestFit="1" customWidth="1"/>
    <col min="10" max="10" width="12.8515625" style="0" bestFit="1" customWidth="1"/>
    <col min="11" max="11" width="9.28125" style="0" bestFit="1" customWidth="1"/>
    <col min="12" max="12" width="12.8515625" style="0" bestFit="1" customWidth="1"/>
  </cols>
  <sheetData>
    <row r="1" ht="24" thickBot="1">
      <c r="E1" s="327" t="s">
        <v>157</v>
      </c>
    </row>
    <row r="2" spans="1:12" ht="15.75">
      <c r="A2" s="204" t="str">
        <f>'MR=MC opgave 2.1'!A3</f>
        <v>Afsætning</v>
      </c>
      <c r="B2" s="328"/>
      <c r="C2" s="329" t="s">
        <v>139</v>
      </c>
      <c r="D2" s="328"/>
      <c r="E2" s="204" t="str">
        <f>'MR=MC opgave 2.1'!K7</f>
        <v>MC</v>
      </c>
      <c r="F2" s="328"/>
      <c r="G2" s="204" t="str">
        <f>'MR=MC opgave 2.1'!A9</f>
        <v>Max.kapacitet</v>
      </c>
      <c r="H2" s="328"/>
      <c r="I2" s="204" t="s">
        <v>158</v>
      </c>
      <c r="J2" s="328"/>
      <c r="K2" s="204" t="s">
        <v>159</v>
      </c>
      <c r="L2" s="328"/>
    </row>
    <row r="3" spans="1:12" ht="15">
      <c r="A3" s="330" t="s">
        <v>152</v>
      </c>
      <c r="B3" s="331" t="s">
        <v>151</v>
      </c>
      <c r="C3" s="330" t="s">
        <v>152</v>
      </c>
      <c r="D3" s="331" t="str">
        <f>B3</f>
        <v>Mængde</v>
      </c>
      <c r="E3" s="330" t="s">
        <v>152</v>
      </c>
      <c r="F3" s="331" t="str">
        <f>D3</f>
        <v>Mængde</v>
      </c>
      <c r="G3" s="330" t="s">
        <v>160</v>
      </c>
      <c r="H3" s="331" t="s">
        <v>151</v>
      </c>
      <c r="I3" s="330" t="str">
        <f>G3</f>
        <v>Pris </v>
      </c>
      <c r="J3" s="331" t="str">
        <f>H3</f>
        <v>Mængde</v>
      </c>
      <c r="K3" s="330" t="str">
        <f>I3</f>
        <v>Pris </v>
      </c>
      <c r="L3" s="331" t="str">
        <f>J3</f>
        <v>Mængde</v>
      </c>
    </row>
    <row r="4" spans="1:12" ht="15">
      <c r="A4" s="332">
        <f>'MR=MC opgave 2.1'!I3</f>
        <v>1500</v>
      </c>
      <c r="B4" s="333">
        <v>0</v>
      </c>
      <c r="C4" s="332">
        <f>A4</f>
        <v>1500</v>
      </c>
      <c r="D4" s="333">
        <v>0</v>
      </c>
      <c r="E4" s="332">
        <f>'MR=MC opgave 2.1'!R7</f>
        <v>500</v>
      </c>
      <c r="F4" s="333">
        <f>B4</f>
        <v>0</v>
      </c>
      <c r="G4" s="332">
        <f>A4</f>
        <v>1500</v>
      </c>
      <c r="H4" s="333">
        <f>'MR=MC opgave 2.1'!D9</f>
        <v>12000</v>
      </c>
      <c r="I4" s="332">
        <f>'MR=MC opgave 2.1'!D26</f>
        <v>1000</v>
      </c>
      <c r="J4" s="333">
        <f>F4</f>
        <v>0</v>
      </c>
      <c r="K4" s="332">
        <v>0</v>
      </c>
      <c r="L4" s="333">
        <f>'MR=MC opgave 2.1'!I20</f>
        <v>10000</v>
      </c>
    </row>
    <row r="5" spans="1:12" ht="15.75" thickBot="1">
      <c r="A5" s="334">
        <f>IF('MR=MC opgave 2.1'!D3/'MR=MC opgave 2.1'!E3=0,A4,0)</f>
        <v>0</v>
      </c>
      <c r="B5" s="335">
        <f>C8+IF('MR=MC opgave 2.1'!D3/'MR=MC opgave 2.1'!E3=0,'MR=MC opgave 2.1'!D9,'MR=MC opgave 2.1'!I3/('MR=MC opgave 2.1'!D3/'MR=MC opgave 2.1'!E3)*-1)</f>
        <v>30000</v>
      </c>
      <c r="C5" s="334">
        <f>A5</f>
        <v>0</v>
      </c>
      <c r="D5" s="335">
        <f>IF('MR=MC opgave 2.1'!D3/'MR=MC opgave 2.1'!E3=0,B5,B5/2)</f>
        <v>15000</v>
      </c>
      <c r="E5" s="334">
        <f>B5*('MR=MC opgave 2.1'!M7/'MR=MC opgave 2.1'!N7)+'MR=MC opgave 2.1'!R7</f>
        <v>500</v>
      </c>
      <c r="F5" s="335">
        <f>B5</f>
        <v>30000</v>
      </c>
      <c r="G5" s="334">
        <f>A5</f>
        <v>0</v>
      </c>
      <c r="H5" s="335">
        <f>'MR=MC opgave 2.1'!D9</f>
        <v>12000</v>
      </c>
      <c r="I5" s="334">
        <f>'MR=MC opgave 2.1'!D26</f>
        <v>1000</v>
      </c>
      <c r="J5" s="335">
        <f>L5</f>
        <v>10000</v>
      </c>
      <c r="K5" s="334">
        <f>I5</f>
        <v>1000</v>
      </c>
      <c r="L5" s="335">
        <f>'MR=MC opgave 2.1'!I20</f>
        <v>10000</v>
      </c>
    </row>
  </sheetData>
  <printOptions/>
  <pageMargins left="0.75" right="0.75" top="1" bottom="1" header="0" footer="0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3"/>
  <sheetViews>
    <sheetView zoomScale="90" zoomScaleNormal="90" workbookViewId="0" topLeftCell="A10">
      <selection activeCell="A34" sqref="A34:O37"/>
    </sheetView>
  </sheetViews>
  <sheetFormatPr defaultColWidth="9.140625" defaultRowHeight="12.75"/>
  <cols>
    <col min="1" max="1" width="10.421875" style="0" customWidth="1"/>
    <col min="2" max="2" width="3.140625" style="0" customWidth="1"/>
    <col min="3" max="3" width="2.00390625" style="0" customWidth="1"/>
    <col min="4" max="4" width="10.140625" style="0" customWidth="1"/>
    <col min="5" max="5" width="13.00390625" style="0" customWidth="1"/>
    <col min="6" max="6" width="2.421875" style="0" customWidth="1"/>
    <col min="7" max="7" width="1.8515625" style="0" customWidth="1"/>
    <col min="8" max="8" width="1.7109375" style="0" customWidth="1"/>
    <col min="9" max="9" width="11.140625" style="0" bestFit="1" customWidth="1"/>
    <col min="10" max="10" width="4.28125" style="0" customWidth="1"/>
    <col min="11" max="11" width="8.421875" style="0" bestFit="1" customWidth="1"/>
    <col min="12" max="12" width="2.421875" style="0" customWidth="1"/>
    <col min="13" max="13" width="13.28125" style="0" customWidth="1"/>
    <col min="14" max="14" width="8.421875" style="0" customWidth="1"/>
    <col min="15" max="15" width="2.421875" style="0" customWidth="1"/>
    <col min="16" max="16" width="2.140625" style="0" customWidth="1"/>
    <col min="17" max="17" width="1.57421875" style="0" customWidth="1"/>
    <col min="18" max="18" width="7.7109375" style="0" customWidth="1"/>
    <col min="19" max="19" width="2.00390625" style="0" customWidth="1"/>
    <col min="20" max="20" width="2.140625" style="0" customWidth="1"/>
    <col min="21" max="21" width="11.28125" style="0" bestFit="1" customWidth="1"/>
    <col min="22" max="22" width="11.28125" style="0" customWidth="1"/>
  </cols>
  <sheetData>
    <row r="1" spans="1:9" ht="26.25">
      <c r="A1" s="254" t="s">
        <v>125</v>
      </c>
      <c r="B1" s="255" t="s">
        <v>126</v>
      </c>
      <c r="H1" s="256" t="s">
        <v>127</v>
      </c>
      <c r="I1" s="257"/>
    </row>
    <row r="2" spans="1:21" ht="13.5" thickBot="1">
      <c r="A2" s="426" t="s">
        <v>128</v>
      </c>
      <c r="B2" s="427"/>
      <c r="C2" s="427"/>
      <c r="D2" s="427"/>
      <c r="E2" s="427"/>
      <c r="F2" s="427"/>
      <c r="G2" s="427"/>
      <c r="H2" s="427"/>
      <c r="I2" s="427"/>
      <c r="K2" s="426" t="s">
        <v>129</v>
      </c>
      <c r="L2" s="426"/>
      <c r="M2" s="427"/>
      <c r="N2" s="427"/>
      <c r="O2" s="427"/>
      <c r="P2" s="427"/>
      <c r="Q2" s="427"/>
      <c r="R2" s="427"/>
      <c r="S2" s="427"/>
      <c r="T2" s="427"/>
      <c r="U2" s="427"/>
    </row>
    <row r="3" spans="1:21" ht="14.25">
      <c r="A3" s="258" t="s">
        <v>130</v>
      </c>
      <c r="B3" s="65" t="s">
        <v>131</v>
      </c>
      <c r="C3" s="65" t="s">
        <v>132</v>
      </c>
      <c r="D3" s="259">
        <v>-1</v>
      </c>
      <c r="E3" s="260">
        <v>20</v>
      </c>
      <c r="F3" s="261" t="s">
        <v>133</v>
      </c>
      <c r="G3" s="262"/>
      <c r="H3" s="263" t="s">
        <v>134</v>
      </c>
      <c r="I3" s="262">
        <v>1500</v>
      </c>
      <c r="J3" s="67"/>
      <c r="K3" s="258" t="s">
        <v>135</v>
      </c>
      <c r="L3" s="264" t="s">
        <v>132</v>
      </c>
      <c r="M3" s="260">
        <v>0</v>
      </c>
      <c r="N3" s="265"/>
      <c r="O3" s="65"/>
      <c r="P3" s="65"/>
      <c r="Q3" s="266"/>
      <c r="R3" s="65"/>
      <c r="S3" s="65"/>
      <c r="T3" s="65"/>
      <c r="U3" s="67"/>
    </row>
    <row r="4" spans="1:21" ht="14.25">
      <c r="A4" s="176"/>
      <c r="B4" s="43"/>
      <c r="C4" s="43"/>
      <c r="D4" s="43"/>
      <c r="E4" s="43"/>
      <c r="F4" s="267"/>
      <c r="G4" s="43"/>
      <c r="H4" s="268"/>
      <c r="I4" s="43"/>
      <c r="J4" s="269"/>
      <c r="K4" s="176" t="s">
        <v>136</v>
      </c>
      <c r="L4" s="270" t="s">
        <v>132</v>
      </c>
      <c r="M4" s="271">
        <v>0</v>
      </c>
      <c r="N4" s="271">
        <v>1</v>
      </c>
      <c r="O4" s="272" t="str">
        <f>F3</f>
        <v>X</v>
      </c>
      <c r="P4" s="273">
        <v>2</v>
      </c>
      <c r="Q4" s="274" t="s">
        <v>134</v>
      </c>
      <c r="R4" s="271">
        <v>350</v>
      </c>
      <c r="S4" s="275" t="str">
        <f>O4</f>
        <v>X</v>
      </c>
      <c r="T4" s="43"/>
      <c r="U4" s="269"/>
    </row>
    <row r="5" spans="1:21" ht="14.25">
      <c r="A5" s="428" t="s">
        <v>137</v>
      </c>
      <c r="B5" s="405"/>
      <c r="C5" s="43" t="s">
        <v>132</v>
      </c>
      <c r="D5" s="43">
        <f>D3</f>
        <v>-1</v>
      </c>
      <c r="E5" s="277">
        <f>E3</f>
        <v>20</v>
      </c>
      <c r="F5" s="267" t="str">
        <f>F3</f>
        <v>X</v>
      </c>
      <c r="G5" s="278">
        <v>2</v>
      </c>
      <c r="H5" s="279" t="s">
        <v>134</v>
      </c>
      <c r="I5" s="43">
        <f>I3</f>
        <v>1500</v>
      </c>
      <c r="J5" s="269" t="str">
        <f>F3</f>
        <v>X</v>
      </c>
      <c r="K5" s="176" t="s">
        <v>138</v>
      </c>
      <c r="L5" s="270" t="s">
        <v>132</v>
      </c>
      <c r="M5" s="43">
        <f aca="true" t="shared" si="0" ref="M5:S5">M4</f>
        <v>0</v>
      </c>
      <c r="N5" s="43">
        <f t="shared" si="0"/>
        <v>1</v>
      </c>
      <c r="O5" s="280" t="str">
        <f t="shared" si="0"/>
        <v>X</v>
      </c>
      <c r="P5" s="278">
        <f t="shared" si="0"/>
        <v>2</v>
      </c>
      <c r="Q5" s="268" t="str">
        <f t="shared" si="0"/>
        <v>+</v>
      </c>
      <c r="R5" s="43">
        <f t="shared" si="0"/>
        <v>350</v>
      </c>
      <c r="S5" s="281" t="str">
        <f t="shared" si="0"/>
        <v>X</v>
      </c>
      <c r="T5" s="268" t="s">
        <v>134</v>
      </c>
      <c r="U5" s="282">
        <f>M3</f>
        <v>0</v>
      </c>
    </row>
    <row r="6" spans="1:21" ht="14.25">
      <c r="A6" s="176"/>
      <c r="B6" s="43"/>
      <c r="C6" s="43"/>
      <c r="D6" s="43"/>
      <c r="E6" s="43"/>
      <c r="F6" s="267"/>
      <c r="G6" s="43"/>
      <c r="H6" s="268"/>
      <c r="I6" s="43"/>
      <c r="J6" s="269"/>
      <c r="K6" s="176"/>
      <c r="L6" s="270"/>
      <c r="M6" s="43"/>
      <c r="N6" s="43"/>
      <c r="O6" s="280"/>
      <c r="P6" s="43"/>
      <c r="Q6" s="268"/>
      <c r="R6" s="43"/>
      <c r="S6" s="43"/>
      <c r="T6" s="43"/>
      <c r="U6" s="269"/>
    </row>
    <row r="7" spans="1:21" ht="15" thickBot="1">
      <c r="A7" s="429" t="s">
        <v>139</v>
      </c>
      <c r="B7" s="427"/>
      <c r="C7" s="4" t="s">
        <v>132</v>
      </c>
      <c r="D7" s="4">
        <f>D5*2</f>
        <v>-2</v>
      </c>
      <c r="E7" s="59">
        <f>E3</f>
        <v>20</v>
      </c>
      <c r="F7" s="283" t="str">
        <f>F5</f>
        <v>X</v>
      </c>
      <c r="G7" s="4"/>
      <c r="H7" s="284" t="s">
        <v>134</v>
      </c>
      <c r="I7" s="4">
        <f>I5</f>
        <v>1500</v>
      </c>
      <c r="J7" s="285"/>
      <c r="K7" s="286" t="s">
        <v>140</v>
      </c>
      <c r="L7" s="287" t="s">
        <v>132</v>
      </c>
      <c r="M7" s="4">
        <f>M5*P5</f>
        <v>0</v>
      </c>
      <c r="N7" s="4">
        <f>N5</f>
        <v>1</v>
      </c>
      <c r="O7" s="288" t="str">
        <f>O5</f>
        <v>X</v>
      </c>
      <c r="P7" s="4"/>
      <c r="Q7" s="284" t="str">
        <f>Q5</f>
        <v>+</v>
      </c>
      <c r="R7" s="4">
        <f>R5</f>
        <v>350</v>
      </c>
      <c r="S7" s="4"/>
      <c r="T7" s="4"/>
      <c r="U7" s="285"/>
    </row>
    <row r="8" spans="1:21" ht="14.25">
      <c r="A8" s="289"/>
      <c r="B8" s="290"/>
      <c r="C8" s="43"/>
      <c r="D8" s="43"/>
      <c r="E8" s="277"/>
      <c r="F8" s="267"/>
      <c r="G8" s="43"/>
      <c r="H8" s="268"/>
      <c r="I8" s="43"/>
      <c r="J8" s="43"/>
      <c r="K8" s="270"/>
      <c r="L8" s="270"/>
      <c r="M8" s="43"/>
      <c r="N8" s="43"/>
      <c r="O8" s="280"/>
      <c r="P8" s="43"/>
      <c r="Q8" s="268"/>
      <c r="R8" s="43"/>
      <c r="S8" s="43"/>
      <c r="T8" s="43"/>
      <c r="U8" s="43"/>
    </row>
    <row r="9" spans="1:21" ht="14.25">
      <c r="A9" s="289" t="s">
        <v>141</v>
      </c>
      <c r="B9" s="290"/>
      <c r="C9" s="43" t="str">
        <f>C5</f>
        <v>=</v>
      </c>
      <c r="D9" s="291">
        <v>16000</v>
      </c>
      <c r="E9" s="277"/>
      <c r="F9" s="267"/>
      <c r="G9" s="43"/>
      <c r="H9" s="268"/>
      <c r="I9" s="43"/>
      <c r="J9" s="43"/>
      <c r="K9" s="270"/>
      <c r="L9" s="270"/>
      <c r="M9" s="43"/>
      <c r="N9" s="43"/>
      <c r="O9" s="280"/>
      <c r="P9" s="43"/>
      <c r="Q9" s="268"/>
      <c r="R9" s="43"/>
      <c r="S9" s="43"/>
      <c r="T9" s="43"/>
      <c r="U9" s="43"/>
    </row>
    <row r="10" spans="8:17" ht="12.75">
      <c r="H10" s="292"/>
      <c r="Q10" s="292"/>
    </row>
    <row r="11" spans="1:17" ht="12.75">
      <c r="A11" t="s">
        <v>142</v>
      </c>
      <c r="H11" s="292"/>
      <c r="Q11" s="292"/>
    </row>
    <row r="12" spans="8:17" ht="12.75">
      <c r="H12" s="292"/>
      <c r="Q12" s="292"/>
    </row>
    <row r="13" spans="8:17" ht="12.75">
      <c r="H13" s="292"/>
      <c r="I13" s="293" t="s">
        <v>139</v>
      </c>
      <c r="J13" s="294" t="s">
        <v>132</v>
      </c>
      <c r="K13" t="s">
        <v>140</v>
      </c>
      <c r="Q13" s="292"/>
    </row>
    <row r="14" spans="4:17" ht="12.75">
      <c r="D14" s="425" t="str">
        <f>M14</f>
        <v>(Hældningskoeficienten)</v>
      </c>
      <c r="E14" s="425"/>
      <c r="H14" s="292"/>
      <c r="J14" s="294"/>
      <c r="M14" s="425" t="s">
        <v>143</v>
      </c>
      <c r="N14" s="425"/>
      <c r="Q14" s="292"/>
    </row>
    <row r="15" spans="4:18" ht="12.75">
      <c r="D15">
        <f>D7</f>
        <v>-2</v>
      </c>
      <c r="E15" s="295">
        <f>E7</f>
        <v>20</v>
      </c>
      <c r="F15" t="str">
        <f>F7</f>
        <v>X</v>
      </c>
      <c r="H15" s="292" t="str">
        <f>H7</f>
        <v>+</v>
      </c>
      <c r="I15">
        <f>I7</f>
        <v>1500</v>
      </c>
      <c r="J15" s="294" t="str">
        <f>J13</f>
        <v>=</v>
      </c>
      <c r="M15">
        <f>M7</f>
        <v>0</v>
      </c>
      <c r="N15">
        <f>N7</f>
        <v>1</v>
      </c>
      <c r="O15" t="str">
        <f>O7</f>
        <v>X</v>
      </c>
      <c r="Q15" s="292" t="str">
        <f>Q7</f>
        <v>+</v>
      </c>
      <c r="R15">
        <f>R7</f>
        <v>350</v>
      </c>
    </row>
    <row r="16" spans="8:17" ht="12.75">
      <c r="H16" s="292"/>
      <c r="J16" s="294"/>
      <c r="Q16" s="292"/>
    </row>
    <row r="17" spans="8:17" ht="12.75">
      <c r="H17" s="292"/>
      <c r="I17">
        <f>I15-R15</f>
        <v>1150</v>
      </c>
      <c r="J17" s="294" t="str">
        <f>J15</f>
        <v>=</v>
      </c>
      <c r="N17">
        <f>-1*(D15/E15)+(M15/N15)</f>
        <v>0.1</v>
      </c>
      <c r="O17" t="str">
        <f>O15</f>
        <v>X</v>
      </c>
      <c r="Q17" s="292"/>
    </row>
    <row r="19" spans="1:17" ht="12.75">
      <c r="A19" s="296">
        <f>IF(I20=D9,"Da løsningen er større end max. Kap. er den ugyldig",0)</f>
        <v>0</v>
      </c>
      <c r="H19" s="292"/>
      <c r="I19" s="336">
        <f>I17/N17</f>
        <v>11500</v>
      </c>
      <c r="J19" s="298" t="str">
        <f>J17</f>
        <v>=</v>
      </c>
      <c r="K19" s="298" t="str">
        <f>O4</f>
        <v>X</v>
      </c>
      <c r="L19" s="270"/>
      <c r="M19" s="270"/>
      <c r="N19" s="270"/>
      <c r="O19" s="270"/>
      <c r="Q19" s="292"/>
    </row>
    <row r="20" spans="8:17" ht="13.5" thickBot="1">
      <c r="H20" s="292"/>
      <c r="I20" s="337">
        <f>IF(I19&gt;D9,D9,I19)</f>
        <v>11500</v>
      </c>
      <c r="J20" s="300" t="str">
        <f>J19</f>
        <v>=</v>
      </c>
      <c r="K20" s="300" t="str">
        <f>O5</f>
        <v>X</v>
      </c>
      <c r="L20" s="299"/>
      <c r="M20" t="s">
        <v>232</v>
      </c>
      <c r="Q20" s="292"/>
    </row>
    <row r="21" spans="8:17" ht="13.5" thickTop="1">
      <c r="H21" s="292"/>
      <c r="I21" s="270"/>
      <c r="J21" s="301"/>
      <c r="K21" s="301"/>
      <c r="L21" s="270"/>
      <c r="Q21" s="292"/>
    </row>
    <row r="22" spans="1:8" ht="12.75">
      <c r="A22">
        <f>I19</f>
        <v>11500</v>
      </c>
      <c r="C22" t="str">
        <f>K19</f>
        <v>X</v>
      </c>
      <c r="H22" s="292"/>
    </row>
    <row r="23" ht="12.75">
      <c r="H23" s="292"/>
    </row>
    <row r="24" spans="2:9" ht="12.75">
      <c r="B24" t="str">
        <f>B3</f>
        <v>P</v>
      </c>
      <c r="C24" t="str">
        <f>C3</f>
        <v>=</v>
      </c>
      <c r="D24">
        <f>D3</f>
        <v>-1</v>
      </c>
      <c r="E24" s="295">
        <f>E3</f>
        <v>20</v>
      </c>
      <c r="F24" t="str">
        <f>F3</f>
        <v>X</v>
      </c>
      <c r="H24" t="str">
        <f>H3</f>
        <v>+</v>
      </c>
      <c r="I24">
        <f>I3</f>
        <v>1500</v>
      </c>
    </row>
    <row r="25" spans="2:9" ht="12.75">
      <c r="B25" t="str">
        <f>B24</f>
        <v>P</v>
      </c>
      <c r="C25" t="str">
        <f>C24</f>
        <v>=</v>
      </c>
      <c r="D25" s="302">
        <f>I20*(D24/E24)</f>
        <v>-575</v>
      </c>
      <c r="H25" t="str">
        <f>H24</f>
        <v>+</v>
      </c>
      <c r="I25">
        <f>I24</f>
        <v>1500</v>
      </c>
    </row>
    <row r="26" spans="2:5" ht="13.5" thickBot="1">
      <c r="B26" s="337" t="str">
        <f>B25</f>
        <v>P</v>
      </c>
      <c r="C26" s="337" t="str">
        <f>C25</f>
        <v>=</v>
      </c>
      <c r="D26" s="337">
        <f>I25+D25</f>
        <v>925</v>
      </c>
      <c r="E26" s="43" t="s">
        <v>232</v>
      </c>
    </row>
    <row r="27" ht="13.5" thickTop="1"/>
    <row r="28" spans="1:13" ht="12.75">
      <c r="A28" t="s">
        <v>137</v>
      </c>
      <c r="E28" s="338">
        <f>D26</f>
        <v>925</v>
      </c>
      <c r="F28" s="338"/>
      <c r="G28" s="338" t="s">
        <v>145</v>
      </c>
      <c r="H28" s="338"/>
      <c r="I28" s="338">
        <f>I20</f>
        <v>11500</v>
      </c>
      <c r="M28" s="303">
        <f>E28*I28</f>
        <v>10637500</v>
      </c>
    </row>
    <row r="29" spans="1:13" ht="12.75">
      <c r="A29" s="304" t="s">
        <v>231</v>
      </c>
      <c r="E29" s="338">
        <v>300</v>
      </c>
      <c r="F29" s="338"/>
      <c r="G29" s="338"/>
      <c r="H29" s="338"/>
      <c r="I29" s="338">
        <v>8000</v>
      </c>
      <c r="M29" s="303">
        <f>E29*I29</f>
        <v>2400000</v>
      </c>
    </row>
    <row r="30" spans="1:13" ht="12.75">
      <c r="A30" s="304" t="s">
        <v>230</v>
      </c>
      <c r="E30" s="296">
        <v>350</v>
      </c>
      <c r="I30" s="339">
        <f>I28-I29</f>
        <v>3500</v>
      </c>
      <c r="M30" s="303">
        <f>E30*I30</f>
        <v>1225000</v>
      </c>
    </row>
    <row r="31" spans="1:14" ht="12.75">
      <c r="A31" s="305" t="s">
        <v>147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6">
        <f>M28-M29-M30</f>
        <v>7012500</v>
      </c>
      <c r="N31" t="s">
        <v>232</v>
      </c>
    </row>
    <row r="32" ht="12.75">
      <c r="M32" s="295"/>
    </row>
    <row r="34" spans="1:13" ht="12.75">
      <c r="A34" t="s">
        <v>161</v>
      </c>
      <c r="M34" s="303">
        <f>M31</f>
        <v>7012500</v>
      </c>
    </row>
    <row r="35" spans="1:13" ht="12.75">
      <c r="A35" t="s">
        <v>162</v>
      </c>
      <c r="I35" s="303"/>
      <c r="J35" s="303"/>
      <c r="K35" s="303"/>
      <c r="M35" s="303">
        <f>'MR=MC opgave 2.1'!M30</f>
        <v>5000000</v>
      </c>
    </row>
    <row r="36" spans="1:14" ht="13.5" thickBot="1">
      <c r="A36" t="s">
        <v>163</v>
      </c>
      <c r="M36" s="340">
        <f>M34-M35</f>
        <v>2012500</v>
      </c>
      <c r="N36" t="s">
        <v>232</v>
      </c>
    </row>
    <row r="37" ht="13.5" thickTop="1"/>
    <row r="39" spans="1:4" ht="12.75">
      <c r="A39" s="405"/>
      <c r="B39" s="405"/>
      <c r="C39" s="405"/>
      <c r="D39" s="405"/>
    </row>
    <row r="40" spans="1:22" ht="27" thickBot="1">
      <c r="A40" s="405"/>
      <c r="B40" s="405"/>
      <c r="C40" s="405"/>
      <c r="D40" s="405"/>
      <c r="F40" s="256" t="s">
        <v>150</v>
      </c>
      <c r="V40" s="305"/>
    </row>
    <row r="41" spans="1:22" ht="13.5" thickBot="1">
      <c r="A41" s="422" t="s">
        <v>151</v>
      </c>
      <c r="B41" s="406"/>
      <c r="C41" s="406" t="s">
        <v>152</v>
      </c>
      <c r="D41" s="406"/>
      <c r="E41" s="309" t="s">
        <v>153</v>
      </c>
      <c r="F41" s="406" t="s">
        <v>154</v>
      </c>
      <c r="G41" s="406"/>
      <c r="H41" s="406"/>
      <c r="I41" s="406"/>
      <c r="J41" s="397" t="s">
        <v>147</v>
      </c>
      <c r="K41" s="398"/>
      <c r="L41" s="399"/>
      <c r="M41" s="309" t="s">
        <v>155</v>
      </c>
      <c r="N41" s="406" t="s">
        <v>149</v>
      </c>
      <c r="O41" s="406"/>
      <c r="P41" s="406"/>
      <c r="Q41" s="406"/>
      <c r="R41" s="406" t="s">
        <v>139</v>
      </c>
      <c r="S41" s="406"/>
      <c r="T41" s="406"/>
      <c r="U41" s="309" t="s">
        <v>140</v>
      </c>
      <c r="V41" s="310" t="s">
        <v>156</v>
      </c>
    </row>
    <row r="42" spans="1:22" ht="14.25">
      <c r="A42" s="423">
        <f>$A$45*-60%+$A$45</f>
        <v>4600</v>
      </c>
      <c r="B42" s="417"/>
      <c r="C42" s="407">
        <f aca="true" t="shared" si="1" ref="C42:C49">A42*($D$24/$E$24)+$I$24</f>
        <v>1270</v>
      </c>
      <c r="D42" s="407"/>
      <c r="E42" s="311">
        <f aca="true" t="shared" si="2" ref="E42:E49">C42*A42</f>
        <v>5842000</v>
      </c>
      <c r="F42" s="416">
        <f aca="true" t="shared" si="3" ref="F42:F49">(POWER(A42,$P$4))*($M$4/$N$4)+($R$4*A42)</f>
        <v>1610000</v>
      </c>
      <c r="G42" s="417"/>
      <c r="H42" s="417"/>
      <c r="I42" s="417"/>
      <c r="J42" s="400">
        <f aca="true" t="shared" si="4" ref="J42:J49">E42-F42</f>
        <v>4232000</v>
      </c>
      <c r="K42" s="401"/>
      <c r="L42" s="402"/>
      <c r="M42" s="312">
        <f aca="true" t="shared" si="5" ref="M42:M49">$M$3</f>
        <v>0</v>
      </c>
      <c r="N42" s="416">
        <f aca="true" t="shared" si="6" ref="N42:N49">J42-M42</f>
        <v>4232000</v>
      </c>
      <c r="O42" s="417"/>
      <c r="P42" s="417"/>
      <c r="Q42" s="417"/>
      <c r="R42" s="407">
        <f aca="true" t="shared" si="7" ref="R42:R49">$I$7+($D$7/$E$7)*A42</f>
        <v>1040</v>
      </c>
      <c r="S42" s="407"/>
      <c r="T42" s="407"/>
      <c r="U42" s="313">
        <f aca="true" t="shared" si="8" ref="U42:U49">$R$7+($M$7/$N$7)*A42</f>
        <v>350</v>
      </c>
      <c r="V42" s="314">
        <f aca="true" t="shared" si="9" ref="V42:V49">R42-U42</f>
        <v>690</v>
      </c>
    </row>
    <row r="43" spans="1:22" ht="14.25">
      <c r="A43" s="421">
        <f>$A$45*-40%+$A$45</f>
        <v>6900</v>
      </c>
      <c r="B43" s="384"/>
      <c r="C43" s="408">
        <f t="shared" si="1"/>
        <v>1155</v>
      </c>
      <c r="D43" s="408"/>
      <c r="E43" s="315">
        <f t="shared" si="2"/>
        <v>7969500</v>
      </c>
      <c r="F43" s="415">
        <f t="shared" si="3"/>
        <v>2415000</v>
      </c>
      <c r="G43" s="384"/>
      <c r="H43" s="384"/>
      <c r="I43" s="384"/>
      <c r="J43" s="403">
        <f t="shared" si="4"/>
        <v>5554500</v>
      </c>
      <c r="K43" s="404"/>
      <c r="L43" s="396"/>
      <c r="M43" s="316">
        <f t="shared" si="5"/>
        <v>0</v>
      </c>
      <c r="N43" s="415">
        <f t="shared" si="6"/>
        <v>5554500</v>
      </c>
      <c r="O43" s="384"/>
      <c r="P43" s="384"/>
      <c r="Q43" s="384"/>
      <c r="R43" s="408">
        <f t="shared" si="7"/>
        <v>810</v>
      </c>
      <c r="S43" s="408"/>
      <c r="T43" s="408"/>
      <c r="U43" s="317">
        <f t="shared" si="8"/>
        <v>350</v>
      </c>
      <c r="V43" s="318">
        <f t="shared" si="9"/>
        <v>460</v>
      </c>
    </row>
    <row r="44" spans="1:22" ht="14.25">
      <c r="A44" s="421">
        <f>$A$45*-20%+$A$45</f>
        <v>9200</v>
      </c>
      <c r="B44" s="384"/>
      <c r="C44" s="408">
        <f t="shared" si="1"/>
        <v>1040</v>
      </c>
      <c r="D44" s="408"/>
      <c r="E44" s="315">
        <f t="shared" si="2"/>
        <v>9568000</v>
      </c>
      <c r="F44" s="415">
        <f t="shared" si="3"/>
        <v>3220000</v>
      </c>
      <c r="G44" s="384"/>
      <c r="H44" s="384"/>
      <c r="I44" s="384"/>
      <c r="J44" s="403">
        <f t="shared" si="4"/>
        <v>6348000</v>
      </c>
      <c r="K44" s="404"/>
      <c r="L44" s="396"/>
      <c r="M44" s="316">
        <f t="shared" si="5"/>
        <v>0</v>
      </c>
      <c r="N44" s="415">
        <f t="shared" si="6"/>
        <v>6348000</v>
      </c>
      <c r="O44" s="384"/>
      <c r="P44" s="384"/>
      <c r="Q44" s="384"/>
      <c r="R44" s="408">
        <f t="shared" si="7"/>
        <v>580</v>
      </c>
      <c r="S44" s="408"/>
      <c r="T44" s="408"/>
      <c r="U44" s="317">
        <f t="shared" si="8"/>
        <v>350</v>
      </c>
      <c r="V44" s="318">
        <f t="shared" si="9"/>
        <v>230</v>
      </c>
    </row>
    <row r="45" spans="1:22" ht="14.25">
      <c r="A45" s="421">
        <f>I19</f>
        <v>11500</v>
      </c>
      <c r="B45" s="414"/>
      <c r="C45" s="409">
        <f t="shared" si="1"/>
        <v>925</v>
      </c>
      <c r="D45" s="409"/>
      <c r="E45" s="319">
        <f t="shared" si="2"/>
        <v>10637500</v>
      </c>
      <c r="F45" s="413">
        <f t="shared" si="3"/>
        <v>4025000</v>
      </c>
      <c r="G45" s="414"/>
      <c r="H45" s="414"/>
      <c r="I45" s="414"/>
      <c r="J45" s="394">
        <f t="shared" si="4"/>
        <v>6612500</v>
      </c>
      <c r="K45" s="395"/>
      <c r="L45" s="396"/>
      <c r="M45" s="320">
        <f t="shared" si="5"/>
        <v>0</v>
      </c>
      <c r="N45" s="413">
        <f t="shared" si="6"/>
        <v>6612500</v>
      </c>
      <c r="O45" s="414"/>
      <c r="P45" s="414"/>
      <c r="Q45" s="414"/>
      <c r="R45" s="409">
        <f t="shared" si="7"/>
        <v>350</v>
      </c>
      <c r="S45" s="409"/>
      <c r="T45" s="409"/>
      <c r="U45" s="321">
        <f t="shared" si="8"/>
        <v>350</v>
      </c>
      <c r="V45" s="322">
        <f t="shared" si="9"/>
        <v>0</v>
      </c>
    </row>
    <row r="46" spans="1:22" ht="14.25">
      <c r="A46" s="421">
        <f>$A$45*20%+$A$45</f>
        <v>13800</v>
      </c>
      <c r="B46" s="384"/>
      <c r="C46" s="408">
        <f t="shared" si="1"/>
        <v>810</v>
      </c>
      <c r="D46" s="408"/>
      <c r="E46" s="315">
        <f t="shared" si="2"/>
        <v>11178000</v>
      </c>
      <c r="F46" s="415">
        <f t="shared" si="3"/>
        <v>4830000</v>
      </c>
      <c r="G46" s="384"/>
      <c r="H46" s="384"/>
      <c r="I46" s="384"/>
      <c r="J46" s="403">
        <f t="shared" si="4"/>
        <v>6348000</v>
      </c>
      <c r="K46" s="404"/>
      <c r="L46" s="396"/>
      <c r="M46" s="316">
        <f t="shared" si="5"/>
        <v>0</v>
      </c>
      <c r="N46" s="415">
        <f t="shared" si="6"/>
        <v>6348000</v>
      </c>
      <c r="O46" s="384"/>
      <c r="P46" s="384"/>
      <c r="Q46" s="384"/>
      <c r="R46" s="408">
        <f t="shared" si="7"/>
        <v>120</v>
      </c>
      <c r="S46" s="408"/>
      <c r="T46" s="408"/>
      <c r="U46" s="317">
        <f t="shared" si="8"/>
        <v>350</v>
      </c>
      <c r="V46" s="318">
        <f t="shared" si="9"/>
        <v>-230</v>
      </c>
    </row>
    <row r="47" spans="1:22" ht="14.25">
      <c r="A47" s="421">
        <f>$A$45*40%+$A$45</f>
        <v>16100</v>
      </c>
      <c r="B47" s="384"/>
      <c r="C47" s="408">
        <f t="shared" si="1"/>
        <v>695</v>
      </c>
      <c r="D47" s="408"/>
      <c r="E47" s="315">
        <f t="shared" si="2"/>
        <v>11189500</v>
      </c>
      <c r="F47" s="415">
        <f t="shared" si="3"/>
        <v>5635000</v>
      </c>
      <c r="G47" s="384"/>
      <c r="H47" s="384"/>
      <c r="I47" s="384"/>
      <c r="J47" s="403">
        <f t="shared" si="4"/>
        <v>5554500</v>
      </c>
      <c r="K47" s="404"/>
      <c r="L47" s="396"/>
      <c r="M47" s="316">
        <f t="shared" si="5"/>
        <v>0</v>
      </c>
      <c r="N47" s="415">
        <f t="shared" si="6"/>
        <v>5554500</v>
      </c>
      <c r="O47" s="384"/>
      <c r="P47" s="384"/>
      <c r="Q47" s="384"/>
      <c r="R47" s="408">
        <f t="shared" si="7"/>
        <v>-110</v>
      </c>
      <c r="S47" s="408"/>
      <c r="T47" s="408"/>
      <c r="U47" s="317">
        <f t="shared" si="8"/>
        <v>350</v>
      </c>
      <c r="V47" s="318">
        <f t="shared" si="9"/>
        <v>-460</v>
      </c>
    </row>
    <row r="48" spans="1:22" ht="14.25">
      <c r="A48" s="421">
        <f>$A$45*60%+$A$45</f>
        <v>18400</v>
      </c>
      <c r="B48" s="384"/>
      <c r="C48" s="408">
        <f t="shared" si="1"/>
        <v>580</v>
      </c>
      <c r="D48" s="408"/>
      <c r="E48" s="315">
        <f t="shared" si="2"/>
        <v>10672000</v>
      </c>
      <c r="F48" s="415">
        <f t="shared" si="3"/>
        <v>6440000</v>
      </c>
      <c r="G48" s="384"/>
      <c r="H48" s="384"/>
      <c r="I48" s="384"/>
      <c r="J48" s="403">
        <f t="shared" si="4"/>
        <v>4232000</v>
      </c>
      <c r="K48" s="404"/>
      <c r="L48" s="396"/>
      <c r="M48" s="316">
        <f t="shared" si="5"/>
        <v>0</v>
      </c>
      <c r="N48" s="415">
        <f t="shared" si="6"/>
        <v>4232000</v>
      </c>
      <c r="O48" s="384"/>
      <c r="P48" s="384"/>
      <c r="Q48" s="384"/>
      <c r="R48" s="408">
        <f t="shared" si="7"/>
        <v>-340</v>
      </c>
      <c r="S48" s="408"/>
      <c r="T48" s="408"/>
      <c r="U48" s="317">
        <f t="shared" si="8"/>
        <v>350</v>
      </c>
      <c r="V48" s="318">
        <f t="shared" si="9"/>
        <v>-690</v>
      </c>
    </row>
    <row r="49" spans="1:22" ht="15" thickBot="1">
      <c r="A49" s="424">
        <f>$A$45*80%+$A$45</f>
        <v>20700</v>
      </c>
      <c r="B49" s="412"/>
      <c r="C49" s="410">
        <f t="shared" si="1"/>
        <v>465</v>
      </c>
      <c r="D49" s="410"/>
      <c r="E49" s="323">
        <f t="shared" si="2"/>
        <v>9625500</v>
      </c>
      <c r="F49" s="411">
        <f t="shared" si="3"/>
        <v>7245000</v>
      </c>
      <c r="G49" s="412"/>
      <c r="H49" s="412"/>
      <c r="I49" s="412"/>
      <c r="J49" s="418">
        <f t="shared" si="4"/>
        <v>2380500</v>
      </c>
      <c r="K49" s="419"/>
      <c r="L49" s="420"/>
      <c r="M49" s="324">
        <f t="shared" si="5"/>
        <v>0</v>
      </c>
      <c r="N49" s="411">
        <f t="shared" si="6"/>
        <v>2380500</v>
      </c>
      <c r="O49" s="412"/>
      <c r="P49" s="412"/>
      <c r="Q49" s="412"/>
      <c r="R49" s="410">
        <f t="shared" si="7"/>
        <v>-570</v>
      </c>
      <c r="S49" s="410"/>
      <c r="T49" s="410"/>
      <c r="U49" s="325">
        <f t="shared" si="8"/>
        <v>350</v>
      </c>
      <c r="V49" s="326">
        <f t="shared" si="9"/>
        <v>-920</v>
      </c>
    </row>
    <row r="50" spans="1:20" ht="12.75">
      <c r="A50" s="405"/>
      <c r="B50" s="405"/>
      <c r="C50" s="405"/>
      <c r="D50" s="405"/>
      <c r="F50" s="405"/>
      <c r="G50" s="405"/>
      <c r="H50" s="405"/>
      <c r="I50" s="405"/>
      <c r="J50" s="405"/>
      <c r="K50" s="405"/>
      <c r="L50" s="276"/>
      <c r="N50" s="405"/>
      <c r="O50" s="405"/>
      <c r="P50" s="405"/>
      <c r="Q50" s="405"/>
      <c r="R50" s="405"/>
      <c r="S50" s="405"/>
      <c r="T50" s="405"/>
    </row>
    <row r="51" spans="1:20" ht="12.75">
      <c r="A51" s="405"/>
      <c r="B51" s="405"/>
      <c r="C51" s="405"/>
      <c r="D51" s="405"/>
      <c r="F51" s="405"/>
      <c r="G51" s="405"/>
      <c r="H51" s="405"/>
      <c r="I51" s="405"/>
      <c r="J51" s="405"/>
      <c r="K51" s="405"/>
      <c r="L51" s="276"/>
      <c r="N51" s="405"/>
      <c r="O51" s="405"/>
      <c r="P51" s="405"/>
      <c r="Q51" s="405"/>
      <c r="R51" s="405"/>
      <c r="S51" s="405"/>
      <c r="T51" s="405"/>
    </row>
    <row r="52" spans="1:20" ht="12.75">
      <c r="A52" s="405"/>
      <c r="B52" s="405"/>
      <c r="C52" s="405"/>
      <c r="D52" s="405"/>
      <c r="F52" s="405"/>
      <c r="G52" s="405"/>
      <c r="H52" s="405"/>
      <c r="I52" s="405"/>
      <c r="J52" s="405"/>
      <c r="K52" s="405"/>
      <c r="L52" s="276"/>
      <c r="N52" s="405"/>
      <c r="O52" s="405"/>
      <c r="P52" s="405"/>
      <c r="Q52" s="405"/>
      <c r="R52" s="405"/>
      <c r="S52" s="405"/>
      <c r="T52" s="405"/>
    </row>
    <row r="53" spans="1:20" ht="12.75">
      <c r="A53" s="405"/>
      <c r="B53" s="405"/>
      <c r="C53" s="405"/>
      <c r="D53" s="405"/>
      <c r="F53" s="405"/>
      <c r="G53" s="405"/>
      <c r="H53" s="405"/>
      <c r="I53" s="405"/>
      <c r="J53" s="405"/>
      <c r="K53" s="405"/>
      <c r="L53" s="276"/>
      <c r="N53" s="405"/>
      <c r="O53" s="405"/>
      <c r="P53" s="405"/>
      <c r="Q53" s="405"/>
      <c r="R53" s="405"/>
      <c r="S53" s="405"/>
      <c r="T53" s="405"/>
    </row>
  </sheetData>
  <mergeCells count="88">
    <mergeCell ref="J45:L45"/>
    <mergeCell ref="J41:L41"/>
    <mergeCell ref="J42:L42"/>
    <mergeCell ref="J43:L43"/>
    <mergeCell ref="J44:L44"/>
    <mergeCell ref="A39:B39"/>
    <mergeCell ref="A40:B40"/>
    <mergeCell ref="C39:D39"/>
    <mergeCell ref="C40:D40"/>
    <mergeCell ref="R50:T50"/>
    <mergeCell ref="R51:T51"/>
    <mergeCell ref="R52:T52"/>
    <mergeCell ref="R53:T53"/>
    <mergeCell ref="N53:Q53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N49:Q49"/>
    <mergeCell ref="N50:Q50"/>
    <mergeCell ref="N51:Q51"/>
    <mergeCell ref="N52:Q52"/>
    <mergeCell ref="N45:Q45"/>
    <mergeCell ref="N46:Q46"/>
    <mergeCell ref="N47:Q47"/>
    <mergeCell ref="N48:Q48"/>
    <mergeCell ref="N41:Q41"/>
    <mergeCell ref="N42:Q42"/>
    <mergeCell ref="N43:Q43"/>
    <mergeCell ref="N44:Q44"/>
    <mergeCell ref="J51:K51"/>
    <mergeCell ref="J52:K52"/>
    <mergeCell ref="J49:L49"/>
    <mergeCell ref="J53:K53"/>
    <mergeCell ref="J46:L46"/>
    <mergeCell ref="J47:L47"/>
    <mergeCell ref="J48:L48"/>
    <mergeCell ref="F50:I50"/>
    <mergeCell ref="F49:I49"/>
    <mergeCell ref="J50:K50"/>
    <mergeCell ref="F51:I51"/>
    <mergeCell ref="F52:I52"/>
    <mergeCell ref="F53:I53"/>
    <mergeCell ref="C53:D53"/>
    <mergeCell ref="F41:I41"/>
    <mergeCell ref="F42:I42"/>
    <mergeCell ref="F43:I43"/>
    <mergeCell ref="F44:I44"/>
    <mergeCell ref="F45:I45"/>
    <mergeCell ref="F46:I46"/>
    <mergeCell ref="F47:I47"/>
    <mergeCell ref="F48:I48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A50:B50"/>
    <mergeCell ref="A51:B51"/>
    <mergeCell ref="A52:B52"/>
    <mergeCell ref="A53:B53"/>
    <mergeCell ref="A48:B48"/>
    <mergeCell ref="A41:B41"/>
    <mergeCell ref="A42:B42"/>
    <mergeCell ref="A43:B43"/>
    <mergeCell ref="A44:B44"/>
    <mergeCell ref="A49:B49"/>
    <mergeCell ref="M14:N14"/>
    <mergeCell ref="D14:E14"/>
    <mergeCell ref="A2:I2"/>
    <mergeCell ref="K2:U2"/>
    <mergeCell ref="A5:B5"/>
    <mergeCell ref="A7:B7"/>
    <mergeCell ref="A45:B45"/>
    <mergeCell ref="A46:B46"/>
    <mergeCell ref="A47:B47"/>
  </mergeCells>
  <printOptions/>
  <pageMargins left="0.5905511811023623" right="0.3937007874015748" top="0.5905511811023623" bottom="0.984251968503937" header="0" footer="0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workbookViewId="0" topLeftCell="B1">
      <selection activeCell="F57" sqref="F57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6.140625" style="0" customWidth="1"/>
    <col min="4" max="4" width="20.7109375" style="0" customWidth="1"/>
    <col min="5" max="5" width="23.8515625" style="0" customWidth="1"/>
    <col min="6" max="6" width="31.57421875" style="0" customWidth="1"/>
    <col min="7" max="7" width="35.421875" style="0" customWidth="1"/>
  </cols>
  <sheetData>
    <row r="1" spans="2:4" ht="23.25">
      <c r="B1" s="341" t="s">
        <v>164</v>
      </c>
      <c r="C1" s="342">
        <v>4</v>
      </c>
      <c r="D1" s="327" t="s">
        <v>248</v>
      </c>
    </row>
    <row r="2" spans="2:3" ht="16.5" thickBot="1">
      <c r="B2" s="341" t="s">
        <v>165</v>
      </c>
      <c r="C2" s="343">
        <v>0.12</v>
      </c>
    </row>
    <row r="3" spans="2:7" ht="37.5" customHeight="1" thickBot="1">
      <c r="B3" s="344" t="s">
        <v>166</v>
      </c>
      <c r="C3" s="345" t="s">
        <v>167</v>
      </c>
      <c r="D3" s="346" t="s">
        <v>168</v>
      </c>
      <c r="E3" s="347" t="s">
        <v>169</v>
      </c>
      <c r="F3" s="344" t="s">
        <v>175</v>
      </c>
      <c r="G3" s="348" t="s">
        <v>176</v>
      </c>
    </row>
    <row r="4" spans="2:7" ht="18">
      <c r="B4" s="349">
        <v>0</v>
      </c>
      <c r="C4" s="350">
        <v>0</v>
      </c>
      <c r="D4" s="351">
        <v>8000000</v>
      </c>
      <c r="E4" s="352">
        <f aca="true" t="shared" si="0" ref="E4:E35">C4-D4</f>
        <v>-8000000</v>
      </c>
      <c r="F4" s="353">
        <f>E4</f>
        <v>-8000000</v>
      </c>
      <c r="G4" s="354"/>
    </row>
    <row r="5" spans="2:7" ht="18">
      <c r="B5" s="349">
        <f aca="true" t="shared" si="1" ref="B5:B36">B4+1</f>
        <v>1</v>
      </c>
      <c r="C5" s="350">
        <v>7012500</v>
      </c>
      <c r="D5" s="355">
        <v>475000</v>
      </c>
      <c r="E5" s="352">
        <f t="shared" si="0"/>
        <v>6537500</v>
      </c>
      <c r="F5" s="356">
        <f aca="true" t="shared" si="2" ref="F5:F36">PV($C$2,B5,0,E5)*-1</f>
        <v>5837053.571428571</v>
      </c>
      <c r="G5" s="356">
        <f>PMT($C$2,$C$1,$F$55)*-1</f>
        <v>3903624.5095544783</v>
      </c>
    </row>
    <row r="6" spans="2:7" ht="18">
      <c r="B6" s="349">
        <f t="shared" si="1"/>
        <v>2</v>
      </c>
      <c r="C6" s="350">
        <f>C5</f>
        <v>7012500</v>
      </c>
      <c r="D6" s="355">
        <v>475000</v>
      </c>
      <c r="E6" s="352">
        <f t="shared" si="0"/>
        <v>6537500</v>
      </c>
      <c r="F6" s="356">
        <f t="shared" si="2"/>
        <v>5211654.974489795</v>
      </c>
      <c r="G6" s="356">
        <f aca="true" t="shared" si="3" ref="G6:G53">IF(F6&gt;0,G5,0)</f>
        <v>3903624.5095544783</v>
      </c>
    </row>
    <row r="7" spans="2:7" ht="18">
      <c r="B7" s="349">
        <f t="shared" si="1"/>
        <v>3</v>
      </c>
      <c r="C7" s="350">
        <f>C6</f>
        <v>7012500</v>
      </c>
      <c r="D7" s="355">
        <v>475000</v>
      </c>
      <c r="E7" s="352">
        <f t="shared" si="0"/>
        <v>6537500</v>
      </c>
      <c r="F7" s="356">
        <f t="shared" si="2"/>
        <v>4653263.370080174</v>
      </c>
      <c r="G7" s="356">
        <f t="shared" si="3"/>
        <v>3903624.5095544783</v>
      </c>
    </row>
    <row r="8" spans="2:7" ht="18">
      <c r="B8" s="349">
        <f t="shared" si="1"/>
        <v>4</v>
      </c>
      <c r="C8" s="350">
        <f>C7</f>
        <v>7012500</v>
      </c>
      <c r="D8" s="355">
        <v>475000</v>
      </c>
      <c r="E8" s="352">
        <f t="shared" si="0"/>
        <v>6537500</v>
      </c>
      <c r="F8" s="356">
        <f t="shared" si="2"/>
        <v>4154699.437571584</v>
      </c>
      <c r="G8" s="356">
        <f t="shared" si="3"/>
        <v>3903624.5095544783</v>
      </c>
    </row>
    <row r="9" spans="2:7" ht="18">
      <c r="B9" s="349">
        <f t="shared" si="1"/>
        <v>5</v>
      </c>
      <c r="C9" s="350">
        <v>0</v>
      </c>
      <c r="D9" s="355">
        <v>0</v>
      </c>
      <c r="E9" s="352">
        <f t="shared" si="0"/>
        <v>0</v>
      </c>
      <c r="F9" s="356">
        <f t="shared" si="2"/>
        <v>0</v>
      </c>
      <c r="G9" s="356">
        <f t="shared" si="3"/>
        <v>0</v>
      </c>
    </row>
    <row r="10" spans="2:7" ht="18">
      <c r="B10" s="349">
        <f t="shared" si="1"/>
        <v>6</v>
      </c>
      <c r="C10" s="350">
        <v>0</v>
      </c>
      <c r="D10" s="355">
        <v>0</v>
      </c>
      <c r="E10" s="352">
        <f t="shared" si="0"/>
        <v>0</v>
      </c>
      <c r="F10" s="356">
        <f t="shared" si="2"/>
        <v>0</v>
      </c>
      <c r="G10" s="356">
        <f t="shared" si="3"/>
        <v>0</v>
      </c>
    </row>
    <row r="11" spans="2:7" ht="18">
      <c r="B11" s="349">
        <f t="shared" si="1"/>
        <v>7</v>
      </c>
      <c r="C11" s="350">
        <v>0</v>
      </c>
      <c r="D11" s="355">
        <v>0</v>
      </c>
      <c r="E11" s="352">
        <f t="shared" si="0"/>
        <v>0</v>
      </c>
      <c r="F11" s="356">
        <f t="shared" si="2"/>
        <v>0</v>
      </c>
      <c r="G11" s="356">
        <f t="shared" si="3"/>
        <v>0</v>
      </c>
    </row>
    <row r="12" spans="2:9" ht="18">
      <c r="B12" s="349">
        <f t="shared" si="1"/>
        <v>8</v>
      </c>
      <c r="C12" s="350">
        <v>0</v>
      </c>
      <c r="D12" s="355">
        <v>0</v>
      </c>
      <c r="E12" s="352">
        <f t="shared" si="0"/>
        <v>0</v>
      </c>
      <c r="F12" s="356">
        <f t="shared" si="2"/>
        <v>0</v>
      </c>
      <c r="G12" s="356">
        <f t="shared" si="3"/>
        <v>0</v>
      </c>
      <c r="I12" s="357"/>
    </row>
    <row r="13" spans="2:7" ht="18">
      <c r="B13" s="349">
        <f t="shared" si="1"/>
        <v>9</v>
      </c>
      <c r="C13" s="350">
        <v>0</v>
      </c>
      <c r="D13" s="355">
        <v>0</v>
      </c>
      <c r="E13" s="352">
        <f t="shared" si="0"/>
        <v>0</v>
      </c>
      <c r="F13" s="356">
        <f t="shared" si="2"/>
        <v>0</v>
      </c>
      <c r="G13" s="356">
        <f t="shared" si="3"/>
        <v>0</v>
      </c>
    </row>
    <row r="14" spans="2:7" ht="18">
      <c r="B14" s="349">
        <f t="shared" si="1"/>
        <v>10</v>
      </c>
      <c r="C14" s="350">
        <v>0</v>
      </c>
      <c r="D14" s="355">
        <v>0</v>
      </c>
      <c r="E14" s="352">
        <f t="shared" si="0"/>
        <v>0</v>
      </c>
      <c r="F14" s="356">
        <f t="shared" si="2"/>
        <v>0</v>
      </c>
      <c r="G14" s="356">
        <f t="shared" si="3"/>
        <v>0</v>
      </c>
    </row>
    <row r="15" spans="2:7" ht="18">
      <c r="B15" s="349">
        <f t="shared" si="1"/>
        <v>11</v>
      </c>
      <c r="C15" s="350">
        <v>0</v>
      </c>
      <c r="D15" s="355">
        <v>0</v>
      </c>
      <c r="E15" s="352">
        <f t="shared" si="0"/>
        <v>0</v>
      </c>
      <c r="F15" s="356">
        <f t="shared" si="2"/>
        <v>0</v>
      </c>
      <c r="G15" s="356">
        <f t="shared" si="3"/>
        <v>0</v>
      </c>
    </row>
    <row r="16" spans="2:7" ht="18">
      <c r="B16" s="349">
        <f t="shared" si="1"/>
        <v>12</v>
      </c>
      <c r="C16" s="350">
        <v>0</v>
      </c>
      <c r="D16" s="355">
        <v>0</v>
      </c>
      <c r="E16" s="352">
        <f t="shared" si="0"/>
        <v>0</v>
      </c>
      <c r="F16" s="356">
        <f t="shared" si="2"/>
        <v>0</v>
      </c>
      <c r="G16" s="356">
        <f t="shared" si="3"/>
        <v>0</v>
      </c>
    </row>
    <row r="17" spans="2:9" ht="18">
      <c r="B17" s="349">
        <f t="shared" si="1"/>
        <v>13</v>
      </c>
      <c r="C17" s="350">
        <v>0</v>
      </c>
      <c r="D17" s="355">
        <v>0</v>
      </c>
      <c r="E17" s="352">
        <f t="shared" si="0"/>
        <v>0</v>
      </c>
      <c r="F17" s="356">
        <f t="shared" si="2"/>
        <v>0</v>
      </c>
      <c r="G17" s="356">
        <f t="shared" si="3"/>
        <v>0</v>
      </c>
      <c r="I17" s="357"/>
    </row>
    <row r="18" spans="2:7" ht="18">
      <c r="B18" s="349">
        <f t="shared" si="1"/>
        <v>14</v>
      </c>
      <c r="C18" s="350">
        <v>0</v>
      </c>
      <c r="D18" s="355">
        <v>0</v>
      </c>
      <c r="E18" s="352">
        <f t="shared" si="0"/>
        <v>0</v>
      </c>
      <c r="F18" s="356">
        <f t="shared" si="2"/>
        <v>0</v>
      </c>
      <c r="G18" s="356">
        <f t="shared" si="3"/>
        <v>0</v>
      </c>
    </row>
    <row r="19" spans="2:7" ht="18.75" thickBot="1">
      <c r="B19" s="358">
        <f t="shared" si="1"/>
        <v>15</v>
      </c>
      <c r="C19" s="359">
        <v>0</v>
      </c>
      <c r="D19" s="360">
        <v>0</v>
      </c>
      <c r="E19" s="361">
        <f t="shared" si="0"/>
        <v>0</v>
      </c>
      <c r="F19" s="362">
        <f t="shared" si="2"/>
        <v>0</v>
      </c>
      <c r="G19" s="362">
        <f t="shared" si="3"/>
        <v>0</v>
      </c>
    </row>
    <row r="20" spans="2:7" ht="18" hidden="1">
      <c r="B20" s="349">
        <f t="shared" si="1"/>
        <v>16</v>
      </c>
      <c r="C20" s="350">
        <v>0</v>
      </c>
      <c r="D20" s="355">
        <v>0</v>
      </c>
      <c r="E20" s="352">
        <f t="shared" si="0"/>
        <v>0</v>
      </c>
      <c r="F20" s="356">
        <f t="shared" si="2"/>
        <v>0</v>
      </c>
      <c r="G20" s="356">
        <f t="shared" si="3"/>
        <v>0</v>
      </c>
    </row>
    <row r="21" spans="2:7" ht="18" hidden="1">
      <c r="B21" s="349">
        <f t="shared" si="1"/>
        <v>17</v>
      </c>
      <c r="C21" s="350">
        <v>0</v>
      </c>
      <c r="D21" s="355">
        <v>0</v>
      </c>
      <c r="E21" s="352">
        <f t="shared" si="0"/>
        <v>0</v>
      </c>
      <c r="F21" s="356">
        <f t="shared" si="2"/>
        <v>0</v>
      </c>
      <c r="G21" s="356">
        <f t="shared" si="3"/>
        <v>0</v>
      </c>
    </row>
    <row r="22" spans="2:7" ht="18" hidden="1">
      <c r="B22" s="349">
        <f t="shared" si="1"/>
        <v>18</v>
      </c>
      <c r="C22" s="350">
        <v>0</v>
      </c>
      <c r="D22" s="355">
        <v>0</v>
      </c>
      <c r="E22" s="352">
        <f t="shared" si="0"/>
        <v>0</v>
      </c>
      <c r="F22" s="356">
        <f t="shared" si="2"/>
        <v>0</v>
      </c>
      <c r="G22" s="356">
        <f t="shared" si="3"/>
        <v>0</v>
      </c>
    </row>
    <row r="23" spans="2:7" ht="18" hidden="1">
      <c r="B23" s="349">
        <f t="shared" si="1"/>
        <v>19</v>
      </c>
      <c r="C23" s="350">
        <v>0</v>
      </c>
      <c r="D23" s="355">
        <v>0</v>
      </c>
      <c r="E23" s="352">
        <f t="shared" si="0"/>
        <v>0</v>
      </c>
      <c r="F23" s="356">
        <f t="shared" si="2"/>
        <v>0</v>
      </c>
      <c r="G23" s="356">
        <f t="shared" si="3"/>
        <v>0</v>
      </c>
    </row>
    <row r="24" spans="2:7" ht="18" hidden="1">
      <c r="B24" s="349">
        <f t="shared" si="1"/>
        <v>20</v>
      </c>
      <c r="C24" s="350">
        <v>0</v>
      </c>
      <c r="D24" s="355">
        <v>0</v>
      </c>
      <c r="E24" s="352">
        <f t="shared" si="0"/>
        <v>0</v>
      </c>
      <c r="F24" s="356">
        <f t="shared" si="2"/>
        <v>0</v>
      </c>
      <c r="G24" s="356">
        <f t="shared" si="3"/>
        <v>0</v>
      </c>
    </row>
    <row r="25" spans="2:7" ht="18" hidden="1">
      <c r="B25" s="349">
        <f t="shared" si="1"/>
        <v>21</v>
      </c>
      <c r="C25" s="350">
        <v>0</v>
      </c>
      <c r="D25" s="355">
        <v>0</v>
      </c>
      <c r="E25" s="352">
        <f t="shared" si="0"/>
        <v>0</v>
      </c>
      <c r="F25" s="356">
        <f t="shared" si="2"/>
        <v>0</v>
      </c>
      <c r="G25" s="356">
        <f t="shared" si="3"/>
        <v>0</v>
      </c>
    </row>
    <row r="26" spans="2:7" ht="18" hidden="1">
      <c r="B26" s="349">
        <f t="shared" si="1"/>
        <v>22</v>
      </c>
      <c r="C26" s="350">
        <v>0</v>
      </c>
      <c r="D26" s="355">
        <v>0</v>
      </c>
      <c r="E26" s="352">
        <f t="shared" si="0"/>
        <v>0</v>
      </c>
      <c r="F26" s="356">
        <f t="shared" si="2"/>
        <v>0</v>
      </c>
      <c r="G26" s="356">
        <f t="shared" si="3"/>
        <v>0</v>
      </c>
    </row>
    <row r="27" spans="2:7" ht="18" hidden="1">
      <c r="B27" s="349">
        <f t="shared" si="1"/>
        <v>23</v>
      </c>
      <c r="C27" s="350">
        <v>0</v>
      </c>
      <c r="D27" s="355">
        <v>0</v>
      </c>
      <c r="E27" s="352">
        <f t="shared" si="0"/>
        <v>0</v>
      </c>
      <c r="F27" s="356">
        <f t="shared" si="2"/>
        <v>0</v>
      </c>
      <c r="G27" s="356">
        <f t="shared" si="3"/>
        <v>0</v>
      </c>
    </row>
    <row r="28" spans="2:7" ht="18" hidden="1">
      <c r="B28" s="349">
        <f t="shared" si="1"/>
        <v>24</v>
      </c>
      <c r="C28" s="350">
        <v>0</v>
      </c>
      <c r="D28" s="355">
        <v>0</v>
      </c>
      <c r="E28" s="352">
        <f t="shared" si="0"/>
        <v>0</v>
      </c>
      <c r="F28" s="356">
        <f t="shared" si="2"/>
        <v>0</v>
      </c>
      <c r="G28" s="356">
        <f t="shared" si="3"/>
        <v>0</v>
      </c>
    </row>
    <row r="29" spans="2:7" ht="18" hidden="1">
      <c r="B29" s="349">
        <f t="shared" si="1"/>
        <v>25</v>
      </c>
      <c r="C29" s="350">
        <v>0</v>
      </c>
      <c r="D29" s="355">
        <v>0</v>
      </c>
      <c r="E29" s="352">
        <f t="shared" si="0"/>
        <v>0</v>
      </c>
      <c r="F29" s="356">
        <f t="shared" si="2"/>
        <v>0</v>
      </c>
      <c r="G29" s="356">
        <f t="shared" si="3"/>
        <v>0</v>
      </c>
    </row>
    <row r="30" spans="2:7" ht="18" hidden="1">
      <c r="B30" s="349">
        <f t="shared" si="1"/>
        <v>26</v>
      </c>
      <c r="C30" s="350">
        <v>0</v>
      </c>
      <c r="D30" s="355">
        <v>0</v>
      </c>
      <c r="E30" s="352">
        <f t="shared" si="0"/>
        <v>0</v>
      </c>
      <c r="F30" s="356">
        <f t="shared" si="2"/>
        <v>0</v>
      </c>
      <c r="G30" s="356">
        <f t="shared" si="3"/>
        <v>0</v>
      </c>
    </row>
    <row r="31" spans="2:7" ht="18" hidden="1">
      <c r="B31" s="349">
        <f t="shared" si="1"/>
        <v>27</v>
      </c>
      <c r="C31" s="350">
        <v>0</v>
      </c>
      <c r="D31" s="355">
        <v>0</v>
      </c>
      <c r="E31" s="352">
        <f t="shared" si="0"/>
        <v>0</v>
      </c>
      <c r="F31" s="356">
        <f t="shared" si="2"/>
        <v>0</v>
      </c>
      <c r="G31" s="356">
        <f t="shared" si="3"/>
        <v>0</v>
      </c>
    </row>
    <row r="32" spans="2:7" ht="18" hidden="1">
      <c r="B32" s="349">
        <f t="shared" si="1"/>
        <v>28</v>
      </c>
      <c r="C32" s="350">
        <v>0</v>
      </c>
      <c r="D32" s="355">
        <v>0</v>
      </c>
      <c r="E32" s="352">
        <f t="shared" si="0"/>
        <v>0</v>
      </c>
      <c r="F32" s="356">
        <f t="shared" si="2"/>
        <v>0</v>
      </c>
      <c r="G32" s="356">
        <f t="shared" si="3"/>
        <v>0</v>
      </c>
    </row>
    <row r="33" spans="2:7" ht="18" hidden="1">
      <c r="B33" s="349">
        <f t="shared" si="1"/>
        <v>29</v>
      </c>
      <c r="C33" s="350">
        <v>0</v>
      </c>
      <c r="D33" s="355">
        <v>0</v>
      </c>
      <c r="E33" s="352">
        <f t="shared" si="0"/>
        <v>0</v>
      </c>
      <c r="F33" s="356">
        <f t="shared" si="2"/>
        <v>0</v>
      </c>
      <c r="G33" s="356">
        <f t="shared" si="3"/>
        <v>0</v>
      </c>
    </row>
    <row r="34" spans="2:7" ht="18" hidden="1">
      <c r="B34" s="349">
        <f t="shared" si="1"/>
        <v>30</v>
      </c>
      <c r="C34" s="350">
        <v>0</v>
      </c>
      <c r="D34" s="355">
        <v>0</v>
      </c>
      <c r="E34" s="352">
        <f t="shared" si="0"/>
        <v>0</v>
      </c>
      <c r="F34" s="356">
        <f t="shared" si="2"/>
        <v>0</v>
      </c>
      <c r="G34" s="356">
        <f t="shared" si="3"/>
        <v>0</v>
      </c>
    </row>
    <row r="35" spans="2:7" ht="18" hidden="1">
      <c r="B35" s="349">
        <f t="shared" si="1"/>
        <v>31</v>
      </c>
      <c r="C35" s="350">
        <v>0</v>
      </c>
      <c r="D35" s="355">
        <v>0</v>
      </c>
      <c r="E35" s="352">
        <f t="shared" si="0"/>
        <v>0</v>
      </c>
      <c r="F35" s="356">
        <f t="shared" si="2"/>
        <v>0</v>
      </c>
      <c r="G35" s="356">
        <f t="shared" si="3"/>
        <v>0</v>
      </c>
    </row>
    <row r="36" spans="2:7" ht="18" hidden="1">
      <c r="B36" s="349">
        <f t="shared" si="1"/>
        <v>32</v>
      </c>
      <c r="C36" s="350">
        <v>0</v>
      </c>
      <c r="D36" s="355">
        <v>0</v>
      </c>
      <c r="E36" s="352">
        <f aca="true" t="shared" si="4" ref="E36:E54">C36-D36</f>
        <v>0</v>
      </c>
      <c r="F36" s="356">
        <f t="shared" si="2"/>
        <v>0</v>
      </c>
      <c r="G36" s="356">
        <f t="shared" si="3"/>
        <v>0</v>
      </c>
    </row>
    <row r="37" spans="2:7" ht="18" hidden="1">
      <c r="B37" s="349">
        <f aca="true" t="shared" si="5" ref="B37:B54">B36+1</f>
        <v>33</v>
      </c>
      <c r="C37" s="350">
        <v>0</v>
      </c>
      <c r="D37" s="355">
        <v>0</v>
      </c>
      <c r="E37" s="352">
        <f t="shared" si="4"/>
        <v>0</v>
      </c>
      <c r="F37" s="356">
        <f aca="true" t="shared" si="6" ref="F37:F54">PV($C$2,B37,0,E37)*-1</f>
        <v>0</v>
      </c>
      <c r="G37" s="356">
        <f t="shared" si="3"/>
        <v>0</v>
      </c>
    </row>
    <row r="38" spans="2:7" ht="18" hidden="1">
      <c r="B38" s="349">
        <f t="shared" si="5"/>
        <v>34</v>
      </c>
      <c r="C38" s="350">
        <v>0</v>
      </c>
      <c r="D38" s="355">
        <v>0</v>
      </c>
      <c r="E38" s="352">
        <f t="shared" si="4"/>
        <v>0</v>
      </c>
      <c r="F38" s="356">
        <f t="shared" si="6"/>
        <v>0</v>
      </c>
      <c r="G38" s="356">
        <f t="shared" si="3"/>
        <v>0</v>
      </c>
    </row>
    <row r="39" spans="2:7" ht="18" hidden="1">
      <c r="B39" s="349">
        <f t="shared" si="5"/>
        <v>35</v>
      </c>
      <c r="C39" s="350">
        <v>0</v>
      </c>
      <c r="D39" s="355">
        <v>0</v>
      </c>
      <c r="E39" s="352">
        <f t="shared" si="4"/>
        <v>0</v>
      </c>
      <c r="F39" s="356">
        <f t="shared" si="6"/>
        <v>0</v>
      </c>
      <c r="G39" s="356">
        <f t="shared" si="3"/>
        <v>0</v>
      </c>
    </row>
    <row r="40" spans="2:7" ht="18" hidden="1">
      <c r="B40" s="349">
        <f t="shared" si="5"/>
        <v>36</v>
      </c>
      <c r="C40" s="350">
        <v>0</v>
      </c>
      <c r="D40" s="355">
        <v>0</v>
      </c>
      <c r="E40" s="352">
        <f t="shared" si="4"/>
        <v>0</v>
      </c>
      <c r="F40" s="356">
        <f t="shared" si="6"/>
        <v>0</v>
      </c>
      <c r="G40" s="356">
        <f t="shared" si="3"/>
        <v>0</v>
      </c>
    </row>
    <row r="41" spans="2:7" ht="18" hidden="1">
      <c r="B41" s="349">
        <f t="shared" si="5"/>
        <v>37</v>
      </c>
      <c r="C41" s="350">
        <v>0</v>
      </c>
      <c r="D41" s="355">
        <v>0</v>
      </c>
      <c r="E41" s="352">
        <f t="shared" si="4"/>
        <v>0</v>
      </c>
      <c r="F41" s="356">
        <f t="shared" si="6"/>
        <v>0</v>
      </c>
      <c r="G41" s="356">
        <f t="shared" si="3"/>
        <v>0</v>
      </c>
    </row>
    <row r="42" spans="2:7" ht="18" hidden="1">
      <c r="B42" s="349">
        <f t="shared" si="5"/>
        <v>38</v>
      </c>
      <c r="C42" s="350">
        <v>0</v>
      </c>
      <c r="D42" s="355">
        <v>0</v>
      </c>
      <c r="E42" s="352">
        <f t="shared" si="4"/>
        <v>0</v>
      </c>
      <c r="F42" s="356">
        <f t="shared" si="6"/>
        <v>0</v>
      </c>
      <c r="G42" s="356">
        <f t="shared" si="3"/>
        <v>0</v>
      </c>
    </row>
    <row r="43" spans="2:7" ht="18" hidden="1">
      <c r="B43" s="349">
        <f t="shared" si="5"/>
        <v>39</v>
      </c>
      <c r="C43" s="350">
        <v>0</v>
      </c>
      <c r="D43" s="355">
        <v>0</v>
      </c>
      <c r="E43" s="352">
        <f t="shared" si="4"/>
        <v>0</v>
      </c>
      <c r="F43" s="356">
        <f t="shared" si="6"/>
        <v>0</v>
      </c>
      <c r="G43" s="356">
        <f t="shared" si="3"/>
        <v>0</v>
      </c>
    </row>
    <row r="44" spans="2:7" ht="18" hidden="1">
      <c r="B44" s="349">
        <f t="shared" si="5"/>
        <v>40</v>
      </c>
      <c r="C44" s="350">
        <v>0</v>
      </c>
      <c r="D44" s="355">
        <v>0</v>
      </c>
      <c r="E44" s="352">
        <f t="shared" si="4"/>
        <v>0</v>
      </c>
      <c r="F44" s="356">
        <f t="shared" si="6"/>
        <v>0</v>
      </c>
      <c r="G44" s="356">
        <f t="shared" si="3"/>
        <v>0</v>
      </c>
    </row>
    <row r="45" spans="2:7" ht="18" hidden="1">
      <c r="B45" s="349">
        <f t="shared" si="5"/>
        <v>41</v>
      </c>
      <c r="C45" s="350">
        <v>0</v>
      </c>
      <c r="D45" s="355">
        <v>0</v>
      </c>
      <c r="E45" s="352">
        <f t="shared" si="4"/>
        <v>0</v>
      </c>
      <c r="F45" s="356">
        <f t="shared" si="6"/>
        <v>0</v>
      </c>
      <c r="G45" s="356">
        <f t="shared" si="3"/>
        <v>0</v>
      </c>
    </row>
    <row r="46" spans="2:7" ht="18" hidden="1">
      <c r="B46" s="349">
        <f t="shared" si="5"/>
        <v>42</v>
      </c>
      <c r="C46" s="350">
        <v>0</v>
      </c>
      <c r="D46" s="355">
        <v>0</v>
      </c>
      <c r="E46" s="352">
        <f t="shared" si="4"/>
        <v>0</v>
      </c>
      <c r="F46" s="356">
        <f t="shared" si="6"/>
        <v>0</v>
      </c>
      <c r="G46" s="356">
        <f t="shared" si="3"/>
        <v>0</v>
      </c>
    </row>
    <row r="47" spans="2:7" ht="18" hidden="1">
      <c r="B47" s="349">
        <f t="shared" si="5"/>
        <v>43</v>
      </c>
      <c r="C47" s="350">
        <v>0</v>
      </c>
      <c r="D47" s="355">
        <v>0</v>
      </c>
      <c r="E47" s="352">
        <f t="shared" si="4"/>
        <v>0</v>
      </c>
      <c r="F47" s="356">
        <f t="shared" si="6"/>
        <v>0</v>
      </c>
      <c r="G47" s="356">
        <f t="shared" si="3"/>
        <v>0</v>
      </c>
    </row>
    <row r="48" spans="2:7" ht="18" hidden="1">
      <c r="B48" s="349">
        <f t="shared" si="5"/>
        <v>44</v>
      </c>
      <c r="C48" s="350">
        <v>0</v>
      </c>
      <c r="D48" s="355">
        <v>0</v>
      </c>
      <c r="E48" s="352">
        <f t="shared" si="4"/>
        <v>0</v>
      </c>
      <c r="F48" s="356">
        <f t="shared" si="6"/>
        <v>0</v>
      </c>
      <c r="G48" s="356">
        <f t="shared" si="3"/>
        <v>0</v>
      </c>
    </row>
    <row r="49" spans="2:7" ht="18" hidden="1">
      <c r="B49" s="349">
        <f t="shared" si="5"/>
        <v>45</v>
      </c>
      <c r="C49" s="350">
        <v>0</v>
      </c>
      <c r="D49" s="355">
        <v>0</v>
      </c>
      <c r="E49" s="352">
        <f t="shared" si="4"/>
        <v>0</v>
      </c>
      <c r="F49" s="356">
        <f t="shared" si="6"/>
        <v>0</v>
      </c>
      <c r="G49" s="356">
        <f t="shared" si="3"/>
        <v>0</v>
      </c>
    </row>
    <row r="50" spans="2:7" ht="18" hidden="1">
      <c r="B50" s="349">
        <f t="shared" si="5"/>
        <v>46</v>
      </c>
      <c r="C50" s="350">
        <v>0</v>
      </c>
      <c r="D50" s="355">
        <v>0</v>
      </c>
      <c r="E50" s="352">
        <f t="shared" si="4"/>
        <v>0</v>
      </c>
      <c r="F50" s="356">
        <f t="shared" si="6"/>
        <v>0</v>
      </c>
      <c r="G50" s="356">
        <f t="shared" si="3"/>
        <v>0</v>
      </c>
    </row>
    <row r="51" spans="2:7" ht="18" hidden="1">
      <c r="B51" s="349">
        <f t="shared" si="5"/>
        <v>47</v>
      </c>
      <c r="C51" s="350">
        <v>0</v>
      </c>
      <c r="D51" s="355">
        <v>0</v>
      </c>
      <c r="E51" s="352">
        <f t="shared" si="4"/>
        <v>0</v>
      </c>
      <c r="F51" s="356">
        <f t="shared" si="6"/>
        <v>0</v>
      </c>
      <c r="G51" s="356">
        <f t="shared" si="3"/>
        <v>0</v>
      </c>
    </row>
    <row r="52" spans="2:7" ht="18" hidden="1">
      <c r="B52" s="349">
        <f t="shared" si="5"/>
        <v>48</v>
      </c>
      <c r="C52" s="350">
        <v>0</v>
      </c>
      <c r="D52" s="355">
        <v>0</v>
      </c>
      <c r="E52" s="352">
        <f t="shared" si="4"/>
        <v>0</v>
      </c>
      <c r="F52" s="356">
        <f t="shared" si="6"/>
        <v>0</v>
      </c>
      <c r="G52" s="356">
        <f t="shared" si="3"/>
        <v>0</v>
      </c>
    </row>
    <row r="53" spans="2:7" ht="18" hidden="1">
      <c r="B53" s="349">
        <f t="shared" si="5"/>
        <v>49</v>
      </c>
      <c r="C53" s="350">
        <v>0</v>
      </c>
      <c r="D53" s="355">
        <v>0</v>
      </c>
      <c r="E53" s="352">
        <f t="shared" si="4"/>
        <v>0</v>
      </c>
      <c r="F53" s="356">
        <f t="shared" si="6"/>
        <v>0</v>
      </c>
      <c r="G53" s="356">
        <f t="shared" si="3"/>
        <v>0</v>
      </c>
    </row>
    <row r="54" spans="2:7" ht="18.75" hidden="1" thickBot="1">
      <c r="B54" s="358">
        <f t="shared" si="5"/>
        <v>50</v>
      </c>
      <c r="C54" s="359">
        <v>0</v>
      </c>
      <c r="D54" s="360">
        <v>0</v>
      </c>
      <c r="E54" s="361">
        <f t="shared" si="4"/>
        <v>0</v>
      </c>
      <c r="F54" s="362">
        <f t="shared" si="6"/>
        <v>0</v>
      </c>
      <c r="G54" s="362">
        <f>IF(F54&gt;0,G33,0)</f>
        <v>0</v>
      </c>
    </row>
    <row r="55" spans="2:7" ht="18.75" thickBot="1">
      <c r="B55" s="363" t="s">
        <v>170</v>
      </c>
      <c r="C55" s="364"/>
      <c r="D55" s="364"/>
      <c r="E55" s="364"/>
      <c r="F55" s="365">
        <f>SUM(F4:F54)</f>
        <v>11856671.353570124</v>
      </c>
      <c r="G55" s="366"/>
    </row>
    <row r="56" spans="2:7" ht="18.75" thickBot="1">
      <c r="B56" s="367" t="s">
        <v>252</v>
      </c>
      <c r="C56" s="368"/>
      <c r="D56" s="368"/>
      <c r="E56" s="368"/>
      <c r="F56" s="369">
        <f>G5</f>
        <v>3903624.5095544783</v>
      </c>
      <c r="G56" s="366"/>
    </row>
    <row r="57" spans="2:7" ht="18.75" thickBot="1">
      <c r="B57" s="363" t="s">
        <v>171</v>
      </c>
      <c r="C57" s="364"/>
      <c r="D57" s="364"/>
      <c r="E57" s="364"/>
      <c r="F57" s="370">
        <f>IRR(E4:E54)</f>
        <v>0.7248666988347637</v>
      </c>
      <c r="G57" s="366"/>
    </row>
    <row r="58" spans="2:7" ht="18.75" thickBot="1">
      <c r="B58" s="371" t="s">
        <v>172</v>
      </c>
      <c r="C58" s="372"/>
      <c r="D58" s="372"/>
      <c r="E58" s="372"/>
      <c r="F58" s="373">
        <f>NPER(C2,F60,F4,0)</f>
        <v>1.4013590790034236</v>
      </c>
      <c r="G58" s="366"/>
    </row>
    <row r="59" spans="2:6" ht="12.75" hidden="1">
      <c r="B59" s="13" t="s">
        <v>173</v>
      </c>
      <c r="F59" s="374">
        <f>SUM(F5:F54)</f>
        <v>19856671.353570126</v>
      </c>
    </row>
    <row r="60" spans="2:6" ht="12.75" hidden="1">
      <c r="B60" s="13" t="s">
        <v>174</v>
      </c>
      <c r="F60" s="375">
        <f>PMT(C2,C1,F59,0)*-1</f>
        <v>6537499.999999996</v>
      </c>
    </row>
    <row r="63" spans="2:3" ht="12.75">
      <c r="B63" s="43"/>
      <c r="C63" s="43"/>
    </row>
    <row r="64" spans="2:3" ht="12.75">
      <c r="B64" s="43"/>
      <c r="C64" s="43"/>
    </row>
    <row r="65" spans="2:3" ht="12.75">
      <c r="B65" s="43"/>
      <c r="C65" s="43"/>
    </row>
    <row r="66" spans="2:3" ht="12.75">
      <c r="B66" s="43"/>
      <c r="C66" s="43"/>
    </row>
    <row r="67" spans="2:3" ht="12.75">
      <c r="B67" s="43"/>
      <c r="C67" s="43"/>
    </row>
  </sheetData>
  <printOptions/>
  <pageMargins left="0.7874015748031497" right="0.3937007874015748" top="0.984251968503937" bottom="0.984251968503937" header="0" footer="0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 topLeftCell="A1">
      <selection activeCell="F57" sqref="F57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6.140625" style="0" customWidth="1"/>
    <col min="4" max="4" width="20.7109375" style="0" customWidth="1"/>
    <col min="5" max="5" width="23.8515625" style="0" customWidth="1"/>
    <col min="6" max="6" width="31.57421875" style="0" customWidth="1"/>
    <col min="7" max="7" width="35.421875" style="0" customWidth="1"/>
  </cols>
  <sheetData>
    <row r="1" spans="2:4" ht="23.25">
      <c r="B1" s="341" t="s">
        <v>164</v>
      </c>
      <c r="C1" s="342">
        <v>3</v>
      </c>
      <c r="D1" s="327" t="s">
        <v>248</v>
      </c>
    </row>
    <row r="2" spans="2:3" ht="16.5" thickBot="1">
      <c r="B2" s="341" t="s">
        <v>165</v>
      </c>
      <c r="C2" s="343">
        <v>0.12</v>
      </c>
    </row>
    <row r="3" spans="2:7" ht="37.5" customHeight="1" thickBot="1">
      <c r="B3" s="344" t="s">
        <v>166</v>
      </c>
      <c r="C3" s="345" t="s">
        <v>167</v>
      </c>
      <c r="D3" s="346" t="s">
        <v>168</v>
      </c>
      <c r="E3" s="347" t="s">
        <v>169</v>
      </c>
      <c r="F3" s="344" t="s">
        <v>175</v>
      </c>
      <c r="G3" s="348" t="s">
        <v>176</v>
      </c>
    </row>
    <row r="4" spans="2:7" ht="18">
      <c r="B4" s="349">
        <v>0</v>
      </c>
      <c r="C4" s="350">
        <v>0</v>
      </c>
      <c r="D4" s="351">
        <v>500000</v>
      </c>
      <c r="E4" s="352">
        <f aca="true" t="shared" si="0" ref="E4:E35">C4-D4</f>
        <v>-500000</v>
      </c>
      <c r="F4" s="353">
        <f>E4</f>
        <v>-500000</v>
      </c>
      <c r="G4" s="354"/>
    </row>
    <row r="5" spans="2:7" ht="18">
      <c r="B5" s="349">
        <f aca="true" t="shared" si="1" ref="B5:B36">B4+1</f>
        <v>1</v>
      </c>
      <c r="C5" s="350">
        <v>5000000</v>
      </c>
      <c r="D5" s="355">
        <v>525000</v>
      </c>
      <c r="E5" s="352">
        <f t="shared" si="0"/>
        <v>4475000</v>
      </c>
      <c r="F5" s="356">
        <f aca="true" t="shared" si="2" ref="F5:F36">PV($C$2,B5,0,E5)*-1</f>
        <v>3995535.714285714</v>
      </c>
      <c r="G5" s="356">
        <f>PMT($C$2,$C$1,$F$55)*-1</f>
        <v>4266825.509720243</v>
      </c>
    </row>
    <row r="6" spans="2:7" ht="18">
      <c r="B6" s="349">
        <f t="shared" si="1"/>
        <v>2</v>
      </c>
      <c r="C6" s="350">
        <f>C5</f>
        <v>5000000</v>
      </c>
      <c r="D6" s="355">
        <v>525000</v>
      </c>
      <c r="E6" s="352">
        <f t="shared" si="0"/>
        <v>4475000</v>
      </c>
      <c r="F6" s="356">
        <f t="shared" si="2"/>
        <v>3567442.6020408156</v>
      </c>
      <c r="G6" s="356">
        <f aca="true" t="shared" si="3" ref="G6:G53">IF(F6&gt;0,G5,0)</f>
        <v>4266825.509720243</v>
      </c>
    </row>
    <row r="7" spans="2:7" ht="18">
      <c r="B7" s="349">
        <f t="shared" si="1"/>
        <v>3</v>
      </c>
      <c r="C7" s="350">
        <f>C6</f>
        <v>5000000</v>
      </c>
      <c r="D7" s="355">
        <v>525000</v>
      </c>
      <c r="E7" s="352">
        <f t="shared" si="0"/>
        <v>4475000</v>
      </c>
      <c r="F7" s="356">
        <f t="shared" si="2"/>
        <v>3185216.6089650136</v>
      </c>
      <c r="G7" s="356">
        <f t="shared" si="3"/>
        <v>4266825.509720243</v>
      </c>
    </row>
    <row r="8" spans="2:7" ht="18">
      <c r="B8" s="349">
        <f t="shared" si="1"/>
        <v>4</v>
      </c>
      <c r="C8" s="350">
        <v>0</v>
      </c>
      <c r="D8" s="355">
        <v>0</v>
      </c>
      <c r="E8" s="352">
        <f t="shared" si="0"/>
        <v>0</v>
      </c>
      <c r="F8" s="356">
        <f t="shared" si="2"/>
        <v>0</v>
      </c>
      <c r="G8" s="356">
        <f t="shared" si="3"/>
        <v>0</v>
      </c>
    </row>
    <row r="9" spans="2:7" ht="18">
      <c r="B9" s="349">
        <f t="shared" si="1"/>
        <v>5</v>
      </c>
      <c r="C9" s="350">
        <v>0</v>
      </c>
      <c r="D9" s="355">
        <v>0</v>
      </c>
      <c r="E9" s="352">
        <f t="shared" si="0"/>
        <v>0</v>
      </c>
      <c r="F9" s="356">
        <f t="shared" si="2"/>
        <v>0</v>
      </c>
      <c r="G9" s="356">
        <f t="shared" si="3"/>
        <v>0</v>
      </c>
    </row>
    <row r="10" spans="2:7" ht="18">
      <c r="B10" s="349">
        <f t="shared" si="1"/>
        <v>6</v>
      </c>
      <c r="C10" s="350">
        <v>0</v>
      </c>
      <c r="D10" s="355">
        <v>0</v>
      </c>
      <c r="E10" s="352">
        <f t="shared" si="0"/>
        <v>0</v>
      </c>
      <c r="F10" s="356">
        <f t="shared" si="2"/>
        <v>0</v>
      </c>
      <c r="G10" s="356">
        <f t="shared" si="3"/>
        <v>0</v>
      </c>
    </row>
    <row r="11" spans="2:7" ht="18">
      <c r="B11" s="349">
        <f t="shared" si="1"/>
        <v>7</v>
      </c>
      <c r="C11" s="350">
        <v>0</v>
      </c>
      <c r="D11" s="355">
        <v>0</v>
      </c>
      <c r="E11" s="352">
        <f t="shared" si="0"/>
        <v>0</v>
      </c>
      <c r="F11" s="356">
        <f t="shared" si="2"/>
        <v>0</v>
      </c>
      <c r="G11" s="356">
        <f t="shared" si="3"/>
        <v>0</v>
      </c>
    </row>
    <row r="12" spans="2:9" ht="18">
      <c r="B12" s="349">
        <f t="shared" si="1"/>
        <v>8</v>
      </c>
      <c r="C12" s="350">
        <v>0</v>
      </c>
      <c r="D12" s="355">
        <v>0</v>
      </c>
      <c r="E12" s="352">
        <f t="shared" si="0"/>
        <v>0</v>
      </c>
      <c r="F12" s="356">
        <f t="shared" si="2"/>
        <v>0</v>
      </c>
      <c r="G12" s="356">
        <f t="shared" si="3"/>
        <v>0</v>
      </c>
      <c r="I12" s="357"/>
    </row>
    <row r="13" spans="2:7" ht="18">
      <c r="B13" s="349">
        <f t="shared" si="1"/>
        <v>9</v>
      </c>
      <c r="C13" s="350">
        <v>0</v>
      </c>
      <c r="D13" s="355">
        <v>0</v>
      </c>
      <c r="E13" s="352">
        <f t="shared" si="0"/>
        <v>0</v>
      </c>
      <c r="F13" s="356">
        <f t="shared" si="2"/>
        <v>0</v>
      </c>
      <c r="G13" s="356">
        <f t="shared" si="3"/>
        <v>0</v>
      </c>
    </row>
    <row r="14" spans="2:7" ht="18">
      <c r="B14" s="349">
        <f t="shared" si="1"/>
        <v>10</v>
      </c>
      <c r="C14" s="350">
        <v>0</v>
      </c>
      <c r="D14" s="355">
        <v>0</v>
      </c>
      <c r="E14" s="352">
        <f t="shared" si="0"/>
        <v>0</v>
      </c>
      <c r="F14" s="356">
        <f t="shared" si="2"/>
        <v>0</v>
      </c>
      <c r="G14" s="356">
        <f t="shared" si="3"/>
        <v>0</v>
      </c>
    </row>
    <row r="15" spans="2:7" ht="18">
      <c r="B15" s="349">
        <f t="shared" si="1"/>
        <v>11</v>
      </c>
      <c r="C15" s="350">
        <v>0</v>
      </c>
      <c r="D15" s="355">
        <v>0</v>
      </c>
      <c r="E15" s="352">
        <f t="shared" si="0"/>
        <v>0</v>
      </c>
      <c r="F15" s="356">
        <f t="shared" si="2"/>
        <v>0</v>
      </c>
      <c r="G15" s="356">
        <f t="shared" si="3"/>
        <v>0</v>
      </c>
    </row>
    <row r="16" spans="2:7" ht="18">
      <c r="B16" s="349">
        <f t="shared" si="1"/>
        <v>12</v>
      </c>
      <c r="C16" s="350">
        <v>0</v>
      </c>
      <c r="D16" s="355">
        <v>0</v>
      </c>
      <c r="E16" s="352">
        <f t="shared" si="0"/>
        <v>0</v>
      </c>
      <c r="F16" s="356">
        <f t="shared" si="2"/>
        <v>0</v>
      </c>
      <c r="G16" s="356">
        <f t="shared" si="3"/>
        <v>0</v>
      </c>
    </row>
    <row r="17" spans="2:9" ht="18">
      <c r="B17" s="349">
        <f t="shared" si="1"/>
        <v>13</v>
      </c>
      <c r="C17" s="350">
        <v>0</v>
      </c>
      <c r="D17" s="355">
        <v>0</v>
      </c>
      <c r="E17" s="352">
        <f t="shared" si="0"/>
        <v>0</v>
      </c>
      <c r="F17" s="356">
        <f t="shared" si="2"/>
        <v>0</v>
      </c>
      <c r="G17" s="356">
        <f t="shared" si="3"/>
        <v>0</v>
      </c>
      <c r="I17" s="357"/>
    </row>
    <row r="18" spans="2:7" ht="18">
      <c r="B18" s="349">
        <f t="shared" si="1"/>
        <v>14</v>
      </c>
      <c r="C18" s="350">
        <v>0</v>
      </c>
      <c r="D18" s="355">
        <v>0</v>
      </c>
      <c r="E18" s="352">
        <f t="shared" si="0"/>
        <v>0</v>
      </c>
      <c r="F18" s="356">
        <f t="shared" si="2"/>
        <v>0</v>
      </c>
      <c r="G18" s="356">
        <f t="shared" si="3"/>
        <v>0</v>
      </c>
    </row>
    <row r="19" spans="2:7" ht="18.75" thickBot="1">
      <c r="B19" s="358">
        <f t="shared" si="1"/>
        <v>15</v>
      </c>
      <c r="C19" s="359">
        <v>0</v>
      </c>
      <c r="D19" s="360">
        <v>0</v>
      </c>
      <c r="E19" s="361">
        <f t="shared" si="0"/>
        <v>0</v>
      </c>
      <c r="F19" s="362">
        <f t="shared" si="2"/>
        <v>0</v>
      </c>
      <c r="G19" s="362">
        <f t="shared" si="3"/>
        <v>0</v>
      </c>
    </row>
    <row r="20" spans="2:7" ht="18" hidden="1">
      <c r="B20" s="349">
        <f t="shared" si="1"/>
        <v>16</v>
      </c>
      <c r="C20" s="350">
        <v>0</v>
      </c>
      <c r="D20" s="355">
        <v>0</v>
      </c>
      <c r="E20" s="352">
        <f t="shared" si="0"/>
        <v>0</v>
      </c>
      <c r="F20" s="356">
        <f t="shared" si="2"/>
        <v>0</v>
      </c>
      <c r="G20" s="356">
        <f t="shared" si="3"/>
        <v>0</v>
      </c>
    </row>
    <row r="21" spans="2:7" ht="18" hidden="1">
      <c r="B21" s="349">
        <f t="shared" si="1"/>
        <v>17</v>
      </c>
      <c r="C21" s="350">
        <v>0</v>
      </c>
      <c r="D21" s="355">
        <v>0</v>
      </c>
      <c r="E21" s="352">
        <f t="shared" si="0"/>
        <v>0</v>
      </c>
      <c r="F21" s="356">
        <f t="shared" si="2"/>
        <v>0</v>
      </c>
      <c r="G21" s="356">
        <f t="shared" si="3"/>
        <v>0</v>
      </c>
    </row>
    <row r="22" spans="2:7" ht="18" hidden="1">
      <c r="B22" s="349">
        <f t="shared" si="1"/>
        <v>18</v>
      </c>
      <c r="C22" s="350">
        <v>0</v>
      </c>
      <c r="D22" s="355">
        <v>0</v>
      </c>
      <c r="E22" s="352">
        <f t="shared" si="0"/>
        <v>0</v>
      </c>
      <c r="F22" s="356">
        <f t="shared" si="2"/>
        <v>0</v>
      </c>
      <c r="G22" s="356">
        <f t="shared" si="3"/>
        <v>0</v>
      </c>
    </row>
    <row r="23" spans="2:7" ht="18" hidden="1">
      <c r="B23" s="349">
        <f t="shared" si="1"/>
        <v>19</v>
      </c>
      <c r="C23" s="350">
        <v>0</v>
      </c>
      <c r="D23" s="355">
        <v>0</v>
      </c>
      <c r="E23" s="352">
        <f t="shared" si="0"/>
        <v>0</v>
      </c>
      <c r="F23" s="356">
        <f t="shared" si="2"/>
        <v>0</v>
      </c>
      <c r="G23" s="356">
        <f t="shared" si="3"/>
        <v>0</v>
      </c>
    </row>
    <row r="24" spans="2:7" ht="18" hidden="1">
      <c r="B24" s="349">
        <f t="shared" si="1"/>
        <v>20</v>
      </c>
      <c r="C24" s="350">
        <v>0</v>
      </c>
      <c r="D24" s="355">
        <v>0</v>
      </c>
      <c r="E24" s="352">
        <f t="shared" si="0"/>
        <v>0</v>
      </c>
      <c r="F24" s="356">
        <f t="shared" si="2"/>
        <v>0</v>
      </c>
      <c r="G24" s="356">
        <f t="shared" si="3"/>
        <v>0</v>
      </c>
    </row>
    <row r="25" spans="2:7" ht="18" hidden="1">
      <c r="B25" s="349">
        <f t="shared" si="1"/>
        <v>21</v>
      </c>
      <c r="C25" s="350">
        <v>0</v>
      </c>
      <c r="D25" s="355">
        <v>0</v>
      </c>
      <c r="E25" s="352">
        <f t="shared" si="0"/>
        <v>0</v>
      </c>
      <c r="F25" s="356">
        <f t="shared" si="2"/>
        <v>0</v>
      </c>
      <c r="G25" s="356">
        <f t="shared" si="3"/>
        <v>0</v>
      </c>
    </row>
    <row r="26" spans="2:7" ht="18" hidden="1">
      <c r="B26" s="349">
        <f t="shared" si="1"/>
        <v>22</v>
      </c>
      <c r="C26" s="350">
        <v>0</v>
      </c>
      <c r="D26" s="355">
        <v>0</v>
      </c>
      <c r="E26" s="352">
        <f t="shared" si="0"/>
        <v>0</v>
      </c>
      <c r="F26" s="356">
        <f t="shared" si="2"/>
        <v>0</v>
      </c>
      <c r="G26" s="356">
        <f t="shared" si="3"/>
        <v>0</v>
      </c>
    </row>
    <row r="27" spans="2:7" ht="18" hidden="1">
      <c r="B27" s="349">
        <f t="shared" si="1"/>
        <v>23</v>
      </c>
      <c r="C27" s="350">
        <v>0</v>
      </c>
      <c r="D27" s="355">
        <v>0</v>
      </c>
      <c r="E27" s="352">
        <f t="shared" si="0"/>
        <v>0</v>
      </c>
      <c r="F27" s="356">
        <f t="shared" si="2"/>
        <v>0</v>
      </c>
      <c r="G27" s="356">
        <f t="shared" si="3"/>
        <v>0</v>
      </c>
    </row>
    <row r="28" spans="2:7" ht="18" hidden="1">
      <c r="B28" s="349">
        <f t="shared" si="1"/>
        <v>24</v>
      </c>
      <c r="C28" s="350">
        <v>0</v>
      </c>
      <c r="D28" s="355">
        <v>0</v>
      </c>
      <c r="E28" s="352">
        <f t="shared" si="0"/>
        <v>0</v>
      </c>
      <c r="F28" s="356">
        <f t="shared" si="2"/>
        <v>0</v>
      </c>
      <c r="G28" s="356">
        <f t="shared" si="3"/>
        <v>0</v>
      </c>
    </row>
    <row r="29" spans="2:7" ht="18" hidden="1">
      <c r="B29" s="349">
        <f t="shared" si="1"/>
        <v>25</v>
      </c>
      <c r="C29" s="350">
        <v>0</v>
      </c>
      <c r="D29" s="355">
        <v>0</v>
      </c>
      <c r="E29" s="352">
        <f t="shared" si="0"/>
        <v>0</v>
      </c>
      <c r="F29" s="356">
        <f t="shared" si="2"/>
        <v>0</v>
      </c>
      <c r="G29" s="356">
        <f t="shared" si="3"/>
        <v>0</v>
      </c>
    </row>
    <row r="30" spans="2:7" ht="18" hidden="1">
      <c r="B30" s="349">
        <f t="shared" si="1"/>
        <v>26</v>
      </c>
      <c r="C30" s="350">
        <v>0</v>
      </c>
      <c r="D30" s="355">
        <v>0</v>
      </c>
      <c r="E30" s="352">
        <f t="shared" si="0"/>
        <v>0</v>
      </c>
      <c r="F30" s="356">
        <f t="shared" si="2"/>
        <v>0</v>
      </c>
      <c r="G30" s="356">
        <f t="shared" si="3"/>
        <v>0</v>
      </c>
    </row>
    <row r="31" spans="2:7" ht="18" hidden="1">
      <c r="B31" s="349">
        <f t="shared" si="1"/>
        <v>27</v>
      </c>
      <c r="C31" s="350">
        <v>0</v>
      </c>
      <c r="D31" s="355">
        <v>0</v>
      </c>
      <c r="E31" s="352">
        <f t="shared" si="0"/>
        <v>0</v>
      </c>
      <c r="F31" s="356">
        <f t="shared" si="2"/>
        <v>0</v>
      </c>
      <c r="G31" s="356">
        <f t="shared" si="3"/>
        <v>0</v>
      </c>
    </row>
    <row r="32" spans="2:7" ht="18" hidden="1">
      <c r="B32" s="349">
        <f t="shared" si="1"/>
        <v>28</v>
      </c>
      <c r="C32" s="350">
        <v>0</v>
      </c>
      <c r="D32" s="355">
        <v>0</v>
      </c>
      <c r="E32" s="352">
        <f t="shared" si="0"/>
        <v>0</v>
      </c>
      <c r="F32" s="356">
        <f t="shared" si="2"/>
        <v>0</v>
      </c>
      <c r="G32" s="356">
        <f t="shared" si="3"/>
        <v>0</v>
      </c>
    </row>
    <row r="33" spans="2:7" ht="18" hidden="1">
      <c r="B33" s="349">
        <f t="shared" si="1"/>
        <v>29</v>
      </c>
      <c r="C33" s="350">
        <v>0</v>
      </c>
      <c r="D33" s="355">
        <v>0</v>
      </c>
      <c r="E33" s="352">
        <f t="shared" si="0"/>
        <v>0</v>
      </c>
      <c r="F33" s="356">
        <f t="shared" si="2"/>
        <v>0</v>
      </c>
      <c r="G33" s="356">
        <f t="shared" si="3"/>
        <v>0</v>
      </c>
    </row>
    <row r="34" spans="2:7" ht="18" hidden="1">
      <c r="B34" s="349">
        <f t="shared" si="1"/>
        <v>30</v>
      </c>
      <c r="C34" s="350">
        <v>0</v>
      </c>
      <c r="D34" s="355">
        <v>0</v>
      </c>
      <c r="E34" s="352">
        <f t="shared" si="0"/>
        <v>0</v>
      </c>
      <c r="F34" s="356">
        <f t="shared" si="2"/>
        <v>0</v>
      </c>
      <c r="G34" s="356">
        <f t="shared" si="3"/>
        <v>0</v>
      </c>
    </row>
    <row r="35" spans="2:7" ht="18" hidden="1">
      <c r="B35" s="349">
        <f t="shared" si="1"/>
        <v>31</v>
      </c>
      <c r="C35" s="350">
        <v>0</v>
      </c>
      <c r="D35" s="355">
        <v>0</v>
      </c>
      <c r="E35" s="352">
        <f t="shared" si="0"/>
        <v>0</v>
      </c>
      <c r="F35" s="356">
        <f t="shared" si="2"/>
        <v>0</v>
      </c>
      <c r="G35" s="356">
        <f t="shared" si="3"/>
        <v>0</v>
      </c>
    </row>
    <row r="36" spans="2:7" ht="18" hidden="1">
      <c r="B36" s="349">
        <f t="shared" si="1"/>
        <v>32</v>
      </c>
      <c r="C36" s="350">
        <v>0</v>
      </c>
      <c r="D36" s="355">
        <v>0</v>
      </c>
      <c r="E36" s="352">
        <f aca="true" t="shared" si="4" ref="E36:E54">C36-D36</f>
        <v>0</v>
      </c>
      <c r="F36" s="356">
        <f t="shared" si="2"/>
        <v>0</v>
      </c>
      <c r="G36" s="356">
        <f t="shared" si="3"/>
        <v>0</v>
      </c>
    </row>
    <row r="37" spans="2:7" ht="18" hidden="1">
      <c r="B37" s="349">
        <f aca="true" t="shared" si="5" ref="B37:B54">B36+1</f>
        <v>33</v>
      </c>
      <c r="C37" s="350">
        <v>0</v>
      </c>
      <c r="D37" s="355">
        <v>0</v>
      </c>
      <c r="E37" s="352">
        <f t="shared" si="4"/>
        <v>0</v>
      </c>
      <c r="F37" s="356">
        <f aca="true" t="shared" si="6" ref="F37:F54">PV($C$2,B37,0,E37)*-1</f>
        <v>0</v>
      </c>
      <c r="G37" s="356">
        <f t="shared" si="3"/>
        <v>0</v>
      </c>
    </row>
    <row r="38" spans="2:7" ht="18" hidden="1">
      <c r="B38" s="349">
        <f t="shared" si="5"/>
        <v>34</v>
      </c>
      <c r="C38" s="350">
        <v>0</v>
      </c>
      <c r="D38" s="355">
        <v>0</v>
      </c>
      <c r="E38" s="352">
        <f t="shared" si="4"/>
        <v>0</v>
      </c>
      <c r="F38" s="356">
        <f t="shared" si="6"/>
        <v>0</v>
      </c>
      <c r="G38" s="356">
        <f t="shared" si="3"/>
        <v>0</v>
      </c>
    </row>
    <row r="39" spans="2:7" ht="18" hidden="1">
      <c r="B39" s="349">
        <f t="shared" si="5"/>
        <v>35</v>
      </c>
      <c r="C39" s="350">
        <v>0</v>
      </c>
      <c r="D39" s="355">
        <v>0</v>
      </c>
      <c r="E39" s="352">
        <f t="shared" si="4"/>
        <v>0</v>
      </c>
      <c r="F39" s="356">
        <f t="shared" si="6"/>
        <v>0</v>
      </c>
      <c r="G39" s="356">
        <f t="shared" si="3"/>
        <v>0</v>
      </c>
    </row>
    <row r="40" spans="2:7" ht="18" hidden="1">
      <c r="B40" s="349">
        <f t="shared" si="5"/>
        <v>36</v>
      </c>
      <c r="C40" s="350">
        <v>0</v>
      </c>
      <c r="D40" s="355">
        <v>0</v>
      </c>
      <c r="E40" s="352">
        <f t="shared" si="4"/>
        <v>0</v>
      </c>
      <c r="F40" s="356">
        <f t="shared" si="6"/>
        <v>0</v>
      </c>
      <c r="G40" s="356">
        <f t="shared" si="3"/>
        <v>0</v>
      </c>
    </row>
    <row r="41" spans="2:7" ht="18" hidden="1">
      <c r="B41" s="349">
        <f t="shared" si="5"/>
        <v>37</v>
      </c>
      <c r="C41" s="350">
        <v>0</v>
      </c>
      <c r="D41" s="355">
        <v>0</v>
      </c>
      <c r="E41" s="352">
        <f t="shared" si="4"/>
        <v>0</v>
      </c>
      <c r="F41" s="356">
        <f t="shared" si="6"/>
        <v>0</v>
      </c>
      <c r="G41" s="356">
        <f t="shared" si="3"/>
        <v>0</v>
      </c>
    </row>
    <row r="42" spans="2:7" ht="18" hidden="1">
      <c r="B42" s="349">
        <f t="shared" si="5"/>
        <v>38</v>
      </c>
      <c r="C42" s="350">
        <v>0</v>
      </c>
      <c r="D42" s="355">
        <v>0</v>
      </c>
      <c r="E42" s="352">
        <f t="shared" si="4"/>
        <v>0</v>
      </c>
      <c r="F42" s="356">
        <f t="shared" si="6"/>
        <v>0</v>
      </c>
      <c r="G42" s="356">
        <f t="shared" si="3"/>
        <v>0</v>
      </c>
    </row>
    <row r="43" spans="2:7" ht="18" hidden="1">
      <c r="B43" s="349">
        <f t="shared" si="5"/>
        <v>39</v>
      </c>
      <c r="C43" s="350">
        <v>0</v>
      </c>
      <c r="D43" s="355">
        <v>0</v>
      </c>
      <c r="E43" s="352">
        <f t="shared" si="4"/>
        <v>0</v>
      </c>
      <c r="F43" s="356">
        <f t="shared" si="6"/>
        <v>0</v>
      </c>
      <c r="G43" s="356">
        <f t="shared" si="3"/>
        <v>0</v>
      </c>
    </row>
    <row r="44" spans="2:7" ht="18" hidden="1">
      <c r="B44" s="349">
        <f t="shared" si="5"/>
        <v>40</v>
      </c>
      <c r="C44" s="350">
        <v>0</v>
      </c>
      <c r="D44" s="355">
        <v>0</v>
      </c>
      <c r="E44" s="352">
        <f t="shared" si="4"/>
        <v>0</v>
      </c>
      <c r="F44" s="356">
        <f t="shared" si="6"/>
        <v>0</v>
      </c>
      <c r="G44" s="356">
        <f t="shared" si="3"/>
        <v>0</v>
      </c>
    </row>
    <row r="45" spans="2:7" ht="18" hidden="1">
      <c r="B45" s="349">
        <f t="shared" si="5"/>
        <v>41</v>
      </c>
      <c r="C45" s="350">
        <v>0</v>
      </c>
      <c r="D45" s="355">
        <v>0</v>
      </c>
      <c r="E45" s="352">
        <f t="shared" si="4"/>
        <v>0</v>
      </c>
      <c r="F45" s="356">
        <f t="shared" si="6"/>
        <v>0</v>
      </c>
      <c r="G45" s="356">
        <f t="shared" si="3"/>
        <v>0</v>
      </c>
    </row>
    <row r="46" spans="2:7" ht="18" hidden="1">
      <c r="B46" s="349">
        <f t="shared" si="5"/>
        <v>42</v>
      </c>
      <c r="C46" s="350">
        <v>0</v>
      </c>
      <c r="D46" s="355">
        <v>0</v>
      </c>
      <c r="E46" s="352">
        <f t="shared" si="4"/>
        <v>0</v>
      </c>
      <c r="F46" s="356">
        <f t="shared" si="6"/>
        <v>0</v>
      </c>
      <c r="G46" s="356">
        <f t="shared" si="3"/>
        <v>0</v>
      </c>
    </row>
    <row r="47" spans="2:7" ht="18" hidden="1">
      <c r="B47" s="349">
        <f t="shared" si="5"/>
        <v>43</v>
      </c>
      <c r="C47" s="350">
        <v>0</v>
      </c>
      <c r="D47" s="355">
        <v>0</v>
      </c>
      <c r="E47" s="352">
        <f t="shared" si="4"/>
        <v>0</v>
      </c>
      <c r="F47" s="356">
        <f t="shared" si="6"/>
        <v>0</v>
      </c>
      <c r="G47" s="356">
        <f t="shared" si="3"/>
        <v>0</v>
      </c>
    </row>
    <row r="48" spans="2:7" ht="18" hidden="1">
      <c r="B48" s="349">
        <f t="shared" si="5"/>
        <v>44</v>
      </c>
      <c r="C48" s="350">
        <v>0</v>
      </c>
      <c r="D48" s="355">
        <v>0</v>
      </c>
      <c r="E48" s="352">
        <f t="shared" si="4"/>
        <v>0</v>
      </c>
      <c r="F48" s="356">
        <f t="shared" si="6"/>
        <v>0</v>
      </c>
      <c r="G48" s="356">
        <f t="shared" si="3"/>
        <v>0</v>
      </c>
    </row>
    <row r="49" spans="2:7" ht="18" hidden="1">
      <c r="B49" s="349">
        <f t="shared" si="5"/>
        <v>45</v>
      </c>
      <c r="C49" s="350">
        <v>0</v>
      </c>
      <c r="D49" s="355">
        <v>0</v>
      </c>
      <c r="E49" s="352">
        <f t="shared" si="4"/>
        <v>0</v>
      </c>
      <c r="F49" s="356">
        <f t="shared" si="6"/>
        <v>0</v>
      </c>
      <c r="G49" s="356">
        <f t="shared" si="3"/>
        <v>0</v>
      </c>
    </row>
    <row r="50" spans="2:7" ht="18" hidden="1">
      <c r="B50" s="349">
        <f t="shared" si="5"/>
        <v>46</v>
      </c>
      <c r="C50" s="350">
        <v>0</v>
      </c>
      <c r="D50" s="355">
        <v>0</v>
      </c>
      <c r="E50" s="352">
        <f t="shared" si="4"/>
        <v>0</v>
      </c>
      <c r="F50" s="356">
        <f t="shared" si="6"/>
        <v>0</v>
      </c>
      <c r="G50" s="356">
        <f t="shared" si="3"/>
        <v>0</v>
      </c>
    </row>
    <row r="51" spans="2:7" ht="18" hidden="1">
      <c r="B51" s="349">
        <f t="shared" si="5"/>
        <v>47</v>
      </c>
      <c r="C51" s="350">
        <v>0</v>
      </c>
      <c r="D51" s="355">
        <v>0</v>
      </c>
      <c r="E51" s="352">
        <f t="shared" si="4"/>
        <v>0</v>
      </c>
      <c r="F51" s="356">
        <f t="shared" si="6"/>
        <v>0</v>
      </c>
      <c r="G51" s="356">
        <f t="shared" si="3"/>
        <v>0</v>
      </c>
    </row>
    <row r="52" spans="2:7" ht="18" hidden="1">
      <c r="B52" s="349">
        <f t="shared" si="5"/>
        <v>48</v>
      </c>
      <c r="C52" s="350">
        <v>0</v>
      </c>
      <c r="D52" s="355">
        <v>0</v>
      </c>
      <c r="E52" s="352">
        <f t="shared" si="4"/>
        <v>0</v>
      </c>
      <c r="F52" s="356">
        <f t="shared" si="6"/>
        <v>0</v>
      </c>
      <c r="G52" s="356">
        <f t="shared" si="3"/>
        <v>0</v>
      </c>
    </row>
    <row r="53" spans="2:7" ht="18" hidden="1">
      <c r="B53" s="349">
        <f t="shared" si="5"/>
        <v>49</v>
      </c>
      <c r="C53" s="350">
        <v>0</v>
      </c>
      <c r="D53" s="355">
        <v>0</v>
      </c>
      <c r="E53" s="352">
        <f t="shared" si="4"/>
        <v>0</v>
      </c>
      <c r="F53" s="356">
        <f t="shared" si="6"/>
        <v>0</v>
      </c>
      <c r="G53" s="356">
        <f t="shared" si="3"/>
        <v>0</v>
      </c>
    </row>
    <row r="54" spans="2:7" ht="18.75" hidden="1" thickBot="1">
      <c r="B54" s="358">
        <f t="shared" si="5"/>
        <v>50</v>
      </c>
      <c r="C54" s="359">
        <v>0</v>
      </c>
      <c r="D54" s="360">
        <v>0</v>
      </c>
      <c r="E54" s="361">
        <f t="shared" si="4"/>
        <v>0</v>
      </c>
      <c r="F54" s="362">
        <f t="shared" si="6"/>
        <v>0</v>
      </c>
      <c r="G54" s="362">
        <f>IF(F54&gt;0,G33,0)</f>
        <v>0</v>
      </c>
    </row>
    <row r="55" spans="2:7" ht="18.75" thickBot="1">
      <c r="B55" s="363" t="s">
        <v>170</v>
      </c>
      <c r="C55" s="364"/>
      <c r="D55" s="364"/>
      <c r="E55" s="364"/>
      <c r="F55" s="365">
        <f>SUM(F4:F54)</f>
        <v>10248194.925291544</v>
      </c>
      <c r="G55" s="366"/>
    </row>
    <row r="56" spans="2:7" ht="18.75" thickBot="1">
      <c r="B56" s="367" t="s">
        <v>252</v>
      </c>
      <c r="C56" s="368"/>
      <c r="D56" s="368"/>
      <c r="E56" s="368"/>
      <c r="F56" s="369">
        <f>G5</f>
        <v>4266825.509720243</v>
      </c>
      <c r="G56" s="366"/>
    </row>
    <row r="57" spans="2:7" ht="18.75" thickBot="1">
      <c r="B57" s="363" t="s">
        <v>171</v>
      </c>
      <c r="C57" s="364"/>
      <c r="D57" s="364"/>
      <c r="E57" s="364"/>
      <c r="F57" s="370">
        <f>IRR(E4:E54)</f>
        <v>8.94088939305759</v>
      </c>
      <c r="G57" s="366"/>
    </row>
    <row r="58" spans="2:7" ht="18.75" thickBot="1">
      <c r="B58" s="371" t="s">
        <v>172</v>
      </c>
      <c r="C58" s="372"/>
      <c r="D58" s="372"/>
      <c r="E58" s="372"/>
      <c r="F58" s="373">
        <f>NPER(C2,F60,F4,0)</f>
        <v>0.11910945260088729</v>
      </c>
      <c r="G58" s="366"/>
    </row>
    <row r="59" spans="2:6" ht="12.75" hidden="1">
      <c r="B59" s="13" t="s">
        <v>173</v>
      </c>
      <c r="F59" s="374">
        <f>SUM(F5:F54)</f>
        <v>10748194.925291544</v>
      </c>
    </row>
    <row r="60" spans="2:6" ht="12.75" hidden="1">
      <c r="B60" s="13" t="s">
        <v>174</v>
      </c>
      <c r="F60" s="375">
        <f>PMT(C2,C1,F59,0)*-1</f>
        <v>4474999.999999995</v>
      </c>
    </row>
    <row r="63" spans="1:3" ht="18">
      <c r="A63" s="366" t="s">
        <v>235</v>
      </c>
      <c r="B63" s="43"/>
      <c r="C63" s="43"/>
    </row>
    <row r="64" spans="1:3" ht="18">
      <c r="A64" s="366" t="s">
        <v>234</v>
      </c>
      <c r="B64" s="43"/>
      <c r="C64" s="43"/>
    </row>
    <row r="65" spans="1:3" ht="18">
      <c r="A65" s="366" t="s">
        <v>236</v>
      </c>
      <c r="B65" s="43"/>
      <c r="C65" s="43"/>
    </row>
    <row r="66" spans="1:3" ht="18">
      <c r="A66" s="366"/>
      <c r="B66" s="43"/>
      <c r="C66" s="43"/>
    </row>
    <row r="67" spans="1:3" ht="18">
      <c r="A67" s="366" t="s">
        <v>233</v>
      </c>
      <c r="B67" s="43"/>
      <c r="C67" s="43"/>
    </row>
    <row r="68" spans="1:3" ht="18">
      <c r="A68" s="366" t="s">
        <v>238</v>
      </c>
      <c r="B68" s="43"/>
      <c r="C68" s="43"/>
    </row>
    <row r="69" ht="18">
      <c r="A69" s="366" t="s">
        <v>237</v>
      </c>
    </row>
  </sheetData>
  <printOptions/>
  <pageMargins left="0.7874015748031497" right="0.3937007874015748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0">
      <selection activeCell="A13" sqref="A13:I23"/>
    </sheetView>
  </sheetViews>
  <sheetFormatPr defaultColWidth="9.140625" defaultRowHeight="12.75"/>
  <cols>
    <col min="4" max="4" width="12.8515625" style="0" bestFit="1" customWidth="1"/>
    <col min="5" max="5" width="11.28125" style="0" customWidth="1"/>
    <col min="8" max="8" width="11.28125" style="0" bestFit="1" customWidth="1"/>
  </cols>
  <sheetData>
    <row r="1" spans="1:9" ht="23.25">
      <c r="A1" s="382"/>
      <c r="B1" s="386" t="s">
        <v>246</v>
      </c>
      <c r="C1" s="65"/>
      <c r="D1" s="65"/>
      <c r="E1" s="65"/>
      <c r="F1" s="65"/>
      <c r="G1" s="65"/>
      <c r="H1" s="65"/>
      <c r="I1" s="67"/>
    </row>
    <row r="2" spans="1:9" ht="12.75">
      <c r="A2" s="10"/>
      <c r="B2" s="430" t="s">
        <v>177</v>
      </c>
      <c r="C2" s="430"/>
      <c r="D2" s="430"/>
      <c r="E2" s="290"/>
      <c r="F2" s="43" t="s">
        <v>180</v>
      </c>
      <c r="G2" s="43"/>
      <c r="H2" s="43"/>
      <c r="I2" s="269"/>
    </row>
    <row r="3" spans="1:9" ht="12.75">
      <c r="A3" s="10" t="s">
        <v>112</v>
      </c>
      <c r="B3" s="43">
        <v>80</v>
      </c>
      <c r="C3" s="43">
        <v>4000</v>
      </c>
      <c r="D3" s="116">
        <f>C3*B3</f>
        <v>320000</v>
      </c>
      <c r="E3" s="387">
        <v>0.95</v>
      </c>
      <c r="F3" s="383">
        <f>E3*B3</f>
        <v>76</v>
      </c>
      <c r="G3" s="43">
        <v>8000</v>
      </c>
      <c r="H3" s="277">
        <f>F3*G3</f>
        <v>608000</v>
      </c>
      <c r="I3" s="269"/>
    </row>
    <row r="4" spans="1:9" ht="12.75">
      <c r="A4" s="10" t="s">
        <v>178</v>
      </c>
      <c r="B4" s="43">
        <v>120</v>
      </c>
      <c r="C4" s="43">
        <v>4000</v>
      </c>
      <c r="D4" s="116">
        <f>C4*B4</f>
        <v>480000</v>
      </c>
      <c r="E4" s="387">
        <v>0.97</v>
      </c>
      <c r="F4" s="383">
        <f>E4*B4</f>
        <v>116.39999999999999</v>
      </c>
      <c r="G4" s="43">
        <v>8000</v>
      </c>
      <c r="H4" s="277">
        <f>F4*G4</f>
        <v>931199.9999999999</v>
      </c>
      <c r="I4" s="269"/>
    </row>
    <row r="5" spans="1:9" ht="12.75">
      <c r="A5" s="10" t="s">
        <v>179</v>
      </c>
      <c r="B5" s="43">
        <v>10</v>
      </c>
      <c r="C5" s="43">
        <v>4000</v>
      </c>
      <c r="D5" s="116">
        <f>C5*B5</f>
        <v>40000</v>
      </c>
      <c r="E5" s="116"/>
      <c r="F5" s="43"/>
      <c r="G5" s="43">
        <v>8000</v>
      </c>
      <c r="H5" s="277">
        <f>G5*B5</f>
        <v>80000</v>
      </c>
      <c r="I5" s="269"/>
    </row>
    <row r="6" spans="1:9" ht="12.75">
      <c r="A6" s="10"/>
      <c r="B6" s="43">
        <f>SUM(B3:B5)</f>
        <v>210</v>
      </c>
      <c r="C6" s="43"/>
      <c r="D6" s="116">
        <f>SUM(D3:D5)</f>
        <v>840000</v>
      </c>
      <c r="E6" s="116"/>
      <c r="F6" s="43"/>
      <c r="G6" s="43"/>
      <c r="H6" s="277">
        <f>SUM(H3:H5)</f>
        <v>1619200</v>
      </c>
      <c r="I6" s="269"/>
    </row>
    <row r="7" spans="1:9" ht="12.75">
      <c r="A7" s="10"/>
      <c r="B7" s="43"/>
      <c r="C7" s="43"/>
      <c r="D7" s="43"/>
      <c r="E7" s="43"/>
      <c r="F7" s="43"/>
      <c r="G7" s="43"/>
      <c r="H7" s="43"/>
      <c r="I7" s="269"/>
    </row>
    <row r="8" spans="1:9" ht="12.75">
      <c r="A8" s="10" t="s">
        <v>181</v>
      </c>
      <c r="B8" s="43"/>
      <c r="C8" s="43"/>
      <c r="D8" s="43"/>
      <c r="E8" s="43"/>
      <c r="F8" s="43"/>
      <c r="G8" s="43"/>
      <c r="H8" s="431">
        <f>B6/0.46</f>
        <v>456.52173913043475</v>
      </c>
      <c r="I8" s="269"/>
    </row>
    <row r="9" spans="1:9" ht="12.75">
      <c r="A9" s="10" t="s">
        <v>182</v>
      </c>
      <c r="B9" s="43"/>
      <c r="C9" s="43"/>
      <c r="D9" s="218">
        <f>(H8-B6)/(H8)</f>
        <v>0.5399999999999999</v>
      </c>
      <c r="E9" s="43" t="s">
        <v>183</v>
      </c>
      <c r="F9" s="43"/>
      <c r="G9" s="43"/>
      <c r="H9" s="43"/>
      <c r="I9" s="269"/>
    </row>
    <row r="10" spans="1:9" ht="12.75">
      <c r="A10" s="10"/>
      <c r="B10" s="43"/>
      <c r="C10" s="43"/>
      <c r="D10" s="43"/>
      <c r="E10" s="43"/>
      <c r="F10" s="43"/>
      <c r="G10" s="43"/>
      <c r="H10" s="43"/>
      <c r="I10" s="269"/>
    </row>
    <row r="11" spans="1:9" ht="12.75">
      <c r="A11" s="10" t="s">
        <v>184</v>
      </c>
      <c r="B11" s="43"/>
      <c r="C11" s="43"/>
      <c r="D11" s="43"/>
      <c r="E11" s="43"/>
      <c r="F11" s="43"/>
      <c r="G11" s="43"/>
      <c r="H11" s="43"/>
      <c r="I11" s="269"/>
    </row>
    <row r="12" spans="1:9" ht="13.5" thickBot="1">
      <c r="A12" s="385"/>
      <c r="B12" s="4"/>
      <c r="C12" s="4"/>
      <c r="D12" s="4"/>
      <c r="E12" s="4"/>
      <c r="F12" s="4"/>
      <c r="G12" s="4"/>
      <c r="H12" s="4"/>
      <c r="I12" s="285"/>
    </row>
    <row r="13" spans="1:9" ht="12.75">
      <c r="A13" s="382" t="s">
        <v>185</v>
      </c>
      <c r="B13" s="65"/>
      <c r="C13" s="65"/>
      <c r="D13" s="65"/>
      <c r="E13" s="65"/>
      <c r="F13" s="65"/>
      <c r="G13" s="65"/>
      <c r="H13" s="65"/>
      <c r="I13" s="67"/>
    </row>
    <row r="14" spans="1:9" ht="12.75">
      <c r="A14" s="176" t="s">
        <v>251</v>
      </c>
      <c r="B14" s="43"/>
      <c r="C14" s="43"/>
      <c r="D14" s="43"/>
      <c r="E14" s="43"/>
      <c r="F14" s="43"/>
      <c r="G14" s="43"/>
      <c r="H14" s="43"/>
      <c r="I14" s="269"/>
    </row>
    <row r="15" spans="1:9" ht="12.75">
      <c r="A15" s="10"/>
      <c r="B15" s="43"/>
      <c r="C15" s="43"/>
      <c r="D15" s="43"/>
      <c r="E15" s="43"/>
      <c r="F15" s="43"/>
      <c r="G15" s="43"/>
      <c r="H15" s="43"/>
      <c r="I15" s="269"/>
    </row>
    <row r="16" spans="1:9" ht="12.75">
      <c r="A16" s="10" t="s">
        <v>137</v>
      </c>
      <c r="B16" s="43"/>
      <c r="C16" s="43"/>
      <c r="D16" s="116">
        <f>D6/(1-$D$9)</f>
        <v>1826086.9565217388</v>
      </c>
      <c r="E16" s="116"/>
      <c r="F16" s="116"/>
      <c r="G16" s="116"/>
      <c r="H16" s="116">
        <f>H6/(1-$D$9)</f>
        <v>3519999.9999999995</v>
      </c>
      <c r="I16" s="269"/>
    </row>
    <row r="17" spans="1:9" ht="12.75">
      <c r="A17" s="10" t="s">
        <v>136</v>
      </c>
      <c r="B17" s="43"/>
      <c r="C17" s="43"/>
      <c r="D17" s="116">
        <f>D6</f>
        <v>840000</v>
      </c>
      <c r="E17" s="43"/>
      <c r="F17" s="43"/>
      <c r="G17" s="43"/>
      <c r="H17" s="277">
        <f>H6</f>
        <v>1619200</v>
      </c>
      <c r="I17" s="269"/>
    </row>
    <row r="18" spans="1:9" ht="12.75">
      <c r="A18" s="10" t="s">
        <v>186</v>
      </c>
      <c r="B18" s="43"/>
      <c r="C18" s="43"/>
      <c r="D18" s="116">
        <f>D16-D17</f>
        <v>986086.9565217388</v>
      </c>
      <c r="E18" s="116"/>
      <c r="F18" s="116"/>
      <c r="G18" s="116"/>
      <c r="H18" s="116">
        <f>H16-H17</f>
        <v>1900799.9999999995</v>
      </c>
      <c r="I18" s="269"/>
    </row>
    <row r="19" spans="1:9" ht="12.75">
      <c r="A19" s="10" t="s">
        <v>187</v>
      </c>
      <c r="B19" s="43"/>
      <c r="C19" s="43"/>
      <c r="D19" s="218">
        <f>D18/D16</f>
        <v>0.5399999999999999</v>
      </c>
      <c r="E19" s="43"/>
      <c r="F19" s="43"/>
      <c r="G19" s="43"/>
      <c r="H19" s="218">
        <f>H18/H16</f>
        <v>0.5399999999999999</v>
      </c>
      <c r="I19" s="269"/>
    </row>
    <row r="20" spans="1:9" ht="12.75">
      <c r="A20" s="176" t="s">
        <v>198</v>
      </c>
      <c r="B20" s="43"/>
      <c r="C20" s="43"/>
      <c r="D20" s="43"/>
      <c r="E20" s="43"/>
      <c r="F20" s="43"/>
      <c r="G20" s="43"/>
      <c r="H20" s="43"/>
      <c r="I20" s="269"/>
    </row>
    <row r="21" spans="1:9" ht="13.5" thickBot="1">
      <c r="A21" s="10" t="s">
        <v>188</v>
      </c>
      <c r="B21" s="43"/>
      <c r="C21" s="43"/>
      <c r="D21" s="43"/>
      <c r="E21" s="43"/>
      <c r="F21" s="43"/>
      <c r="G21" s="43"/>
      <c r="H21" s="376">
        <f>H16-D16</f>
        <v>1693913.0434782607</v>
      </c>
      <c r="I21" s="269"/>
    </row>
    <row r="22" spans="1:9" ht="13.5" thickTop="1">
      <c r="A22" s="10" t="s">
        <v>189</v>
      </c>
      <c r="B22" s="43"/>
      <c r="C22" s="43"/>
      <c r="D22" s="43"/>
      <c r="E22" s="43"/>
      <c r="F22" s="43"/>
      <c r="G22" s="43"/>
      <c r="H22" s="383">
        <f>H21/4000</f>
        <v>423.4782608695652</v>
      </c>
      <c r="I22" s="269"/>
    </row>
    <row r="23" spans="1:9" ht="13.5" thickBot="1">
      <c r="A23" s="385" t="s">
        <v>190</v>
      </c>
      <c r="B23" s="4"/>
      <c r="C23" s="4"/>
      <c r="D23" s="4"/>
      <c r="E23" s="4"/>
      <c r="F23" s="4"/>
      <c r="G23" s="4"/>
      <c r="H23" s="59">
        <f>H16/8000</f>
        <v>439.99999999999994</v>
      </c>
      <c r="I23" s="285"/>
    </row>
    <row r="24" spans="1:9" ht="12.75">
      <c r="A24" s="10" t="s">
        <v>191</v>
      </c>
      <c r="B24" s="43"/>
      <c r="C24" s="43"/>
      <c r="D24" s="43"/>
      <c r="E24" s="43"/>
      <c r="F24" s="43"/>
      <c r="G24" s="43"/>
      <c r="H24" s="43"/>
      <c r="I24" s="269"/>
    </row>
    <row r="25" spans="1:9" ht="12.75">
      <c r="A25" s="10" t="s">
        <v>192</v>
      </c>
      <c r="B25" s="43"/>
      <c r="C25" s="43"/>
      <c r="D25" s="43"/>
      <c r="E25" s="43"/>
      <c r="F25" s="43"/>
      <c r="G25" s="43"/>
      <c r="H25" s="43"/>
      <c r="I25" s="269"/>
    </row>
    <row r="26" spans="1:9" ht="12.75">
      <c r="A26" s="10"/>
      <c r="B26" s="43"/>
      <c r="C26" s="43"/>
      <c r="D26" s="43"/>
      <c r="E26" s="43"/>
      <c r="F26" s="43"/>
      <c r="G26" s="43"/>
      <c r="H26" s="43"/>
      <c r="I26" s="269"/>
    </row>
    <row r="27" spans="1:9" ht="12.75">
      <c r="A27" s="10"/>
      <c r="B27" s="43"/>
      <c r="C27" s="43"/>
      <c r="D27" s="43"/>
      <c r="E27" s="43"/>
      <c r="F27" s="43"/>
      <c r="G27" s="43"/>
      <c r="H27" s="43"/>
      <c r="I27" s="269"/>
    </row>
    <row r="28" spans="1:9" ht="12.75">
      <c r="A28" s="10" t="str">
        <f>A16</f>
        <v>Omsætning</v>
      </c>
      <c r="B28" s="43"/>
      <c r="C28" s="43"/>
      <c r="D28" s="116">
        <f>D16</f>
        <v>1826086.9565217388</v>
      </c>
      <c r="E28" s="43"/>
      <c r="F28" s="43"/>
      <c r="G28" s="43"/>
      <c r="H28" s="277">
        <f>H29+H30</f>
        <v>2605286.956521739</v>
      </c>
      <c r="I28" s="269"/>
    </row>
    <row r="29" spans="1:9" ht="12.75">
      <c r="A29" s="10" t="str">
        <f>A17</f>
        <v>VO</v>
      </c>
      <c r="B29" s="43"/>
      <c r="C29" s="43"/>
      <c r="D29" s="116">
        <f>D17</f>
        <v>840000</v>
      </c>
      <c r="E29" s="43"/>
      <c r="F29" s="43"/>
      <c r="G29" s="43"/>
      <c r="H29" s="277">
        <f>H17</f>
        <v>1619200</v>
      </c>
      <c r="I29" s="269"/>
    </row>
    <row r="30" spans="1:9" ht="12.75">
      <c r="A30" s="10" t="str">
        <f>A18</f>
        <v>Dækningbidrag</v>
      </c>
      <c r="B30" s="43"/>
      <c r="C30" s="43"/>
      <c r="D30" s="116">
        <f>D18</f>
        <v>986086.9565217388</v>
      </c>
      <c r="E30" s="43"/>
      <c r="F30" s="43"/>
      <c r="G30" s="43"/>
      <c r="H30" s="277">
        <f>D30</f>
        <v>986086.9565217388</v>
      </c>
      <c r="I30" s="269"/>
    </row>
    <row r="31" spans="1:9" ht="12.75">
      <c r="A31" s="176" t="s">
        <v>198</v>
      </c>
      <c r="B31" s="43"/>
      <c r="C31" s="43"/>
      <c r="D31" s="43"/>
      <c r="E31" s="43"/>
      <c r="F31" s="43"/>
      <c r="G31" s="43"/>
      <c r="H31" s="43"/>
      <c r="I31" s="269"/>
    </row>
    <row r="32" spans="1:9" ht="13.5" thickBot="1">
      <c r="A32" s="10" t="str">
        <f>A21</f>
        <v>Kunden skal mindst betale forskellen i omsætningen for de sidste 4000 stk.</v>
      </c>
      <c r="B32" s="43"/>
      <c r="C32" s="43"/>
      <c r="D32" s="43"/>
      <c r="E32" s="43"/>
      <c r="F32" s="43"/>
      <c r="G32" s="43"/>
      <c r="H32" s="376">
        <f>H28-D28</f>
        <v>779200</v>
      </c>
      <c r="I32" s="269"/>
    </row>
    <row r="33" spans="1:9" ht="14.25" thickBot="1" thickTop="1">
      <c r="A33" s="10" t="str">
        <f>A22</f>
        <v>Pris pr. stk. for de sidste 4000 stk.</v>
      </c>
      <c r="B33" s="43"/>
      <c r="C33" s="43"/>
      <c r="D33" s="43"/>
      <c r="E33" s="43"/>
      <c r="F33" s="43"/>
      <c r="G33" s="43"/>
      <c r="H33" s="377">
        <f>H32/4000</f>
        <v>194.8</v>
      </c>
      <c r="I33" s="269"/>
    </row>
    <row r="34" spans="1:9" ht="13.5" thickTop="1">
      <c r="A34" s="10" t="str">
        <f>A23</f>
        <v>Ny gennemsnitspris</v>
      </c>
      <c r="B34" s="43"/>
      <c r="C34" s="43"/>
      <c r="D34" s="43"/>
      <c r="E34" s="43"/>
      <c r="F34" s="43"/>
      <c r="G34" s="43"/>
      <c r="H34" s="277">
        <f>H28/8000</f>
        <v>325.66086956521735</v>
      </c>
      <c r="I34" s="269"/>
    </row>
    <row r="35" spans="1:9" ht="12.75">
      <c r="A35" s="10"/>
      <c r="B35" s="43"/>
      <c r="C35" s="43"/>
      <c r="D35" s="43"/>
      <c r="E35" s="43"/>
      <c r="F35" s="43"/>
      <c r="G35" s="43"/>
      <c r="H35" s="43"/>
      <c r="I35" s="269"/>
    </row>
    <row r="36" spans="1:9" ht="12.75">
      <c r="A36" s="10" t="s">
        <v>193</v>
      </c>
      <c r="B36" s="43"/>
      <c r="C36" s="43"/>
      <c r="D36" s="43"/>
      <c r="E36" s="43"/>
      <c r="F36" s="43"/>
      <c r="G36" s="43"/>
      <c r="H36" s="43"/>
      <c r="I36" s="269"/>
    </row>
    <row r="37" spans="1:9" ht="13.5" thickBot="1">
      <c r="A37" s="385" t="s">
        <v>194</v>
      </c>
      <c r="B37" s="4"/>
      <c r="C37" s="4"/>
      <c r="D37" s="4"/>
      <c r="E37" s="4"/>
      <c r="F37" s="4"/>
      <c r="G37" s="4"/>
      <c r="H37" s="4"/>
      <c r="I37" s="285"/>
    </row>
    <row r="38" ht="12.75">
      <c r="A38" s="305" t="s">
        <v>198</v>
      </c>
    </row>
    <row r="39" spans="1:8" ht="12.75">
      <c r="A39" s="305" t="s">
        <v>195</v>
      </c>
      <c r="B39" s="305"/>
      <c r="C39" s="305"/>
      <c r="D39" s="305"/>
      <c r="E39" s="305"/>
      <c r="F39" s="305"/>
      <c r="G39" s="305"/>
      <c r="H39" s="305"/>
    </row>
    <row r="40" ht="12.75">
      <c r="A40" s="305" t="s">
        <v>239</v>
      </c>
    </row>
  </sheetData>
  <mergeCells count="1">
    <mergeCell ref="B2:D2"/>
  </mergeCells>
  <printOptions/>
  <pageMargins left="0.75" right="0.75" top="1" bottom="1" header="0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Roskilde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Brygger</dc:creator>
  <cp:keywords/>
  <dc:description/>
  <cp:lastModifiedBy>Roskilde Handelsskole</cp:lastModifiedBy>
  <cp:lastPrinted>2004-05-26T14:37:48Z</cp:lastPrinted>
  <dcterms:created xsi:type="dcterms:W3CDTF">1999-01-23T11:04:33Z</dcterms:created>
  <dcterms:modified xsi:type="dcterms:W3CDTF">2006-05-24T16:59:53Z</dcterms:modified>
  <cp:category/>
  <cp:version/>
  <cp:contentType/>
  <cp:contentStatus/>
</cp:coreProperties>
</file>