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6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3.xml" ContentType="application/vnd.openxmlformats-officedocument.spreadsheetml.comments+xml"/>
  <Override PartName="/xl/worksheets/sheet11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947" activeTab="0"/>
  </bookViews>
  <sheets>
    <sheet name="Resultatopgørelse til analyse" sheetId="1" r:id="rId1"/>
    <sheet name="Balance til analyse" sheetId="2" r:id="rId2"/>
    <sheet name="beregning af nøgletal" sheetId="3" r:id="rId3"/>
    <sheet name="Graf AG,OG,EKF,FKF" sheetId="4" r:id="rId4"/>
    <sheet name="Kommentarer" sheetId="5" r:id="rId5"/>
    <sheet name="MR=MC 2.1" sheetId="6" r:id="rId6"/>
    <sheet name="Graf  2.1" sheetId="7" r:id="rId7"/>
    <sheet name="Data til graf 2.1" sheetId="8" r:id="rId8"/>
    <sheet name="investering 3.1" sheetId="9" r:id="rId9"/>
    <sheet name="Net cash-flow diagram 3.1" sheetId="10" r:id="rId10"/>
    <sheet name="Lommeregneren TI-83 3.4" sheetId="11" r:id="rId11"/>
    <sheet name="Test på 3.4" sheetId="12" r:id="rId12"/>
    <sheet name="Resultatopgørelse 2005 4.1" sheetId="13" r:id="rId13"/>
    <sheet name="Likviditetsbudget 4.2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Brygger</author>
    <author>Roskilde Handelsskole</author>
  </authors>
  <commentList>
    <comment ref="B2" authorId="0">
      <text>
        <r>
          <rPr>
            <sz val="8"/>
            <color indexed="8"/>
            <rFont val="Tahoma"/>
            <family val="2"/>
          </rPr>
          <t>Indsæt årstal. De andre årstal i opgaven justeres efter dette årstal.
Der skal ikke tastes minus foran udgifterne. 
Der må ikke indtastes i beregningscellerne som er markeret med</t>
        </r>
        <r>
          <rPr>
            <b/>
            <sz val="8"/>
            <color indexed="8"/>
            <rFont val="Tahoma"/>
            <family val="2"/>
          </rPr>
          <t xml:space="preserve"> fed</t>
        </r>
        <r>
          <rPr>
            <sz val="8"/>
            <color indexed="8"/>
            <rFont val="Tahoma"/>
            <family val="2"/>
          </rPr>
          <t xml:space="preserve"> (Dækningsbidrag, IB, osv.)</t>
        </r>
      </text>
    </comment>
    <comment ref="B18" authorId="1">
      <text>
        <r>
          <rPr>
            <b/>
            <sz val="8"/>
            <color indexed="58"/>
            <rFont val="Tahoma"/>
            <family val="2"/>
          </rPr>
          <t>Der skal ikke tastes minus foran renteudgifterne</t>
        </r>
      </text>
    </comment>
    <comment ref="A1" authorId="1">
      <text>
        <r>
          <rPr>
            <b/>
            <sz val="8"/>
            <rFont val="Tahoma"/>
            <family val="0"/>
          </rPr>
          <t>Indtast et firma navn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Brygger</author>
    <author>Roskilde Handelsskole</author>
  </authors>
  <commentList>
    <comment ref="B2" authorId="0">
      <text>
        <r>
          <rPr>
            <sz val="8"/>
            <color indexed="8"/>
            <rFont val="Tahoma"/>
            <family val="2"/>
          </rPr>
          <t>Indsæt årstal. De andre årstal i opgaven justeres efter dette årstal.
Der skal ikke tastes minus foran udgifterne. 
Der må ikke indtastes i beregningscellerne som er markeret med</t>
        </r>
        <r>
          <rPr>
            <b/>
            <sz val="8"/>
            <color indexed="8"/>
            <rFont val="Tahoma"/>
            <family val="2"/>
          </rPr>
          <t xml:space="preserve"> fed</t>
        </r>
        <r>
          <rPr>
            <sz val="8"/>
            <color indexed="8"/>
            <rFont val="Tahoma"/>
            <family val="2"/>
          </rPr>
          <t xml:space="preserve"> (Dækningsbidrag, IB, osv.)</t>
        </r>
      </text>
    </comment>
    <comment ref="B19" authorId="1">
      <text>
        <r>
          <rPr>
            <b/>
            <sz val="8"/>
            <color indexed="58"/>
            <rFont val="Tahoma"/>
            <family val="2"/>
          </rPr>
          <t>Der skal ikke tastes minus foran renteudgifterne</t>
        </r>
      </text>
    </comment>
    <comment ref="A1" authorId="1">
      <text>
        <r>
          <rPr>
            <b/>
            <sz val="8"/>
            <rFont val="Tahoma"/>
            <family val="0"/>
          </rPr>
          <t>Indtast et firma navn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Roskilde Handelsskole</author>
    <author>Brygger</author>
  </authors>
  <commentList>
    <comment ref="D17" authorId="0">
      <text>
        <r>
          <rPr>
            <b/>
            <sz val="8"/>
            <color indexed="8"/>
            <rFont val="Tahoma"/>
            <family val="2"/>
          </rPr>
          <t>Der skal ikke indtastes beløb her
(Dette er en beregningscelle)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D25" authorId="1">
      <text>
        <r>
          <rPr>
            <b/>
            <sz val="8"/>
            <rFont val="Tahoma"/>
            <family val="0"/>
          </rPr>
          <t>Hvis gælden ikke er udspecificeret kan den indtastes her som samlet kortfristet gæld</t>
        </r>
        <r>
          <rPr>
            <sz val="8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Indtast ikke her</t>
        </r>
        <r>
          <rPr>
            <sz val="8"/>
            <rFont val="Tahoma"/>
            <family val="0"/>
          </rPr>
          <t xml:space="preserve">
</t>
        </r>
      </text>
    </comment>
    <comment ref="D21" authorId="1">
      <text>
        <r>
          <rPr>
            <sz val="8"/>
            <rFont val="Tahoma"/>
            <family val="0"/>
          </rPr>
          <t xml:space="preserve">Hvis langfristet gæld  ikke er udspecificeret kan den indtastes her som samlet langfristet gæld
</t>
        </r>
      </text>
    </comment>
    <comment ref="D19" authorId="1">
      <text>
        <r>
          <rPr>
            <b/>
            <sz val="8"/>
            <rFont val="Tahoma"/>
            <family val="0"/>
          </rPr>
          <t>Indtast her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Varelageret må ikke laves om da det danner grundlag for omsætningshastigheden på varelageret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0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0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Roskilde Handelsskole</author>
    <author>Brygger</author>
    <author>Jesper Brygger</author>
  </authors>
  <commentList>
    <comment ref="D17" authorId="0">
      <text>
        <r>
          <rPr>
            <b/>
            <sz val="8"/>
            <color indexed="8"/>
            <rFont val="Tahoma"/>
            <family val="2"/>
          </rPr>
          <t>Der skal ikke indtastes beløb her
(Dette er en beregningscelle)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8"/>
            <color indexed="8"/>
            <rFont val="Tahoma"/>
            <family val="2"/>
          </rPr>
          <t>Indtast ikke i felter markeret med fed</t>
        </r>
      </text>
    </comment>
    <comment ref="D25" authorId="1">
      <text>
        <r>
          <rPr>
            <b/>
            <sz val="8"/>
            <rFont val="Tahoma"/>
            <family val="0"/>
          </rPr>
          <t>Hvis gælden ikke er udspecificeret kan den indtastes her som samlet kortfristet gæld</t>
        </r>
        <r>
          <rPr>
            <sz val="8"/>
            <rFont val="Tahoma"/>
            <family val="0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0"/>
          </rPr>
          <t>Indtast ikke her</t>
        </r>
        <r>
          <rPr>
            <sz val="8"/>
            <rFont val="Tahoma"/>
            <family val="0"/>
          </rPr>
          <t xml:space="preserve">
</t>
        </r>
      </text>
    </comment>
    <comment ref="D21" authorId="1">
      <text>
        <r>
          <rPr>
            <sz val="8"/>
            <rFont val="Tahoma"/>
            <family val="0"/>
          </rPr>
          <t xml:space="preserve">Hvis langfristet gæld  ikke er udspecificeret kan den indtastes her som samlet langfristet gæld
</t>
        </r>
      </text>
    </comment>
    <comment ref="D19" authorId="1">
      <text>
        <r>
          <rPr>
            <b/>
            <sz val="8"/>
            <rFont val="Tahoma"/>
            <family val="0"/>
          </rPr>
          <t>Indtast her</t>
        </r>
        <r>
          <rPr>
            <sz val="8"/>
            <rFont val="Tahoma"/>
            <family val="0"/>
          </rPr>
          <t xml:space="preserve">
</t>
        </r>
      </text>
    </comment>
    <comment ref="A8" authorId="1">
      <text>
        <r>
          <rPr>
            <b/>
            <sz val="8"/>
            <rFont val="Tahoma"/>
            <family val="0"/>
          </rPr>
          <t>Varelageret må ikke laves om da det danner grundlag for omsætningshastigheden på varelageret</t>
        </r>
      </text>
    </comment>
    <comment ref="A9" authorId="1">
      <text>
        <r>
          <rPr>
            <b/>
            <sz val="8"/>
            <rFont val="Tahoma"/>
            <family val="2"/>
          </rPr>
          <t xml:space="preserve">Varedebitorerne må ikke laves om da det danner grundlag for omsætningshastigheden på varedebitorer
</t>
        </r>
        <r>
          <rPr>
            <sz val="8"/>
            <rFont val="Tahoma"/>
            <family val="0"/>
          </rPr>
          <t xml:space="preserve">
</t>
        </r>
      </text>
    </comment>
    <comment ref="A26" authorId="1">
      <text>
        <r>
          <rPr>
            <b/>
            <sz val="8"/>
            <rFont val="Tahoma"/>
            <family val="0"/>
          </rPr>
          <t>Varekreditorerne må ikke laves om da det danner grundlag for omsætningshastigheden på varekreditorer og kreditdage</t>
        </r>
        <r>
          <rPr>
            <sz val="8"/>
            <rFont val="Tahoma"/>
            <family val="0"/>
          </rPr>
          <t xml:space="preserve">
</t>
        </r>
      </text>
    </comment>
    <comment ref="F1" authorId="2">
      <text>
        <r>
          <rPr>
            <b/>
            <sz val="8"/>
            <rFont val="Tahoma"/>
            <family val="0"/>
          </rPr>
          <t>Du kan få vist kolonne G og H ved at markere kolonne F og I,
Venstre klikke på musen og vælge vis.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Roskilde Handelsskole</author>
    <author>Brygger</author>
  </authors>
  <commentList>
    <comment ref="J25" authorId="0">
      <text>
        <r>
          <rPr>
            <sz val="12"/>
            <color indexed="8"/>
            <rFont val="Tahoma"/>
            <family val="2"/>
          </rPr>
          <t>Hvis resultatet er over 1 er der overskud.
Hvis resultatet er under 1 er der underskud. Jo større jo bedre.</t>
        </r>
      </text>
    </comment>
    <comment ref="H64" authorId="1">
      <text>
        <r>
          <rPr>
            <sz val="12"/>
            <rFont val="Tahoma"/>
            <family val="2"/>
          </rPr>
          <t>Skal helst være over 100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Brygger</author>
  </authors>
  <commentList>
    <comment ref="M4" authorId="0">
      <text>
        <r>
          <rPr>
            <b/>
            <sz val="8"/>
            <rFont val="Tahoma"/>
            <family val="0"/>
          </rPr>
          <t xml:space="preserve">Hvis der ikke er nogen hældning på MC - kurven dvs. den er vandret skal der stå 0 her.
</t>
        </r>
        <r>
          <rPr>
            <sz val="8"/>
            <rFont val="Tahoma"/>
            <family val="0"/>
          </rPr>
          <t xml:space="preserve">
</t>
        </r>
      </text>
    </comment>
    <comment ref="N4" authorId="0">
      <text>
        <r>
          <rPr>
            <b/>
            <sz val="8"/>
            <rFont val="Tahoma"/>
            <family val="0"/>
          </rPr>
          <t xml:space="preserve">Hvis der ikke er nogen hældning på MC - kurven dvs. den er vandret skal der stå 1 her.
</t>
        </r>
        <r>
          <rPr>
            <sz val="8"/>
            <rFont val="Tahoma"/>
            <family val="0"/>
          </rPr>
          <t xml:space="preserve">
</t>
        </r>
      </text>
    </comment>
    <comment ref="D3" authorId="0">
      <text>
        <r>
          <rPr>
            <sz val="8"/>
            <rFont val="Tahoma"/>
            <family val="0"/>
          </rPr>
          <t>I</t>
        </r>
        <r>
          <rPr>
            <b/>
            <sz val="8"/>
            <rFont val="Tahoma"/>
            <family val="2"/>
          </rPr>
          <t>ndtast tælleren i brøken
/ hældningskoefficienten 
Hvis det ikke er en brøk 
indtastes det hele tal her 
Hvis der ikke er nogen hældning, dvs. hvis afsætningskurven er vandret skal der stå 0 her</t>
        </r>
      </text>
    </comment>
    <comment ref="E3" authorId="0">
      <text>
        <r>
          <rPr>
            <b/>
            <sz val="8"/>
            <rFont val="Tahoma"/>
            <family val="0"/>
          </rPr>
          <t>Indtast nævneren i brøken/hældningskoefficienten. Hvis hældningskoefficienten er et helt tal tastes 1 her
Hvis der ikke er nogen hældning på MR - kurven dvs. den er vandret skal der også stå 1 her.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<sst xmlns="http://schemas.openxmlformats.org/spreadsheetml/2006/main" count="547" uniqueCount="373">
  <si>
    <t>Afskrivninger</t>
  </si>
  <si>
    <t>Egenkapital</t>
  </si>
  <si>
    <t>Afkastningsgrad</t>
  </si>
  <si>
    <t>difference</t>
  </si>
  <si>
    <t>Overskudsgrad</t>
  </si>
  <si>
    <t>Aktivernes omh.</t>
  </si>
  <si>
    <t>Gældsrente</t>
  </si>
  <si>
    <t>Egenkapital forrentning</t>
  </si>
  <si>
    <t>Indtjeningsevne:</t>
  </si>
  <si>
    <t>Rentabilitet:</t>
  </si>
  <si>
    <t>overskudsgrad</t>
  </si>
  <si>
    <t>Kapitaltilpasningen</t>
  </si>
  <si>
    <t>Varelagerets omh.</t>
  </si>
  <si>
    <t>Varedebitorerne omh.</t>
  </si>
  <si>
    <t>Skylddage</t>
  </si>
  <si>
    <t>lagerdage</t>
  </si>
  <si>
    <t>Varekreditorernes omh</t>
  </si>
  <si>
    <t>kreditdage</t>
  </si>
  <si>
    <t>Nulpunktsomsætning</t>
  </si>
  <si>
    <t>Omsætning. Pr. beskæftiget</t>
  </si>
  <si>
    <t>Skat</t>
  </si>
  <si>
    <t>Dækningsgrad</t>
  </si>
  <si>
    <t>Balance</t>
  </si>
  <si>
    <t xml:space="preserve">Regnskabsanalyse </t>
  </si>
  <si>
    <t>Årstal</t>
  </si>
  <si>
    <t>Varelager</t>
  </si>
  <si>
    <t>Gæld i alt</t>
  </si>
  <si>
    <t>Passiver i alt</t>
  </si>
  <si>
    <t>*100</t>
  </si>
  <si>
    <t>Beregning for</t>
  </si>
  <si>
    <t>Formler</t>
  </si>
  <si>
    <t>Egenkapitalen primo</t>
  </si>
  <si>
    <t>før skat</t>
  </si>
  <si>
    <t>Indeks:</t>
  </si>
  <si>
    <t>Rente omkostninger</t>
  </si>
  <si>
    <t>Ekstraordinære omk.</t>
  </si>
  <si>
    <t>Anlægsaktiver i alt</t>
  </si>
  <si>
    <t xml:space="preserve">Omsætningsaktiver i alt </t>
  </si>
  <si>
    <t>Langfristet gæld:</t>
  </si>
  <si>
    <t>Kortfristet gæld:</t>
  </si>
  <si>
    <t>efter skat</t>
  </si>
  <si>
    <t>Aktiver i alt</t>
  </si>
  <si>
    <t>Resultat efter renter</t>
  </si>
  <si>
    <t>Indtjeningsgraden</t>
  </si>
  <si>
    <t>Kapacitetsgraden</t>
  </si>
  <si>
    <t>Markdesføringsgraden</t>
  </si>
  <si>
    <t>Indtjeningsbidrag</t>
  </si>
  <si>
    <t>Kapacitetsomk incl afskrivninger</t>
  </si>
  <si>
    <t xml:space="preserve">Sikkerhedsmargin </t>
  </si>
  <si>
    <t>Omsætning - Nulpunktoms.</t>
  </si>
  <si>
    <t>-</t>
  </si>
  <si>
    <t>Antal ansatte</t>
  </si>
  <si>
    <t>Resultatopgørelse til analysebrug</t>
  </si>
  <si>
    <t>Balance til analysebrug</t>
  </si>
  <si>
    <t>Hensættelser</t>
  </si>
  <si>
    <t>Antal aktier</t>
  </si>
  <si>
    <t>Børskurs</t>
  </si>
  <si>
    <t>Kortfristet gæld i alt</t>
  </si>
  <si>
    <t>Langfristet gæld i alt</t>
  </si>
  <si>
    <t>Varedebitorer</t>
  </si>
  <si>
    <t>= 100  basisåret</t>
  </si>
  <si>
    <t>Årets tal</t>
  </si>
  <si>
    <t>Basisårets tal</t>
  </si>
  <si>
    <t>Forudsætning: 100% kreditsalg</t>
  </si>
  <si>
    <t>*1,25</t>
  </si>
  <si>
    <t>Det forudsættes at der ikke er lagerændringer det første år.</t>
  </si>
  <si>
    <t>Likvide</t>
  </si>
  <si>
    <t>Likviditetsgrad I</t>
  </si>
  <si>
    <t>Acid test</t>
  </si>
  <si>
    <t>Oms. Aktiver ex. Varelager</t>
  </si>
  <si>
    <t>Kortfristet gæld</t>
  </si>
  <si>
    <t xml:space="preserve">Omsætningsaktiver: </t>
  </si>
  <si>
    <t>Likviditetsgrad II</t>
  </si>
  <si>
    <t>Current ratio</t>
  </si>
  <si>
    <t>Omsætningsaktiver</t>
  </si>
  <si>
    <t>Soliditetsgrad I</t>
  </si>
  <si>
    <t>Samlet kapital</t>
  </si>
  <si>
    <t>Eksempel for året</t>
  </si>
  <si>
    <t>Resultat pr. aktie</t>
  </si>
  <si>
    <r>
      <t>¤</t>
    </r>
    <r>
      <rPr>
        <sz val="10"/>
        <rFont val="Arial"/>
        <family val="0"/>
      </rPr>
      <t xml:space="preserve"> Kreditkøb er defineret som varforbrug + ultimo lager - primo lager</t>
    </r>
  </si>
  <si>
    <r>
      <t xml:space="preserve">Kreditkøb  </t>
    </r>
    <r>
      <rPr>
        <b/>
        <sz val="10"/>
        <rFont val="Arial"/>
        <family val="2"/>
      </rPr>
      <t>¤</t>
    </r>
  </si>
  <si>
    <t>P/E-værdi</t>
  </si>
  <si>
    <t>Indre værdi pr. aktie</t>
  </si>
  <si>
    <t>Kurs/indre værdi</t>
  </si>
  <si>
    <t>(EPS)</t>
  </si>
  <si>
    <t>(Price/earnings</t>
  </si>
  <si>
    <t>Nettoomsætning</t>
  </si>
  <si>
    <t>Bruttoresultat</t>
  </si>
  <si>
    <t>Resultat før renter (EBIT)</t>
  </si>
  <si>
    <t>Børsrelaterede nøgletal og øvrige nøgletal:</t>
  </si>
  <si>
    <t>= 100 ,basisår</t>
  </si>
  <si>
    <t xml:space="preserve">Indeks:  </t>
  </si>
  <si>
    <t>Yderligere oplysninger:</t>
  </si>
  <si>
    <t>% ændring</t>
  </si>
  <si>
    <t xml:space="preserve">Ændring </t>
  </si>
  <si>
    <t>%ændring</t>
  </si>
  <si>
    <t>Gæld incl. Hensættelser</t>
  </si>
  <si>
    <t>Kommentarer til rentabiliteten:</t>
  </si>
  <si>
    <t xml:space="preserve">Afkastningsgraden ligger i </t>
  </si>
  <si>
    <t>på</t>
  </si>
  <si>
    <t xml:space="preserve">niveau sammenlignet   </t>
  </si>
  <si>
    <t xml:space="preserve">med dansk industri* som ligger på </t>
  </si>
  <si>
    <t xml:space="preserve">hvilket er et </t>
  </si>
  <si>
    <t>med</t>
  </si>
  <si>
    <t>Anden gæld</t>
  </si>
  <si>
    <t>Udbytte</t>
  </si>
  <si>
    <t>dvs.</t>
  </si>
  <si>
    <t>tjener</t>
  </si>
  <si>
    <t>ligge på</t>
  </si>
  <si>
    <t xml:space="preserve">Udviklingen i overskudsgraden er </t>
  </si>
  <si>
    <t xml:space="preserve">med  </t>
  </si>
  <si>
    <t>Overskudsgraden (OG):</t>
  </si>
  <si>
    <t>Afkastningsgraden (AG):</t>
  </si>
  <si>
    <t>Aktivernes omsætningshastighed (AOH):</t>
  </si>
  <si>
    <t xml:space="preserve">Gearingen </t>
  </si>
  <si>
    <t>Gæld</t>
  </si>
  <si>
    <t>Rente marginalen</t>
  </si>
  <si>
    <r>
      <t xml:space="preserve">Afkastningsgrad </t>
    </r>
    <r>
      <rPr>
        <sz val="11"/>
        <rFont val="Arial"/>
        <family val="2"/>
      </rPr>
      <t>-</t>
    </r>
    <r>
      <rPr>
        <sz val="10"/>
        <rFont val="Arial"/>
        <family val="0"/>
      </rPr>
      <t>gældsrente</t>
    </r>
  </si>
  <si>
    <t xml:space="preserve">omsætter i </t>
  </si>
  <si>
    <t>sine aktiver</t>
  </si>
  <si>
    <t xml:space="preserve">gange. Niveauet bør </t>
  </si>
  <si>
    <t xml:space="preserve">ligge på </t>
  </si>
  <si>
    <t>gange ifølge dansk industri*</t>
  </si>
  <si>
    <t>AOH har i perioden udviklet sig</t>
  </si>
  <si>
    <t>hvilket har bidraget til at</t>
  </si>
  <si>
    <t>den samlede rentabilitet (AG).</t>
  </si>
  <si>
    <t xml:space="preserve">med </t>
  </si>
  <si>
    <t>i perioden.</t>
  </si>
  <si>
    <t>Egenkapitalens forrentning (EKF), gældsrenten, gearing og soliditet:</t>
  </si>
  <si>
    <t>Niveauet for EKF ligger på</t>
  </si>
  <si>
    <t xml:space="preserve">hvilket er </t>
  </si>
  <si>
    <t xml:space="preserve">er dette </t>
  </si>
  <si>
    <t>kr. i resultat før renter</t>
  </si>
  <si>
    <t>pr. 100 kroners salg/omsætning.</t>
  </si>
  <si>
    <t>.</t>
  </si>
  <si>
    <t xml:space="preserve">Gældsrenten ligger i </t>
  </si>
  <si>
    <t xml:space="preserve">på </t>
  </si>
  <si>
    <t>på fremmedkapitalen.</t>
  </si>
  <si>
    <t>Marginalrenten (AG - gældsrenten) er på ca.</t>
  </si>
  <si>
    <t xml:space="preserve">gearing, jo bedre. </t>
  </si>
  <si>
    <t xml:space="preserve">har gearet deres egenkapital </t>
  </si>
  <si>
    <t xml:space="preserve">gange </t>
  </si>
  <si>
    <t>i</t>
  </si>
  <si>
    <t>Indtjeningsevnen:</t>
  </si>
  <si>
    <t>Overskudsgraden er i perioden</t>
  </si>
  <si>
    <t>fra</t>
  </si>
  <si>
    <t xml:space="preserve">til </t>
  </si>
  <si>
    <t xml:space="preserve">Omsætningen/salget er </t>
  </si>
  <si>
    <t>som ligger på ca.</t>
  </si>
  <si>
    <t>Kapitaltilpasningen:</t>
  </si>
  <si>
    <t>er</t>
  </si>
  <si>
    <t xml:space="preserve">Dette bevirker at </t>
  </si>
  <si>
    <t>til</t>
  </si>
  <si>
    <t xml:space="preserve">hvilket medfører at  </t>
  </si>
  <si>
    <t xml:space="preserve">de variable omkostninger påvirker indtjeningsevnen i </t>
  </si>
  <si>
    <t>retning.</t>
  </si>
  <si>
    <t>Nulpunktsomsætningen er</t>
  </si>
  <si>
    <t>og ligger nu på kr.</t>
  </si>
  <si>
    <t xml:space="preserve">dvs. hvis omsætningen falder med </t>
  </si>
  <si>
    <t xml:space="preserve">har </t>
  </si>
  <si>
    <t>"nul i overskud/resultat før renter."</t>
  </si>
  <si>
    <t xml:space="preserve">Markedsføringsomkostningerne  </t>
  </si>
  <si>
    <t xml:space="preserve">Niveauet ligger på </t>
  </si>
  <si>
    <t>Varelagerets omsætningshastighed (VLOH):</t>
  </si>
  <si>
    <t>VLOH er</t>
  </si>
  <si>
    <t xml:space="preserve">fra </t>
  </si>
  <si>
    <t>gange til</t>
  </si>
  <si>
    <t xml:space="preserve">Det vil sige at varerne ligger </t>
  </si>
  <si>
    <t xml:space="preserve">tid på lager. </t>
  </si>
  <si>
    <t xml:space="preserve">Lagerdagene er </t>
  </si>
  <si>
    <t>og ligger nu på</t>
  </si>
  <si>
    <t>dage</t>
  </si>
  <si>
    <t>vareforbrug er</t>
  </si>
  <si>
    <t>Dette har</t>
  </si>
  <si>
    <t>lageromsætningshastigheden og dermed AOH.</t>
  </si>
  <si>
    <t>Varedebitorernes omsætningshastighed (VDOH):</t>
  </si>
  <si>
    <t xml:space="preserve">Kredittiden til kunderne er </t>
  </si>
  <si>
    <t xml:space="preserve">dage til </t>
  </si>
  <si>
    <t>dage.</t>
  </si>
  <si>
    <t xml:space="preserve">Dette har </t>
  </si>
  <si>
    <t>Varekreditorernes omsætningshastighed (VKOH):</t>
  </si>
  <si>
    <t xml:space="preserve">Kredittiden fra leverandørerne er </t>
  </si>
  <si>
    <t>Likviditeten:</t>
  </si>
  <si>
    <t xml:space="preserve">er </t>
  </si>
  <si>
    <t>gennem perioden og ligger nu på</t>
  </si>
  <si>
    <t>I alt er</t>
  </si>
  <si>
    <t>i AOH på</t>
  </si>
  <si>
    <t>* Kilde: Danmarks statistiske 10 år oversigt 2003 side 92</t>
  </si>
  <si>
    <t>normtallet for dansk industri*</t>
  </si>
  <si>
    <t xml:space="preserve">Ved benchmarking med dansk industri*  bør overskudsgraden </t>
  </si>
  <si>
    <t xml:space="preserve">sammenlignet med dansk industri* som i gennemsnit ligger på </t>
  </si>
  <si>
    <t>(Husk sammenhængen AG=OG*AOH)</t>
  </si>
  <si>
    <t xml:space="preserve">. Niveauet er dermed </t>
  </si>
  <si>
    <t xml:space="preserve">og soliditeten </t>
  </si>
  <si>
    <t>indtjeningen.</t>
  </si>
  <si>
    <t xml:space="preserve">samtidig er lageret blevet </t>
  </si>
  <si>
    <t>afkastningsgraden dvs. vi</t>
  </si>
  <si>
    <t xml:space="preserve">.Soliditeten er på </t>
  </si>
  <si>
    <t xml:space="preserve">. Dette ligger </t>
  </si>
  <si>
    <t>. Gearingen bør derfor</t>
  </si>
  <si>
    <t xml:space="preserve">hvilket har  </t>
  </si>
  <si>
    <t>gange.</t>
  </si>
  <si>
    <t>Hvilket må betegnes som</t>
  </si>
  <si>
    <t>likviditeten samt aktivernes omsætningshastighed.</t>
  </si>
  <si>
    <t>Likviditetsgraden bør ligge på ca. 100.</t>
  </si>
  <si>
    <t xml:space="preserve">Alt andet lige har dette medført at likviditeten og aktivernes omsætningshastighed er </t>
  </si>
  <si>
    <t>Konklusionen:</t>
  </si>
  <si>
    <t xml:space="preserve">Rentabiliteten har i perioden udviklet sig </t>
  </si>
  <si>
    <t>idet AG er</t>
  </si>
  <si>
    <t xml:space="preserve">Udviklingen skyldes primært </t>
  </si>
  <si>
    <t xml:space="preserve">Overskudsgraden er "hovednøgletal" for indtjeningsevnen. Niveauet for overskudsgraden ligger i </t>
  </si>
  <si>
    <t xml:space="preserve">Niveauet for indtjeningsevnen er </t>
  </si>
  <si>
    <t>Niveauet for kapitaltilpasningen er</t>
  </si>
  <si>
    <t>Niveauet for rentabiliteten er</t>
  </si>
  <si>
    <t>penge på fremmedkapitalen, idet gældsrenten ligger</t>
  </si>
  <si>
    <t>afkastningsgraden</t>
  </si>
  <si>
    <t xml:space="preserve">Niveauet for egenkapitalens forrentning er </t>
  </si>
  <si>
    <t xml:space="preserve">. Afkastningsgraden er i perioden </t>
  </si>
  <si>
    <t>. Udviklingen skyldes primært</t>
  </si>
  <si>
    <t>. Niveauet må derfor betegnes som</t>
  </si>
  <si>
    <t xml:space="preserve">. Reglen må derfor være at jo </t>
  </si>
  <si>
    <t xml:space="preserve">dækningsgraden </t>
  </si>
  <si>
    <t>. Sikkerhedsmargen er på</t>
  </si>
  <si>
    <t>Kommentarer til de faste omkostninger:</t>
  </si>
  <si>
    <t xml:space="preserve">"Hovednøgletallet" for kapitaltilpasningen er AOH. AOH er i perioden </t>
  </si>
  <si>
    <t>sammenlignet med dansk industri.*</t>
  </si>
  <si>
    <t>Grunde &amp; bygninger</t>
  </si>
  <si>
    <t>Tekniske anlæg</t>
  </si>
  <si>
    <t xml:space="preserve">. Niveauet er </t>
  </si>
  <si>
    <t>Nordic Chains</t>
  </si>
  <si>
    <t>Rå og hjælpematerialer</t>
  </si>
  <si>
    <t>Dækningsbidrag</t>
  </si>
  <si>
    <t>Andre eksterne omk.</t>
  </si>
  <si>
    <t>Personale omk.</t>
  </si>
  <si>
    <t>Finansielle indtægter</t>
  </si>
  <si>
    <t>Finansielle omkostninger</t>
  </si>
  <si>
    <t>Årests resultat</t>
  </si>
  <si>
    <t>Produktionsanlæg</t>
  </si>
  <si>
    <t>Andre anlæg samt finansielle</t>
  </si>
  <si>
    <t>Tilgodehavender</t>
  </si>
  <si>
    <t>Prioritetsgæld</t>
  </si>
  <si>
    <t>Andre kreditinst. Samt skat</t>
  </si>
  <si>
    <t>Leverandører</t>
  </si>
  <si>
    <t xml:space="preserve">Andre kreditinst. </t>
  </si>
  <si>
    <t>Glæd til tilknyttede virksom.</t>
  </si>
  <si>
    <t>Opgave 2.1</t>
  </si>
  <si>
    <t>Prisoptimering</t>
  </si>
  <si>
    <t>Ligninger for Indtægterne:</t>
  </si>
  <si>
    <t>Ligninger for omkostningerne:</t>
  </si>
  <si>
    <t>Afsætning</t>
  </si>
  <si>
    <t>P</t>
  </si>
  <si>
    <t>=</t>
  </si>
  <si>
    <t>X</t>
  </si>
  <si>
    <t>+</t>
  </si>
  <si>
    <t>FO</t>
  </si>
  <si>
    <t>VO</t>
  </si>
  <si>
    <t>Omsætning</t>
  </si>
  <si>
    <t>TO</t>
  </si>
  <si>
    <t>MR</t>
  </si>
  <si>
    <t>MC</t>
  </si>
  <si>
    <t>Max.kapacitet</t>
  </si>
  <si>
    <t>For at finde det optimale/maksimale DB skal vi sætte MR lig med MC, derved finder vi den optimale mængde:</t>
  </si>
  <si>
    <t>(Hældningskoeficienten)</t>
  </si>
  <si>
    <t>indsættes i afsætningsfunktionen og man får prisen til:</t>
  </si>
  <si>
    <t>*</t>
  </si>
  <si>
    <t>-VO</t>
  </si>
  <si>
    <t>DB</t>
  </si>
  <si>
    <t>Faste</t>
  </si>
  <si>
    <t>Overskud</t>
  </si>
  <si>
    <t>Priselasticitet i optimum:</t>
  </si>
  <si>
    <t>Formel (nedre p-akse / øvre p-akse)*-1</t>
  </si>
  <si>
    <t>/</t>
  </si>
  <si>
    <t>Tabel løsning prisoptimering</t>
  </si>
  <si>
    <t>Mængde</t>
  </si>
  <si>
    <t>Pris</t>
  </si>
  <si>
    <t>omsætning</t>
  </si>
  <si>
    <t xml:space="preserve">VO </t>
  </si>
  <si>
    <t>Faste omk.</t>
  </si>
  <si>
    <t>(MR-MC)</t>
  </si>
  <si>
    <t>Data til grafen</t>
  </si>
  <si>
    <t>Optimal pris</t>
  </si>
  <si>
    <t>Optimal mængde</t>
  </si>
  <si>
    <t xml:space="preserve">Pris </t>
  </si>
  <si>
    <t xml:space="preserve">Opgave 3.1 </t>
  </si>
  <si>
    <t>salg</t>
  </si>
  <si>
    <t>Vo</t>
  </si>
  <si>
    <t>løn</t>
  </si>
  <si>
    <t>Mer indtjening pr. år.</t>
  </si>
  <si>
    <t>år</t>
  </si>
  <si>
    <t>rente</t>
  </si>
  <si>
    <t>Tid / År</t>
  </si>
  <si>
    <t>Indbetalinger</t>
  </si>
  <si>
    <t>Udbetalinger</t>
  </si>
  <si>
    <t>Net Cash-Flow</t>
  </si>
  <si>
    <t>Nutidsværdien ved den interne rente (IRR) opgave 3.2</t>
  </si>
  <si>
    <t>3.1</t>
  </si>
  <si>
    <t>NPV, nutidsværdimetoden, kapitalværdienmetoden</t>
  </si>
  <si>
    <t>Kapitaltjenesten (årlige udgifter til forrentning og afskrivning)/PMT</t>
  </si>
  <si>
    <t>3.2</t>
  </si>
  <si>
    <t>Den interne rente (IRR)</t>
  </si>
  <si>
    <t>Tilbagebetalingstiden i år (pay -back)</t>
  </si>
  <si>
    <t>nutidsværdi</t>
  </si>
  <si>
    <t>omregnet til en annuitet</t>
  </si>
  <si>
    <t>3.3</t>
  </si>
  <si>
    <t>Begge metoder giver en vurderig af en investering. Hvis kapitalværdien er positiv bør investerigen foretages.</t>
  </si>
  <si>
    <t>IRR er i praksis lettere at forklare.</t>
  </si>
  <si>
    <t>Skærmbillede TI83</t>
  </si>
  <si>
    <t>Værdier</t>
  </si>
  <si>
    <t>Resultat</t>
  </si>
  <si>
    <t>N</t>
  </si>
  <si>
    <t>antal terminer, f.eks år</t>
  </si>
  <si>
    <t>I%</t>
  </si>
  <si>
    <t>renten</t>
  </si>
  <si>
    <t>PV</t>
  </si>
  <si>
    <t>Present value, nutidsværdi</t>
  </si>
  <si>
    <t>PMT</t>
  </si>
  <si>
    <t>Betaling pr. termin, ydelsen</t>
  </si>
  <si>
    <t>FV</t>
  </si>
  <si>
    <t>Future value</t>
  </si>
  <si>
    <t>Vi skal pr. år minimum tjene</t>
  </si>
  <si>
    <t>for at få minimum DB lægges løn til</t>
  </si>
  <si>
    <t>Minimum DB</t>
  </si>
  <si>
    <t>Ved at dividere med antal stk. får vi minimum DB pr stk.</t>
  </si>
  <si>
    <t xml:space="preserve">Vo lægges til </t>
  </si>
  <si>
    <t>Salgspris som gør at investeringen netop er fordelagtig</t>
  </si>
  <si>
    <r>
      <t>Nutidsværdi  (1+r)</t>
    </r>
    <r>
      <rPr>
        <b/>
        <vertAlign val="superscript"/>
        <sz val="12"/>
        <rFont val="Arial"/>
        <family val="2"/>
      </rPr>
      <t>-n</t>
    </r>
  </si>
  <si>
    <r>
      <t>NPV omregnet til en  annuitet = ((1+r)</t>
    </r>
    <r>
      <rPr>
        <b/>
        <vertAlign val="superscript"/>
        <sz val="12"/>
        <rFont val="Arial"/>
        <family val="2"/>
      </rPr>
      <t xml:space="preserve">n </t>
    </r>
    <r>
      <rPr>
        <b/>
        <sz val="12"/>
        <rFont val="Arial"/>
        <family val="2"/>
      </rPr>
      <t>*r) / ((1+r)</t>
    </r>
    <r>
      <rPr>
        <b/>
        <vertAlign val="superscript"/>
        <sz val="12"/>
        <rFont val="Arial"/>
        <family val="2"/>
      </rPr>
      <t>n</t>
    </r>
    <r>
      <rPr>
        <b/>
        <sz val="12"/>
        <rFont val="Arial"/>
        <family val="2"/>
      </rPr>
      <t>-1)</t>
    </r>
  </si>
  <si>
    <t>Råvarer</t>
  </si>
  <si>
    <t>Arbejdsløn</t>
  </si>
  <si>
    <t>Kontante kap.</t>
  </si>
  <si>
    <t>Markedsføring</t>
  </si>
  <si>
    <t>Øvrige eksterne</t>
  </si>
  <si>
    <t>Personale</t>
  </si>
  <si>
    <t>Budgetlægning 4.1</t>
  </si>
  <si>
    <t>Resultatopgørelse for 2005</t>
  </si>
  <si>
    <t xml:space="preserve">Balance </t>
  </si>
  <si>
    <t>4.2</t>
  </si>
  <si>
    <t>Likviditetsbudget 2005</t>
  </si>
  <si>
    <t>Inventar</t>
  </si>
  <si>
    <t xml:space="preserve">Råvarer </t>
  </si>
  <si>
    <t>VUF</t>
  </si>
  <si>
    <t>Færdigvarer</t>
  </si>
  <si>
    <t>Banklån</t>
  </si>
  <si>
    <t>KK</t>
  </si>
  <si>
    <t>off. Gæld</t>
  </si>
  <si>
    <t>Investeringer</t>
  </si>
  <si>
    <t>IB</t>
  </si>
  <si>
    <t>Rente omk</t>
  </si>
  <si>
    <t xml:space="preserve">Skat </t>
  </si>
  <si>
    <t>Færdig</t>
  </si>
  <si>
    <t>Samlet likviditets ændring</t>
  </si>
  <si>
    <t>Likvide primo</t>
  </si>
  <si>
    <t>Primo</t>
  </si>
  <si>
    <t>ultimo</t>
  </si>
  <si>
    <t>Tal til beregning</t>
  </si>
  <si>
    <t xml:space="preserve">Leverandører </t>
  </si>
  <si>
    <t>Varedebitorer, 60%</t>
  </si>
  <si>
    <t>Varedebitorer, 40%</t>
  </si>
  <si>
    <t>Likviditetsvirkningen fra driften</t>
  </si>
  <si>
    <t>4.3</t>
  </si>
  <si>
    <t>Man kunne forsøge at låne til mere end halvdelen af investeringen f.eks. 80% af investeringen på 3.000, det ville forøge likviditeten med 900</t>
  </si>
  <si>
    <t>Skatte tænkning kunne være en mulighed.</t>
  </si>
  <si>
    <t>Øge omsætningshastigheden på Råvarer/VUF</t>
  </si>
  <si>
    <t>Genforhandling med leverandør om længere kredittid.</t>
  </si>
  <si>
    <t>Likviditetsbudget</t>
  </si>
  <si>
    <t>Det forudsættes at de likvide midler er 0 og at de 177 er trukket på Kassekreditten.</t>
  </si>
  <si>
    <t>Gæld primo kk</t>
  </si>
  <si>
    <t>Gæld ultimo kk</t>
  </si>
  <si>
    <t>Afdrag</t>
  </si>
  <si>
    <t>Lån til investeringer</t>
  </si>
  <si>
    <t>Likvide ultimo</t>
  </si>
  <si>
    <t>Der er ikke regnet</t>
  </si>
  <si>
    <t>med moms.</t>
  </si>
</sst>
</file>

<file path=xl/styles.xml><?xml version="1.0" encoding="utf-8"?>
<styleSheet xmlns="http://schemas.openxmlformats.org/spreadsheetml/2006/main">
  <numFmts count="4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.000"/>
    <numFmt numFmtId="169" formatCode="0.000000"/>
    <numFmt numFmtId="170" formatCode="0.00000"/>
    <numFmt numFmtId="171" formatCode="0.0000"/>
    <numFmt numFmtId="172" formatCode="0.0000000"/>
    <numFmt numFmtId="173" formatCode="0.00000000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0.00_);\(0.00\)"/>
    <numFmt numFmtId="178" formatCode="0.0_);\(0.0\)"/>
    <numFmt numFmtId="179" formatCode="0_);\(0\)"/>
    <numFmt numFmtId="180" formatCode="0.0%"/>
    <numFmt numFmtId="181" formatCode="_(* #,##0.0_);_(* \(#,##0.0\);_(* &quot;-&quot;?_);_(@_)"/>
    <numFmt numFmtId="182" formatCode="0.000%"/>
    <numFmt numFmtId="183" formatCode="&quot;Ja&quot;;&quot;Ja&quot;;&quot;Nej&quot;"/>
    <numFmt numFmtId="184" formatCode="&quot;Sand&quot;;&quot;Sand&quot;;&quot;Falsk&quot;"/>
    <numFmt numFmtId="185" formatCode="&quot;Til&quot;;&quot;Til&quot;;&quot;Fra&quot;"/>
    <numFmt numFmtId="186" formatCode="[$-406]d\.\ mmmm\ yyyy"/>
    <numFmt numFmtId="187" formatCode="####"/>
    <numFmt numFmtId="188" formatCode="0.0000000000"/>
    <numFmt numFmtId="189" formatCode="0.000000000"/>
    <numFmt numFmtId="190" formatCode="&quot;kr&quot;\ #,##0.0_);[Red]\(&quot;kr&quot;\ #,##0.0\)"/>
    <numFmt numFmtId="191" formatCode="&quot;kr&quot;\ #,##0.000_);[Red]\(&quot;kr&quot;\ #,##0.000\)"/>
    <numFmt numFmtId="192" formatCode="&quot;kr&quot;\ #,##0.0000_);[Red]\(&quot;kr&quot;\ #,##0.0000\)"/>
    <numFmt numFmtId="193" formatCode="0.0000%"/>
    <numFmt numFmtId="194" formatCode="0.00000%"/>
    <numFmt numFmtId="195" formatCode="0.000000%"/>
  </numFmts>
  <fonts count="31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5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Arial"/>
      <family val="2"/>
    </font>
    <font>
      <sz val="12"/>
      <color indexed="8"/>
      <name val="Tahoma"/>
      <family val="2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9.75"/>
      <name val="Arial"/>
      <family val="0"/>
    </font>
    <font>
      <sz val="12"/>
      <name val="Tahoma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  <font>
      <sz val="14"/>
      <color indexed="13"/>
      <name val="Arial"/>
      <family val="2"/>
    </font>
    <font>
      <b/>
      <sz val="19.5"/>
      <name val="Arial"/>
      <family val="2"/>
    </font>
    <font>
      <sz val="16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29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166" fontId="3" fillId="0" borderId="1" xfId="15" applyNumberFormat="1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166" fontId="3" fillId="0" borderId="4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3" fillId="0" borderId="0" xfId="15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166" fontId="3" fillId="0" borderId="4" xfId="15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6" fontId="0" fillId="0" borderId="13" xfId="15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/>
    </xf>
    <xf numFmtId="166" fontId="0" fillId="0" borderId="1" xfId="15" applyNumberFormat="1" applyBorder="1" applyAlignment="1">
      <alignment horizontal="center"/>
    </xf>
    <xf numFmtId="166" fontId="0" fillId="0" borderId="13" xfId="0" applyNumberFormat="1" applyBorder="1" applyAlignment="1">
      <alignment/>
    </xf>
    <xf numFmtId="37" fontId="0" fillId="0" borderId="1" xfId="0" applyNumberFormat="1" applyBorder="1" applyAlignment="1">
      <alignment/>
    </xf>
    <xf numFmtId="166" fontId="0" fillId="0" borderId="13" xfId="15" applyNumberFormat="1" applyBorder="1" applyAlignment="1">
      <alignment horizontal="right"/>
    </xf>
    <xf numFmtId="166" fontId="0" fillId="0" borderId="13" xfId="15" applyNumberFormat="1" applyBorder="1" applyAlignment="1">
      <alignment/>
    </xf>
    <xf numFmtId="0" fontId="0" fillId="0" borderId="15" xfId="0" applyBorder="1" applyAlignment="1">
      <alignment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1" fontId="0" fillId="0" borderId="13" xfId="15" applyNumberFormat="1" applyBorder="1" applyAlignment="1">
      <alignment/>
    </xf>
    <xf numFmtId="1" fontId="0" fillId="0" borderId="13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1" fontId="0" fillId="0" borderId="13" xfId="0" applyNumberFormat="1" applyBorder="1" applyAlignment="1">
      <alignment horizontal="left"/>
    </xf>
    <xf numFmtId="166" fontId="0" fillId="0" borderId="13" xfId="0" applyNumberFormat="1" applyBorder="1" applyAlignment="1">
      <alignment/>
    </xf>
    <xf numFmtId="166" fontId="0" fillId="0" borderId="1" xfId="15" applyNumberFormat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0" borderId="3" xfId="0" applyFill="1" applyBorder="1" applyAlignment="1">
      <alignment/>
    </xf>
    <xf numFmtId="166" fontId="0" fillId="0" borderId="3" xfId="15" applyNumberFormat="1" applyFill="1" applyBorder="1" applyAlignment="1">
      <alignment horizontal="left"/>
    </xf>
    <xf numFmtId="166" fontId="0" fillId="0" borderId="3" xfId="15" applyNumberFormat="1" applyFill="1" applyBorder="1" applyAlignment="1">
      <alignment/>
    </xf>
    <xf numFmtId="166" fontId="0" fillId="0" borderId="2" xfId="0" applyNumberFormat="1" applyBorder="1" applyAlignment="1">
      <alignment/>
    </xf>
    <xf numFmtId="167" fontId="0" fillId="0" borderId="1" xfId="0" applyNumberFormat="1" applyBorder="1" applyAlignment="1">
      <alignment/>
    </xf>
    <xf numFmtId="166" fontId="0" fillId="0" borderId="13" xfId="0" applyNumberFormat="1" applyBorder="1" applyAlignment="1">
      <alignment horizontal="right"/>
    </xf>
    <xf numFmtId="0" fontId="0" fillId="0" borderId="17" xfId="0" applyFill="1" applyBorder="1" applyAlignment="1">
      <alignment/>
    </xf>
    <xf numFmtId="167" fontId="0" fillId="0" borderId="1" xfId="0" applyNumberForma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43" fontId="0" fillId="0" borderId="0" xfId="15" applyBorder="1" applyAlignment="1">
      <alignment/>
    </xf>
    <xf numFmtId="43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0" fillId="4" borderId="22" xfId="0" applyFill="1" applyBorder="1" applyAlignment="1">
      <alignment/>
    </xf>
    <xf numFmtId="10" fontId="0" fillId="0" borderId="23" xfId="20" applyNumberFormat="1" applyBorder="1" applyAlignment="1">
      <alignment/>
    </xf>
    <xf numFmtId="0" fontId="0" fillId="0" borderId="24" xfId="0" applyBorder="1" applyAlignment="1">
      <alignment/>
    </xf>
    <xf numFmtId="2" fontId="0" fillId="0" borderId="23" xfId="0" applyNumberFormat="1" applyBorder="1" applyAlignment="1">
      <alignment/>
    </xf>
    <xf numFmtId="10" fontId="0" fillId="0" borderId="22" xfId="20" applyNumberFormat="1" applyBorder="1" applyAlignment="1">
      <alignment/>
    </xf>
    <xf numFmtId="0" fontId="0" fillId="0" borderId="22" xfId="0" applyBorder="1" applyAlignment="1">
      <alignment/>
    </xf>
    <xf numFmtId="0" fontId="0" fillId="3" borderId="25" xfId="0" applyFill="1" applyBorder="1" applyAlignment="1">
      <alignment/>
    </xf>
    <xf numFmtId="2" fontId="0" fillId="0" borderId="24" xfId="0" applyNumberFormat="1" applyBorder="1" applyAlignment="1">
      <alignment/>
    </xf>
    <xf numFmtId="166" fontId="0" fillId="0" borderId="23" xfId="15" applyNumberFormat="1" applyBorder="1" applyAlignment="1">
      <alignment/>
    </xf>
    <xf numFmtId="9" fontId="0" fillId="0" borderId="23" xfId="20" applyNumberFormat="1" applyBorder="1" applyAlignment="1">
      <alignment/>
    </xf>
    <xf numFmtId="0" fontId="0" fillId="0" borderId="25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22" xfId="0" applyNumberFormat="1" applyBorder="1" applyAlignment="1">
      <alignment/>
    </xf>
    <xf numFmtId="1" fontId="0" fillId="0" borderId="23" xfId="15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167" fontId="0" fillId="0" borderId="24" xfId="0" applyNumberFormat="1" applyBorder="1" applyAlignment="1">
      <alignment/>
    </xf>
    <xf numFmtId="167" fontId="0" fillId="0" borderId="23" xfId="0" applyNumberFormat="1" applyBorder="1" applyAlignment="1">
      <alignment/>
    </xf>
    <xf numFmtId="165" fontId="0" fillId="0" borderId="23" xfId="15" applyNumberFormat="1" applyBorder="1" applyAlignment="1">
      <alignment/>
    </xf>
    <xf numFmtId="43" fontId="0" fillId="0" borderId="23" xfId="15" applyBorder="1" applyAlignment="1">
      <alignment/>
    </xf>
    <xf numFmtId="43" fontId="0" fillId="0" borderId="23" xfId="0" applyNumberFormat="1" applyBorder="1" applyAlignment="1">
      <alignment/>
    </xf>
    <xf numFmtId="166" fontId="0" fillId="0" borderId="24" xfId="15" applyNumberFormat="1" applyBorder="1" applyAlignment="1">
      <alignment/>
    </xf>
    <xf numFmtId="43" fontId="0" fillId="0" borderId="23" xfId="15" applyNumberFormat="1" applyBorder="1" applyAlignment="1">
      <alignment/>
    </xf>
    <xf numFmtId="0" fontId="0" fillId="0" borderId="23" xfId="0" applyBorder="1" applyAlignment="1">
      <alignment/>
    </xf>
    <xf numFmtId="43" fontId="0" fillId="0" borderId="24" xfId="15" applyBorder="1" applyAlignment="1">
      <alignment horizontal="left" indent="4"/>
    </xf>
    <xf numFmtId="43" fontId="0" fillId="0" borderId="24" xfId="15" applyBorder="1" applyAlignment="1">
      <alignment/>
    </xf>
    <xf numFmtId="166" fontId="3" fillId="0" borderId="24" xfId="15" applyNumberFormat="1" applyFont="1" applyFill="1" applyBorder="1" applyAlignment="1">
      <alignment/>
    </xf>
    <xf numFmtId="166" fontId="0" fillId="0" borderId="22" xfId="15" applyNumberFormat="1" applyFill="1" applyBorder="1" applyAlignment="1">
      <alignment/>
    </xf>
    <xf numFmtId="166" fontId="7" fillId="0" borderId="25" xfId="15" applyNumberFormat="1" applyFont="1" applyFill="1" applyBorder="1" applyAlignment="1">
      <alignment/>
    </xf>
    <xf numFmtId="166" fontId="3" fillId="0" borderId="25" xfId="15" applyNumberFormat="1" applyFont="1" applyFill="1" applyBorder="1" applyAlignment="1">
      <alignment/>
    </xf>
    <xf numFmtId="166" fontId="0" fillId="0" borderId="22" xfId="15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166" fontId="3" fillId="0" borderId="26" xfId="0" applyNumberFormat="1" applyFont="1" applyFill="1" applyBorder="1" applyAlignment="1">
      <alignment/>
    </xf>
    <xf numFmtId="166" fontId="0" fillId="0" borderId="22" xfId="15" applyNumberFormat="1" applyBorder="1" applyAlignment="1">
      <alignment/>
    </xf>
    <xf numFmtId="166" fontId="0" fillId="0" borderId="0" xfId="15" applyNumberFormat="1" applyBorder="1" applyAlignment="1">
      <alignment/>
    </xf>
    <xf numFmtId="166" fontId="0" fillId="0" borderId="27" xfId="15" applyNumberFormat="1" applyBorder="1" applyAlignment="1">
      <alignment/>
    </xf>
    <xf numFmtId="0" fontId="3" fillId="2" borderId="2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29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166" fontId="3" fillId="0" borderId="26" xfId="15" applyNumberFormat="1" applyFont="1" applyFill="1" applyBorder="1" applyAlignment="1">
      <alignment/>
    </xf>
    <xf numFmtId="166" fontId="3" fillId="0" borderId="22" xfId="15" applyNumberFormat="1" applyFont="1" applyFill="1" applyBorder="1" applyAlignment="1">
      <alignment/>
    </xf>
    <xf numFmtId="166" fontId="0" fillId="0" borderId="22" xfId="15" applyNumberFormat="1" applyFont="1" applyFill="1" applyBorder="1" applyAlignment="1">
      <alignment/>
    </xf>
    <xf numFmtId="166" fontId="0" fillId="0" borderId="25" xfId="15" applyNumberFormat="1" applyFill="1" applyBorder="1" applyAlignment="1">
      <alignment/>
    </xf>
    <xf numFmtId="0" fontId="0" fillId="2" borderId="30" xfId="0" applyFill="1" applyBorder="1" applyAlignment="1">
      <alignment/>
    </xf>
    <xf numFmtId="0" fontId="3" fillId="0" borderId="3" xfId="0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3" fillId="0" borderId="25" xfId="0" applyFont="1" applyBorder="1" applyAlignment="1">
      <alignment/>
    </xf>
    <xf numFmtId="166" fontId="0" fillId="0" borderId="25" xfId="15" applyNumberFormat="1" applyBorder="1" applyAlignment="1">
      <alignment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23" xfId="0" applyFont="1" applyBorder="1" applyAlignment="1">
      <alignment/>
    </xf>
    <xf numFmtId="166" fontId="3" fillId="0" borderId="23" xfId="15" applyNumberFormat="1" applyFont="1" applyBorder="1" applyAlignment="1">
      <alignment/>
    </xf>
    <xf numFmtId="166" fontId="0" fillId="0" borderId="31" xfId="15" applyNumberFormat="1" applyBorder="1" applyAlignment="1">
      <alignment/>
    </xf>
    <xf numFmtId="166" fontId="0" fillId="0" borderId="32" xfId="15" applyNumberFormat="1" applyBorder="1" applyAlignment="1">
      <alignment/>
    </xf>
    <xf numFmtId="166" fontId="3" fillId="0" borderId="32" xfId="15" applyNumberFormat="1" applyFont="1" applyFill="1" applyBorder="1" applyAlignment="1">
      <alignment/>
    </xf>
    <xf numFmtId="166" fontId="0" fillId="0" borderId="31" xfId="15" applyNumberFormat="1" applyFill="1" applyBorder="1" applyAlignment="1">
      <alignment/>
    </xf>
    <xf numFmtId="166" fontId="7" fillId="0" borderId="33" xfId="15" applyNumberFormat="1" applyFont="1" applyFill="1" applyBorder="1" applyAlignment="1">
      <alignment/>
    </xf>
    <xf numFmtId="166" fontId="3" fillId="0" borderId="33" xfId="15" applyNumberFormat="1" applyFont="1" applyFill="1" applyBorder="1" applyAlignment="1">
      <alignment/>
    </xf>
    <xf numFmtId="0" fontId="0" fillId="0" borderId="31" xfId="0" applyFill="1" applyBorder="1" applyAlignment="1">
      <alignment/>
    </xf>
    <xf numFmtId="166" fontId="3" fillId="0" borderId="34" xfId="0" applyNumberFormat="1" applyFont="1" applyFill="1" applyBorder="1" applyAlignment="1">
      <alignment/>
    </xf>
    <xf numFmtId="0" fontId="0" fillId="2" borderId="35" xfId="0" applyFill="1" applyBorder="1" applyAlignment="1">
      <alignment/>
    </xf>
    <xf numFmtId="166" fontId="3" fillId="0" borderId="34" xfId="15" applyNumberFormat="1" applyFont="1" applyFill="1" applyBorder="1" applyAlignment="1">
      <alignment/>
    </xf>
    <xf numFmtId="166" fontId="3" fillId="0" borderId="31" xfId="15" applyNumberFormat="1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166" fontId="0" fillId="0" borderId="33" xfId="15" applyNumberFormat="1" applyFill="1" applyBorder="1" applyAlignment="1">
      <alignment/>
    </xf>
    <xf numFmtId="0" fontId="1" fillId="4" borderId="6" xfId="0" applyFont="1" applyFill="1" applyBorder="1" applyAlignment="1">
      <alignment/>
    </xf>
    <xf numFmtId="0" fontId="0" fillId="4" borderId="31" xfId="0" applyFill="1" applyBorder="1" applyAlignment="1">
      <alignment/>
    </xf>
    <xf numFmtId="0" fontId="0" fillId="0" borderId="36" xfId="0" applyBorder="1" applyAlignment="1">
      <alignment/>
    </xf>
    <xf numFmtId="10" fontId="0" fillId="0" borderId="37" xfId="20" applyNumberFormat="1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2" fontId="0" fillId="0" borderId="37" xfId="0" applyNumberFormat="1" applyBorder="1" applyAlignment="1">
      <alignment/>
    </xf>
    <xf numFmtId="10" fontId="0" fillId="0" borderId="31" xfId="20" applyNumberFormat="1" applyBorder="1" applyAlignment="1">
      <alignment/>
    </xf>
    <xf numFmtId="0" fontId="0" fillId="0" borderId="31" xfId="0" applyBorder="1" applyAlignment="1">
      <alignment/>
    </xf>
    <xf numFmtId="0" fontId="1" fillId="3" borderId="10" xfId="0" applyFont="1" applyFill="1" applyBorder="1" applyAlignment="1">
      <alignment/>
    </xf>
    <xf numFmtId="0" fontId="0" fillId="3" borderId="33" xfId="0" applyFill="1" applyBorder="1" applyAlignment="1">
      <alignment/>
    </xf>
    <xf numFmtId="2" fontId="0" fillId="0" borderId="32" xfId="0" applyNumberFormat="1" applyBorder="1" applyAlignment="1">
      <alignment/>
    </xf>
    <xf numFmtId="166" fontId="0" fillId="0" borderId="37" xfId="15" applyNumberFormat="1" applyBorder="1" applyAlignment="1">
      <alignment/>
    </xf>
    <xf numFmtId="9" fontId="0" fillId="0" borderId="37" xfId="20" applyNumberFormat="1" applyBorder="1" applyAlignment="1">
      <alignment/>
    </xf>
    <xf numFmtId="0" fontId="3" fillId="0" borderId="10" xfId="0" applyFont="1" applyBorder="1" applyAlignment="1">
      <alignment/>
    </xf>
    <xf numFmtId="0" fontId="3" fillId="0" borderId="33" xfId="0" applyFont="1" applyBorder="1" applyAlignment="1">
      <alignment/>
    </xf>
    <xf numFmtId="1" fontId="0" fillId="0" borderId="37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0" fillId="0" borderId="10" xfId="0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7" xfId="15" applyNumberFormat="1" applyBorder="1" applyAlignment="1">
      <alignment horizontal="right"/>
    </xf>
    <xf numFmtId="167" fontId="0" fillId="0" borderId="31" xfId="0" applyNumberFormat="1" applyBorder="1" applyAlignment="1">
      <alignment/>
    </xf>
    <xf numFmtId="167" fontId="0" fillId="0" borderId="32" xfId="0" applyNumberFormat="1" applyBorder="1" applyAlignment="1">
      <alignment/>
    </xf>
    <xf numFmtId="0" fontId="0" fillId="0" borderId="36" xfId="0" applyFill="1" applyBorder="1" applyAlignment="1">
      <alignment/>
    </xf>
    <xf numFmtId="167" fontId="0" fillId="0" borderId="37" xfId="0" applyNumberFormat="1" applyBorder="1" applyAlignment="1">
      <alignment/>
    </xf>
    <xf numFmtId="0" fontId="3" fillId="0" borderId="6" xfId="0" applyFont="1" applyBorder="1" applyAlignment="1">
      <alignment/>
    </xf>
    <xf numFmtId="0" fontId="0" fillId="0" borderId="38" xfId="0" applyFill="1" applyBorder="1" applyAlignment="1">
      <alignment/>
    </xf>
    <xf numFmtId="165" fontId="0" fillId="0" borderId="37" xfId="15" applyNumberFormat="1" applyBorder="1" applyAlignment="1">
      <alignment/>
    </xf>
    <xf numFmtId="43" fontId="0" fillId="0" borderId="37" xfId="15" applyBorder="1" applyAlignment="1">
      <alignment/>
    </xf>
    <xf numFmtId="43" fontId="0" fillId="0" borderId="37" xfId="0" applyNumberFormat="1" applyBorder="1" applyAlignment="1">
      <alignment/>
    </xf>
    <xf numFmtId="43" fontId="0" fillId="0" borderId="37" xfId="15" applyNumberFormat="1" applyBorder="1" applyAlignment="1">
      <alignment/>
    </xf>
    <xf numFmtId="0" fontId="3" fillId="0" borderId="36" xfId="0" applyFont="1" applyBorder="1" applyAlignment="1">
      <alignment/>
    </xf>
    <xf numFmtId="166" fontId="3" fillId="0" borderId="39" xfId="15" applyNumberFormat="1" applyFont="1" applyBorder="1" applyAlignment="1">
      <alignment/>
    </xf>
    <xf numFmtId="166" fontId="0" fillId="0" borderId="39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40" xfId="15" applyNumberForma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66" fontId="0" fillId="0" borderId="42" xfId="15" applyNumberFormat="1" applyBorder="1" applyAlignment="1">
      <alignment/>
    </xf>
    <xf numFmtId="166" fontId="0" fillId="0" borderId="43" xfId="15" applyNumberFormat="1" applyBorder="1" applyAlignment="1">
      <alignment/>
    </xf>
    <xf numFmtId="0" fontId="9" fillId="0" borderId="18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0" fillId="0" borderId="45" xfId="0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5" borderId="5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5" borderId="18" xfId="0" applyFill="1" applyBorder="1" applyAlignment="1">
      <alignment/>
    </xf>
    <xf numFmtId="0" fontId="1" fillId="5" borderId="48" xfId="0" applyFont="1" applyFill="1" applyBorder="1" applyAlignment="1">
      <alignment/>
    </xf>
    <xf numFmtId="0" fontId="1" fillId="5" borderId="49" xfId="0" applyFont="1" applyFill="1" applyBorder="1" applyAlignment="1">
      <alignment/>
    </xf>
    <xf numFmtId="1" fontId="0" fillId="0" borderId="42" xfId="0" applyNumberFormat="1" applyBorder="1" applyAlignment="1">
      <alignment/>
    </xf>
    <xf numFmtId="1" fontId="0" fillId="0" borderId="50" xfId="0" applyNumberFormat="1" applyBorder="1" applyAlignment="1">
      <alignment/>
    </xf>
    <xf numFmtId="0" fontId="1" fillId="0" borderId="5" xfId="0" applyFont="1" applyBorder="1" applyAlignment="1">
      <alignment/>
    </xf>
    <xf numFmtId="0" fontId="0" fillId="0" borderId="51" xfId="0" applyFill="1" applyBorder="1" applyAlignment="1">
      <alignment/>
    </xf>
    <xf numFmtId="9" fontId="0" fillId="0" borderId="15" xfId="20" applyBorder="1" applyAlignment="1">
      <alignment/>
    </xf>
    <xf numFmtId="9" fontId="0" fillId="0" borderId="16" xfId="20" applyBorder="1" applyAlignment="1">
      <alignment/>
    </xf>
    <xf numFmtId="9" fontId="0" fillId="0" borderId="14" xfId="20" applyBorder="1" applyAlignment="1">
      <alignment/>
    </xf>
    <xf numFmtId="0" fontId="0" fillId="0" borderId="52" xfId="0" applyFill="1" applyBorder="1" applyAlignment="1">
      <alignment/>
    </xf>
    <xf numFmtId="0" fontId="3" fillId="2" borderId="53" xfId="0" applyFont="1" applyFill="1" applyBorder="1" applyAlignment="1">
      <alignment horizontal="center"/>
    </xf>
    <xf numFmtId="166" fontId="0" fillId="0" borderId="54" xfId="15" applyNumberFormat="1" applyBorder="1" applyAlignment="1">
      <alignment/>
    </xf>
    <xf numFmtId="166" fontId="0" fillId="0" borderId="55" xfId="15" applyNumberFormat="1" applyBorder="1" applyAlignment="1">
      <alignment/>
    </xf>
    <xf numFmtId="0" fontId="0" fillId="0" borderId="52" xfId="0" applyBorder="1" applyAlignment="1">
      <alignment/>
    </xf>
    <xf numFmtId="9" fontId="0" fillId="0" borderId="54" xfId="20" applyBorder="1" applyAlignment="1">
      <alignment/>
    </xf>
    <xf numFmtId="9" fontId="0" fillId="0" borderId="55" xfId="20" applyBorder="1" applyAlignment="1">
      <alignment/>
    </xf>
    <xf numFmtId="166" fontId="0" fillId="0" borderId="56" xfId="15" applyNumberFormat="1" applyBorder="1" applyAlignment="1">
      <alignment/>
    </xf>
    <xf numFmtId="9" fontId="0" fillId="0" borderId="56" xfId="20" applyBorder="1" applyAlignment="1">
      <alignment/>
    </xf>
    <xf numFmtId="9" fontId="0" fillId="0" borderId="0" xfId="20" applyBorder="1" applyAlignment="1">
      <alignment/>
    </xf>
    <xf numFmtId="166" fontId="0" fillId="0" borderId="56" xfId="15" applyNumberFormat="1" applyFill="1" applyBorder="1" applyAlignment="1">
      <alignment/>
    </xf>
    <xf numFmtId="0" fontId="0" fillId="2" borderId="57" xfId="0" applyFill="1" applyBorder="1" applyAlignment="1">
      <alignment horizontal="center"/>
    </xf>
    <xf numFmtId="166" fontId="0" fillId="0" borderId="54" xfId="15" applyNumberFormat="1" applyFill="1" applyBorder="1" applyAlignment="1">
      <alignment/>
    </xf>
    <xf numFmtId="166" fontId="0" fillId="0" borderId="55" xfId="15" applyNumberFormat="1" applyFill="1" applyBorder="1" applyAlignment="1">
      <alignment/>
    </xf>
    <xf numFmtId="0" fontId="3" fillId="0" borderId="44" xfId="0" applyFont="1" applyFill="1" applyBorder="1" applyAlignment="1">
      <alignment/>
    </xf>
    <xf numFmtId="0" fontId="3" fillId="0" borderId="45" xfId="0" applyFont="1" applyFill="1" applyBorder="1" applyAlignment="1">
      <alignment/>
    </xf>
    <xf numFmtId="166" fontId="3" fillId="0" borderId="46" xfId="15" applyNumberFormat="1" applyFont="1" applyFill="1" applyBorder="1" applyAlignment="1">
      <alignment/>
    </xf>
    <xf numFmtId="166" fontId="3" fillId="0" borderId="45" xfId="15" applyNumberFormat="1" applyFont="1" applyFill="1" applyBorder="1" applyAlignment="1">
      <alignment/>
    </xf>
    <xf numFmtId="166" fontId="3" fillId="0" borderId="47" xfId="15" applyNumberFormat="1" applyFont="1" applyFill="1" applyBorder="1" applyAlignment="1">
      <alignment/>
    </xf>
    <xf numFmtId="166" fontId="0" fillId="0" borderId="58" xfId="15" applyNumberFormat="1" applyFill="1" applyBorder="1" applyAlignment="1">
      <alignment/>
    </xf>
    <xf numFmtId="9" fontId="0" fillId="0" borderId="58" xfId="20" applyBorder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80" fontId="18" fillId="0" borderId="0" xfId="0" applyNumberFormat="1" applyFont="1" applyAlignment="1">
      <alignment horizontal="center"/>
    </xf>
    <xf numFmtId="9" fontId="18" fillId="0" borderId="0" xfId="20" applyFont="1" applyAlignment="1">
      <alignment horizontal="left"/>
    </xf>
    <xf numFmtId="9" fontId="18" fillId="0" borderId="0" xfId="20" applyFont="1" applyAlignment="1">
      <alignment/>
    </xf>
    <xf numFmtId="180" fontId="18" fillId="0" borderId="0" xfId="0" applyNumberFormat="1" applyFont="1" applyAlignment="1">
      <alignment/>
    </xf>
    <xf numFmtId="167" fontId="18" fillId="0" borderId="0" xfId="20" applyNumberFormat="1" applyFont="1" applyAlignment="1">
      <alignment/>
    </xf>
    <xf numFmtId="167" fontId="18" fillId="0" borderId="0" xfId="0" applyNumberFormat="1" applyFont="1" applyAlignment="1">
      <alignment/>
    </xf>
    <xf numFmtId="0" fontId="0" fillId="0" borderId="0" xfId="0" applyFill="1" applyBorder="1" applyAlignment="1">
      <alignment horizontal="center"/>
    </xf>
    <xf numFmtId="43" fontId="0" fillId="0" borderId="22" xfId="15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9" xfId="0" applyBorder="1" applyAlignment="1">
      <alignment/>
    </xf>
    <xf numFmtId="10" fontId="0" fillId="0" borderId="12" xfId="0" applyNumberFormat="1" applyBorder="1" applyAlignment="1">
      <alignment/>
    </xf>
    <xf numFmtId="10" fontId="0" fillId="0" borderId="12" xfId="20" applyNumberFormat="1" applyBorder="1" applyAlignment="1">
      <alignment/>
    </xf>
    <xf numFmtId="10" fontId="0" fillId="0" borderId="23" xfId="15" applyNumberFormat="1" applyBorder="1" applyAlignment="1">
      <alignment/>
    </xf>
    <xf numFmtId="0" fontId="1" fillId="0" borderId="58" xfId="0" applyFont="1" applyFill="1" applyBorder="1" applyAlignment="1">
      <alignment/>
    </xf>
    <xf numFmtId="0" fontId="0" fillId="4" borderId="54" xfId="0" applyFill="1" applyBorder="1" applyAlignment="1">
      <alignment/>
    </xf>
    <xf numFmtId="180" fontId="0" fillId="0" borderId="60" xfId="20" applyNumberFormat="1" applyBorder="1" applyAlignment="1">
      <alignment/>
    </xf>
    <xf numFmtId="180" fontId="0" fillId="0" borderId="61" xfId="20" applyNumberFormat="1" applyBorder="1" applyAlignment="1">
      <alignment/>
    </xf>
    <xf numFmtId="180" fontId="0" fillId="3" borderId="55" xfId="20" applyNumberFormat="1" applyFill="1" applyBorder="1" applyAlignment="1">
      <alignment/>
    </xf>
    <xf numFmtId="180" fontId="0" fillId="0" borderId="55" xfId="20" applyNumberFormat="1" applyBorder="1" applyAlignment="1">
      <alignment/>
    </xf>
    <xf numFmtId="180" fontId="0" fillId="0" borderId="62" xfId="20" applyNumberFormat="1" applyBorder="1" applyAlignment="1">
      <alignment/>
    </xf>
    <xf numFmtId="180" fontId="0" fillId="5" borderId="58" xfId="20" applyNumberFormat="1" applyFill="1" applyBorder="1" applyAlignment="1">
      <alignment/>
    </xf>
    <xf numFmtId="180" fontId="0" fillId="0" borderId="54" xfId="20" applyNumberFormat="1" applyBorder="1" applyAlignment="1">
      <alignment/>
    </xf>
    <xf numFmtId="10" fontId="0" fillId="0" borderId="37" xfId="15" applyNumberFormat="1" applyBorder="1" applyAlignment="1">
      <alignment/>
    </xf>
    <xf numFmtId="0" fontId="16" fillId="6" borderId="63" xfId="0" applyFont="1" applyFill="1" applyBorder="1" applyAlignment="1">
      <alignment/>
    </xf>
    <xf numFmtId="0" fontId="0" fillId="6" borderId="3" xfId="0" applyFill="1" applyBorder="1" applyAlignment="1">
      <alignment/>
    </xf>
    <xf numFmtId="0" fontId="0" fillId="6" borderId="3" xfId="0" applyFill="1" applyBorder="1" applyAlignment="1">
      <alignment horizontal="center"/>
    </xf>
    <xf numFmtId="43" fontId="0" fillId="6" borderId="25" xfId="15" applyFill="1" applyBorder="1" applyAlignment="1">
      <alignment/>
    </xf>
    <xf numFmtId="0" fontId="0" fillId="6" borderId="25" xfId="0" applyFill="1" applyBorder="1" applyAlignment="1">
      <alignment/>
    </xf>
    <xf numFmtId="0" fontId="0" fillId="6" borderId="33" xfId="0" applyFill="1" applyBorder="1" applyAlignment="1">
      <alignment/>
    </xf>
    <xf numFmtId="180" fontId="0" fillId="6" borderId="64" xfId="20" applyNumberFormat="1" applyFill="1" applyBorder="1" applyAlignment="1">
      <alignment/>
    </xf>
    <xf numFmtId="167" fontId="18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/>
    </xf>
    <xf numFmtId="9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66" fontId="18" fillId="0" borderId="0" xfId="15" applyNumberFormat="1" applyFont="1" applyAlignment="1">
      <alignment/>
    </xf>
    <xf numFmtId="0" fontId="22" fillId="0" borderId="0" xfId="0" applyFont="1" applyAlignment="1">
      <alignment/>
    </xf>
    <xf numFmtId="180" fontId="18" fillId="0" borderId="0" xfId="0" applyNumberFormat="1" applyFont="1" applyFill="1" applyAlignment="1">
      <alignment horizontal="center"/>
    </xf>
    <xf numFmtId="180" fontId="18" fillId="0" borderId="0" xfId="0" applyNumberFormat="1" applyFont="1" applyFill="1" applyAlignment="1">
      <alignment/>
    </xf>
    <xf numFmtId="180" fontId="18" fillId="0" borderId="0" xfId="20" applyNumberFormat="1" applyFont="1" applyFill="1" applyAlignment="1">
      <alignment horizontal="left"/>
    </xf>
    <xf numFmtId="9" fontId="18" fillId="0" borderId="0" xfId="0" applyNumberFormat="1" applyFont="1" applyFill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/>
    </xf>
    <xf numFmtId="166" fontId="0" fillId="0" borderId="31" xfId="15" applyNumberFormat="1" applyFont="1" applyFill="1" applyBorder="1" applyAlignment="1">
      <alignment/>
    </xf>
    <xf numFmtId="0" fontId="0" fillId="7" borderId="0" xfId="0" applyFill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/>
    </xf>
    <xf numFmtId="168" fontId="0" fillId="7" borderId="18" xfId="0" applyNumberFormat="1" applyFill="1" applyBorder="1" applyAlignment="1">
      <alignment/>
    </xf>
    <xf numFmtId="166" fontId="0" fillId="7" borderId="18" xfId="15" applyNumberFormat="1" applyFill="1" applyBorder="1" applyAlignment="1">
      <alignment/>
    </xf>
    <xf numFmtId="0" fontId="19" fillId="7" borderId="18" xfId="0" applyFont="1" applyFill="1" applyBorder="1" applyAlignment="1">
      <alignment horizontal="right"/>
    </xf>
    <xf numFmtId="0" fontId="0" fillId="7" borderId="18" xfId="0" applyFill="1" applyBorder="1" applyAlignment="1">
      <alignment/>
    </xf>
    <xf numFmtId="0" fontId="0" fillId="7" borderId="18" xfId="0" applyFont="1" applyFill="1" applyBorder="1" applyAlignment="1">
      <alignment/>
    </xf>
    <xf numFmtId="0" fontId="3" fillId="0" borderId="18" xfId="0" applyFont="1" applyBorder="1" applyAlignment="1">
      <alignment/>
    </xf>
    <xf numFmtId="166" fontId="0" fillId="0" borderId="18" xfId="15" applyNumberFormat="1" applyBorder="1" applyAlignment="1">
      <alignment/>
    </xf>
    <xf numFmtId="0" fontId="23" fillId="0" borderId="18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3" fillId="0" borderId="0" xfId="0" applyFont="1" applyBorder="1" applyAlignment="1">
      <alignment/>
    </xf>
    <xf numFmtId="0" fontId="0" fillId="7" borderId="0" xfId="0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4" fillId="7" borderId="0" xfId="0" applyFont="1" applyFill="1" applyBorder="1" applyAlignment="1">
      <alignment horizontal="left" vertical="top"/>
    </xf>
    <xf numFmtId="0" fontId="23" fillId="7" borderId="0" xfId="0" applyFont="1" applyFill="1" applyBorder="1" applyAlignment="1">
      <alignment vertical="top"/>
    </xf>
    <xf numFmtId="0" fontId="19" fillId="7" borderId="0" xfId="0" applyFont="1" applyFill="1" applyBorder="1" applyAlignment="1">
      <alignment/>
    </xf>
    <xf numFmtId="166" fontId="0" fillId="0" borderId="0" xfId="0" applyNumberFormat="1" applyBorder="1" applyAlignment="1">
      <alignment/>
    </xf>
    <xf numFmtId="0" fontId="24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9" fillId="0" borderId="0" xfId="0" applyFont="1" applyBorder="1" applyAlignment="1">
      <alignment/>
    </xf>
    <xf numFmtId="166" fontId="0" fillId="0" borderId="27" xfId="15" applyNumberFormat="1" applyBorder="1" applyAlignment="1">
      <alignment/>
    </xf>
    <xf numFmtId="0" fontId="19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29" xfId="0" applyBorder="1" applyAlignment="1">
      <alignment/>
    </xf>
    <xf numFmtId="0" fontId="3" fillId="0" borderId="28" xfId="0" applyFont="1" applyBorder="1" applyAlignment="1">
      <alignment/>
    </xf>
    <xf numFmtId="0" fontId="3" fillId="0" borderId="2" xfId="0" applyFont="1" applyBorder="1" applyAlignment="1">
      <alignment/>
    </xf>
    <xf numFmtId="0" fontId="19" fillId="0" borderId="2" xfId="0" applyFont="1" applyBorder="1" applyAlignment="1">
      <alignment horizontal="center"/>
    </xf>
    <xf numFmtId="0" fontId="2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0" fillId="7" borderId="0" xfId="15" applyNumberFormat="1" applyFill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0" xfId="0" applyFont="1" applyBorder="1" applyAlignment="1">
      <alignment horizontal="center"/>
    </xf>
    <xf numFmtId="0" fontId="3" fillId="0" borderId="65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166" fontId="0" fillId="0" borderId="0" xfId="15" applyNumberForma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3" xfId="0" applyNumberFormat="1" applyFont="1" applyBorder="1" applyAlignment="1">
      <alignment/>
    </xf>
    <xf numFmtId="166" fontId="0" fillId="0" borderId="4" xfId="0" applyNumberFormat="1" applyBorder="1" applyAlignment="1">
      <alignment/>
    </xf>
    <xf numFmtId="2" fontId="0" fillId="0" borderId="0" xfId="20" applyNumberFormat="1" applyAlignment="1">
      <alignment/>
    </xf>
    <xf numFmtId="0" fontId="3" fillId="0" borderId="30" xfId="0" applyFont="1" applyBorder="1" applyAlignment="1">
      <alignment/>
    </xf>
    <xf numFmtId="0" fontId="3" fillId="0" borderId="35" xfId="0" applyFont="1" applyBorder="1" applyAlignment="1">
      <alignment horizontal="center"/>
    </xf>
    <xf numFmtId="166" fontId="0" fillId="0" borderId="24" xfId="15" applyNumberFormat="1" applyBorder="1" applyAlignment="1">
      <alignment/>
    </xf>
    <xf numFmtId="166" fontId="0" fillId="0" borderId="24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32" xfId="0" applyNumberFormat="1" applyBorder="1" applyAlignment="1">
      <alignment/>
    </xf>
    <xf numFmtId="166" fontId="0" fillId="0" borderId="25" xfId="15" applyNumberFormat="1" applyBorder="1" applyAlignment="1">
      <alignment/>
    </xf>
    <xf numFmtId="166" fontId="0" fillId="0" borderId="25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33" xfId="0" applyNumberFormat="1" applyBorder="1" applyAlignment="1">
      <alignment/>
    </xf>
    <xf numFmtId="166" fontId="0" fillId="0" borderId="25" xfId="15" applyNumberFormat="1" applyFill="1" applyBorder="1" applyAlignment="1">
      <alignment/>
    </xf>
    <xf numFmtId="166" fontId="0" fillId="0" borderId="25" xfId="0" applyNumberFormat="1" applyFill="1" applyBorder="1" applyAlignment="1">
      <alignment/>
    </xf>
    <xf numFmtId="43" fontId="0" fillId="0" borderId="25" xfId="0" applyNumberFormat="1" applyFill="1" applyBorder="1" applyAlignment="1">
      <alignment/>
    </xf>
    <xf numFmtId="43" fontId="0" fillId="0" borderId="33" xfId="0" applyNumberFormat="1" applyFill="1" applyBorder="1" applyAlignment="1">
      <alignment/>
    </xf>
    <xf numFmtId="166" fontId="0" fillId="0" borderId="42" xfId="15" applyNumberFormat="1" applyBorder="1" applyAlignment="1">
      <alignment/>
    </xf>
    <xf numFmtId="166" fontId="0" fillId="0" borderId="42" xfId="0" applyNumberFormat="1" applyBorder="1" applyAlignment="1">
      <alignment/>
    </xf>
    <xf numFmtId="43" fontId="0" fillId="0" borderId="42" xfId="0" applyNumberFormat="1" applyBorder="1" applyAlignment="1">
      <alignment/>
    </xf>
    <xf numFmtId="43" fontId="0" fillId="0" borderId="50" xfId="0" applyNumberFormat="1" applyBorder="1" applyAlignment="1">
      <alignment/>
    </xf>
    <xf numFmtId="0" fontId="25" fillId="0" borderId="0" xfId="0" applyFont="1" applyAlignment="1">
      <alignment/>
    </xf>
    <xf numFmtId="0" fontId="1" fillId="0" borderId="19" xfId="0" applyFont="1" applyBorder="1" applyAlignment="1">
      <alignment/>
    </xf>
    <xf numFmtId="0" fontId="1" fillId="0" borderId="5" xfId="0" applyNumberFormat="1" applyFont="1" applyBorder="1" applyAlignment="1">
      <alignment/>
    </xf>
    <xf numFmtId="0" fontId="18" fillId="0" borderId="64" xfId="0" applyFont="1" applyBorder="1" applyAlignment="1">
      <alignment/>
    </xf>
    <xf numFmtId="0" fontId="18" fillId="0" borderId="33" xfId="0" applyFont="1" applyBorder="1" applyAlignment="1">
      <alignment/>
    </xf>
    <xf numFmtId="1" fontId="18" fillId="0" borderId="64" xfId="15" applyNumberFormat="1" applyFont="1" applyBorder="1" applyAlignment="1">
      <alignment/>
    </xf>
    <xf numFmtId="1" fontId="18" fillId="0" borderId="33" xfId="15" applyNumberFormat="1" applyFont="1" applyBorder="1" applyAlignment="1">
      <alignment/>
    </xf>
    <xf numFmtId="1" fontId="18" fillId="0" borderId="66" xfId="15" applyNumberFormat="1" applyFont="1" applyBorder="1" applyAlignment="1">
      <alignment/>
    </xf>
    <xf numFmtId="1" fontId="18" fillId="0" borderId="50" xfId="15" applyNumberFormat="1" applyFont="1" applyBorder="1" applyAlignment="1">
      <alignment/>
    </xf>
    <xf numFmtId="0" fontId="2" fillId="0" borderId="0" xfId="0" applyFont="1" applyAlignment="1">
      <alignment/>
    </xf>
    <xf numFmtId="0" fontId="18" fillId="5" borderId="0" xfId="0" applyFont="1" applyFill="1" applyAlignment="1">
      <alignment horizontal="left" indent="1"/>
    </xf>
    <xf numFmtId="10" fontId="18" fillId="5" borderId="0" xfId="0" applyNumberFormat="1" applyFont="1" applyFill="1" applyAlignment="1">
      <alignment horizontal="left" indent="1"/>
    </xf>
    <xf numFmtId="0" fontId="1" fillId="0" borderId="57" xfId="0" applyFont="1" applyBorder="1" applyAlignment="1">
      <alignment wrapText="1"/>
    </xf>
    <xf numFmtId="0" fontId="1" fillId="5" borderId="51" xfId="0" applyFont="1" applyFill="1" applyBorder="1" applyAlignment="1">
      <alignment/>
    </xf>
    <xf numFmtId="0" fontId="1" fillId="5" borderId="57" xfId="0" applyFont="1" applyFill="1" applyBorder="1" applyAlignment="1">
      <alignment/>
    </xf>
    <xf numFmtId="0" fontId="1" fillId="0" borderId="9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16" fillId="0" borderId="52" xfId="0" applyFont="1" applyBorder="1" applyAlignment="1">
      <alignment/>
    </xf>
    <xf numFmtId="3" fontId="16" fillId="5" borderId="18" xfId="0" applyNumberFormat="1" applyFont="1" applyFill="1" applyBorder="1" applyAlignment="1">
      <alignment/>
    </xf>
    <xf numFmtId="3" fontId="16" fillId="5" borderId="52" xfId="0" applyNumberFormat="1" applyFont="1" applyFill="1" applyBorder="1" applyAlignment="1">
      <alignment/>
    </xf>
    <xf numFmtId="3" fontId="16" fillId="0" borderId="18" xfId="0" applyNumberFormat="1" applyFont="1" applyBorder="1" applyAlignment="1">
      <alignment/>
    </xf>
    <xf numFmtId="4" fontId="16" fillId="0" borderId="52" xfId="0" applyNumberFormat="1" applyFont="1" applyBorder="1" applyAlignment="1">
      <alignment/>
    </xf>
    <xf numFmtId="0" fontId="16" fillId="0" borderId="54" xfId="0" applyFont="1" applyBorder="1" applyAlignment="1">
      <alignment/>
    </xf>
    <xf numFmtId="3" fontId="16" fillId="5" borderId="0" xfId="0" applyNumberFormat="1" applyFont="1" applyFill="1" applyBorder="1" applyAlignment="1">
      <alignment/>
    </xf>
    <xf numFmtId="3" fontId="16" fillId="5" borderId="54" xfId="0" applyNumberFormat="1" applyFont="1" applyFill="1" applyBorder="1" applyAlignment="1">
      <alignment/>
    </xf>
    <xf numFmtId="3" fontId="16" fillId="0" borderId="0" xfId="0" applyNumberFormat="1" applyFont="1" applyBorder="1" applyAlignment="1">
      <alignment/>
    </xf>
    <xf numFmtId="4" fontId="16" fillId="0" borderId="54" xfId="0" applyNumberFormat="1" applyFont="1" applyBorder="1" applyAlignment="1">
      <alignment/>
    </xf>
    <xf numFmtId="9" fontId="0" fillId="0" borderId="0" xfId="0" applyNumberFormat="1" applyAlignment="1">
      <alignment/>
    </xf>
    <xf numFmtId="0" fontId="16" fillId="0" borderId="53" xfId="0" applyFont="1" applyBorder="1" applyAlignment="1">
      <alignment/>
    </xf>
    <xf numFmtId="3" fontId="16" fillId="5" borderId="2" xfId="0" applyNumberFormat="1" applyFont="1" applyFill="1" applyBorder="1" applyAlignment="1">
      <alignment/>
    </xf>
    <xf numFmtId="3" fontId="16" fillId="5" borderId="53" xfId="0" applyNumberFormat="1" applyFont="1" applyFill="1" applyBorder="1" applyAlignment="1">
      <alignment/>
    </xf>
    <xf numFmtId="3" fontId="16" fillId="0" borderId="2" xfId="0" applyNumberFormat="1" applyFont="1" applyBorder="1" applyAlignment="1">
      <alignment/>
    </xf>
    <xf numFmtId="4" fontId="16" fillId="0" borderId="53" xfId="0" applyNumberFormat="1" applyFont="1" applyBorder="1" applyAlignment="1">
      <alignment/>
    </xf>
    <xf numFmtId="0" fontId="16" fillId="7" borderId="28" xfId="0" applyFont="1" applyFill="1" applyBorder="1" applyAlignment="1">
      <alignment/>
    </xf>
    <xf numFmtId="0" fontId="16" fillId="7" borderId="2" xfId="0" applyFont="1" applyFill="1" applyBorder="1" applyAlignment="1">
      <alignment/>
    </xf>
    <xf numFmtId="40" fontId="16" fillId="7" borderId="29" xfId="0" applyNumberFormat="1" applyFont="1" applyFill="1" applyBorder="1" applyAlignment="1">
      <alignment/>
    </xf>
    <xf numFmtId="40" fontId="16" fillId="7" borderId="57" xfId="0" applyNumberFormat="1" applyFont="1" applyFill="1" applyBorder="1" applyAlignment="1">
      <alignment/>
    </xf>
    <xf numFmtId="0" fontId="16" fillId="7" borderId="6" xfId="0" applyFont="1" applyFill="1" applyBorder="1" applyAlignment="1">
      <alignment/>
    </xf>
    <xf numFmtId="0" fontId="27" fillId="7" borderId="0" xfId="0" applyFont="1" applyFill="1" applyBorder="1" applyAlignment="1">
      <alignment/>
    </xf>
    <xf numFmtId="4" fontId="16" fillId="7" borderId="27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16" fillId="7" borderId="8" xfId="0" applyFont="1" applyFill="1" applyBorder="1" applyAlignment="1">
      <alignment/>
    </xf>
    <xf numFmtId="0" fontId="16" fillId="7" borderId="9" xfId="0" applyFont="1" applyFill="1" applyBorder="1" applyAlignment="1">
      <alignment/>
    </xf>
    <xf numFmtId="10" fontId="16" fillId="7" borderId="51" xfId="0" applyNumberFormat="1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2" fontId="16" fillId="7" borderId="29" xfId="0" applyNumberFormat="1" applyFont="1" applyFill="1" applyBorder="1" applyAlignment="1">
      <alignment/>
    </xf>
    <xf numFmtId="2" fontId="16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18" fillId="0" borderId="5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29" fillId="0" borderId="6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7" xfId="0" applyFont="1" applyBorder="1" applyAlignment="1">
      <alignment/>
    </xf>
    <xf numFmtId="2" fontId="29" fillId="8" borderId="0" xfId="0" applyNumberFormat="1" applyFont="1" applyFill="1" applyBorder="1" applyAlignment="1">
      <alignment/>
    </xf>
    <xf numFmtId="2" fontId="29" fillId="2" borderId="27" xfId="0" applyNumberFormat="1" applyFont="1" applyFill="1" applyBorder="1" applyAlignment="1">
      <alignment/>
    </xf>
    <xf numFmtId="9" fontId="29" fillId="8" borderId="0" xfId="20" applyFont="1" applyFill="1" applyBorder="1" applyAlignment="1">
      <alignment/>
    </xf>
    <xf numFmtId="180" fontId="29" fillId="2" borderId="27" xfId="0" applyNumberFormat="1" applyFont="1" applyFill="1" applyBorder="1" applyAlignment="1">
      <alignment/>
    </xf>
    <xf numFmtId="4" fontId="29" fillId="8" borderId="0" xfId="0" applyNumberFormat="1" applyFont="1" applyFill="1" applyBorder="1" applyAlignment="1">
      <alignment/>
    </xf>
    <xf numFmtId="4" fontId="29" fillId="2" borderId="27" xfId="0" applyNumberFormat="1" applyFont="1" applyFill="1" applyBorder="1" applyAlignment="1">
      <alignment/>
    </xf>
    <xf numFmtId="0" fontId="29" fillId="0" borderId="28" xfId="0" applyFont="1" applyBorder="1" applyAlignment="1">
      <alignment/>
    </xf>
    <xf numFmtId="0" fontId="29" fillId="0" borderId="2" xfId="0" applyFont="1" applyBorder="1" applyAlignment="1">
      <alignment/>
    </xf>
    <xf numFmtId="4" fontId="29" fillId="8" borderId="2" xfId="0" applyNumberFormat="1" applyFont="1" applyFill="1" applyBorder="1" applyAlignment="1">
      <alignment/>
    </xf>
    <xf numFmtId="4" fontId="29" fillId="2" borderId="29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6" fillId="0" borderId="0" xfId="15" applyFont="1" applyAlignment="1">
      <alignment/>
    </xf>
    <xf numFmtId="0" fontId="16" fillId="0" borderId="0" xfId="0" applyFont="1" applyAlignment="1">
      <alignment/>
    </xf>
    <xf numFmtId="43" fontId="16" fillId="0" borderId="0" xfId="15" applyFont="1" applyAlignment="1">
      <alignment/>
    </xf>
    <xf numFmtId="43" fontId="16" fillId="0" borderId="4" xfId="15" applyFont="1" applyBorder="1" applyAlignment="1">
      <alignment/>
    </xf>
    <xf numFmtId="43" fontId="0" fillId="0" borderId="0" xfId="0" applyNumberFormat="1" applyAlignment="1">
      <alignment/>
    </xf>
    <xf numFmtId="166" fontId="0" fillId="0" borderId="22" xfId="15" applyNumberFormat="1" applyBorder="1" applyAlignment="1">
      <alignment/>
    </xf>
    <xf numFmtId="166" fontId="0" fillId="0" borderId="22" xfId="15" applyNumberForma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166" fontId="0" fillId="0" borderId="0" xfId="15" applyNumberFormat="1" applyFill="1" applyBorder="1" applyAlignment="1">
      <alignment/>
    </xf>
    <xf numFmtId="166" fontId="0" fillId="0" borderId="22" xfId="15" applyNumberFormat="1" applyFont="1" applyFill="1" applyBorder="1" applyAlignment="1">
      <alignment/>
    </xf>
    <xf numFmtId="166" fontId="0" fillId="0" borderId="3" xfId="15" applyNumberFormat="1" applyFill="1" applyBorder="1" applyAlignment="1">
      <alignment horizontal="left"/>
    </xf>
    <xf numFmtId="166" fontId="0" fillId="0" borderId="3" xfId="15" applyNumberFormat="1" applyFill="1" applyBorder="1" applyAlignment="1">
      <alignment/>
    </xf>
    <xf numFmtId="166" fontId="0" fillId="0" borderId="0" xfId="15" applyNumberFormat="1" applyFill="1" applyBorder="1" applyAlignment="1">
      <alignment horizontal="left"/>
    </xf>
    <xf numFmtId="166" fontId="3" fillId="0" borderId="63" xfId="15" applyNumberFormat="1" applyFont="1" applyFill="1" applyBorder="1" applyAlignment="1">
      <alignment/>
    </xf>
    <xf numFmtId="166" fontId="3" fillId="0" borderId="67" xfId="15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7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2" borderId="68" xfId="0" applyFont="1" applyFill="1" applyBorder="1" applyAlignment="1">
      <alignment/>
    </xf>
    <xf numFmtId="0" fontId="3" fillId="2" borderId="69" xfId="0" applyFont="1" applyFill="1" applyBorder="1" applyAlignment="1">
      <alignment/>
    </xf>
    <xf numFmtId="0" fontId="0" fillId="0" borderId="21" xfId="0" applyBorder="1" applyAlignment="1">
      <alignment/>
    </xf>
    <xf numFmtId="166" fontId="0" fillId="0" borderId="16" xfId="15" applyNumberFormat="1" applyBorder="1" applyAlignment="1">
      <alignment/>
    </xf>
    <xf numFmtId="0" fontId="3" fillId="0" borderId="63" xfId="0" applyFont="1" applyFill="1" applyBorder="1" applyAlignment="1">
      <alignment/>
    </xf>
    <xf numFmtId="166" fontId="0" fillId="0" borderId="16" xfId="15" applyNumberFormat="1" applyFont="1" applyFill="1" applyBorder="1" applyAlignment="1">
      <alignment/>
    </xf>
    <xf numFmtId="0" fontId="7" fillId="0" borderId="63" xfId="0" applyFont="1" applyFill="1" applyBorder="1" applyAlignment="1">
      <alignment/>
    </xf>
    <xf numFmtId="166" fontId="0" fillId="0" borderId="16" xfId="15" applyNumberFormat="1" applyFill="1" applyBorder="1" applyAlignment="1">
      <alignment/>
    </xf>
    <xf numFmtId="166" fontId="0" fillId="0" borderId="24" xfId="15" applyNumberFormat="1" applyFill="1" applyBorder="1" applyAlignment="1">
      <alignment/>
    </xf>
    <xf numFmtId="166" fontId="0" fillId="0" borderId="1" xfId="15" applyNumberFormat="1" applyFill="1" applyBorder="1" applyAlignment="1">
      <alignment/>
    </xf>
    <xf numFmtId="166" fontId="0" fillId="0" borderId="14" xfId="15" applyNumberFormat="1" applyFill="1" applyBorder="1" applyAlignment="1">
      <alignment/>
    </xf>
    <xf numFmtId="0" fontId="0" fillId="0" borderId="16" xfId="0" applyFill="1" applyBorder="1" applyAlignment="1">
      <alignment/>
    </xf>
    <xf numFmtId="43" fontId="0" fillId="0" borderId="0" xfId="15" applyNumberFormat="1" applyFill="1" applyBorder="1" applyAlignment="1">
      <alignment/>
    </xf>
    <xf numFmtId="43" fontId="0" fillId="0" borderId="0" xfId="15" applyNumberFormat="1" applyBorder="1" applyAlignment="1">
      <alignment/>
    </xf>
    <xf numFmtId="43" fontId="0" fillId="0" borderId="1" xfId="15" applyNumberFormat="1" applyBorder="1" applyAlignment="1">
      <alignment/>
    </xf>
    <xf numFmtId="43" fontId="0" fillId="0" borderId="1" xfId="15" applyNumberFormat="1" applyFill="1" applyBorder="1" applyAlignment="1">
      <alignment/>
    </xf>
    <xf numFmtId="9" fontId="0" fillId="0" borderId="1" xfId="20" applyFill="1" applyBorder="1" applyAlignment="1">
      <alignment/>
    </xf>
    <xf numFmtId="0" fontId="0" fillId="2" borderId="6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67" xfId="0" applyFill="1" applyBorder="1" applyAlignment="1">
      <alignment/>
    </xf>
    <xf numFmtId="0" fontId="3" fillId="0" borderId="30" xfId="0" applyFon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5" xfId="0" applyNumberFormat="1" applyBorder="1" applyAlignment="1">
      <alignment/>
    </xf>
    <xf numFmtId="0" fontId="3" fillId="0" borderId="70" xfId="0" applyFont="1" applyFill="1" applyBorder="1" applyAlignment="1">
      <alignment/>
    </xf>
    <xf numFmtId="166" fontId="3" fillId="0" borderId="71" xfId="15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166" fontId="3" fillId="0" borderId="16" xfId="15" applyNumberFormat="1" applyFont="1" applyFill="1" applyBorder="1" applyAlignment="1">
      <alignment/>
    </xf>
    <xf numFmtId="0" fontId="3" fillId="0" borderId="72" xfId="0" applyFont="1" applyFill="1" applyBorder="1" applyAlignment="1">
      <alignment/>
    </xf>
    <xf numFmtId="166" fontId="3" fillId="0" borderId="73" xfId="15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166" fontId="0" fillId="0" borderId="16" xfId="15" applyNumberFormat="1" applyFont="1" applyFill="1" applyBorder="1" applyAlignment="1">
      <alignment/>
    </xf>
    <xf numFmtId="166" fontId="0" fillId="0" borderId="67" xfId="15" applyNumberFormat="1" applyFill="1" applyBorder="1" applyAlignment="1">
      <alignment/>
    </xf>
    <xf numFmtId="166" fontId="3" fillId="0" borderId="71" xfId="0" applyNumberFormat="1" applyFont="1" applyFill="1" applyBorder="1" applyAlignment="1">
      <alignment/>
    </xf>
    <xf numFmtId="3" fontId="0" fillId="0" borderId="16" xfId="15" applyNumberFormat="1" applyBorder="1" applyAlignment="1">
      <alignment/>
    </xf>
    <xf numFmtId="3" fontId="0" fillId="0" borderId="0" xfId="15" applyNumberFormat="1" applyBorder="1" applyAlignment="1">
      <alignment/>
    </xf>
    <xf numFmtId="0" fontId="0" fillId="0" borderId="63" xfId="0" applyBorder="1" applyAlignment="1">
      <alignment/>
    </xf>
    <xf numFmtId="3" fontId="0" fillId="0" borderId="67" xfId="15" applyNumberFormat="1" applyBorder="1" applyAlignment="1">
      <alignment/>
    </xf>
    <xf numFmtId="0" fontId="0" fillId="0" borderId="70" xfId="0" applyBorder="1" applyAlignment="1">
      <alignment/>
    </xf>
    <xf numFmtId="0" fontId="0" fillId="0" borderId="4" xfId="0" applyBorder="1" applyAlignment="1">
      <alignment/>
    </xf>
    <xf numFmtId="3" fontId="0" fillId="0" borderId="71" xfId="15" applyNumberFormat="1" applyBorder="1" applyAlignment="1">
      <alignment/>
    </xf>
    <xf numFmtId="43" fontId="0" fillId="0" borderId="0" xfId="0" applyNumberFormat="1" applyAlignment="1">
      <alignment/>
    </xf>
    <xf numFmtId="0" fontId="0" fillId="0" borderId="70" xfId="0" applyFill="1" applyBorder="1" applyAlignment="1">
      <alignment/>
    </xf>
    <xf numFmtId="3" fontId="0" fillId="0" borderId="71" xfId="0" applyNumberForma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37" fontId="0" fillId="0" borderId="45" xfId="15" applyNumberFormat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51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9" fontId="18" fillId="0" borderId="0" xfId="20" applyFont="1" applyAlignment="1">
      <alignment/>
    </xf>
    <xf numFmtId="0" fontId="18" fillId="0" borderId="0" xfId="0" applyFont="1" applyAlignment="1">
      <alignment horizontal="center"/>
    </xf>
    <xf numFmtId="180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166" fontId="0" fillId="0" borderId="63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67" xfId="0" applyBorder="1" applyAlignment="1">
      <alignment/>
    </xf>
    <xf numFmtId="0" fontId="3" fillId="0" borderId="74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75" xfId="0" applyBorder="1" applyAlignment="1">
      <alignment/>
    </xf>
    <xf numFmtId="166" fontId="0" fillId="0" borderId="72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73" xfId="0" applyBorder="1" applyAlignment="1">
      <alignment/>
    </xf>
    <xf numFmtId="166" fontId="0" fillId="0" borderId="63" xfId="0" applyNumberFormat="1" applyBorder="1" applyAlignment="1">
      <alignment/>
    </xf>
    <xf numFmtId="0" fontId="0" fillId="0" borderId="3" xfId="0" applyBorder="1" applyAlignment="1">
      <alignment/>
    </xf>
    <xf numFmtId="43" fontId="0" fillId="0" borderId="25" xfId="0" applyNumberFormat="1" applyFill="1" applyBorder="1" applyAlignment="1">
      <alignment/>
    </xf>
    <xf numFmtId="43" fontId="0" fillId="0" borderId="42" xfId="0" applyNumberFormat="1" applyBorder="1" applyAlignment="1">
      <alignment/>
    </xf>
    <xf numFmtId="166" fontId="0" fillId="0" borderId="42" xfId="0" applyNumberFormat="1" applyBorder="1" applyAlignment="1">
      <alignment/>
    </xf>
    <xf numFmtId="0" fontId="0" fillId="0" borderId="42" xfId="0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166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166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76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59" xfId="0" applyBorder="1" applyAlignment="1">
      <alignment/>
    </xf>
    <xf numFmtId="166" fontId="19" fillId="0" borderId="64" xfId="0" applyNumberFormat="1" applyFont="1" applyFill="1" applyBorder="1" applyAlignment="1">
      <alignment/>
    </xf>
    <xf numFmtId="0" fontId="3" fillId="0" borderId="77" xfId="0" applyFont="1" applyBorder="1" applyAlignment="1">
      <alignment/>
    </xf>
    <xf numFmtId="166" fontId="19" fillId="0" borderId="78" xfId="0" applyNumberFormat="1" applyFont="1" applyFill="1" applyBorder="1" applyAlignment="1">
      <alignment/>
    </xf>
    <xf numFmtId="166" fontId="19" fillId="0" borderId="6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8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Afkastningsgrad, Overskudsgrad, Egenkapitalens &amp; fremmedkapitalens forrentning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045"/>
          <c:w val="0.7567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'beregning af nøgletal'!$A$4</c:f>
              <c:strCache>
                <c:ptCount val="1"/>
                <c:pt idx="0">
                  <c:v>Afkastningsgrad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af nøgletal'!$H$2:$J$2</c:f>
              <c:numCach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'beregning af nøgletal'!$H$4:$J$4</c:f>
              <c:numCache>
                <c:ptCount val="3"/>
                <c:pt idx="0">
                  <c:v>0.06598155539264931</c:v>
                </c:pt>
                <c:pt idx="1">
                  <c:v>0.10655096379543354</c:v>
                </c:pt>
                <c:pt idx="2">
                  <c:v>0.11439580622623116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'beregning af nøgletal'!$A$6</c:f>
              <c:strCache>
                <c:ptCount val="1"/>
                <c:pt idx="0">
                  <c:v>Overskudsgrad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'beregning af nøgletal'!$H$2:$J$2</c:f>
              <c:numCache>
                <c:ptCount val="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</c:numCache>
            </c:numRef>
          </c:cat>
          <c:val>
            <c:numRef>
              <c:f>'beregning af nøgletal'!$H$6:$J$6</c:f>
              <c:numCache>
                <c:ptCount val="3"/>
                <c:pt idx="0">
                  <c:v>0.07925231816155928</c:v>
                </c:pt>
                <c:pt idx="1">
                  <c:v>0.12288879881097149</c:v>
                </c:pt>
                <c:pt idx="2">
                  <c:v>0.12277676747266564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'beregning af nøgletal'!$A$12</c:f>
              <c:strCache>
                <c:ptCount val="1"/>
                <c:pt idx="0">
                  <c:v>Egenkapital forrentning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'beregning af nøgletal'!$H$12:$J$12</c:f>
              <c:numCache>
                <c:ptCount val="3"/>
                <c:pt idx="0">
                  <c:v>0.12484577200080342</c:v>
                </c:pt>
                <c:pt idx="1">
                  <c:v>0.24892229190493545</c:v>
                </c:pt>
                <c:pt idx="2">
                  <c:v>0.23536543124350537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'beregning af nøgletal'!$A$10</c:f>
              <c:strCache>
                <c:ptCount val="1"/>
                <c:pt idx="0">
                  <c:v>Gældsrente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'beregning af nøgletal'!$H$10:$J$10</c:f>
              <c:numCache>
                <c:ptCount val="3"/>
                <c:pt idx="0">
                  <c:v>0.05476454879564263</c:v>
                </c:pt>
                <c:pt idx="1">
                  <c:v>0.04569231541182669</c:v>
                </c:pt>
                <c:pt idx="2">
                  <c:v>0.059405161044806476</c:v>
                </c:pt>
              </c:numCache>
            </c:numRef>
          </c:val>
          <c:smooth val="0"/>
        </c:ser>
        <c:marker val="1"/>
        <c:axId val="4110928"/>
        <c:axId val="36998353"/>
      </c:lineChart>
      <c:catAx>
        <c:axId val="4110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98353"/>
        <c:crosses val="autoZero"/>
        <c:auto val="1"/>
        <c:lblOffset val="100"/>
        <c:noMultiLvlLbl val="0"/>
      </c:catAx>
      <c:valAx>
        <c:axId val="36998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Procent
</a:t>
                </a:r>
              </a:p>
            </c:rich>
          </c:tx>
          <c:layout>
            <c:manualLayout>
              <c:xMode val="factor"/>
              <c:yMode val="factor"/>
              <c:x val="0.019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09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"/>
          <c:y val="0.475"/>
          <c:w val="0.195"/>
          <c:h val="0.11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Optimal pris og mængde er der hvor MR og MC har skæringspunkt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075"/>
          <c:w val="0.832"/>
          <c:h val="0.83875"/>
        </c:manualLayout>
      </c:layout>
      <c:scatterChart>
        <c:scatterStyle val="line"/>
        <c:varyColors val="0"/>
        <c:ser>
          <c:idx val="0"/>
          <c:order val="0"/>
          <c:tx>
            <c:strRef>
              <c:f>'Data til graf 2.1'!$A$2</c:f>
              <c:strCache>
                <c:ptCount val="1"/>
                <c:pt idx="0">
                  <c:v>Afsætning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2.1'!$B$4:$B$5</c:f>
              <c:numCache>
                <c:ptCount val="2"/>
                <c:pt idx="0">
                  <c:v>0</c:v>
                </c:pt>
                <c:pt idx="1">
                  <c:v>64</c:v>
                </c:pt>
              </c:numCache>
            </c:numRef>
          </c:xVal>
          <c:yVal>
            <c:numRef>
              <c:f>'Data til graf 2.1'!$A$4:$A$5</c:f>
              <c:numCache>
                <c:ptCount val="2"/>
                <c:pt idx="0">
                  <c:v>800000</c:v>
                </c:pt>
                <c:pt idx="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til graf 2.1'!$C$2</c:f>
              <c:strCache>
                <c:ptCount val="1"/>
                <c:pt idx="0">
                  <c:v>MR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2.1'!$D$4:$D$5</c:f>
              <c:numCache>
                <c:ptCount val="2"/>
                <c:pt idx="0">
                  <c:v>0</c:v>
                </c:pt>
                <c:pt idx="1">
                  <c:v>32</c:v>
                </c:pt>
              </c:numCache>
            </c:numRef>
          </c:xVal>
          <c:yVal>
            <c:numRef>
              <c:f>'Data til graf 2.1'!$C$4:$C$5</c:f>
              <c:numCache>
                <c:ptCount val="2"/>
                <c:pt idx="0">
                  <c:v>800000</c:v>
                </c:pt>
                <c:pt idx="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til graf 2.1'!$E$2</c:f>
              <c:strCache>
                <c:ptCount val="1"/>
                <c:pt idx="0">
                  <c:v>MC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'Data til graf 2.1'!$F$4:$F$5</c:f>
              <c:numCache>
                <c:ptCount val="2"/>
                <c:pt idx="0">
                  <c:v>0</c:v>
                </c:pt>
                <c:pt idx="1">
                  <c:v>64</c:v>
                </c:pt>
              </c:numCache>
            </c:numRef>
          </c:xVal>
          <c:yVal>
            <c:numRef>
              <c:f>'Data til graf 2.1'!$E$4:$E$5</c:f>
              <c:numCache>
                <c:ptCount val="2"/>
                <c:pt idx="0">
                  <c:v>300000</c:v>
                </c:pt>
                <c:pt idx="1">
                  <c:v>300000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til graf 2.1'!$G$2</c:f>
              <c:strCache>
                <c:ptCount val="1"/>
                <c:pt idx="0">
                  <c:v>Max.kapacitet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2.1'!$H$4:$H$5</c:f>
              <c:numCache>
                <c:ptCount val="2"/>
                <c:pt idx="0">
                  <c:v>30</c:v>
                </c:pt>
                <c:pt idx="1">
                  <c:v>30</c:v>
                </c:pt>
              </c:numCache>
            </c:numRef>
          </c:xVal>
          <c:yVal>
            <c:numRef>
              <c:f>'Data til graf 2.1'!$G$4:$G$5</c:f>
              <c:numCache>
                <c:ptCount val="2"/>
                <c:pt idx="0">
                  <c:v>800000</c:v>
                </c:pt>
                <c:pt idx="1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Optimal pris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2.1'!$J$4:$J$5</c:f>
              <c:numCache>
                <c:ptCount val="2"/>
                <c:pt idx="0">
                  <c:v>0</c:v>
                </c:pt>
                <c:pt idx="1">
                  <c:v>20</c:v>
                </c:pt>
              </c:numCache>
            </c:numRef>
          </c:xVal>
          <c:yVal>
            <c:numRef>
              <c:f>'Data til graf 2.1'!$I$4:$I$5</c:f>
              <c:numCache>
                <c:ptCount val="2"/>
                <c:pt idx="0">
                  <c:v>550000</c:v>
                </c:pt>
                <c:pt idx="1">
                  <c:v>550000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til graf 2.1'!$K$2</c:f>
              <c:strCache>
                <c:ptCount val="1"/>
                <c:pt idx="0">
                  <c:v>Optimal mængde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til graf 2.1'!$L$4:$L$5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xVal>
          <c:yVal>
            <c:numRef>
              <c:f>'Data til graf 2.1'!$K$4:$K$5</c:f>
              <c:numCache>
                <c:ptCount val="2"/>
                <c:pt idx="0">
                  <c:v>0</c:v>
                </c:pt>
                <c:pt idx="1">
                  <c:v>550000</c:v>
                </c:pt>
              </c:numCache>
            </c:numRef>
          </c:yVal>
          <c:smooth val="0"/>
        </c:ser>
        <c:axId val="64549722"/>
        <c:axId val="44076587"/>
      </c:scatterChart>
      <c:valAx>
        <c:axId val="64549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Mængde</a:t>
                </a:r>
              </a:p>
            </c:rich>
          </c:tx>
          <c:layout>
            <c:manualLayout>
              <c:xMode val="factor"/>
              <c:yMode val="factor"/>
              <c:x val="0.018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76587"/>
        <c:crosses val="autoZero"/>
        <c:crossBetween val="midCat"/>
        <c:dispUnits/>
      </c:valAx>
      <c:valAx>
        <c:axId val="44076587"/>
        <c:scaling>
          <c:orientation val="minMax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Pris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54972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5"/>
          <c:y val="0.09975"/>
          <c:w val="0.1465"/>
          <c:h val="0.21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Net Cash-Flow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"/>
          <c:w val="0.84725"/>
          <c:h val="0.8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'investering 3.1'!$E$10</c:f>
              <c:strCache>
                <c:ptCount val="1"/>
                <c:pt idx="0">
                  <c:v>Net Cash-Flow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'investering 3.1'!$B$11:$B$61</c:f>
              <c:num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cat>
          <c:val>
            <c:numRef>
              <c:f>'investering 3.1'!$E$11:$E$61</c:f>
              <c:numCache>
                <c:ptCount val="16"/>
                <c:pt idx="0">
                  <c:v>-3600000</c:v>
                </c:pt>
                <c:pt idx="1">
                  <c:v>1070000</c:v>
                </c:pt>
                <c:pt idx="2">
                  <c:v>1070000</c:v>
                </c:pt>
                <c:pt idx="3">
                  <c:v>1070000</c:v>
                </c:pt>
                <c:pt idx="4">
                  <c:v>1070000</c:v>
                </c:pt>
                <c:pt idx="5">
                  <c:v>1370000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61144964"/>
        <c:axId val="13433765"/>
      </c:barChart>
      <c:catAx>
        <c:axId val="611449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33765"/>
        <c:crosses val="autoZero"/>
        <c:auto val="1"/>
        <c:lblOffset val="100"/>
        <c:noMultiLvlLbl val="0"/>
      </c:catAx>
      <c:valAx>
        <c:axId val="134337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44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" footer="0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29275"/>
    <xdr:graphicFrame>
      <xdr:nvGraphicFramePr>
        <xdr:cNvPr id="1" name="Shape 1025"/>
        <xdr:cNvGraphicFramePr/>
      </xdr:nvGraphicFramePr>
      <xdr:xfrm>
        <a:off x="0" y="0"/>
        <a:ext cx="97155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57421875" style="0" bestFit="1" customWidth="1"/>
    <col min="2" max="2" width="15.140625" style="0" customWidth="1"/>
    <col min="3" max="3" width="14.57421875" style="0" customWidth="1"/>
    <col min="4" max="5" width="14.421875" style="0" customWidth="1"/>
    <col min="6" max="6" width="10.28125" style="0" customWidth="1"/>
    <col min="7" max="7" width="16.421875" style="0" bestFit="1" customWidth="1"/>
  </cols>
  <sheetData>
    <row r="1" spans="1:6" ht="18">
      <c r="A1" s="206" t="s">
        <v>229</v>
      </c>
      <c r="B1" s="123" t="s">
        <v>52</v>
      </c>
      <c r="C1" s="73"/>
      <c r="D1" s="74"/>
      <c r="E1" s="211"/>
      <c r="F1" s="215"/>
    </row>
    <row r="2" spans="1:6" ht="13.5" thickBot="1">
      <c r="A2" s="120" t="s">
        <v>24</v>
      </c>
      <c r="B2" s="121">
        <v>2001</v>
      </c>
      <c r="C2" s="121">
        <f>B2+1</f>
        <v>2002</v>
      </c>
      <c r="D2" s="122">
        <f>C2+1</f>
        <v>2003</v>
      </c>
      <c r="E2" s="212" t="s">
        <v>94</v>
      </c>
      <c r="F2" s="212" t="s">
        <v>93</v>
      </c>
    </row>
    <row r="3" spans="1:6" ht="12.75">
      <c r="A3" s="11" t="s">
        <v>86</v>
      </c>
      <c r="B3" s="117">
        <v>183982</v>
      </c>
      <c r="C3" s="118">
        <v>207228</v>
      </c>
      <c r="D3" s="139">
        <v>222705</v>
      </c>
      <c r="E3" s="213">
        <f>D3-B3</f>
        <v>38723</v>
      </c>
      <c r="F3" s="216">
        <f>E3/B3</f>
        <v>0.21047167657705645</v>
      </c>
    </row>
    <row r="4" spans="1:6" ht="12.75">
      <c r="A4" s="11" t="s">
        <v>230</v>
      </c>
      <c r="B4" s="105">
        <v>40281</v>
      </c>
      <c r="C4" s="2">
        <v>47578</v>
      </c>
      <c r="D4" s="140">
        <v>52179</v>
      </c>
      <c r="E4" s="213">
        <f aca="true" t="shared" si="0" ref="E4:E27">D4-B4</f>
        <v>11898</v>
      </c>
      <c r="F4" s="216">
        <f aca="true" t="shared" si="1" ref="F4:F27">E4/B4</f>
        <v>0.29537499069039996</v>
      </c>
    </row>
    <row r="5" spans="1:6" ht="12.75">
      <c r="A5" s="19" t="s">
        <v>231</v>
      </c>
      <c r="B5" s="110">
        <f>B3-B4</f>
        <v>143701</v>
      </c>
      <c r="C5" s="7">
        <f>C3-C4</f>
        <v>159650</v>
      </c>
      <c r="D5" s="141">
        <f>D3-D4</f>
        <v>170526</v>
      </c>
      <c r="E5" s="214">
        <f t="shared" si="0"/>
        <v>26825</v>
      </c>
      <c r="F5" s="217">
        <f t="shared" si="1"/>
        <v>0.18667232656696892</v>
      </c>
    </row>
    <row r="6" spans="1:6" ht="12.75">
      <c r="A6" s="14" t="s">
        <v>232</v>
      </c>
      <c r="B6" s="111">
        <v>37014</v>
      </c>
      <c r="C6" s="15">
        <v>35128</v>
      </c>
      <c r="D6" s="142">
        <v>34909</v>
      </c>
      <c r="E6" s="214">
        <f t="shared" si="0"/>
        <v>-2105</v>
      </c>
      <c r="F6" s="217">
        <f t="shared" si="1"/>
        <v>-0.056870373372237534</v>
      </c>
    </row>
    <row r="7" spans="1:6" ht="12.75">
      <c r="A7" s="28" t="s">
        <v>87</v>
      </c>
      <c r="B7" s="112">
        <f>B5-B6</f>
        <v>106687</v>
      </c>
      <c r="C7" s="112">
        <f>C5-C6</f>
        <v>124522</v>
      </c>
      <c r="D7" s="143">
        <f>D5-D6</f>
        <v>135617</v>
      </c>
      <c r="E7" s="214">
        <f t="shared" si="0"/>
        <v>28930</v>
      </c>
      <c r="F7" s="217">
        <f t="shared" si="1"/>
        <v>0.27116705877942016</v>
      </c>
    </row>
    <row r="8" spans="1:6" ht="12.75">
      <c r="A8" s="14" t="s">
        <v>233</v>
      </c>
      <c r="B8" s="111">
        <v>79177</v>
      </c>
      <c r="C8" s="3">
        <v>84201</v>
      </c>
      <c r="D8" s="142">
        <v>92347</v>
      </c>
      <c r="E8" s="213">
        <f t="shared" si="0"/>
        <v>13170</v>
      </c>
      <c r="F8" s="216">
        <f t="shared" si="1"/>
        <v>0.166336183487629</v>
      </c>
    </row>
    <row r="9" spans="1:6" ht="12.75" hidden="1">
      <c r="A9" s="14" t="s">
        <v>50</v>
      </c>
      <c r="B9" s="111">
        <v>0</v>
      </c>
      <c r="C9" s="3">
        <v>0</v>
      </c>
      <c r="D9" s="142">
        <v>0</v>
      </c>
      <c r="E9" s="213">
        <f t="shared" si="0"/>
        <v>0</v>
      </c>
      <c r="F9" s="216" t="e">
        <f t="shared" si="1"/>
        <v>#DIV/0!</v>
      </c>
    </row>
    <row r="10" spans="1:6" ht="12.75" hidden="1">
      <c r="A10" s="14" t="s">
        <v>50</v>
      </c>
      <c r="B10" s="111">
        <v>0</v>
      </c>
      <c r="C10" s="3">
        <v>0</v>
      </c>
      <c r="D10" s="142">
        <v>0</v>
      </c>
      <c r="E10" s="213">
        <f t="shared" si="0"/>
        <v>0</v>
      </c>
      <c r="F10" s="216" t="e">
        <f t="shared" si="1"/>
        <v>#DIV/0!</v>
      </c>
    </row>
    <row r="11" spans="1:6" ht="12.75" hidden="1">
      <c r="A11" s="14" t="s">
        <v>50</v>
      </c>
      <c r="B11" s="111">
        <v>0</v>
      </c>
      <c r="C11" s="3">
        <v>0</v>
      </c>
      <c r="D11" s="142">
        <v>0</v>
      </c>
      <c r="E11" s="213">
        <f t="shared" si="0"/>
        <v>0</v>
      </c>
      <c r="F11" s="216" t="e">
        <f t="shared" si="1"/>
        <v>#DIV/0!</v>
      </c>
    </row>
    <row r="12" spans="1:6" ht="12.75" hidden="1">
      <c r="A12" s="14" t="s">
        <v>50</v>
      </c>
      <c r="B12" s="111">
        <v>0</v>
      </c>
      <c r="C12" s="3">
        <v>0</v>
      </c>
      <c r="D12" s="142">
        <v>0</v>
      </c>
      <c r="E12" s="213">
        <f t="shared" si="0"/>
        <v>0</v>
      </c>
      <c r="F12" s="216" t="e">
        <f t="shared" si="1"/>
        <v>#DIV/0!</v>
      </c>
    </row>
    <row r="13" spans="1:6" ht="12.75" hidden="1">
      <c r="A13" s="14" t="s">
        <v>50</v>
      </c>
      <c r="B13" s="111">
        <v>0</v>
      </c>
      <c r="C13" s="3">
        <v>0</v>
      </c>
      <c r="D13" s="142">
        <v>0</v>
      </c>
      <c r="E13" s="213">
        <f t="shared" si="0"/>
        <v>0</v>
      </c>
      <c r="F13" s="216" t="e">
        <f t="shared" si="1"/>
        <v>#DIV/0!</v>
      </c>
    </row>
    <row r="14" spans="1:6" ht="12.75">
      <c r="A14" s="19" t="s">
        <v>46</v>
      </c>
      <c r="B14" s="113">
        <f>B7-B8-B9-B10-B11-B12-B13</f>
        <v>27510</v>
      </c>
      <c r="C14" s="113">
        <f>C7-C8-C9-C10-C11-C12-C13</f>
        <v>40321</v>
      </c>
      <c r="D14" s="144">
        <f>D7-D8-D9-D10-D11-D12-D13</f>
        <v>43270</v>
      </c>
      <c r="E14" s="214">
        <f t="shared" si="0"/>
        <v>15760</v>
      </c>
      <c r="F14" s="217">
        <f t="shared" si="1"/>
        <v>0.5728825881497637</v>
      </c>
    </row>
    <row r="15" spans="1:6" ht="12.75">
      <c r="A15" s="14" t="s">
        <v>0</v>
      </c>
      <c r="B15" s="111">
        <v>12929</v>
      </c>
      <c r="C15" s="3">
        <v>14855</v>
      </c>
      <c r="D15" s="142">
        <v>15927</v>
      </c>
      <c r="E15" s="214">
        <f t="shared" si="0"/>
        <v>2998</v>
      </c>
      <c r="F15" s="217">
        <f t="shared" si="1"/>
        <v>0.23188181607239539</v>
      </c>
    </row>
    <row r="16" spans="1:6" ht="12.75">
      <c r="A16" s="19" t="s">
        <v>88</v>
      </c>
      <c r="B16" s="113">
        <f>B14-B15</f>
        <v>14581</v>
      </c>
      <c r="C16" s="8">
        <f>C14-C15</f>
        <v>25466</v>
      </c>
      <c r="D16" s="144">
        <f>D14-D15</f>
        <v>27343</v>
      </c>
      <c r="E16" s="214">
        <f t="shared" si="0"/>
        <v>12762</v>
      </c>
      <c r="F16" s="217">
        <f t="shared" si="1"/>
        <v>0.8752486112063644</v>
      </c>
    </row>
    <row r="17" spans="1:6" ht="12.75">
      <c r="A17" s="14" t="s">
        <v>234</v>
      </c>
      <c r="B17" s="111">
        <v>2406</v>
      </c>
      <c r="C17" s="3">
        <v>1625</v>
      </c>
      <c r="D17" s="142">
        <v>2096</v>
      </c>
      <c r="E17" s="213">
        <f t="shared" si="0"/>
        <v>-310</v>
      </c>
      <c r="F17" s="216">
        <f t="shared" si="1"/>
        <v>-0.1288445552784705</v>
      </c>
    </row>
    <row r="18" spans="1:6" ht="12.75">
      <c r="A18" s="14" t="s">
        <v>235</v>
      </c>
      <c r="B18" s="111">
        <v>8285</v>
      </c>
      <c r="C18" s="3">
        <v>7285</v>
      </c>
      <c r="D18" s="142">
        <v>9054</v>
      </c>
      <c r="E18" s="213">
        <f t="shared" si="0"/>
        <v>769</v>
      </c>
      <c r="F18" s="216">
        <f t="shared" si="1"/>
        <v>0.0928183464091732</v>
      </c>
    </row>
    <row r="19" spans="1:6" ht="12.75">
      <c r="A19" s="19" t="s">
        <v>42</v>
      </c>
      <c r="B19" s="113">
        <f>B16-B18+B17</f>
        <v>8702</v>
      </c>
      <c r="C19" s="8">
        <f>C16-C18+C17</f>
        <v>19806</v>
      </c>
      <c r="D19" s="144">
        <f>D16-D18+D17</f>
        <v>20385</v>
      </c>
      <c r="E19" s="214">
        <f t="shared" si="0"/>
        <v>11683</v>
      </c>
      <c r="F19" s="217">
        <f t="shared" si="1"/>
        <v>1.34256492760285</v>
      </c>
    </row>
    <row r="20" spans="1:6" ht="12.75" hidden="1">
      <c r="A20" s="14" t="s">
        <v>35</v>
      </c>
      <c r="B20" s="114"/>
      <c r="C20" s="13"/>
      <c r="D20" s="145"/>
      <c r="E20" s="213">
        <f t="shared" si="0"/>
        <v>0</v>
      </c>
      <c r="F20" s="216" t="e">
        <f t="shared" si="1"/>
        <v>#DIV/0!</v>
      </c>
    </row>
    <row r="21" spans="1:6" ht="12.75">
      <c r="A21" s="14" t="s">
        <v>20</v>
      </c>
      <c r="B21" s="111">
        <v>2869</v>
      </c>
      <c r="C21" s="3">
        <v>6165</v>
      </c>
      <c r="D21" s="142">
        <v>6854</v>
      </c>
      <c r="E21" s="213">
        <f t="shared" si="0"/>
        <v>3985</v>
      </c>
      <c r="F21" s="216">
        <f t="shared" si="1"/>
        <v>1.3889857093063784</v>
      </c>
    </row>
    <row r="22" spans="1:6" ht="13.5" thickBot="1">
      <c r="A22" s="20" t="s">
        <v>236</v>
      </c>
      <c r="B22" s="116">
        <f>B19-B20-B21</f>
        <v>5833</v>
      </c>
      <c r="C22" s="9">
        <f>C19-C20-C21</f>
        <v>13641</v>
      </c>
      <c r="D22" s="146">
        <f>D19-D20-D21</f>
        <v>13531</v>
      </c>
      <c r="E22" s="218">
        <f t="shared" si="0"/>
        <v>7698</v>
      </c>
      <c r="F22" s="219">
        <f t="shared" si="1"/>
        <v>1.3197325561460655</v>
      </c>
    </row>
    <row r="23" spans="1:6" ht="13.5" thickTop="1">
      <c r="A23" s="13"/>
      <c r="B23" s="13"/>
      <c r="C23" s="13"/>
      <c r="D23" s="13"/>
      <c r="E23" s="118">
        <f t="shared" si="0"/>
        <v>0</v>
      </c>
      <c r="F23" s="220"/>
    </row>
    <row r="24" spans="1:6" ht="12.75" hidden="1">
      <c r="A24" s="22" t="s">
        <v>92</v>
      </c>
      <c r="B24" s="13"/>
      <c r="C24" s="13"/>
      <c r="D24" s="13"/>
      <c r="E24" s="118">
        <f t="shared" si="0"/>
        <v>0</v>
      </c>
      <c r="F24" s="220"/>
    </row>
    <row r="25" spans="1:6" ht="12.75" hidden="1">
      <c r="A25" s="64" t="s">
        <v>51</v>
      </c>
      <c r="B25" s="29">
        <v>0</v>
      </c>
      <c r="C25" s="29">
        <v>0</v>
      </c>
      <c r="D25" s="41">
        <v>0</v>
      </c>
      <c r="E25" s="164">
        <v>0</v>
      </c>
      <c r="F25" s="208" t="e">
        <f t="shared" si="1"/>
        <v>#DIV/0!</v>
      </c>
    </row>
    <row r="26" spans="1:6" ht="12.75" hidden="1">
      <c r="A26" s="75" t="s">
        <v>55</v>
      </c>
      <c r="B26" s="44">
        <v>0</v>
      </c>
      <c r="C26" s="44">
        <v>0</v>
      </c>
      <c r="D26" s="46">
        <v>0</v>
      </c>
      <c r="E26" s="139">
        <f t="shared" si="0"/>
        <v>0</v>
      </c>
      <c r="F26" s="209" t="e">
        <f t="shared" si="1"/>
        <v>#DIV/0!</v>
      </c>
    </row>
    <row r="27" spans="1:6" ht="12.75" hidden="1">
      <c r="A27" s="70" t="s">
        <v>56</v>
      </c>
      <c r="B27" s="33">
        <v>0</v>
      </c>
      <c r="C27" s="33">
        <v>0</v>
      </c>
      <c r="D27" s="35">
        <v>0</v>
      </c>
      <c r="E27" s="140">
        <f t="shared" si="0"/>
        <v>0</v>
      </c>
      <c r="F27" s="210" t="e">
        <f t="shared" si="1"/>
        <v>#DIV/0!</v>
      </c>
    </row>
    <row r="28" ht="12.75" hidden="1"/>
    <row r="43" ht="12.75" hidden="1"/>
  </sheetData>
  <printOptions/>
  <pageMargins left="0.7874015748031497" right="0.2755905511811024" top="0.5905511811023623" bottom="0.5905511811023623" header="0.5118110236220472" footer="0.5118110236220472"/>
  <pageSetup horizontalDpi="300" verticalDpi="300" orientation="landscape" paperSize="9" scale="14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E23" sqref="E23"/>
    </sheetView>
  </sheetViews>
  <sheetFormatPr defaultColWidth="9.140625" defaultRowHeight="12.75"/>
  <cols>
    <col min="1" max="1" width="23.57421875" style="0" bestFit="1" customWidth="1"/>
    <col min="2" max="2" width="19.7109375" style="0" customWidth="1"/>
    <col min="3" max="3" width="14.421875" style="0" customWidth="1"/>
    <col min="4" max="4" width="15.140625" style="0" customWidth="1"/>
    <col min="5" max="5" width="17.8515625" style="0" customWidth="1"/>
    <col min="6" max="6" width="16.421875" style="0" bestFit="1" customWidth="1"/>
  </cols>
  <sheetData>
    <row r="1" spans="1:5" ht="18">
      <c r="A1" s="436" t="s">
        <v>333</v>
      </c>
      <c r="B1" s="437" t="s">
        <v>334</v>
      </c>
      <c r="C1" s="437"/>
      <c r="D1" s="437"/>
      <c r="E1" s="438"/>
    </row>
    <row r="2" spans="1:5" ht="13.5" thickBot="1">
      <c r="A2" s="439" t="s">
        <v>24</v>
      </c>
      <c r="B2" s="121">
        <v>2004</v>
      </c>
      <c r="C2" s="121"/>
      <c r="D2" s="121"/>
      <c r="E2" s="440">
        <f>B2+1</f>
        <v>2005</v>
      </c>
    </row>
    <row r="3" spans="1:5" ht="12.75">
      <c r="A3" s="441" t="s">
        <v>86</v>
      </c>
      <c r="B3" s="426">
        <v>21300</v>
      </c>
      <c r="C3" s="452">
        <v>0.95</v>
      </c>
      <c r="D3" s="452">
        <v>1.25</v>
      </c>
      <c r="E3" s="442">
        <f>B3*C3*D3</f>
        <v>25293.75</v>
      </c>
    </row>
    <row r="4" spans="1:5" ht="12.75">
      <c r="A4" s="441" t="s">
        <v>327</v>
      </c>
      <c r="B4" s="426">
        <v>6000</v>
      </c>
      <c r="C4" s="452">
        <v>1</v>
      </c>
      <c r="D4" s="452">
        <v>1.25</v>
      </c>
      <c r="E4" s="442">
        <f>B4*C4*D4</f>
        <v>7500</v>
      </c>
    </row>
    <row r="5" spans="1:5" ht="12.75">
      <c r="A5" s="441" t="s">
        <v>328</v>
      </c>
      <c r="B5" s="339">
        <v>6780</v>
      </c>
      <c r="C5" s="453">
        <v>0.9</v>
      </c>
      <c r="D5" s="453">
        <v>1.25</v>
      </c>
      <c r="E5" s="442">
        <f>B5*C5*D5</f>
        <v>7627.5</v>
      </c>
    </row>
    <row r="6" spans="1:5" ht="12.75">
      <c r="A6" s="443" t="s">
        <v>231</v>
      </c>
      <c r="B6" s="110">
        <f>B3-B5-B4</f>
        <v>8520</v>
      </c>
      <c r="C6" s="7"/>
      <c r="D6" s="7"/>
      <c r="E6" s="113">
        <f>E3-E4-E5</f>
        <v>10166.25</v>
      </c>
    </row>
    <row r="7" spans="1:5" ht="12.75" hidden="1">
      <c r="A7" s="75"/>
      <c r="B7" s="427">
        <v>0</v>
      </c>
      <c r="C7" s="429"/>
      <c r="D7" s="429"/>
      <c r="E7" s="444">
        <v>0</v>
      </c>
    </row>
    <row r="8" spans="1:5" ht="12.75" hidden="1">
      <c r="A8" s="445" t="s">
        <v>87</v>
      </c>
      <c r="B8" s="112">
        <f>B6-B7</f>
        <v>8520</v>
      </c>
      <c r="C8" s="112"/>
      <c r="D8" s="112"/>
      <c r="E8" s="112">
        <f>E6-E7</f>
        <v>10166.25</v>
      </c>
    </row>
    <row r="9" spans="1:5" ht="12.75">
      <c r="A9" s="75" t="s">
        <v>329</v>
      </c>
      <c r="B9" s="427">
        <v>0</v>
      </c>
      <c r="C9" s="429"/>
      <c r="D9" s="429"/>
      <c r="E9" s="446">
        <v>0</v>
      </c>
    </row>
    <row r="10" spans="1:5" ht="12.75">
      <c r="A10" s="75" t="s">
        <v>330</v>
      </c>
      <c r="B10" s="427">
        <v>510</v>
      </c>
      <c r="C10" s="429"/>
      <c r="D10" s="451">
        <v>1.1</v>
      </c>
      <c r="E10" s="446">
        <f>B10*D10</f>
        <v>561</v>
      </c>
    </row>
    <row r="11" spans="1:5" ht="12.75">
      <c r="A11" s="75" t="s">
        <v>331</v>
      </c>
      <c r="B11" s="427">
        <v>1600</v>
      </c>
      <c r="C11" s="429"/>
      <c r="D11" s="451">
        <v>1.03</v>
      </c>
      <c r="E11" s="446">
        <f>B11*D11</f>
        <v>1648</v>
      </c>
    </row>
    <row r="12" spans="1:5" ht="12.75">
      <c r="A12" s="75" t="s">
        <v>332</v>
      </c>
      <c r="B12" s="427">
        <v>3200</v>
      </c>
      <c r="C12" s="429"/>
      <c r="D12" s="451">
        <v>1.1</v>
      </c>
      <c r="E12" s="446">
        <f>B12*D12</f>
        <v>3520.0000000000005</v>
      </c>
    </row>
    <row r="13" spans="1:5" ht="12.75" hidden="1">
      <c r="A13" s="75" t="s">
        <v>50</v>
      </c>
      <c r="B13" s="427">
        <v>0</v>
      </c>
      <c r="C13" s="429"/>
      <c r="D13" s="429"/>
      <c r="E13" s="446">
        <v>0</v>
      </c>
    </row>
    <row r="14" spans="1:5" ht="12.75" hidden="1">
      <c r="A14" s="75" t="s">
        <v>50</v>
      </c>
      <c r="B14" s="427">
        <v>0</v>
      </c>
      <c r="C14" s="429"/>
      <c r="D14" s="429"/>
      <c r="E14" s="446">
        <v>0</v>
      </c>
    </row>
    <row r="15" spans="1:5" ht="12.75">
      <c r="A15" s="443" t="s">
        <v>46</v>
      </c>
      <c r="B15" s="434">
        <f>B8-B9-B10-B11-B12-B13-B14</f>
        <v>3210</v>
      </c>
      <c r="C15" s="434"/>
      <c r="D15" s="8"/>
      <c r="E15" s="435">
        <f>E8-E9-E10-E11-E12-E13-E14</f>
        <v>4437.25</v>
      </c>
    </row>
    <row r="16" spans="1:5" ht="12.75">
      <c r="A16" s="75" t="s">
        <v>0</v>
      </c>
      <c r="B16" s="427">
        <v>1800</v>
      </c>
      <c r="C16" s="429"/>
      <c r="D16" s="429"/>
      <c r="E16" s="446">
        <v>2000</v>
      </c>
    </row>
    <row r="17" spans="1:5" ht="12.75">
      <c r="A17" s="443" t="s">
        <v>88</v>
      </c>
      <c r="B17" s="113">
        <f>B15-B16</f>
        <v>1410</v>
      </c>
      <c r="C17" s="8"/>
      <c r="D17" s="8"/>
      <c r="E17" s="435">
        <f>E15-E16</f>
        <v>2437.25</v>
      </c>
    </row>
    <row r="18" spans="1:5" ht="12.75">
      <c r="A18" s="75" t="s">
        <v>234</v>
      </c>
      <c r="B18" s="427">
        <v>0</v>
      </c>
      <c r="C18" s="429"/>
      <c r="D18" s="429"/>
      <c r="E18" s="446"/>
    </row>
    <row r="19" spans="1:5" ht="12.75">
      <c r="A19" s="70" t="s">
        <v>34</v>
      </c>
      <c r="B19" s="447">
        <v>450</v>
      </c>
      <c r="C19" s="448"/>
      <c r="D19" s="454">
        <v>0.75</v>
      </c>
      <c r="E19" s="449">
        <f>B19*D19</f>
        <v>337.5</v>
      </c>
    </row>
    <row r="20" spans="1:5" ht="12.75">
      <c r="A20" s="443" t="s">
        <v>42</v>
      </c>
      <c r="B20" s="113">
        <f>B17-B19+B18</f>
        <v>960</v>
      </c>
      <c r="C20" s="8"/>
      <c r="D20" s="8"/>
      <c r="E20" s="435">
        <f>E17-E19+E18</f>
        <v>2099.75</v>
      </c>
    </row>
    <row r="21" spans="1:5" ht="12.75" hidden="1">
      <c r="A21" s="75" t="s">
        <v>35</v>
      </c>
      <c r="B21" s="430"/>
      <c r="C21" s="428"/>
      <c r="D21" s="428"/>
      <c r="E21" s="450"/>
    </row>
    <row r="22" spans="1:5" ht="12.75">
      <c r="A22" s="70" t="s">
        <v>20</v>
      </c>
      <c r="B22" s="447">
        <v>288</v>
      </c>
      <c r="C22" s="448"/>
      <c r="D22" s="455">
        <v>0.3</v>
      </c>
      <c r="E22" s="449">
        <f>E20*D22</f>
        <v>629.925</v>
      </c>
    </row>
    <row r="23" spans="1:5" ht="13.5" thickBot="1">
      <c r="A23" s="20" t="s">
        <v>236</v>
      </c>
      <c r="B23" s="116">
        <f>B20-B21-B22</f>
        <v>672</v>
      </c>
      <c r="C23" s="9"/>
      <c r="D23" s="9"/>
      <c r="E23" s="9">
        <f>E20-E21-E22</f>
        <v>1469.825</v>
      </c>
    </row>
    <row r="24" spans="1:5" ht="13.5" thickTop="1">
      <c r="A24" s="13"/>
      <c r="B24" s="13"/>
      <c r="C24" s="13"/>
      <c r="D24" s="13"/>
      <c r="E24" s="13"/>
    </row>
    <row r="25" spans="1:5" ht="12.75" hidden="1">
      <c r="A25" s="22" t="s">
        <v>92</v>
      </c>
      <c r="B25" s="13"/>
      <c r="C25" s="13"/>
      <c r="D25" s="13"/>
      <c r="E25" s="13"/>
    </row>
    <row r="26" spans="1:5" ht="12.75" hidden="1">
      <c r="A26" s="64" t="s">
        <v>51</v>
      </c>
      <c r="B26" s="29">
        <v>0</v>
      </c>
      <c r="C26" s="29"/>
      <c r="D26" s="29"/>
      <c r="E26" s="29">
        <v>0</v>
      </c>
    </row>
    <row r="27" spans="1:5" ht="12.75" hidden="1">
      <c r="A27" s="75" t="s">
        <v>55</v>
      </c>
      <c r="B27" s="44">
        <v>0</v>
      </c>
      <c r="C27" s="44"/>
      <c r="D27" s="44"/>
      <c r="E27" s="44">
        <v>0</v>
      </c>
    </row>
    <row r="28" spans="1:5" ht="12.75" hidden="1">
      <c r="A28" s="70" t="s">
        <v>56</v>
      </c>
      <c r="B28" s="33">
        <v>0</v>
      </c>
      <c r="C28" s="33"/>
      <c r="D28" s="33"/>
      <c r="E28" s="33">
        <v>0</v>
      </c>
    </row>
    <row r="44" ht="12.75" hidden="1"/>
  </sheetData>
  <printOptions/>
  <pageMargins left="0.7874015748031497" right="0.2755905511811024" top="0.5905511811023623" bottom="0.5905511811023623" header="0.5118110236220472" footer="0.5118110236220472"/>
  <pageSetup horizontalDpi="300" verticalDpi="300" orientation="landscape" paperSize="9" scale="14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workbookViewId="0" topLeftCell="A2">
      <selection activeCell="F11" sqref="F11"/>
    </sheetView>
  </sheetViews>
  <sheetFormatPr defaultColWidth="9.140625" defaultRowHeight="12.75"/>
  <cols>
    <col min="2" max="2" width="16.8515625" style="0" customWidth="1"/>
    <col min="3" max="3" width="5.8515625" style="0" customWidth="1"/>
    <col min="4" max="4" width="10.28125" style="0" bestFit="1" customWidth="1"/>
    <col min="5" max="6" width="10.28125" style="0" customWidth="1"/>
    <col min="7" max="7" width="11.28125" style="0" customWidth="1"/>
    <col min="12" max="12" width="9.421875" style="0" bestFit="1" customWidth="1"/>
    <col min="14" max="14" width="9.421875" style="0" bestFit="1" customWidth="1"/>
    <col min="15" max="15" width="10.57421875" style="0" bestFit="1" customWidth="1"/>
    <col min="16" max="16" width="10.421875" style="0" bestFit="1" customWidth="1"/>
  </cols>
  <sheetData>
    <row r="1" spans="1:9" ht="18.75" thickBot="1">
      <c r="A1" s="527" t="s">
        <v>336</v>
      </c>
      <c r="B1" s="528"/>
      <c r="C1" s="68" t="s">
        <v>335</v>
      </c>
      <c r="D1" s="67"/>
      <c r="E1" s="67"/>
      <c r="F1" s="67"/>
      <c r="G1" s="67"/>
      <c r="I1" s="283" t="s">
        <v>337</v>
      </c>
    </row>
    <row r="2" spans="1:15" ht="13.5" thickBot="1">
      <c r="A2" s="17" t="s">
        <v>22</v>
      </c>
      <c r="B2" s="18"/>
      <c r="C2" s="18"/>
      <c r="D2" s="128">
        <f>'Resultatopgørelse 2005 4.1'!B2</f>
        <v>2004</v>
      </c>
      <c r="E2" s="128"/>
      <c r="F2" s="128"/>
      <c r="G2" s="147">
        <f>'Resultatopgørelse 2005 4.1'!E2</f>
        <v>2005</v>
      </c>
      <c r="I2" s="456" t="s">
        <v>364</v>
      </c>
      <c r="J2" s="457"/>
      <c r="K2" s="457"/>
      <c r="L2" s="457"/>
      <c r="M2" s="457"/>
      <c r="N2" s="457"/>
      <c r="O2" s="458">
        <v>2005</v>
      </c>
    </row>
    <row r="3" spans="1:15" ht="12.75">
      <c r="A3" s="75" t="s">
        <v>227</v>
      </c>
      <c r="B3" s="13"/>
      <c r="C3" s="13"/>
      <c r="D3" s="427">
        <v>6750</v>
      </c>
      <c r="E3" s="429">
        <v>2000</v>
      </c>
      <c r="F3" s="429">
        <v>1400</v>
      </c>
      <c r="G3" s="446">
        <f>D3+E3-F3</f>
        <v>7350</v>
      </c>
      <c r="I3" s="441" t="s">
        <v>346</v>
      </c>
      <c r="J3" s="44"/>
      <c r="K3" s="44" t="s">
        <v>352</v>
      </c>
      <c r="L3" s="44" t="s">
        <v>354</v>
      </c>
      <c r="M3" s="44"/>
      <c r="N3" s="44" t="s">
        <v>353</v>
      </c>
      <c r="O3" s="472">
        <f>'Resultatopgørelse 2005 4.1'!E15</f>
        <v>4437.25</v>
      </c>
    </row>
    <row r="4" spans="1:15" ht="12.75">
      <c r="A4" s="75" t="s">
        <v>338</v>
      </c>
      <c r="B4" s="13"/>
      <c r="C4" s="13"/>
      <c r="D4" s="427">
        <v>4500</v>
      </c>
      <c r="E4" s="429">
        <v>1000</v>
      </c>
      <c r="F4" s="429">
        <v>600</v>
      </c>
      <c r="G4" s="446">
        <f>D4+E4-F4</f>
        <v>4900</v>
      </c>
      <c r="I4" s="441" t="s">
        <v>327</v>
      </c>
      <c r="J4" s="44"/>
      <c r="K4" s="302">
        <f>D8</f>
        <v>1800</v>
      </c>
      <c r="L4" s="302">
        <f>'Resultatopgørelse 2005 4.1'!E4</f>
        <v>7500</v>
      </c>
      <c r="M4" s="302">
        <v>3</v>
      </c>
      <c r="N4" s="473">
        <f aca="true" t="shared" si="0" ref="N4:N9">L4/M4</f>
        <v>2500</v>
      </c>
      <c r="O4" s="472">
        <f>K4-N4</f>
        <v>-700</v>
      </c>
    </row>
    <row r="5" spans="1:15" ht="12.75">
      <c r="A5" s="75" t="s">
        <v>50</v>
      </c>
      <c r="B5" s="13"/>
      <c r="C5" s="13"/>
      <c r="D5" s="427">
        <v>0</v>
      </c>
      <c r="E5" s="429"/>
      <c r="F5" s="429"/>
      <c r="G5" s="446">
        <v>0</v>
      </c>
      <c r="I5" s="441" t="s">
        <v>340</v>
      </c>
      <c r="J5" s="44"/>
      <c r="K5" s="302">
        <f>D9</f>
        <v>2850</v>
      </c>
      <c r="L5" s="302">
        <f>'Resultatopgørelse 2005 4.1'!E4+'Resultatopgørelse 2005 4.1'!E5</f>
        <v>15127.5</v>
      </c>
      <c r="M5" s="302">
        <v>4</v>
      </c>
      <c r="N5" s="473">
        <f t="shared" si="0"/>
        <v>3781.875</v>
      </c>
      <c r="O5" s="472">
        <f>K5-N5</f>
        <v>-931.875</v>
      </c>
    </row>
    <row r="6" spans="1:15" ht="12.75">
      <c r="A6" s="443" t="s">
        <v>36</v>
      </c>
      <c r="B6" s="26"/>
      <c r="C6" s="26"/>
      <c r="D6" s="113">
        <f>SUM(D3:D5)</f>
        <v>11250</v>
      </c>
      <c r="E6" s="8"/>
      <c r="F6" s="8"/>
      <c r="G6" s="435">
        <f>SUM(G3:G5)</f>
        <v>12250</v>
      </c>
      <c r="I6" s="441" t="s">
        <v>349</v>
      </c>
      <c r="J6" s="44"/>
      <c r="K6" s="302">
        <f>D10</f>
        <v>3150</v>
      </c>
      <c r="L6" s="302">
        <f>L5</f>
        <v>15127.5</v>
      </c>
      <c r="M6" s="302">
        <v>5</v>
      </c>
      <c r="N6" s="473">
        <f t="shared" si="0"/>
        <v>3025.5</v>
      </c>
      <c r="O6" s="472">
        <f>K6-N6</f>
        <v>124.5</v>
      </c>
    </row>
    <row r="7" spans="1:15" ht="12.75">
      <c r="A7" s="75" t="s">
        <v>71</v>
      </c>
      <c r="B7" s="13"/>
      <c r="C7" s="13"/>
      <c r="D7" s="430" t="s">
        <v>50</v>
      </c>
      <c r="E7" s="428"/>
      <c r="F7" s="428"/>
      <c r="G7" s="444" t="s">
        <v>50</v>
      </c>
      <c r="I7" s="441" t="s">
        <v>356</v>
      </c>
      <c r="J7" s="44"/>
      <c r="K7" s="302">
        <f>D11</f>
        <v>4260</v>
      </c>
      <c r="L7" s="302">
        <f>('Resultatopgørelse 2005 4.1'!E3*0.6)*K26</f>
        <v>15176.25</v>
      </c>
      <c r="M7" s="302">
        <v>12</v>
      </c>
      <c r="N7" s="473">
        <f t="shared" si="0"/>
        <v>1264.6875</v>
      </c>
      <c r="O7" s="472">
        <f>K7-N7-N8</f>
        <v>1730.625</v>
      </c>
    </row>
    <row r="8" spans="1:15" ht="12.75">
      <c r="A8" s="75" t="s">
        <v>339</v>
      </c>
      <c r="B8" s="13"/>
      <c r="C8" s="429"/>
      <c r="D8" s="427">
        <v>1800</v>
      </c>
      <c r="E8" s="429"/>
      <c r="F8" s="429"/>
      <c r="G8" s="446">
        <f>N4</f>
        <v>2500</v>
      </c>
      <c r="I8" s="441" t="s">
        <v>357</v>
      </c>
      <c r="J8" s="44"/>
      <c r="K8" s="302"/>
      <c r="L8" s="302">
        <f>('Resultatopgørelse 2005 4.1'!E3*0.4)*K26</f>
        <v>10117.5</v>
      </c>
      <c r="M8" s="302">
        <v>8</v>
      </c>
      <c r="N8" s="473">
        <f t="shared" si="0"/>
        <v>1264.6875</v>
      </c>
      <c r="O8" s="472"/>
    </row>
    <row r="9" spans="1:15" ht="12.75">
      <c r="A9" s="75" t="s">
        <v>340</v>
      </c>
      <c r="B9" s="13"/>
      <c r="C9" s="13"/>
      <c r="D9" s="427">
        <v>2850</v>
      </c>
      <c r="E9" s="429"/>
      <c r="F9" s="429"/>
      <c r="G9" s="446">
        <f>N5</f>
        <v>3781.875</v>
      </c>
      <c r="I9" s="441" t="s">
        <v>355</v>
      </c>
      <c r="J9" s="44"/>
      <c r="K9" s="302">
        <f>D26</f>
        <v>4505</v>
      </c>
      <c r="L9" s="118">
        <f>('Resultatopgørelse 2005 4.1'!E4)*K26</f>
        <v>7500</v>
      </c>
      <c r="M9" s="302">
        <v>3</v>
      </c>
      <c r="N9" s="473">
        <f t="shared" si="0"/>
        <v>2500</v>
      </c>
      <c r="O9" s="472">
        <f>N9-K9</f>
        <v>-2005</v>
      </c>
    </row>
    <row r="10" spans="1:15" ht="12.75">
      <c r="A10" s="75" t="s">
        <v>341</v>
      </c>
      <c r="B10" s="13"/>
      <c r="C10" s="13"/>
      <c r="D10" s="427">
        <v>3150</v>
      </c>
      <c r="E10" s="429"/>
      <c r="F10" s="429"/>
      <c r="G10" s="446">
        <f>N6</f>
        <v>3025.5</v>
      </c>
      <c r="I10" s="474" t="s">
        <v>358</v>
      </c>
      <c r="J10" s="78"/>
      <c r="K10" s="78"/>
      <c r="L10" s="78"/>
      <c r="M10" s="78"/>
      <c r="N10" s="78"/>
      <c r="O10" s="475">
        <f>SUM(O3:O9)</f>
        <v>2655.5</v>
      </c>
    </row>
    <row r="11" spans="1:15" ht="12.75">
      <c r="A11" s="75" t="s">
        <v>59</v>
      </c>
      <c r="B11" s="13"/>
      <c r="C11" s="13"/>
      <c r="D11" s="427">
        <v>4260</v>
      </c>
      <c r="E11" s="429"/>
      <c r="F11" s="429"/>
      <c r="G11" s="446">
        <f>N8+N7</f>
        <v>2529.375</v>
      </c>
      <c r="I11" s="441"/>
      <c r="J11" s="44"/>
      <c r="K11" s="44"/>
      <c r="L11" s="44"/>
      <c r="M11" s="44"/>
      <c r="N11" s="44"/>
      <c r="O11" s="472"/>
    </row>
    <row r="12" spans="1:15" ht="12.75">
      <c r="A12" s="75" t="s">
        <v>50</v>
      </c>
      <c r="B12" s="13"/>
      <c r="C12" s="13"/>
      <c r="D12" s="427">
        <v>0</v>
      </c>
      <c r="E12" s="429"/>
      <c r="F12" s="429"/>
      <c r="G12" s="446">
        <v>0</v>
      </c>
      <c r="I12" s="441"/>
      <c r="J12" s="44"/>
      <c r="K12" s="44"/>
      <c r="L12" s="44"/>
      <c r="M12" s="44"/>
      <c r="N12" s="44"/>
      <c r="O12" s="472"/>
    </row>
    <row r="13" spans="1:15" ht="12.75">
      <c r="A13" s="75" t="s">
        <v>66</v>
      </c>
      <c r="B13" s="13"/>
      <c r="C13" s="13"/>
      <c r="D13" s="427">
        <v>285</v>
      </c>
      <c r="E13" s="429"/>
      <c r="F13" s="429"/>
      <c r="G13" s="446">
        <v>0</v>
      </c>
      <c r="I13" s="441"/>
      <c r="J13" s="44"/>
      <c r="K13" s="44"/>
      <c r="L13" s="44"/>
      <c r="M13" s="44"/>
      <c r="N13" s="44"/>
      <c r="O13" s="472"/>
    </row>
    <row r="14" spans="1:15" ht="12.75">
      <c r="A14" s="443" t="s">
        <v>37</v>
      </c>
      <c r="B14" s="26"/>
      <c r="C14" s="26"/>
      <c r="D14" s="113">
        <f>SUM(D7:D13)</f>
        <v>12345</v>
      </c>
      <c r="E14" s="8"/>
      <c r="F14" s="8"/>
      <c r="G14" s="435">
        <f>SUM(G8:G13)</f>
        <v>11836.75</v>
      </c>
      <c r="I14" s="441"/>
      <c r="J14" s="44"/>
      <c r="K14" s="44"/>
      <c r="L14" s="44"/>
      <c r="M14" s="44"/>
      <c r="N14" s="44"/>
      <c r="O14" s="472"/>
    </row>
    <row r="15" spans="1:15" ht="13.5" thickBot="1">
      <c r="A15" s="462" t="s">
        <v>41</v>
      </c>
      <c r="B15" s="24"/>
      <c r="C15" s="24"/>
      <c r="D15" s="124">
        <f>SUM(D6:D13)</f>
        <v>23595</v>
      </c>
      <c r="E15" s="25"/>
      <c r="F15" s="25"/>
      <c r="G15" s="463">
        <f>SUM(G6:G13)</f>
        <v>24086.75</v>
      </c>
      <c r="I15" s="441" t="s">
        <v>368</v>
      </c>
      <c r="J15" s="44"/>
      <c r="K15" s="44"/>
      <c r="L15" s="44"/>
      <c r="M15" s="44"/>
      <c r="N15" s="44"/>
      <c r="O15" s="472">
        <f>F21*-1</f>
        <v>-350</v>
      </c>
    </row>
    <row r="16" spans="1:15" ht="14.25" thickBot="1" thickTop="1">
      <c r="A16" s="464"/>
      <c r="B16" s="22"/>
      <c r="C16" s="22"/>
      <c r="D16" s="23"/>
      <c r="E16" s="23"/>
      <c r="F16" s="23"/>
      <c r="G16" s="465"/>
      <c r="I16" s="441" t="s">
        <v>345</v>
      </c>
      <c r="J16" s="44"/>
      <c r="K16" s="44"/>
      <c r="L16" s="44"/>
      <c r="M16" s="44"/>
      <c r="N16" s="44"/>
      <c r="O16" s="472">
        <v>-3000</v>
      </c>
    </row>
    <row r="17" spans="1:15" ht="12.75">
      <c r="A17" s="466" t="s">
        <v>1</v>
      </c>
      <c r="B17" s="226"/>
      <c r="C17" s="226"/>
      <c r="D17" s="227">
        <f>D33</f>
        <v>11365</v>
      </c>
      <c r="E17" s="228">
        <f>'Resultatopgørelse 2005 4.1'!E23</f>
        <v>1469.825</v>
      </c>
      <c r="F17" s="228"/>
      <c r="G17" s="467">
        <f>D17+E17</f>
        <v>12834.825</v>
      </c>
      <c r="I17" s="441" t="s">
        <v>369</v>
      </c>
      <c r="J17" s="44"/>
      <c r="K17" s="44"/>
      <c r="L17" s="44"/>
      <c r="M17" s="44"/>
      <c r="N17" s="44"/>
      <c r="O17" s="472">
        <v>1500</v>
      </c>
    </row>
    <row r="18" spans="1:15" ht="12.75">
      <c r="A18" s="464"/>
      <c r="B18" s="22"/>
      <c r="C18" s="22"/>
      <c r="D18" s="125"/>
      <c r="E18" s="23"/>
      <c r="F18" s="23"/>
      <c r="G18" s="465"/>
      <c r="I18" s="441" t="s">
        <v>347</v>
      </c>
      <c r="J18" s="44"/>
      <c r="K18" s="44"/>
      <c r="L18" s="44"/>
      <c r="M18" s="44"/>
      <c r="N18" s="44"/>
      <c r="O18" s="472">
        <f>'Resultatopgørelse 2005 4.1'!E19*-1</f>
        <v>-337.5</v>
      </c>
    </row>
    <row r="19" spans="1:15" ht="12.75">
      <c r="A19" s="464" t="s">
        <v>54</v>
      </c>
      <c r="B19" s="22"/>
      <c r="C19" s="22"/>
      <c r="D19" s="427">
        <v>0</v>
      </c>
      <c r="E19" s="429"/>
      <c r="F19" s="429"/>
      <c r="G19" s="446">
        <v>0</v>
      </c>
      <c r="I19" s="441" t="s">
        <v>348</v>
      </c>
      <c r="J19" s="44"/>
      <c r="K19" s="44"/>
      <c r="L19" s="44"/>
      <c r="M19" s="44"/>
      <c r="N19" s="44"/>
      <c r="O19" s="472">
        <f>'Resultatopgørelse 2005 4.1'!E22*-1</f>
        <v>-629.925</v>
      </c>
    </row>
    <row r="20" spans="1:15" ht="12.75">
      <c r="A20" s="464"/>
      <c r="B20" s="22"/>
      <c r="C20" s="22"/>
      <c r="D20" s="125"/>
      <c r="E20" s="23"/>
      <c r="F20" s="23"/>
      <c r="G20" s="465"/>
      <c r="I20" s="441" t="s">
        <v>105</v>
      </c>
      <c r="J20" s="44"/>
      <c r="K20" s="44"/>
      <c r="L20" s="44"/>
      <c r="M20" s="44"/>
      <c r="N20" s="44"/>
      <c r="O20" s="472">
        <f>D30*-1</f>
        <v>-300</v>
      </c>
    </row>
    <row r="21" spans="1:15" ht="13.5" thickBot="1">
      <c r="A21" s="468" t="s">
        <v>342</v>
      </c>
      <c r="B21" s="22"/>
      <c r="C21" s="22"/>
      <c r="D21" s="126">
        <v>4500</v>
      </c>
      <c r="E21" s="27">
        <v>1500</v>
      </c>
      <c r="F21" s="27">
        <v>350</v>
      </c>
      <c r="G21" s="469">
        <f>D21+E21-F21</f>
        <v>5650</v>
      </c>
      <c r="I21" s="476" t="s">
        <v>350</v>
      </c>
      <c r="J21" s="477"/>
      <c r="K21" s="477"/>
      <c r="L21" s="477"/>
      <c r="M21" s="477"/>
      <c r="N21" s="477"/>
      <c r="O21" s="478">
        <f>SUM(O10:O20)</f>
        <v>-461.92499999999995</v>
      </c>
    </row>
    <row r="22" spans="1:15" ht="13.5" thickTop="1">
      <c r="A22" s="468" t="s">
        <v>50</v>
      </c>
      <c r="B22" s="22"/>
      <c r="C22" s="22"/>
      <c r="D22" s="126">
        <v>0</v>
      </c>
      <c r="E22" s="27"/>
      <c r="F22" s="27"/>
      <c r="G22" s="469">
        <v>0</v>
      </c>
      <c r="I22" s="441" t="s">
        <v>351</v>
      </c>
      <c r="J22" s="44"/>
      <c r="K22" s="44"/>
      <c r="L22" s="44"/>
      <c r="M22" s="44"/>
      <c r="N22" s="44"/>
      <c r="O22" s="472">
        <f>D13</f>
        <v>285</v>
      </c>
    </row>
    <row r="23" spans="1:15" ht="13.5" thickBot="1">
      <c r="A23" s="75" t="s">
        <v>50</v>
      </c>
      <c r="B23" s="13"/>
      <c r="C23" s="429"/>
      <c r="D23" s="126">
        <v>0</v>
      </c>
      <c r="E23" s="27"/>
      <c r="F23" s="27"/>
      <c r="G23" s="469">
        <v>0</v>
      </c>
      <c r="I23" s="476" t="s">
        <v>370</v>
      </c>
      <c r="J23" s="477"/>
      <c r="K23" s="477"/>
      <c r="L23" s="477"/>
      <c r="M23" s="477"/>
      <c r="N23" s="477"/>
      <c r="O23" s="478">
        <f>O21+O22</f>
        <v>-176.92499999999995</v>
      </c>
    </row>
    <row r="24" spans="1:15" ht="13.5" thickTop="1">
      <c r="A24" s="443" t="s">
        <v>58</v>
      </c>
      <c r="B24" s="58"/>
      <c r="C24" s="431"/>
      <c r="D24" s="347">
        <f>SUM(D21:D23)</f>
        <v>4500</v>
      </c>
      <c r="E24" s="432"/>
      <c r="F24" s="432"/>
      <c r="G24" s="470">
        <f>SUM(G21:G23)</f>
        <v>5650</v>
      </c>
      <c r="I24" s="75" t="s">
        <v>366</v>
      </c>
      <c r="J24" s="44"/>
      <c r="K24" s="44"/>
      <c r="L24" s="44"/>
      <c r="M24" s="44"/>
      <c r="N24" s="44"/>
      <c r="O24" s="472">
        <v>1425</v>
      </c>
    </row>
    <row r="25" spans="1:15" ht="13.5" thickBot="1">
      <c r="A25" s="468" t="s">
        <v>39</v>
      </c>
      <c r="B25" s="22"/>
      <c r="C25" s="433"/>
      <c r="D25" s="430" t="s">
        <v>50</v>
      </c>
      <c r="E25" s="428"/>
      <c r="F25" s="428"/>
      <c r="G25" s="444" t="s">
        <v>50</v>
      </c>
      <c r="I25" s="480" t="s">
        <v>367</v>
      </c>
      <c r="J25" s="477"/>
      <c r="K25" s="477"/>
      <c r="L25" s="477"/>
      <c r="M25" s="477"/>
      <c r="N25" s="477"/>
      <c r="O25" s="481">
        <f>O24-O23</f>
        <v>1601.925</v>
      </c>
    </row>
    <row r="26" spans="1:16" ht="13.5" thickTop="1">
      <c r="A26" s="75" t="s">
        <v>242</v>
      </c>
      <c r="B26" s="13"/>
      <c r="C26" s="13"/>
      <c r="D26" s="427">
        <v>4505</v>
      </c>
      <c r="E26" s="429"/>
      <c r="F26" s="429"/>
      <c r="G26" s="446">
        <f>N9</f>
        <v>2500</v>
      </c>
      <c r="I26" t="s">
        <v>371</v>
      </c>
      <c r="K26" s="329">
        <v>1</v>
      </c>
      <c r="O26" s="323"/>
      <c r="P26" s="479"/>
    </row>
    <row r="27" spans="1:9" ht="12.75">
      <c r="A27" s="75" t="s">
        <v>343</v>
      </c>
      <c r="B27" s="13"/>
      <c r="C27" s="13"/>
      <c r="D27" s="427">
        <v>1425</v>
      </c>
      <c r="E27" s="429"/>
      <c r="F27" s="429"/>
      <c r="G27" s="446">
        <f>O25</f>
        <v>1601.925</v>
      </c>
      <c r="I27" t="s">
        <v>372</v>
      </c>
    </row>
    <row r="28" spans="1:7" ht="12.75">
      <c r="A28" s="75" t="s">
        <v>344</v>
      </c>
      <c r="B28" s="13"/>
      <c r="C28" s="13"/>
      <c r="D28" s="427">
        <v>1500</v>
      </c>
      <c r="E28" s="429"/>
      <c r="F28" s="429"/>
      <c r="G28" s="446">
        <f>D28</f>
        <v>1500</v>
      </c>
    </row>
    <row r="29" spans="1:7" ht="12.75">
      <c r="A29" s="75" t="s">
        <v>50</v>
      </c>
      <c r="B29" s="13"/>
      <c r="C29" s="13"/>
      <c r="D29" s="427">
        <v>0</v>
      </c>
      <c r="E29" s="429"/>
      <c r="F29" s="429"/>
      <c r="G29" s="446">
        <v>0</v>
      </c>
    </row>
    <row r="30" spans="1:9" ht="12.75">
      <c r="A30" s="75" t="s">
        <v>105</v>
      </c>
      <c r="B30" s="13"/>
      <c r="C30" s="13"/>
      <c r="D30" s="427">
        <v>300</v>
      </c>
      <c r="E30" s="429">
        <v>-300</v>
      </c>
      <c r="F30" s="429"/>
      <c r="G30" s="446">
        <f>D30+E30</f>
        <v>0</v>
      </c>
      <c r="I30" t="s">
        <v>365</v>
      </c>
    </row>
    <row r="31" spans="1:7" ht="12.75">
      <c r="A31" s="443" t="s">
        <v>57</v>
      </c>
      <c r="B31" s="26"/>
      <c r="C31" s="26"/>
      <c r="D31" s="113">
        <f>SUM(D25:D30)</f>
        <v>7730</v>
      </c>
      <c r="E31" s="8"/>
      <c r="F31" s="8"/>
      <c r="G31" s="435">
        <f>SUM(G26:G30)</f>
        <v>5601.925</v>
      </c>
    </row>
    <row r="32" spans="1:7" ht="12.75">
      <c r="A32" s="464" t="s">
        <v>26</v>
      </c>
      <c r="B32" s="22"/>
      <c r="C32" s="22"/>
      <c r="D32" s="125">
        <f>D31+D24+D19</f>
        <v>12230</v>
      </c>
      <c r="E32" s="23"/>
      <c r="F32" s="23"/>
      <c r="G32" s="465">
        <f>SUM(G24:G30)</f>
        <v>11251.925</v>
      </c>
    </row>
    <row r="33" spans="1:7" ht="12.75" hidden="1">
      <c r="A33" s="75" t="s">
        <v>3</v>
      </c>
      <c r="B33" s="13"/>
      <c r="C33" s="13"/>
      <c r="D33" s="427">
        <f>D15-D32</f>
        <v>11365</v>
      </c>
      <c r="E33" s="429"/>
      <c r="F33" s="429"/>
      <c r="G33" s="446">
        <f>G15-G32</f>
        <v>12834.825</v>
      </c>
    </row>
    <row r="34" spans="1:7" ht="12.75" hidden="1">
      <c r="A34" s="75"/>
      <c r="B34" s="13"/>
      <c r="C34" s="13"/>
      <c r="D34" s="115"/>
      <c r="E34" s="13"/>
      <c r="F34" s="13"/>
      <c r="G34" s="450"/>
    </row>
    <row r="35" spans="1:7" ht="13.5" thickBot="1">
      <c r="A35" s="462" t="s">
        <v>27</v>
      </c>
      <c r="B35" s="24"/>
      <c r="C35" s="24"/>
      <c r="D35" s="116">
        <f>D32+D17</f>
        <v>23595</v>
      </c>
      <c r="E35" s="9"/>
      <c r="F35" s="9"/>
      <c r="G35" s="471">
        <f>G32+G17</f>
        <v>24086.75</v>
      </c>
    </row>
    <row r="36" ht="13.5" thickTop="1"/>
    <row r="37" ht="12.75">
      <c r="A37" t="s">
        <v>359</v>
      </c>
    </row>
    <row r="38" ht="12.75">
      <c r="A38" t="s">
        <v>360</v>
      </c>
    </row>
    <row r="39" ht="12.75">
      <c r="A39" t="s">
        <v>361</v>
      </c>
    </row>
    <row r="40" ht="12.75">
      <c r="A40" t="s">
        <v>362</v>
      </c>
    </row>
    <row r="41" ht="12.75">
      <c r="A41" t="s">
        <v>363</v>
      </c>
    </row>
  </sheetData>
  <mergeCells count="1">
    <mergeCell ref="A1:B1"/>
  </mergeCells>
  <printOptions/>
  <pageMargins left="0.5905511811023623" right="0.3937007874015748" top="0.984251968503937" bottom="0.984251968503937" header="0" footer="0"/>
  <pageSetup fitToHeight="1" fitToWidth="1" horizontalDpi="300" verticalDpi="300"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C38" sqref="C38"/>
    </sheetView>
  </sheetViews>
  <sheetFormatPr defaultColWidth="9.140625" defaultRowHeight="12.75"/>
  <cols>
    <col min="2" max="2" width="9.8515625" style="0" customWidth="1"/>
    <col min="3" max="3" width="5.8515625" style="0" customWidth="1"/>
    <col min="4" max="4" width="10.28125" style="0" bestFit="1" customWidth="1"/>
    <col min="5" max="5" width="11.28125" style="0" customWidth="1"/>
    <col min="6" max="6" width="11.28125" style="0" bestFit="1" customWidth="1"/>
    <col min="7" max="7" width="11.7109375" style="0" hidden="1" customWidth="1"/>
    <col min="8" max="8" width="9.57421875" style="0" hidden="1" customWidth="1"/>
  </cols>
  <sheetData>
    <row r="1" spans="1:8" ht="18.75" thickBot="1">
      <c r="A1" s="482" t="str">
        <f>'Resultatopgørelse til analyse'!A1</f>
        <v>Nordic Chains</v>
      </c>
      <c r="B1" s="483"/>
      <c r="C1" s="68" t="s">
        <v>53</v>
      </c>
      <c r="D1" s="67"/>
      <c r="E1" s="67"/>
      <c r="F1" s="69"/>
      <c r="G1" s="215"/>
      <c r="H1" s="215"/>
    </row>
    <row r="2" spans="1:8" ht="13.5" thickBot="1">
      <c r="A2" s="17" t="s">
        <v>22</v>
      </c>
      <c r="B2" s="18"/>
      <c r="C2" s="18"/>
      <c r="D2" s="128">
        <f>'Resultatopgørelse til analyse'!B2</f>
        <v>2001</v>
      </c>
      <c r="E2" s="128">
        <f>'Resultatopgørelse til analyse'!C2</f>
        <v>2002</v>
      </c>
      <c r="F2" s="147">
        <f>'Resultatopgørelse til analyse'!D2</f>
        <v>2003</v>
      </c>
      <c r="G2" s="222" t="str">
        <f>'Resultatopgørelse til analyse'!E2</f>
        <v>Ændring </v>
      </c>
      <c r="H2" s="222" t="s">
        <v>95</v>
      </c>
    </row>
    <row r="3" spans="1:8" ht="12.75">
      <c r="A3" s="14" t="s">
        <v>226</v>
      </c>
      <c r="B3" s="13"/>
      <c r="C3" s="13"/>
      <c r="D3" s="111">
        <v>79753</v>
      </c>
      <c r="E3" s="3">
        <v>93358</v>
      </c>
      <c r="F3" s="142">
        <v>87259</v>
      </c>
      <c r="G3" s="223">
        <f>F3-D3</f>
        <v>7506</v>
      </c>
      <c r="H3" s="216">
        <f>G3/D3</f>
        <v>0.09411558185898963</v>
      </c>
    </row>
    <row r="4" spans="1:8" ht="12.75">
      <c r="A4" s="14" t="s">
        <v>237</v>
      </c>
      <c r="B4" s="13"/>
      <c r="C4" s="13"/>
      <c r="D4" s="111">
        <v>53830</v>
      </c>
      <c r="E4" s="3">
        <v>55840</v>
      </c>
      <c r="F4" s="142">
        <v>62500</v>
      </c>
      <c r="G4" s="223">
        <f aca="true" t="shared" si="0" ref="G4:G35">F4-D4</f>
        <v>8670</v>
      </c>
      <c r="H4" s="216">
        <f aca="true" t="shared" si="1" ref="H4:H35">G4/D4</f>
        <v>0.1610626044956344</v>
      </c>
    </row>
    <row r="5" spans="1:8" ht="12.75">
      <c r="A5" s="14" t="s">
        <v>238</v>
      </c>
      <c r="B5" s="13"/>
      <c r="C5" s="13"/>
      <c r="D5" s="111">
        <f>8864+3209+237</f>
        <v>12310</v>
      </c>
      <c r="E5" s="3">
        <f>9432+2736+237</f>
        <v>12405</v>
      </c>
      <c r="F5" s="142">
        <f>7533+2243</f>
        <v>9776</v>
      </c>
      <c r="G5" s="223">
        <f t="shared" si="0"/>
        <v>-2534</v>
      </c>
      <c r="H5" s="216">
        <f t="shared" si="1"/>
        <v>-0.2058489033306255</v>
      </c>
    </row>
    <row r="6" spans="1:8" ht="12.75">
      <c r="A6" s="19" t="s">
        <v>36</v>
      </c>
      <c r="B6" s="26"/>
      <c r="C6" s="26"/>
      <c r="D6" s="113">
        <f>SUM(D3:D5)</f>
        <v>145893</v>
      </c>
      <c r="E6" s="8">
        <f>SUM(E3:E5)</f>
        <v>161603</v>
      </c>
      <c r="F6" s="144">
        <f>SUM(F3:F5)</f>
        <v>159535</v>
      </c>
      <c r="G6" s="224">
        <f t="shared" si="0"/>
        <v>13642</v>
      </c>
      <c r="H6" s="217">
        <f t="shared" si="1"/>
        <v>0.09350688518297656</v>
      </c>
    </row>
    <row r="7" spans="1:8" ht="12.75">
      <c r="A7" s="14" t="s">
        <v>71</v>
      </c>
      <c r="B7" s="13"/>
      <c r="C7" s="13"/>
      <c r="D7" s="114" t="s">
        <v>50</v>
      </c>
      <c r="E7" s="15" t="s">
        <v>50</v>
      </c>
      <c r="F7" s="280" t="s">
        <v>50</v>
      </c>
      <c r="G7" s="223" t="e">
        <f t="shared" si="0"/>
        <v>#VALUE!</v>
      </c>
      <c r="H7" s="216" t="e">
        <f t="shared" si="1"/>
        <v>#VALUE!</v>
      </c>
    </row>
    <row r="8" spans="1:8" ht="12.75">
      <c r="A8" s="14" t="s">
        <v>25</v>
      </c>
      <c r="B8" s="13"/>
      <c r="C8" s="3"/>
      <c r="D8" s="111">
        <v>33968</v>
      </c>
      <c r="E8" s="3">
        <v>33795</v>
      </c>
      <c r="F8" s="142">
        <v>34457</v>
      </c>
      <c r="G8" s="223">
        <f t="shared" si="0"/>
        <v>489</v>
      </c>
      <c r="H8" s="216">
        <f t="shared" si="1"/>
        <v>0.014395902025435704</v>
      </c>
    </row>
    <row r="9" spans="1:8" ht="12.75">
      <c r="A9" s="14" t="s">
        <v>239</v>
      </c>
      <c r="B9" s="13"/>
      <c r="C9" s="13"/>
      <c r="D9" s="111">
        <v>39828</v>
      </c>
      <c r="E9" s="3">
        <v>41511</v>
      </c>
      <c r="F9" s="142">
        <v>42098</v>
      </c>
      <c r="G9" s="223">
        <f t="shared" si="0"/>
        <v>2270</v>
      </c>
      <c r="H9" s="216">
        <f t="shared" si="1"/>
        <v>0.056995078839007736</v>
      </c>
    </row>
    <row r="10" spans="1:8" ht="12.75">
      <c r="A10" s="14" t="s">
        <v>50</v>
      </c>
      <c r="B10" s="13"/>
      <c r="C10" s="13"/>
      <c r="D10" s="111">
        <v>0</v>
      </c>
      <c r="E10" s="3">
        <v>0</v>
      </c>
      <c r="F10" s="142">
        <v>0</v>
      </c>
      <c r="G10" s="223">
        <f t="shared" si="0"/>
        <v>0</v>
      </c>
      <c r="H10" s="216" t="e">
        <f t="shared" si="1"/>
        <v>#DIV/0!</v>
      </c>
    </row>
    <row r="11" spans="1:8" ht="12.75">
      <c r="A11" s="14" t="s">
        <v>50</v>
      </c>
      <c r="B11" s="13"/>
      <c r="C11" s="13"/>
      <c r="D11" s="111">
        <v>0</v>
      </c>
      <c r="E11" s="3">
        <v>0</v>
      </c>
      <c r="F11" s="142">
        <v>0</v>
      </c>
      <c r="G11" s="223">
        <f t="shared" si="0"/>
        <v>0</v>
      </c>
      <c r="H11" s="216" t="e">
        <f t="shared" si="1"/>
        <v>#DIV/0!</v>
      </c>
    </row>
    <row r="12" spans="1:8" ht="12.75">
      <c r="A12" s="14" t="s">
        <v>50</v>
      </c>
      <c r="B12" s="13"/>
      <c r="C12" s="13"/>
      <c r="D12" s="111">
        <v>0</v>
      </c>
      <c r="E12" s="3">
        <v>0</v>
      </c>
      <c r="F12" s="142">
        <v>0</v>
      </c>
      <c r="G12" s="223">
        <f t="shared" si="0"/>
        <v>0</v>
      </c>
      <c r="H12" s="216" t="e">
        <f t="shared" si="1"/>
        <v>#DIV/0!</v>
      </c>
    </row>
    <row r="13" spans="1:8" ht="12.75">
      <c r="A13" s="14" t="s">
        <v>66</v>
      </c>
      <c r="B13" s="13"/>
      <c r="C13" s="13"/>
      <c r="D13" s="111">
        <v>1297</v>
      </c>
      <c r="E13" s="3">
        <v>2094</v>
      </c>
      <c r="F13" s="142">
        <v>2931</v>
      </c>
      <c r="G13" s="223">
        <f t="shared" si="0"/>
        <v>1634</v>
      </c>
      <c r="H13" s="216">
        <f t="shared" si="1"/>
        <v>1.2598303777949114</v>
      </c>
    </row>
    <row r="14" spans="1:8" ht="12.75">
      <c r="A14" s="19" t="s">
        <v>37</v>
      </c>
      <c r="B14" s="26"/>
      <c r="C14" s="26"/>
      <c r="D14" s="113">
        <f>SUM(D7:D13)</f>
        <v>75093</v>
      </c>
      <c r="E14" s="8">
        <f>SUM(E7:E13)</f>
        <v>77400</v>
      </c>
      <c r="F14" s="144">
        <f>SUM(F7:F13)</f>
        <v>79486</v>
      </c>
      <c r="G14" s="224">
        <f t="shared" si="0"/>
        <v>4393</v>
      </c>
      <c r="H14" s="217">
        <f t="shared" si="1"/>
        <v>0.05850079235081832</v>
      </c>
    </row>
    <row r="15" spans="1:8" ht="13.5" thickBot="1">
      <c r="A15" s="20" t="s">
        <v>41</v>
      </c>
      <c r="B15" s="24"/>
      <c r="C15" s="24"/>
      <c r="D15" s="124">
        <f>SUM(D6:D13)</f>
        <v>220986</v>
      </c>
      <c r="E15" s="25">
        <f>SUM(E6:E13)</f>
        <v>239003</v>
      </c>
      <c r="F15" s="148">
        <f>SUM(F6:F13)</f>
        <v>239021</v>
      </c>
      <c r="G15" s="221">
        <f t="shared" si="0"/>
        <v>18035</v>
      </c>
      <c r="H15" s="219">
        <f t="shared" si="1"/>
        <v>0.08161150480120913</v>
      </c>
    </row>
    <row r="16" spans="1:8" ht="14.25" thickBot="1" thickTop="1">
      <c r="A16" s="22"/>
      <c r="B16" s="22"/>
      <c r="C16" s="22"/>
      <c r="D16" s="23"/>
      <c r="E16" s="23"/>
      <c r="F16" s="23"/>
      <c r="G16" s="3"/>
      <c r="H16" s="220"/>
    </row>
    <row r="17" spans="1:8" ht="12.75">
      <c r="A17" s="225" t="s">
        <v>1</v>
      </c>
      <c r="B17" s="226"/>
      <c r="C17" s="226"/>
      <c r="D17" s="227">
        <f>D33</f>
        <v>69702</v>
      </c>
      <c r="E17" s="228">
        <f>E33</f>
        <v>79567</v>
      </c>
      <c r="F17" s="229">
        <f>F33</f>
        <v>86610</v>
      </c>
      <c r="G17" s="230">
        <f t="shared" si="0"/>
        <v>16908</v>
      </c>
      <c r="H17" s="231">
        <f t="shared" si="1"/>
        <v>0.24257553585262975</v>
      </c>
    </row>
    <row r="18" spans="1:8" ht="12.75">
      <c r="A18" s="21"/>
      <c r="B18" s="22"/>
      <c r="C18" s="22"/>
      <c r="D18" s="125"/>
      <c r="E18" s="23"/>
      <c r="F18" s="149"/>
      <c r="G18" s="223">
        <f t="shared" si="0"/>
        <v>0</v>
      </c>
      <c r="H18" s="216" t="e">
        <f t="shared" si="1"/>
        <v>#DIV/0!</v>
      </c>
    </row>
    <row r="19" spans="1:8" ht="12.75">
      <c r="A19" s="21" t="s">
        <v>54</v>
      </c>
      <c r="B19" s="22"/>
      <c r="C19" s="22"/>
      <c r="D19" s="111">
        <v>13509</v>
      </c>
      <c r="E19" s="3">
        <v>14673</v>
      </c>
      <c r="F19" s="142">
        <v>17754</v>
      </c>
      <c r="G19" s="223">
        <f t="shared" si="0"/>
        <v>4245</v>
      </c>
      <c r="H19" s="216">
        <f t="shared" si="1"/>
        <v>0.3142349544747946</v>
      </c>
    </row>
    <row r="20" spans="1:8" ht="12.75">
      <c r="A20" s="21"/>
      <c r="B20" s="22"/>
      <c r="C20" s="22"/>
      <c r="D20" s="125"/>
      <c r="E20" s="23"/>
      <c r="F20" s="149"/>
      <c r="G20" s="223">
        <f t="shared" si="0"/>
        <v>0</v>
      </c>
      <c r="H20" s="216" t="e">
        <f t="shared" si="1"/>
        <v>#DIV/0!</v>
      </c>
    </row>
    <row r="21" spans="1:8" ht="12.75">
      <c r="A21" s="57" t="s">
        <v>38</v>
      </c>
      <c r="B21" s="22"/>
      <c r="C21" s="22"/>
      <c r="D21" s="126" t="s">
        <v>50</v>
      </c>
      <c r="E21" s="27" t="s">
        <v>50</v>
      </c>
      <c r="F21" s="150" t="s">
        <v>50</v>
      </c>
      <c r="G21" s="223" t="e">
        <f t="shared" si="0"/>
        <v>#VALUE!</v>
      </c>
      <c r="H21" s="216" t="e">
        <f t="shared" si="1"/>
        <v>#VALUE!</v>
      </c>
    </row>
    <row r="22" spans="1:8" ht="12.75">
      <c r="A22" s="57" t="s">
        <v>241</v>
      </c>
      <c r="B22" s="22"/>
      <c r="C22" s="22"/>
      <c r="D22" s="126">
        <f>342+426</f>
        <v>768</v>
      </c>
      <c r="E22" s="27">
        <f>90+127</f>
        <v>217</v>
      </c>
      <c r="F22" s="150">
        <f>1076+813</f>
        <v>1889</v>
      </c>
      <c r="G22" s="223">
        <f t="shared" si="0"/>
        <v>1121</v>
      </c>
      <c r="H22" s="216">
        <f t="shared" si="1"/>
        <v>1.4596354166666667</v>
      </c>
    </row>
    <row r="23" spans="1:8" ht="12.75">
      <c r="A23" s="14" t="s">
        <v>240</v>
      </c>
      <c r="B23" s="13"/>
      <c r="C23" s="3"/>
      <c r="D23" s="126">
        <v>42451</v>
      </c>
      <c r="E23" s="27">
        <v>37475</v>
      </c>
      <c r="F23" s="150">
        <v>49269</v>
      </c>
      <c r="G23" s="223">
        <f t="shared" si="0"/>
        <v>6818</v>
      </c>
      <c r="H23" s="216">
        <f t="shared" si="1"/>
        <v>0.1606087017973664</v>
      </c>
    </row>
    <row r="24" spans="1:8" ht="12.75">
      <c r="A24" s="19" t="s">
        <v>58</v>
      </c>
      <c r="B24" s="58"/>
      <c r="C24" s="59"/>
      <c r="D24" s="127">
        <f>SUM(D21:D23)</f>
        <v>43219</v>
      </c>
      <c r="E24" s="60">
        <f>SUM(E21:E23)</f>
        <v>37692</v>
      </c>
      <c r="F24" s="151">
        <f>SUM(F21:F23)</f>
        <v>51158</v>
      </c>
      <c r="G24" s="224">
        <f t="shared" si="0"/>
        <v>7939</v>
      </c>
      <c r="H24" s="217">
        <f t="shared" si="1"/>
        <v>0.1836923575279391</v>
      </c>
    </row>
    <row r="25" spans="1:8" ht="12.75">
      <c r="A25" s="57" t="s">
        <v>39</v>
      </c>
      <c r="B25" s="22"/>
      <c r="C25" s="16"/>
      <c r="D25" s="114" t="s">
        <v>50</v>
      </c>
      <c r="E25" s="15" t="s">
        <v>50</v>
      </c>
      <c r="F25" s="280" t="s">
        <v>50</v>
      </c>
      <c r="G25" s="223" t="e">
        <f t="shared" si="0"/>
        <v>#VALUE!</v>
      </c>
      <c r="H25" s="216" t="e">
        <f t="shared" si="1"/>
        <v>#VALUE!</v>
      </c>
    </row>
    <row r="26" spans="1:8" ht="12.75">
      <c r="A26" s="14" t="s">
        <v>242</v>
      </c>
      <c r="B26" s="13"/>
      <c r="C26" s="13"/>
      <c r="D26" s="111">
        <v>11612</v>
      </c>
      <c r="E26" s="3">
        <v>8204</v>
      </c>
      <c r="F26" s="142">
        <v>8436</v>
      </c>
      <c r="G26" s="223">
        <f t="shared" si="0"/>
        <v>-3176</v>
      </c>
      <c r="H26" s="216">
        <f t="shared" si="1"/>
        <v>-0.27351016190148125</v>
      </c>
    </row>
    <row r="27" spans="1:8" ht="12.75">
      <c r="A27" s="14" t="s">
        <v>243</v>
      </c>
      <c r="B27" s="13"/>
      <c r="C27" s="13"/>
      <c r="D27" s="111">
        <f>4764+46482</f>
        <v>51246</v>
      </c>
      <c r="E27" s="3">
        <f>4977+59486</f>
        <v>64463</v>
      </c>
      <c r="F27" s="142">
        <f>33326+4994</f>
        <v>38320</v>
      </c>
      <c r="G27" s="223">
        <f t="shared" si="0"/>
        <v>-12926</v>
      </c>
      <c r="H27" s="216">
        <f t="shared" si="1"/>
        <v>-0.25223432072747143</v>
      </c>
    </row>
    <row r="28" spans="1:8" ht="12.75">
      <c r="A28" s="14" t="s">
        <v>244</v>
      </c>
      <c r="B28" s="13"/>
      <c r="C28" s="13"/>
      <c r="D28" s="111">
        <v>10274</v>
      </c>
      <c r="E28" s="3">
        <v>10671</v>
      </c>
      <c r="F28" s="142">
        <v>10909</v>
      </c>
      <c r="G28" s="223">
        <f t="shared" si="0"/>
        <v>635</v>
      </c>
      <c r="H28" s="216">
        <f t="shared" si="1"/>
        <v>0.0618065018493284</v>
      </c>
    </row>
    <row r="29" spans="1:8" ht="12.75">
      <c r="A29" s="14" t="s">
        <v>104</v>
      </c>
      <c r="B29" s="13"/>
      <c r="C29" s="13"/>
      <c r="D29" s="111">
        <v>19924</v>
      </c>
      <c r="E29" s="3">
        <v>20733</v>
      </c>
      <c r="F29" s="142">
        <v>21834</v>
      </c>
      <c r="G29" s="223">
        <f t="shared" si="0"/>
        <v>1910</v>
      </c>
      <c r="H29" s="216">
        <f t="shared" si="1"/>
        <v>0.09586428428026501</v>
      </c>
    </row>
    <row r="30" spans="1:8" ht="12.75">
      <c r="A30" s="14" t="s">
        <v>105</v>
      </c>
      <c r="B30" s="13"/>
      <c r="C30" s="13"/>
      <c r="D30" s="111">
        <v>1500</v>
      </c>
      <c r="E30" s="3">
        <v>3000</v>
      </c>
      <c r="F30" s="142">
        <v>4000</v>
      </c>
      <c r="G30" s="223">
        <f t="shared" si="0"/>
        <v>2500</v>
      </c>
      <c r="H30" s="216">
        <f t="shared" si="1"/>
        <v>1.6666666666666667</v>
      </c>
    </row>
    <row r="31" spans="1:8" ht="12.75">
      <c r="A31" s="19" t="s">
        <v>57</v>
      </c>
      <c r="B31" s="26"/>
      <c r="C31" s="26"/>
      <c r="D31" s="113">
        <f>SUM(D25:D30)</f>
        <v>94556</v>
      </c>
      <c r="E31" s="8">
        <f>SUM(E25:E30)</f>
        <v>107071</v>
      </c>
      <c r="F31" s="144">
        <f>SUM(F25:F30)</f>
        <v>83499</v>
      </c>
      <c r="G31" s="224">
        <f t="shared" si="0"/>
        <v>-11057</v>
      </c>
      <c r="H31" s="217">
        <f t="shared" si="1"/>
        <v>-0.11693599560049071</v>
      </c>
    </row>
    <row r="32" spans="1:8" ht="12.75">
      <c r="A32" s="21" t="s">
        <v>26</v>
      </c>
      <c r="B32" s="22"/>
      <c r="C32" s="22"/>
      <c r="D32" s="125">
        <f>D31+D24+D19</f>
        <v>151284</v>
      </c>
      <c r="E32" s="23">
        <f>E31+E24+E19</f>
        <v>159436</v>
      </c>
      <c r="F32" s="149">
        <f>F31+F24+F19</f>
        <v>152411</v>
      </c>
      <c r="G32" s="224">
        <f t="shared" si="0"/>
        <v>1127</v>
      </c>
      <c r="H32" s="217">
        <f t="shared" si="1"/>
        <v>0.007449565056450121</v>
      </c>
    </row>
    <row r="33" spans="1:8" ht="12.75" hidden="1">
      <c r="A33" s="14" t="s">
        <v>3</v>
      </c>
      <c r="B33" s="13"/>
      <c r="C33" s="13"/>
      <c r="D33" s="111">
        <f>D15-D32</f>
        <v>69702</v>
      </c>
      <c r="E33" s="3">
        <f>E15-E32</f>
        <v>79567</v>
      </c>
      <c r="F33" s="142">
        <f>F15-F32</f>
        <v>86610</v>
      </c>
      <c r="G33" s="224">
        <f t="shared" si="0"/>
        <v>16908</v>
      </c>
      <c r="H33" s="217">
        <f t="shared" si="1"/>
        <v>0.24257553585262975</v>
      </c>
    </row>
    <row r="34" spans="1:8" ht="12.75" hidden="1">
      <c r="A34" s="14"/>
      <c r="B34" s="13"/>
      <c r="C34" s="13"/>
      <c r="D34" s="115"/>
      <c r="E34" s="13"/>
      <c r="F34" s="145"/>
      <c r="G34" s="224">
        <f t="shared" si="0"/>
        <v>0</v>
      </c>
      <c r="H34" s="217" t="e">
        <f t="shared" si="1"/>
        <v>#DIV/0!</v>
      </c>
    </row>
    <row r="35" spans="1:8" ht="13.5" thickBot="1">
      <c r="A35" s="20" t="s">
        <v>27</v>
      </c>
      <c r="B35" s="24"/>
      <c r="C35" s="24"/>
      <c r="D35" s="116">
        <f>D32+D17</f>
        <v>220986</v>
      </c>
      <c r="E35" s="9">
        <f>E32+E17</f>
        <v>239003</v>
      </c>
      <c r="F35" s="146">
        <f>F32+F17</f>
        <v>239021</v>
      </c>
      <c r="G35" s="221">
        <f t="shared" si="0"/>
        <v>18035</v>
      </c>
      <c r="H35" s="219">
        <f t="shared" si="1"/>
        <v>0.08161150480120913</v>
      </c>
    </row>
    <row r="36" ht="13.5" thickTop="1"/>
  </sheetData>
  <mergeCells count="1">
    <mergeCell ref="A1:B1"/>
  </mergeCells>
  <printOptions/>
  <pageMargins left="0.5905511811023623" right="0.3937007874015748" top="0.984251968503937" bottom="0.984251968503937" header="0" footer="0"/>
  <pageSetup horizontalDpi="300" verticalDpi="300" orientation="portrait" paperSize="9" scale="12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4"/>
  <sheetViews>
    <sheetView zoomScale="75" zoomScaleNormal="75" workbookViewId="0" topLeftCell="A1">
      <selection activeCell="C93" sqref="C93"/>
    </sheetView>
  </sheetViews>
  <sheetFormatPr defaultColWidth="9.140625" defaultRowHeight="12.75"/>
  <cols>
    <col min="2" max="2" width="15.140625" style="0" customWidth="1"/>
    <col min="3" max="3" width="27.28125" style="0" customWidth="1"/>
    <col min="4" max="4" width="6.28125" style="0" customWidth="1"/>
    <col min="5" max="5" width="3.7109375" style="0" customWidth="1"/>
    <col min="6" max="6" width="17.140625" style="0" bestFit="1" customWidth="1"/>
    <col min="7" max="7" width="10.28125" style="0" bestFit="1" customWidth="1"/>
    <col min="8" max="8" width="13.7109375" style="0" customWidth="1"/>
    <col min="9" max="9" width="12.28125" style="0" customWidth="1"/>
    <col min="10" max="10" width="14.57421875" style="0" customWidth="1"/>
    <col min="11" max="11" width="13.00390625" style="0" customWidth="1"/>
  </cols>
  <sheetData>
    <row r="1" spans="1:11" ht="27" thickBot="1">
      <c r="A1" s="10"/>
      <c r="B1" s="67"/>
      <c r="C1" s="193" t="s">
        <v>23</v>
      </c>
      <c r="D1" s="67"/>
      <c r="E1" s="67"/>
      <c r="F1" s="485" t="str">
        <f>'Resultatopgørelse til analyse'!A1</f>
        <v>Nordic Chains</v>
      </c>
      <c r="G1" s="486"/>
      <c r="H1" s="486"/>
      <c r="I1" s="486"/>
      <c r="J1" s="487"/>
      <c r="K1" s="207"/>
    </row>
    <row r="2" spans="1:11" ht="15.75">
      <c r="A2" s="194"/>
      <c r="B2" s="195"/>
      <c r="C2" s="196"/>
      <c r="D2" s="196"/>
      <c r="E2" s="196"/>
      <c r="F2" s="196"/>
      <c r="G2" s="196"/>
      <c r="H2" s="197">
        <f>'Resultatopgørelse til analyse'!B2</f>
        <v>2001</v>
      </c>
      <c r="I2" s="197">
        <f>'Resultatopgørelse til analyse'!C2</f>
        <v>2002</v>
      </c>
      <c r="J2" s="198">
        <f>'Resultatopgørelse til analyse'!D2</f>
        <v>2003</v>
      </c>
      <c r="K2" s="250" t="s">
        <v>93</v>
      </c>
    </row>
    <row r="3" spans="1:11" ht="15.75">
      <c r="A3" s="152" t="s">
        <v>9</v>
      </c>
      <c r="B3" s="79"/>
      <c r="C3" s="80" t="s">
        <v>30</v>
      </c>
      <c r="D3" s="80"/>
      <c r="E3" s="80"/>
      <c r="F3" s="81" t="s">
        <v>29</v>
      </c>
      <c r="G3" s="82">
        <f>H2</f>
        <v>2001</v>
      </c>
      <c r="H3" s="83"/>
      <c r="I3" s="83"/>
      <c r="J3" s="153"/>
      <c r="K3" s="251"/>
    </row>
    <row r="4" spans="1:11" ht="13.5" thickBot="1">
      <c r="A4" s="154" t="s">
        <v>2</v>
      </c>
      <c r="B4" s="29"/>
      <c r="C4" s="32" t="str">
        <f>'Resultatopgørelse til analyse'!A16</f>
        <v>Resultat før renter (EBIT)</v>
      </c>
      <c r="D4" s="30" t="s">
        <v>28</v>
      </c>
      <c r="E4" s="29"/>
      <c r="F4" s="31">
        <f>'Resultatopgørelse til analyse'!B16</f>
        <v>14581</v>
      </c>
      <c r="G4" s="48" t="s">
        <v>28</v>
      </c>
      <c r="H4" s="84">
        <f>'Resultatopgørelse til analyse'!B16/'Balance til analyse'!D15</f>
        <v>0.06598155539264931</v>
      </c>
      <c r="I4" s="84">
        <f>'Resultatopgørelse til analyse'!C16/'Balance til analyse'!E15</f>
        <v>0.10655096379543354</v>
      </c>
      <c r="J4" s="155">
        <f>'Resultatopgørelse til analyse'!D16/'Balance til analyse'!F15</f>
        <v>0.11439580622623116</v>
      </c>
      <c r="K4" s="252">
        <f>(J4-H4)/H4</f>
        <v>0.7337543127844398</v>
      </c>
    </row>
    <row r="5" spans="1:11" ht="12.75">
      <c r="A5" s="156"/>
      <c r="B5" s="33"/>
      <c r="C5" s="34" t="str">
        <f>'Balance til analyse'!A15</f>
        <v>Aktiver i alt</v>
      </c>
      <c r="D5" s="34"/>
      <c r="E5" s="34"/>
      <c r="F5" s="484">
        <f>'Balance til analyse'!D35</f>
        <v>220986</v>
      </c>
      <c r="G5" s="484"/>
      <c r="H5" s="85"/>
      <c r="I5" s="85"/>
      <c r="J5" s="157"/>
      <c r="K5" s="253"/>
    </row>
    <row r="6" spans="1:11" ht="15.75" customHeight="1" thickBot="1">
      <c r="A6" s="154" t="s">
        <v>4</v>
      </c>
      <c r="B6" s="29"/>
      <c r="C6" s="32" t="str">
        <f>C4</f>
        <v>Resultat før renter (EBIT)</v>
      </c>
      <c r="D6" s="48" t="str">
        <f>D4</f>
        <v>*100</v>
      </c>
      <c r="E6" s="45"/>
      <c r="F6" s="31">
        <f>F4</f>
        <v>14581</v>
      </c>
      <c r="G6" s="48" t="s">
        <v>28</v>
      </c>
      <c r="H6" s="84">
        <f>'Resultatopgørelse til analyse'!B16/'Resultatopgørelse til analyse'!B3</f>
        <v>0.07925231816155928</v>
      </c>
      <c r="I6" s="84">
        <f>'Resultatopgørelse til analyse'!C16/'Resultatopgørelse til analyse'!C3</f>
        <v>0.12288879881097149</v>
      </c>
      <c r="J6" s="155">
        <f>'Resultatopgørelse til analyse'!D16/'Resultatopgørelse til analyse'!D3</f>
        <v>0.12277676747266564</v>
      </c>
      <c r="K6" s="252">
        <f aca="true" t="shared" si="0" ref="K6:K68">(J6-H6)/H6</f>
        <v>0.5491883432656176</v>
      </c>
    </row>
    <row r="7" spans="1:11" ht="12.75">
      <c r="A7" s="156"/>
      <c r="B7" s="33"/>
      <c r="C7" s="34" t="str">
        <f>'Resultatopgørelse til analyse'!A3</f>
        <v>Nettoomsætning</v>
      </c>
      <c r="D7" s="34"/>
      <c r="E7" s="34"/>
      <c r="F7" s="36">
        <f>'Resultatopgørelse til analyse'!B3</f>
        <v>183982</v>
      </c>
      <c r="G7" s="34"/>
      <c r="H7" s="85"/>
      <c r="I7" s="85"/>
      <c r="J7" s="157"/>
      <c r="K7" s="253"/>
    </row>
    <row r="8" spans="1:11" ht="13.5" thickBot="1">
      <c r="A8" s="154" t="s">
        <v>5</v>
      </c>
      <c r="B8" s="29"/>
      <c r="C8" s="32" t="str">
        <f>C7</f>
        <v>Nettoomsætning</v>
      </c>
      <c r="D8" s="32"/>
      <c r="E8" s="45"/>
      <c r="F8" s="37">
        <f>F7</f>
        <v>183982</v>
      </c>
      <c r="G8" s="30"/>
      <c r="H8" s="86">
        <f>'Resultatopgørelse til analyse'!B3/'Balance til analyse'!D15</f>
        <v>0.8325504783108432</v>
      </c>
      <c r="I8" s="86">
        <f>'Resultatopgørelse til analyse'!C3/'Balance til analyse'!E15</f>
        <v>0.8670518780098995</v>
      </c>
      <c r="J8" s="158">
        <f>'Resultatopgørelse til analyse'!D3/'Balance til analyse'!F15</f>
        <v>0.9317382154706072</v>
      </c>
      <c r="K8" s="252">
        <f t="shared" si="0"/>
        <v>0.11913720518304843</v>
      </c>
    </row>
    <row r="9" spans="1:11" ht="12.75">
      <c r="A9" s="156"/>
      <c r="B9" s="33"/>
      <c r="C9" s="34" t="str">
        <f>C5</f>
        <v>Aktiver i alt</v>
      </c>
      <c r="D9" s="34"/>
      <c r="E9" s="34"/>
      <c r="F9" s="38">
        <f>F5</f>
        <v>220986</v>
      </c>
      <c r="G9" s="33"/>
      <c r="H9" s="85"/>
      <c r="I9" s="85"/>
      <c r="J9" s="157"/>
      <c r="K9" s="253"/>
    </row>
    <row r="10" spans="1:11" ht="13.5" thickBot="1">
      <c r="A10" s="11" t="s">
        <v>6</v>
      </c>
      <c r="B10" s="44"/>
      <c r="C10" s="32" t="str">
        <f>'Resultatopgørelse til analyse'!A18</f>
        <v>Finansielle omkostninger</v>
      </c>
      <c r="D10" s="30" t="str">
        <f>D6</f>
        <v>*100</v>
      </c>
      <c r="E10" s="44"/>
      <c r="F10" s="4">
        <f>'Resultatopgørelse til analyse'!B18</f>
        <v>8285</v>
      </c>
      <c r="G10" s="4" t="str">
        <f>G6</f>
        <v>*100</v>
      </c>
      <c r="H10" s="87">
        <f>('Resultatopgørelse til analyse'!B18/('Balance til analyse'!D32))</f>
        <v>0.05476454879564263</v>
      </c>
      <c r="I10" s="87">
        <f>('Resultatopgørelse til analyse'!C18/('Balance til analyse'!E32))</f>
        <v>0.04569231541182669</v>
      </c>
      <c r="J10" s="159">
        <f>('Resultatopgørelse til analyse'!D18/('Balance til analyse'!F32))</f>
        <v>0.059405161044806476</v>
      </c>
      <c r="K10" s="252">
        <f t="shared" si="0"/>
        <v>0.08473752365751396</v>
      </c>
    </row>
    <row r="11" spans="1:11" ht="12.75">
      <c r="A11" s="11"/>
      <c r="B11" s="44"/>
      <c r="C11" s="6" t="s">
        <v>96</v>
      </c>
      <c r="D11" s="6"/>
      <c r="E11" s="6"/>
      <c r="F11" s="44">
        <f>'Balance til analyse'!D32</f>
        <v>151284</v>
      </c>
      <c r="G11" s="47"/>
      <c r="H11" s="88"/>
      <c r="I11" s="88"/>
      <c r="J11" s="160"/>
      <c r="K11" s="253"/>
    </row>
    <row r="12" spans="1:11" ht="13.5" thickBot="1">
      <c r="A12" s="154" t="s">
        <v>7</v>
      </c>
      <c r="B12" s="29"/>
      <c r="C12" s="32" t="str">
        <f>'Resultatopgørelse til analyse'!A19</f>
        <v>Resultat efter renter</v>
      </c>
      <c r="D12" s="48" t="str">
        <f>D10</f>
        <v>*100</v>
      </c>
      <c r="E12" s="45"/>
      <c r="F12" s="39">
        <f>'Resultatopgørelse til analyse'!B19</f>
        <v>8702</v>
      </c>
      <c r="G12" s="30" t="s">
        <v>28</v>
      </c>
      <c r="H12" s="84">
        <f>'Resultatopgørelse til analyse'!B19/'Balance til analyse'!D17</f>
        <v>0.12484577200080342</v>
      </c>
      <c r="I12" s="84">
        <f>'Resultatopgørelse til analyse'!C19/'Balance til analyse'!E17</f>
        <v>0.24892229190493545</v>
      </c>
      <c r="J12" s="155">
        <f>'Resultatopgørelse til analyse'!D19/'Balance til analyse'!F17</f>
        <v>0.23536543124350537</v>
      </c>
      <c r="K12" s="252">
        <f t="shared" si="0"/>
        <v>0.8852495160347978</v>
      </c>
    </row>
    <row r="13" spans="1:11" ht="12.75">
      <c r="A13" s="156" t="s">
        <v>32</v>
      </c>
      <c r="B13" s="33"/>
      <c r="C13" s="34" t="s">
        <v>31</v>
      </c>
      <c r="D13" s="34"/>
      <c r="E13" s="34"/>
      <c r="F13" s="2">
        <f>'Balance til analyse'!D17</f>
        <v>69702</v>
      </c>
      <c r="G13" s="33"/>
      <c r="H13" s="85"/>
      <c r="I13" s="85"/>
      <c r="J13" s="157"/>
      <c r="K13" s="253"/>
    </row>
    <row r="14" spans="1:11" ht="13.5" thickBot="1">
      <c r="A14" s="154" t="str">
        <f>A12</f>
        <v>Egenkapital forrentning</v>
      </c>
      <c r="B14" s="29"/>
      <c r="C14" s="32" t="str">
        <f>'Resultatopgørelse til analyse'!A22</f>
        <v>Årests resultat</v>
      </c>
      <c r="D14" s="48" t="str">
        <f>D12</f>
        <v>*100</v>
      </c>
      <c r="E14" s="45"/>
      <c r="F14" s="40">
        <f>'Resultatopgørelse til analyse'!B22</f>
        <v>5833</v>
      </c>
      <c r="G14" s="30" t="str">
        <f>G12</f>
        <v>*100</v>
      </c>
      <c r="H14" s="84">
        <f>'Resultatopgørelse til analyse'!B22/'Balance til analyse'!D17</f>
        <v>0.08368482970359531</v>
      </c>
      <c r="I14" s="84">
        <f>'Resultatopgørelse til analyse'!C22/'Balance til analyse'!E17</f>
        <v>0.17144042128017897</v>
      </c>
      <c r="J14" s="155">
        <f>'Resultatopgørelse til analyse'!D22/'Balance til analyse'!F17</f>
        <v>0.15622907285532847</v>
      </c>
      <c r="K14" s="252">
        <f t="shared" si="0"/>
        <v>0.8668744790265909</v>
      </c>
    </row>
    <row r="15" spans="1:11" ht="12.75">
      <c r="A15" s="156" t="s">
        <v>40</v>
      </c>
      <c r="B15" s="33"/>
      <c r="C15" s="34" t="str">
        <f>C13</f>
        <v>Egenkapitalen primo</v>
      </c>
      <c r="D15" s="34"/>
      <c r="E15" s="34"/>
      <c r="F15" s="2">
        <f>F13</f>
        <v>69702</v>
      </c>
      <c r="G15" s="33"/>
      <c r="H15" s="85"/>
      <c r="I15" s="85"/>
      <c r="J15" s="157"/>
      <c r="K15" s="253"/>
    </row>
    <row r="16" spans="1:11" ht="15.75">
      <c r="A16" s="161" t="s">
        <v>8</v>
      </c>
      <c r="B16" s="49"/>
      <c r="C16" s="50"/>
      <c r="D16" s="50"/>
      <c r="E16" s="50"/>
      <c r="F16" s="50"/>
      <c r="G16" s="50"/>
      <c r="H16" s="89"/>
      <c r="I16" s="89"/>
      <c r="J16" s="162"/>
      <c r="K16" s="254"/>
    </row>
    <row r="17" spans="1:11" ht="13.5" thickBot="1">
      <c r="A17" s="11" t="s">
        <v>10</v>
      </c>
      <c r="B17" s="44"/>
      <c r="C17" s="5" t="str">
        <f>C6</f>
        <v>Resultat før renter (EBIT)</v>
      </c>
      <c r="D17" s="4"/>
      <c r="E17" s="44"/>
      <c r="F17" s="4">
        <f>F6</f>
        <v>14581</v>
      </c>
      <c r="G17" s="4" t="str">
        <f>G6</f>
        <v>*100</v>
      </c>
      <c r="H17" s="87">
        <f>H6</f>
        <v>0.07925231816155928</v>
      </c>
      <c r="I17" s="87">
        <f>I6</f>
        <v>0.12288879881097149</v>
      </c>
      <c r="J17" s="159">
        <f>J6</f>
        <v>0.12277676747266564</v>
      </c>
      <c r="K17" s="252">
        <f t="shared" si="0"/>
        <v>0.5491883432656176</v>
      </c>
    </row>
    <row r="18" spans="1:11" ht="12.75">
      <c r="A18" s="156"/>
      <c r="B18" s="33"/>
      <c r="C18" s="34" t="str">
        <f>C7</f>
        <v>Nettoomsætning</v>
      </c>
      <c r="D18" s="6"/>
      <c r="E18" s="6"/>
      <c r="F18" s="33">
        <f>F7</f>
        <v>183982</v>
      </c>
      <c r="G18" s="33"/>
      <c r="H18" s="90"/>
      <c r="I18" s="90"/>
      <c r="J18" s="163"/>
      <c r="K18" s="253"/>
    </row>
    <row r="19" spans="1:11" ht="13.5" thickBot="1">
      <c r="A19" s="154" t="s">
        <v>21</v>
      </c>
      <c r="B19" s="29"/>
      <c r="C19" s="32" t="str">
        <f>'Resultatopgørelse til analyse'!A5</f>
        <v>Dækningsbidrag</v>
      </c>
      <c r="D19" s="4" t="str">
        <f>D14</f>
        <v>*100</v>
      </c>
      <c r="E19" s="44"/>
      <c r="F19" s="40">
        <f>'Resultatopgørelse til analyse'!B5</f>
        <v>143701</v>
      </c>
      <c r="G19" s="30" t="s">
        <v>28</v>
      </c>
      <c r="H19" s="84">
        <f>'Resultatopgørelse til analyse'!B5/'Resultatopgørelse til analyse'!B3</f>
        <v>0.7810601037057973</v>
      </c>
      <c r="I19" s="84">
        <f>'Resultatopgørelse til analyse'!C5/'Resultatopgørelse til analyse'!C3</f>
        <v>0.7704074738934893</v>
      </c>
      <c r="J19" s="155">
        <f>'Resultatopgørelse til analyse'!D5/'Resultatopgørelse til analyse'!D3</f>
        <v>0.7657035091264228</v>
      </c>
      <c r="K19" s="252">
        <f t="shared" si="0"/>
        <v>-0.019661220060420374</v>
      </c>
    </row>
    <row r="20" spans="1:11" ht="12.75">
      <c r="A20" s="156"/>
      <c r="B20" s="33"/>
      <c r="C20" s="34" t="str">
        <f>C18</f>
        <v>Nettoomsætning</v>
      </c>
      <c r="D20" s="34"/>
      <c r="E20" s="34"/>
      <c r="F20" s="43">
        <f>F7</f>
        <v>183982</v>
      </c>
      <c r="G20" s="33"/>
      <c r="H20" s="90"/>
      <c r="I20" s="90"/>
      <c r="J20" s="163"/>
      <c r="K20" s="253"/>
    </row>
    <row r="21" spans="1:11" ht="13.5" thickBot="1">
      <c r="A21" s="154" t="s">
        <v>45</v>
      </c>
      <c r="B21" s="29"/>
      <c r="C21" s="32" t="str">
        <f>'Resultatopgørelse til analyse'!A7</f>
        <v>Bruttoresultat</v>
      </c>
      <c r="D21" s="30" t="str">
        <f>D19</f>
        <v>*100</v>
      </c>
      <c r="E21" s="29"/>
      <c r="F21" s="40">
        <f>'Resultatopgørelse til analyse'!B7</f>
        <v>106687</v>
      </c>
      <c r="G21" s="51" t="str">
        <f>G19</f>
        <v>*100</v>
      </c>
      <c r="H21" s="84">
        <f>'Resultatopgørelse til analyse'!B7/'Resultatopgørelse til analyse'!B3</f>
        <v>0.5798773793088454</v>
      </c>
      <c r="I21" s="84">
        <f>'Resultatopgørelse til analyse'!C7/'Resultatopgørelse til analyse'!C3</f>
        <v>0.6008937016233328</v>
      </c>
      <c r="J21" s="155">
        <f>'Resultatopgørelse til analyse'!D7/'Resultatopgørelse til analyse'!D3</f>
        <v>0.6089535484160661</v>
      </c>
      <c r="K21" s="252">
        <f t="shared" si="0"/>
        <v>0.05014192680162224</v>
      </c>
    </row>
    <row r="22" spans="1:11" ht="12.75">
      <c r="A22" s="156"/>
      <c r="B22" s="33"/>
      <c r="C22" s="34" t="str">
        <f>C20</f>
        <v>Nettoomsætning</v>
      </c>
      <c r="D22" s="33"/>
      <c r="E22" s="33"/>
      <c r="F22" s="2">
        <f>'Resultatopgørelse til analyse'!B3</f>
        <v>183982</v>
      </c>
      <c r="G22" s="33"/>
      <c r="H22" s="90"/>
      <c r="I22" s="90"/>
      <c r="J22" s="163"/>
      <c r="K22" s="253"/>
    </row>
    <row r="23" spans="1:11" ht="13.5" thickBot="1">
      <c r="A23" s="154" t="s">
        <v>43</v>
      </c>
      <c r="B23" s="29"/>
      <c r="C23" s="32" t="str">
        <f>'Resultatopgørelse til analyse'!A14</f>
        <v>Indtjeningsbidrag</v>
      </c>
      <c r="D23" s="30" t="str">
        <f>D21</f>
        <v>*100</v>
      </c>
      <c r="E23" s="29"/>
      <c r="F23" s="40">
        <f>'Resultatopgørelse til analyse'!B14</f>
        <v>27510</v>
      </c>
      <c r="G23" s="52" t="str">
        <f>G21</f>
        <v>*100</v>
      </c>
      <c r="H23" s="84">
        <f>'Resultatopgørelse til analyse'!B14/'Resultatopgørelse til analyse'!B3</f>
        <v>0.14952549705949494</v>
      </c>
      <c r="I23" s="84">
        <f>'Resultatopgørelse til analyse'!C14/'Resultatopgørelse til analyse'!C3</f>
        <v>0.19457312718358524</v>
      </c>
      <c r="J23" s="155">
        <f>'Resultatopgørelse til analyse'!D14/'Resultatopgørelse til analyse'!D3</f>
        <v>0.19429289867762287</v>
      </c>
      <c r="K23" s="252">
        <f t="shared" si="0"/>
        <v>0.29939644073087646</v>
      </c>
    </row>
    <row r="24" spans="1:11" ht="12.75">
      <c r="A24" s="156"/>
      <c r="B24" s="33"/>
      <c r="C24" s="34" t="str">
        <f>C22</f>
        <v>Nettoomsætning</v>
      </c>
      <c r="D24" s="33"/>
      <c r="E24" s="33"/>
      <c r="F24" s="43">
        <f>F22</f>
        <v>183982</v>
      </c>
      <c r="G24" s="33"/>
      <c r="H24" s="90"/>
      <c r="I24" s="90"/>
      <c r="J24" s="163"/>
      <c r="K24" s="253"/>
    </row>
    <row r="25" spans="1:11" ht="13.5" thickBot="1">
      <c r="A25" s="154" t="s">
        <v>44</v>
      </c>
      <c r="B25" s="29"/>
      <c r="C25" s="32" t="str">
        <f>C19</f>
        <v>Dækningsbidrag</v>
      </c>
      <c r="D25" s="30" t="str">
        <f>D23</f>
        <v>*100</v>
      </c>
      <c r="E25" s="29"/>
      <c r="F25" s="40">
        <f>'Resultatopgørelse til analyse'!B5</f>
        <v>143701</v>
      </c>
      <c r="G25" s="52"/>
      <c r="H25" s="86">
        <f>'Resultatopgørelse til analyse'!B5/('Resultatopgørelse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analyse'!B15)</f>
        <v>1.1129259603469641</v>
      </c>
      <c r="I25" s="86">
        <f>'Resultatopgørelse til analyse'!C5/('Resultatopgørelse til analyse'!C6+'Resultatopgørelse til analyse'!C8+'Resultatopgørelse til analyse'!C9+'Resultatopgørelse til analyse'!C10+'Resultatopgørelse til analyse'!C11+'Resultatopgørelse til analyse'!C12+'Resultatopgørelse til analyse'!C13+'Resultatopgørelse til analyse'!C15)</f>
        <v>1.1897841769510522</v>
      </c>
      <c r="J25" s="158">
        <f>'Resultatopgørelse til analyse'!D5/('Resultatopgørelse til analyse'!D6+'Resultatopgørelse til analyse'!D8+'Resultatopgørelse til analyse'!D9+'Resultatopgørelse til analyse'!D10+'Resultatopgørelse til analyse'!D11+'Resultatopgørelse til analyse'!D12+'Resultatopgørelse til analyse'!D13+'Resultatopgørelse til analyse'!D15)</f>
        <v>1.1909654079045697</v>
      </c>
      <c r="K25" s="252">
        <f t="shared" si="0"/>
        <v>0.07012096971237525</v>
      </c>
    </row>
    <row r="26" spans="1:11" ht="12.75">
      <c r="A26" s="156"/>
      <c r="B26" s="33"/>
      <c r="C26" s="33" t="s">
        <v>47</v>
      </c>
      <c r="D26" s="33"/>
      <c r="E26" s="33"/>
      <c r="F26" s="2">
        <f>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</f>
        <v>129120</v>
      </c>
      <c r="G26" s="33"/>
      <c r="H26" s="90"/>
      <c r="I26" s="90"/>
      <c r="J26" s="163"/>
      <c r="K26" s="253"/>
    </row>
    <row r="27" spans="1:11" ht="13.5" thickBot="1">
      <c r="A27" s="154" t="s">
        <v>18</v>
      </c>
      <c r="B27" s="29"/>
      <c r="C27" s="30" t="str">
        <f>C26</f>
        <v>Kapacitetsomk incl afskrivninger</v>
      </c>
      <c r="D27" s="30" t="str">
        <f>D25</f>
        <v>*100</v>
      </c>
      <c r="E27" s="29"/>
      <c r="F27" s="37">
        <f>F26</f>
        <v>129120</v>
      </c>
      <c r="G27" s="52" t="str">
        <f>G23</f>
        <v>*100</v>
      </c>
      <c r="H27" s="91">
        <f>('Resultatopgørelse til analyse'!B6+'Resultatopgørelse til analyse'!B8+'Resultatopgørelse til analyse'!B9+'Resultatopgørelse til analyse'!B10+'Resultatopgørelse til analyse'!B11+'Resultatopgørelse til analyse'!B12+'Resultatopgørelse til analyse'!B13+'Resultatopgørelse til analyse'!B15)/'beregning af nøgletal'!H19</f>
        <v>165313.78236755487</v>
      </c>
      <c r="I27" s="91">
        <f>('Resultatopgørelse til analyse'!C6+'Resultatopgørelse til analyse'!C8+'Resultatopgørelse til analyse'!C9+'Resultatopgørelse til analyse'!C10+'Resultatopgørelse til analyse'!C11+'Resultatopgørelse til analyse'!C12+'Resultatopgørelse til analyse'!C13+'Resultatopgørelse til analyse'!C15)/'beregning af nøgletal'!I19</f>
        <v>174172.76512370812</v>
      </c>
      <c r="J27" s="164">
        <f>('Resultatopgørelse til analyse'!D6+'Resultatopgørelse til analyse'!D8+'Resultatopgørelse til analyse'!D9+'Resultatopgørelse til analyse'!D10+'Resultatopgørelse til analyse'!D11+'Resultatopgørelse til analyse'!D12+'Resultatopgørelse til analyse'!D13+'Resultatopgørelse til analyse'!D15)/'beregning af nøgletal'!J19</f>
        <v>186995.35563491785</v>
      </c>
      <c r="K27" s="252">
        <f t="shared" si="0"/>
        <v>0.13115405719262216</v>
      </c>
    </row>
    <row r="28" spans="1:11" ht="12.75">
      <c r="A28" s="156"/>
      <c r="B28" s="33"/>
      <c r="C28" s="34" t="str">
        <f>A19</f>
        <v>Dækningsgrad</v>
      </c>
      <c r="D28" s="33"/>
      <c r="E28" s="33"/>
      <c r="F28" s="53">
        <f>H19*100</f>
        <v>78.10601037057972</v>
      </c>
      <c r="G28" s="33"/>
      <c r="H28" s="90"/>
      <c r="I28" s="90"/>
      <c r="J28" s="163"/>
      <c r="K28" s="253"/>
    </row>
    <row r="29" spans="1:11" ht="13.5" thickBot="1">
      <c r="A29" s="154" t="s">
        <v>48</v>
      </c>
      <c r="B29" s="29"/>
      <c r="C29" s="30" t="s">
        <v>49</v>
      </c>
      <c r="D29" s="30" t="str">
        <f>D27</f>
        <v>*100</v>
      </c>
      <c r="E29" s="29"/>
      <c r="F29" s="37">
        <f>F24</f>
        <v>183982</v>
      </c>
      <c r="G29" s="54">
        <f>H27*-1</f>
        <v>-165313.78236755487</v>
      </c>
      <c r="H29" s="92">
        <f>('Resultatopgørelse til analyse'!B3-'beregning af nøgletal'!H27)/'Resultatopgørelse til analyse'!B3</f>
        <v>0.10146763070542297</v>
      </c>
      <c r="I29" s="92">
        <f>('Resultatopgørelse til analyse'!C3-'beregning af nøgletal'!I27)/'Resultatopgørelse til analyse'!C3</f>
        <v>0.1595114312558722</v>
      </c>
      <c r="J29" s="165">
        <f>('Resultatopgørelse til analyse'!D3-'beregning af nøgletal'!J27)/'Resultatopgørelse til analyse'!D3</f>
        <v>0.16034505002169752</v>
      </c>
      <c r="K29" s="252">
        <f t="shared" si="0"/>
        <v>0.580258146434948</v>
      </c>
    </row>
    <row r="30" spans="1:11" ht="12.75">
      <c r="A30" s="156"/>
      <c r="B30" s="33"/>
      <c r="C30" s="34" t="str">
        <f>C24</f>
        <v>Nettoomsætning</v>
      </c>
      <c r="D30" s="33"/>
      <c r="E30" s="33"/>
      <c r="F30" s="43">
        <f>F24</f>
        <v>183982</v>
      </c>
      <c r="G30" s="33"/>
      <c r="H30" s="90"/>
      <c r="I30" s="90"/>
      <c r="J30" s="163"/>
      <c r="K30" s="253"/>
    </row>
    <row r="31" spans="1:11" ht="12.75">
      <c r="A31" s="166" t="s">
        <v>33</v>
      </c>
      <c r="B31" s="129">
        <f>H2</f>
        <v>2001</v>
      </c>
      <c r="C31" s="130" t="s">
        <v>60</v>
      </c>
      <c r="D31" s="130"/>
      <c r="E31" s="130"/>
      <c r="F31" s="129" t="s">
        <v>77</v>
      </c>
      <c r="G31" s="131">
        <f>J2</f>
        <v>2003</v>
      </c>
      <c r="H31" s="132"/>
      <c r="I31" s="132"/>
      <c r="J31" s="167"/>
      <c r="K31" s="255"/>
    </row>
    <row r="32" spans="1:11" ht="13.5" thickBot="1">
      <c r="A32" s="154" t="str">
        <f>'Resultatopgørelse til analyse'!A3</f>
        <v>Nettoomsætning</v>
      </c>
      <c r="B32" s="29"/>
      <c r="C32" s="32" t="s">
        <v>61</v>
      </c>
      <c r="D32" s="30" t="s">
        <v>28</v>
      </c>
      <c r="E32" s="29"/>
      <c r="F32" s="37">
        <f>'Resultatopgørelse til analyse'!D3</f>
        <v>222705</v>
      </c>
      <c r="G32" s="52" t="str">
        <f>G27</f>
        <v>*100</v>
      </c>
      <c r="H32" s="94">
        <f>'Resultatopgørelse til analyse'!B3*100/'Resultatopgørelse til analyse'!$B$3</f>
        <v>100</v>
      </c>
      <c r="I32" s="94">
        <f>'Resultatopgørelse til analyse'!C3*100/'Resultatopgørelse til analyse'!$B$3</f>
        <v>112.63493167809895</v>
      </c>
      <c r="J32" s="168">
        <f>'Resultatopgørelse til analyse'!D3*100/'Resultatopgørelse til analyse'!$B$3</f>
        <v>121.04716765770564</v>
      </c>
      <c r="K32" s="252">
        <f t="shared" si="0"/>
        <v>0.21047167657705643</v>
      </c>
    </row>
    <row r="33" spans="1:11" ht="12.75">
      <c r="A33" s="156"/>
      <c r="B33" s="33"/>
      <c r="C33" s="34" t="s">
        <v>62</v>
      </c>
      <c r="D33" s="33"/>
      <c r="E33" s="33"/>
      <c r="F33" s="43">
        <f>F29</f>
        <v>183982</v>
      </c>
      <c r="G33" s="33"/>
      <c r="H33" s="95"/>
      <c r="I33" s="95"/>
      <c r="J33" s="169"/>
      <c r="K33" s="253"/>
    </row>
    <row r="34" spans="1:11" ht="12.75">
      <c r="A34" s="170" t="str">
        <f>'Resultatopgørelse til analyse'!A4</f>
        <v>Rå og hjælpematerialer</v>
      </c>
      <c r="B34" s="78"/>
      <c r="C34" s="78"/>
      <c r="D34" s="78"/>
      <c r="E34" s="78"/>
      <c r="F34" s="78"/>
      <c r="G34" s="78"/>
      <c r="H34" s="96">
        <f>'Resultatopgørelse til analyse'!B4*100/'Resultatopgørelse til analyse'!$B$4</f>
        <v>100</v>
      </c>
      <c r="I34" s="96">
        <f>'Resultatopgørelse til analyse'!C4*100/'Resultatopgørelse til analyse'!$B$4</f>
        <v>118.11524043593754</v>
      </c>
      <c r="J34" s="171">
        <f>'Resultatopgørelse til analyse'!D4*100/'Resultatopgørelse til analyse'!$B$4</f>
        <v>129.53749906904</v>
      </c>
      <c r="K34" s="255">
        <f t="shared" si="0"/>
        <v>0.29537499069039996</v>
      </c>
    </row>
    <row r="35" spans="1:11" ht="12.75">
      <c r="A35" s="170" t="str">
        <f>'Resultatopgørelse til analyse'!A6</f>
        <v>Andre eksterne omk.</v>
      </c>
      <c r="B35" s="78"/>
      <c r="C35" s="78"/>
      <c r="D35" s="78"/>
      <c r="E35" s="78"/>
      <c r="F35" s="78"/>
      <c r="G35" s="78"/>
      <c r="H35" s="96">
        <f>'Resultatopgørelse til analyse'!B6*100/'Resultatopgørelse til analyse'!B6</f>
        <v>100</v>
      </c>
      <c r="I35" s="96">
        <f>'Resultatopgørelse til analyse'!C6*100/'Resultatopgørelse til analyse'!$B$6</f>
        <v>94.90463068028313</v>
      </c>
      <c r="J35" s="171">
        <f>'Resultatopgørelse til analyse'!D6*100/'Resultatopgørelse til analyse'!$B$6</f>
        <v>94.31296266277624</v>
      </c>
      <c r="K35" s="255">
        <f t="shared" si="0"/>
        <v>-0.05687037337223757</v>
      </c>
    </row>
    <row r="36" spans="1:11" ht="12.75">
      <c r="A36" s="170" t="str">
        <f>'Resultatopgørelse til analyse'!A8</f>
        <v>Personale omk.</v>
      </c>
      <c r="B36" s="78"/>
      <c r="C36" s="78"/>
      <c r="D36" s="78"/>
      <c r="E36" s="78"/>
      <c r="F36" s="78"/>
      <c r="G36" s="78"/>
      <c r="H36" s="96">
        <f>'Resultatopgørelse til analyse'!B8*100/'Resultatopgørelse til analyse'!$B$8</f>
        <v>100</v>
      </c>
      <c r="I36" s="96">
        <f>'Resultatopgørelse til analyse'!C8*100/'Resultatopgørelse til analyse'!$B$8</f>
        <v>106.34527703752353</v>
      </c>
      <c r="J36" s="171">
        <f>'Resultatopgørelse til analyse'!D8*100/'Resultatopgørelse til analyse'!$B$8</f>
        <v>116.6336183487629</v>
      </c>
      <c r="K36" s="255">
        <f t="shared" si="0"/>
        <v>0.16633618348762894</v>
      </c>
    </row>
    <row r="37" spans="1:11" ht="12.75" hidden="1">
      <c r="A37" s="170" t="str">
        <f>'Resultatopgørelse til analyse'!A9</f>
        <v>-</v>
      </c>
      <c r="B37" s="78"/>
      <c r="C37" s="78"/>
      <c r="D37" s="78"/>
      <c r="E37" s="78"/>
      <c r="F37" s="78"/>
      <c r="G37" s="78"/>
      <c r="H37" s="96" t="e">
        <f>'Resultatopgørelse til analyse'!B9*100/'Resultatopgørelse til analyse'!$B$9</f>
        <v>#DIV/0!</v>
      </c>
      <c r="I37" s="96" t="e">
        <f>'Resultatopgørelse til analyse'!C9*100/'Resultatopgørelse til analyse'!$B$9</f>
        <v>#DIV/0!</v>
      </c>
      <c r="J37" s="171" t="e">
        <f>'Resultatopgørelse til analyse'!D9*100/'Resultatopgørelse til analyse'!$B$9</f>
        <v>#DIV/0!</v>
      </c>
      <c r="K37" s="255" t="e">
        <f t="shared" si="0"/>
        <v>#DIV/0!</v>
      </c>
    </row>
    <row r="38" spans="1:11" ht="12.75" hidden="1">
      <c r="A38" s="170" t="str">
        <f>'Resultatopgørelse til analyse'!A10</f>
        <v>-</v>
      </c>
      <c r="B38" s="78"/>
      <c r="C38" s="78"/>
      <c r="D38" s="78"/>
      <c r="E38" s="78"/>
      <c r="F38" s="78"/>
      <c r="G38" s="78"/>
      <c r="H38" s="96" t="e">
        <f>'Resultatopgørelse til analyse'!B10*100/'Resultatopgørelse til analyse'!$B$10</f>
        <v>#DIV/0!</v>
      </c>
      <c r="I38" s="96" t="e">
        <f>'Resultatopgørelse til analyse'!C10*100/'Resultatopgørelse til analyse'!$B$10</f>
        <v>#DIV/0!</v>
      </c>
      <c r="J38" s="171" t="e">
        <f>'Resultatopgørelse til analyse'!D10*100/'Resultatopgørelse til analyse'!$B$10</f>
        <v>#DIV/0!</v>
      </c>
      <c r="K38" s="255" t="e">
        <f t="shared" si="0"/>
        <v>#DIV/0!</v>
      </c>
    </row>
    <row r="39" spans="1:11" ht="12.75" hidden="1">
      <c r="A39" s="170" t="str">
        <f>'Resultatopgørelse til analyse'!A11</f>
        <v>-</v>
      </c>
      <c r="B39" s="78"/>
      <c r="C39" s="78"/>
      <c r="D39" s="78"/>
      <c r="E39" s="78"/>
      <c r="F39" s="78"/>
      <c r="G39" s="78"/>
      <c r="H39" s="96" t="e">
        <f>'Resultatopgørelse til analyse'!B11*100/'Resultatopgørelse til analyse'!$B$11</f>
        <v>#DIV/0!</v>
      </c>
      <c r="I39" s="96" t="e">
        <f>'Resultatopgørelse til analyse'!C11*100/'Resultatopgørelse til analyse'!$B$11</f>
        <v>#DIV/0!</v>
      </c>
      <c r="J39" s="171" t="e">
        <f>'Resultatopgørelse til analyse'!D11*100/'Resultatopgørelse til analyse'!$B$11</f>
        <v>#DIV/0!</v>
      </c>
      <c r="K39" s="255" t="e">
        <f t="shared" si="0"/>
        <v>#DIV/0!</v>
      </c>
    </row>
    <row r="40" spans="1:11" ht="12.75" hidden="1">
      <c r="A40" s="170" t="str">
        <f>'Resultatopgørelse til analyse'!A12</f>
        <v>-</v>
      </c>
      <c r="B40" s="78"/>
      <c r="C40" s="78"/>
      <c r="D40" s="78"/>
      <c r="E40" s="78"/>
      <c r="F40" s="78"/>
      <c r="G40" s="78"/>
      <c r="H40" s="96" t="e">
        <f>'Resultatopgørelse til analyse'!B12*100/'Resultatopgørelse til analyse'!$B$12</f>
        <v>#DIV/0!</v>
      </c>
      <c r="I40" s="96" t="e">
        <f>'Resultatopgørelse til analyse'!C12*100/'Resultatopgørelse til analyse'!$B$12</f>
        <v>#DIV/0!</v>
      </c>
      <c r="J40" s="171" t="e">
        <f>'Resultatopgørelse til analyse'!D12*100/'Resultatopgørelse til analyse'!$B$12</f>
        <v>#DIV/0!</v>
      </c>
      <c r="K40" s="255" t="e">
        <f t="shared" si="0"/>
        <v>#DIV/0!</v>
      </c>
    </row>
    <row r="41" spans="1:11" ht="12.75">
      <c r="A41" s="170" t="str">
        <f>'Resultatopgørelse til analyse'!A15</f>
        <v>Afskrivninger</v>
      </c>
      <c r="B41" s="78"/>
      <c r="C41" s="78"/>
      <c r="D41" s="78"/>
      <c r="E41" s="78"/>
      <c r="F41" s="78"/>
      <c r="G41" s="78"/>
      <c r="H41" s="96">
        <f>'Resultatopgørelse til analyse'!B15*100/'Resultatopgørelse til analyse'!$B$15</f>
        <v>100</v>
      </c>
      <c r="I41" s="96">
        <f>'Resultatopgørelse til analyse'!C15*100/'Resultatopgørelse til analyse'!$B$15</f>
        <v>114.89674375435068</v>
      </c>
      <c r="J41" s="171">
        <f>'Resultatopgørelse til analyse'!D15*100/'Resultatopgørelse til analyse'!$B$15</f>
        <v>123.18818160723954</v>
      </c>
      <c r="K41" s="255">
        <f t="shared" si="0"/>
        <v>0.2318818160723954</v>
      </c>
    </row>
    <row r="42" spans="1:11" ht="12.75">
      <c r="A42" s="11" t="str">
        <f>'Resultatopgørelse til analyse'!A17</f>
        <v>Finansielle indtægter</v>
      </c>
      <c r="B42" s="44"/>
      <c r="C42" s="44"/>
      <c r="D42" s="44"/>
      <c r="E42" s="44"/>
      <c r="F42" s="44"/>
      <c r="G42" s="44"/>
      <c r="H42" s="96">
        <f>'Resultatopgørelse til analyse'!B14*100/'Resultatopgørelse til analyse'!B14</f>
        <v>100</v>
      </c>
      <c r="I42" s="97">
        <f>'Resultatopgørelse til analyse'!C17*100/'Resultatopgørelse til analyse'!$B$17</f>
        <v>67.53948462177888</v>
      </c>
      <c r="J42" s="172">
        <f>'Resultatopgørelse til analyse'!D17*100/'Resultatopgørelse til analyse'!$B$17</f>
        <v>87.11554447215295</v>
      </c>
      <c r="K42" s="255">
        <f t="shared" si="0"/>
        <v>-0.12884455527847052</v>
      </c>
    </row>
    <row r="43" spans="1:11" ht="12.75">
      <c r="A43" s="170" t="str">
        <f>'Resultatopgørelse til analyse'!A18</f>
        <v>Finansielle omkostninger</v>
      </c>
      <c r="B43" s="78"/>
      <c r="C43" s="78"/>
      <c r="D43" s="78"/>
      <c r="E43" s="78"/>
      <c r="F43" s="78"/>
      <c r="G43" s="78"/>
      <c r="H43" s="96">
        <f>'Resultatopgørelse til analyse'!B18*100/'Resultatopgørelse til analyse'!$B$18</f>
        <v>100</v>
      </c>
      <c r="I43" s="96">
        <f>'Resultatopgørelse til analyse'!C18*100/'Resultatopgørelse til analyse'!$B$18</f>
        <v>87.92999396499698</v>
      </c>
      <c r="J43" s="171">
        <f>'Resultatopgørelse til analyse'!D18*100/'Resultatopgørelse til analyse'!$B$18</f>
        <v>109.28183464091732</v>
      </c>
      <c r="K43" s="255">
        <f t="shared" si="0"/>
        <v>0.09281834640917325</v>
      </c>
    </row>
    <row r="44" spans="1:11" ht="12.75" hidden="1">
      <c r="A44" s="170" t="str">
        <f>'Resultatopgørelse til analyse'!A20</f>
        <v>Ekstraordinære omk.</v>
      </c>
      <c r="B44" s="78"/>
      <c r="C44" s="78"/>
      <c r="D44" s="78"/>
      <c r="E44" s="78"/>
      <c r="F44" s="78"/>
      <c r="G44" s="78"/>
      <c r="H44" s="96" t="e">
        <f>'Resultatopgørelse til analyse'!B20*100/'Resultatopgørelse til analyse'!$B20</f>
        <v>#DIV/0!</v>
      </c>
      <c r="I44" s="96" t="e">
        <f>'Resultatopgørelse til analyse'!C20*100/'Resultatopgørelse til analyse'!$B$20</f>
        <v>#DIV/0!</v>
      </c>
      <c r="J44" s="171" t="e">
        <f>'Resultatopgørelse til analyse'!D20*100/'Resultatopgørelse til analyse'!$B$20</f>
        <v>#DIV/0!</v>
      </c>
      <c r="K44" s="255" t="e">
        <f t="shared" si="0"/>
        <v>#DIV/0!</v>
      </c>
    </row>
    <row r="45" spans="1:11" ht="12.75">
      <c r="A45" s="11" t="str">
        <f>'Resultatopgørelse til analyse'!A21</f>
        <v>Skat</v>
      </c>
      <c r="B45" s="44"/>
      <c r="C45" s="44"/>
      <c r="D45" s="44"/>
      <c r="E45" s="44"/>
      <c r="F45" s="44"/>
      <c r="G45" s="44"/>
      <c r="H45" s="97">
        <f>'Resultatopgørelse til analyse'!B21*100/'Resultatopgørelse til analyse'!$B$21</f>
        <v>100</v>
      </c>
      <c r="I45" s="97">
        <f>'Resultatopgørelse til analyse'!C21*100/'Resultatopgørelse til analyse'!$B$21</f>
        <v>214.8832345765075</v>
      </c>
      <c r="J45" s="172">
        <f>'Resultatopgørelse til analyse'!D21*100/'Resultatopgørelse til analyse'!$B$21</f>
        <v>238.89857093063785</v>
      </c>
      <c r="K45" s="255">
        <f t="shared" si="0"/>
        <v>1.3889857093063784</v>
      </c>
    </row>
    <row r="46" spans="1:11" ht="13.5" thickBot="1">
      <c r="A46" s="189" t="str">
        <f>'Resultatopgørelse til analyse'!A22</f>
        <v>Årests resultat</v>
      </c>
      <c r="B46" s="30"/>
      <c r="C46" s="30"/>
      <c r="D46" s="30"/>
      <c r="E46" s="30"/>
      <c r="F46" s="30"/>
      <c r="G46" s="30"/>
      <c r="H46" s="204">
        <f>'Resultatopgørelse til analyse'!B22*100/'Resultatopgørelse til analyse'!$B$22</f>
        <v>100</v>
      </c>
      <c r="I46" s="204">
        <f>'Resultatopgørelse til analyse'!C22*100/'Resultatopgørelse til analyse'!$B$22</f>
        <v>233.85907766158067</v>
      </c>
      <c r="J46" s="205">
        <f>'Resultatopgørelse til analyse'!D22*100/'Resultatopgørelse til analyse'!$B$22</f>
        <v>231.97325561460656</v>
      </c>
      <c r="K46" s="256">
        <f t="shared" si="0"/>
        <v>1.3197325561460655</v>
      </c>
    </row>
    <row r="47" spans="1:11" ht="15.75">
      <c r="A47" s="199" t="s">
        <v>11</v>
      </c>
      <c r="B47" s="200"/>
      <c r="C47" s="201"/>
      <c r="D47" s="201"/>
      <c r="E47" s="201"/>
      <c r="F47" s="201"/>
      <c r="G47" s="201"/>
      <c r="H47" s="202">
        <f>H2</f>
        <v>2001</v>
      </c>
      <c r="I47" s="202">
        <f>I2</f>
        <v>2002</v>
      </c>
      <c r="J47" s="203">
        <f>J2</f>
        <v>2003</v>
      </c>
      <c r="K47" s="257"/>
    </row>
    <row r="48" spans="1:11" ht="13.5" thickBot="1">
      <c r="A48" s="154" t="s">
        <v>5</v>
      </c>
      <c r="B48" s="29"/>
      <c r="C48" s="32" t="str">
        <f>C8</f>
        <v>Nettoomsætning</v>
      </c>
      <c r="D48" s="32"/>
      <c r="E48" s="45"/>
      <c r="F48" s="37">
        <f>F82</f>
        <v>183982</v>
      </c>
      <c r="G48" s="30"/>
      <c r="H48" s="86">
        <f>'Resultatopgørelse til analyse'!B3/'Balance til analyse'!D15</f>
        <v>0.8325504783108432</v>
      </c>
      <c r="I48" s="86">
        <f>'Resultatopgørelse til analyse'!C3/'Balance til analyse'!E15</f>
        <v>0.8670518780098995</v>
      </c>
      <c r="J48" s="158">
        <f>'Resultatopgørelse til analyse'!D3/'Balance til analyse'!F15</f>
        <v>0.9317382154706072</v>
      </c>
      <c r="K48" s="252">
        <f t="shared" si="0"/>
        <v>0.11913720518304843</v>
      </c>
    </row>
    <row r="49" spans="1:11" ht="12.75">
      <c r="A49" s="156"/>
      <c r="B49" s="33"/>
      <c r="C49" s="34" t="str">
        <f>C9</f>
        <v>Aktiver i alt</v>
      </c>
      <c r="D49" s="34"/>
      <c r="E49" s="34"/>
      <c r="F49" s="38">
        <f>F9</f>
        <v>220986</v>
      </c>
      <c r="G49" s="33"/>
      <c r="H49" s="85"/>
      <c r="I49" s="85"/>
      <c r="J49" s="157"/>
      <c r="K49" s="253"/>
    </row>
    <row r="50" spans="1:11" ht="13.5" thickBot="1">
      <c r="A50" s="154" t="s">
        <v>12</v>
      </c>
      <c r="B50" s="29"/>
      <c r="C50" s="32" t="str">
        <f>'Resultatopgørelse til analyse'!A4</f>
        <v>Rå og hjælpematerialer</v>
      </c>
      <c r="D50" s="30"/>
      <c r="E50" s="29"/>
      <c r="F50" s="40">
        <f>'Resultatopgørelse til analyse'!B4</f>
        <v>40281</v>
      </c>
      <c r="G50" s="30"/>
      <c r="H50" s="86">
        <f>'Resultatopgørelse til analyse'!B4/'Balance til analyse'!D8</f>
        <v>1.1858513895430993</v>
      </c>
      <c r="I50" s="86">
        <f>'Resultatopgørelse til analyse'!C4/'Balance til analyse'!E8</f>
        <v>1.4078413966563101</v>
      </c>
      <c r="J50" s="158">
        <f>'Resultatopgørelse til analyse'!D4/'Balance til analyse'!F8</f>
        <v>1.5143221986824158</v>
      </c>
      <c r="K50" s="252">
        <f t="shared" si="0"/>
        <v>0.2769915455138726</v>
      </c>
    </row>
    <row r="51" spans="1:11" ht="12.75">
      <c r="A51" s="156"/>
      <c r="B51" s="33"/>
      <c r="C51" s="34" t="str">
        <f>'Balance til analyse'!A8</f>
        <v>Varelager</v>
      </c>
      <c r="D51" s="33"/>
      <c r="E51" s="33"/>
      <c r="F51" s="2">
        <f>'Balance til analyse'!D8</f>
        <v>33968</v>
      </c>
      <c r="G51" s="33"/>
      <c r="H51" s="90"/>
      <c r="I51" s="90"/>
      <c r="J51" s="163"/>
      <c r="K51" s="253"/>
    </row>
    <row r="52" spans="1:11" ht="13.5" thickBot="1">
      <c r="A52" s="154" t="s">
        <v>15</v>
      </c>
      <c r="B52" s="29"/>
      <c r="C52" s="32">
        <v>360</v>
      </c>
      <c r="D52" s="30"/>
      <c r="E52" s="29"/>
      <c r="F52" s="40">
        <v>360</v>
      </c>
      <c r="G52" s="30"/>
      <c r="H52" s="98">
        <f>$F$52/H50</f>
        <v>303.5793550309079</v>
      </c>
      <c r="I52" s="98">
        <f>$F$52/I50</f>
        <v>255.7106225566438</v>
      </c>
      <c r="J52" s="173">
        <f>$F$52/J50</f>
        <v>237.73012131317196</v>
      </c>
      <c r="K52" s="252">
        <f t="shared" si="0"/>
        <v>-0.21690945917923737</v>
      </c>
    </row>
    <row r="53" spans="1:11" ht="12.75">
      <c r="A53" s="156"/>
      <c r="B53" s="33"/>
      <c r="C53" s="34" t="str">
        <f>A50</f>
        <v>Varelagerets omh.</v>
      </c>
      <c r="D53" s="33"/>
      <c r="E53" s="33"/>
      <c r="F53" s="42">
        <f>H50</f>
        <v>1.1858513895430993</v>
      </c>
      <c r="G53" s="33"/>
      <c r="H53" s="108"/>
      <c r="I53" s="95"/>
      <c r="J53" s="169"/>
      <c r="K53" s="253"/>
    </row>
    <row r="54" spans="1:11" ht="13.5" thickBot="1">
      <c r="A54" s="11" t="s">
        <v>13</v>
      </c>
      <c r="B54" s="44"/>
      <c r="C54" s="5" t="str">
        <f>'Resultatopgørelse til analyse'!A3</f>
        <v>Nettoomsætning</v>
      </c>
      <c r="D54" s="4" t="s">
        <v>64</v>
      </c>
      <c r="E54" s="44"/>
      <c r="F54" s="61">
        <f>F82</f>
        <v>183982</v>
      </c>
      <c r="G54" s="4">
        <v>1.25</v>
      </c>
      <c r="H54" s="99">
        <f>'Resultatopgørelse til analyse'!B3*1.25/'Balance til analyse'!D9</f>
        <v>5.774266847444009</v>
      </c>
      <c r="I54" s="99">
        <f>'Resultatopgørelse til analyse'!C3*1.25/'Balance til analyse'!E9</f>
        <v>6.240153212401532</v>
      </c>
      <c r="J54" s="174">
        <f>'Resultatopgørelse til analyse'!D3*1.25/'Balance til analyse'!F9</f>
        <v>6.612695377452611</v>
      </c>
      <c r="K54" s="252">
        <f t="shared" si="0"/>
        <v>0.1452008630982709</v>
      </c>
    </row>
    <row r="55" spans="1:11" ht="12.75">
      <c r="A55" s="156" t="s">
        <v>63</v>
      </c>
      <c r="B55" s="33"/>
      <c r="C55" s="34" t="str">
        <f>'Balance til analyse'!A9</f>
        <v>Tilgodehavender</v>
      </c>
      <c r="D55" s="33"/>
      <c r="E55" s="33"/>
      <c r="F55" s="2">
        <f>'Balance til analyse'!D9</f>
        <v>39828</v>
      </c>
      <c r="G55" s="33"/>
      <c r="H55" s="100"/>
      <c r="I55" s="100"/>
      <c r="J55" s="175"/>
      <c r="K55" s="253"/>
    </row>
    <row r="56" spans="1:11" ht="13.5" thickBot="1">
      <c r="A56" s="176" t="s">
        <v>14</v>
      </c>
      <c r="B56" s="29"/>
      <c r="C56" s="32">
        <f>C52</f>
        <v>360</v>
      </c>
      <c r="D56" s="30"/>
      <c r="E56" s="29"/>
      <c r="F56" s="63">
        <f>F52</f>
        <v>360</v>
      </c>
      <c r="G56" s="30"/>
      <c r="H56" s="101">
        <f>$F$56/H54</f>
        <v>62.345577284734375</v>
      </c>
      <c r="I56" s="101">
        <f>$F$56/I54</f>
        <v>57.69089119230992</v>
      </c>
      <c r="J56" s="177">
        <f>$F$56/J54</f>
        <v>54.44073550212164</v>
      </c>
      <c r="K56" s="252">
        <f t="shared" si="0"/>
        <v>-0.12679073844341923</v>
      </c>
    </row>
    <row r="57" spans="1:11" ht="12.75">
      <c r="A57" s="156"/>
      <c r="B57" s="33"/>
      <c r="C57" s="34" t="str">
        <f>A54</f>
        <v>Varedebitorerne omh.</v>
      </c>
      <c r="D57" s="33"/>
      <c r="E57" s="33"/>
      <c r="F57" s="65">
        <f>H54</f>
        <v>5.774266847444009</v>
      </c>
      <c r="G57" s="33"/>
      <c r="H57" s="100"/>
      <c r="I57" s="100"/>
      <c r="J57" s="175"/>
      <c r="K57" s="253"/>
    </row>
    <row r="58" spans="1:11" ht="13.5" thickBot="1">
      <c r="A58" s="154" t="s">
        <v>16</v>
      </c>
      <c r="B58" s="29"/>
      <c r="C58" s="32" t="s">
        <v>80</v>
      </c>
      <c r="D58" s="30" t="str">
        <f>D54</f>
        <v>*1,25</v>
      </c>
      <c r="E58" s="29"/>
      <c r="F58" s="30">
        <f>'Resultatopgørelse til analyse'!B4</f>
        <v>40281</v>
      </c>
      <c r="G58" s="66">
        <v>1.25</v>
      </c>
      <c r="H58" s="101">
        <f>'Resultatopgørelse til analyse'!B4*G58/'Balance til analyse'!D26</f>
        <v>4.336139338615226</v>
      </c>
      <c r="I58" s="101">
        <f>('Resultatopgørelse til analyse'!C4+'Balance til analyse'!E8-'Balance til analyse'!D8)*'beregning af nøgletal'!$G$58/'Balance til analyse'!E26</f>
        <v>7.2228486104339344</v>
      </c>
      <c r="J58" s="177">
        <f>('Resultatopgørelse til analyse'!D4+'Balance til analyse'!F8-'Balance til analyse'!E8)*'beregning af nøgletal'!$G$58/'Balance til analyse'!F26</f>
        <v>7.829688240872452</v>
      </c>
      <c r="K58" s="252">
        <f t="shared" si="0"/>
        <v>0.8056818818402901</v>
      </c>
    </row>
    <row r="59" spans="1:11" ht="12.75">
      <c r="A59" s="11"/>
      <c r="B59" s="44"/>
      <c r="C59" s="6" t="str">
        <f>'Balance til analyse'!A26</f>
        <v>Leverandører</v>
      </c>
      <c r="D59" s="44"/>
      <c r="E59" s="44"/>
      <c r="F59" s="76">
        <f>'Balance til analyse'!D26</f>
        <v>11612</v>
      </c>
      <c r="G59" s="44"/>
      <c r="H59" s="99"/>
      <c r="I59" s="99"/>
      <c r="J59" s="174"/>
      <c r="K59" s="258"/>
    </row>
    <row r="60" spans="1:11" ht="12.75">
      <c r="A60" s="178" t="s">
        <v>79</v>
      </c>
      <c r="B60" s="44"/>
      <c r="C60" s="44"/>
      <c r="D60" s="44"/>
      <c r="E60" s="44"/>
      <c r="F60" s="76"/>
      <c r="G60" s="44"/>
      <c r="H60" s="99"/>
      <c r="I60" s="99"/>
      <c r="J60" s="174"/>
      <c r="K60" s="258"/>
    </row>
    <row r="61" spans="1:11" ht="12.75">
      <c r="A61" s="11" t="s">
        <v>65</v>
      </c>
      <c r="B61" s="44"/>
      <c r="C61" s="44"/>
      <c r="D61" s="44"/>
      <c r="E61" s="44"/>
      <c r="F61" s="76"/>
      <c r="G61" s="44"/>
      <c r="H61" s="99"/>
      <c r="I61" s="99"/>
      <c r="J61" s="174"/>
      <c r="K61" s="253"/>
    </row>
    <row r="62" spans="1:11" ht="13.5" thickBot="1">
      <c r="A62" s="154" t="s">
        <v>17</v>
      </c>
      <c r="B62" s="29"/>
      <c r="C62" s="32">
        <f>C56</f>
        <v>360</v>
      </c>
      <c r="D62" s="30"/>
      <c r="E62" s="29"/>
      <c r="F62" s="30">
        <f>C62</f>
        <v>360</v>
      </c>
      <c r="G62" s="30"/>
      <c r="H62" s="94">
        <f>$C$62/H58</f>
        <v>83.02316228494823</v>
      </c>
      <c r="I62" s="94">
        <f>$C$62/I58</f>
        <v>49.84183103048202</v>
      </c>
      <c r="J62" s="168">
        <f>$C$62/J58</f>
        <v>45.978842186938174</v>
      </c>
      <c r="K62" s="252">
        <f t="shared" si="0"/>
        <v>-0.44619259347010015</v>
      </c>
    </row>
    <row r="63" spans="1:11" ht="12.75">
      <c r="A63" s="156"/>
      <c r="B63" s="33"/>
      <c r="C63" s="34" t="str">
        <f>A58</f>
        <v>Varekreditorernes omh</v>
      </c>
      <c r="D63" s="33"/>
      <c r="E63" s="33"/>
      <c r="F63" s="62">
        <f>H58</f>
        <v>4.336139338615226</v>
      </c>
      <c r="G63" s="33"/>
      <c r="H63" s="85"/>
      <c r="I63" s="85"/>
      <c r="J63" s="157"/>
      <c r="K63" s="253"/>
    </row>
    <row r="64" spans="1:11" ht="13.5" thickBot="1">
      <c r="A64" s="154" t="s">
        <v>72</v>
      </c>
      <c r="B64" s="29"/>
      <c r="C64" s="32" t="s">
        <v>69</v>
      </c>
      <c r="D64" s="30" t="s">
        <v>28</v>
      </c>
      <c r="E64" s="29"/>
      <c r="F64" s="30">
        <f>'Balance til analyse'!D14-'Balance til analyse'!D8</f>
        <v>41125</v>
      </c>
      <c r="G64" s="52" t="str">
        <f>G32</f>
        <v>*100</v>
      </c>
      <c r="H64" s="91">
        <f>('Balance til analyse'!D14-'Balance til analyse'!D8)/'Balance til analyse'!D31*100</f>
        <v>43.49274503997631</v>
      </c>
      <c r="I64" s="91">
        <f>('Balance til analyse'!E14-'Balance til analyse'!E8)/'Balance til analyse'!E31*100</f>
        <v>40.725313109992435</v>
      </c>
      <c r="J64" s="164">
        <f>('Balance til analyse'!F14-'Balance til analyse'!F8)/'Balance til analyse'!F31*100</f>
        <v>53.92759194720895</v>
      </c>
      <c r="K64" s="252">
        <f t="shared" si="0"/>
        <v>0.2399215523794017</v>
      </c>
    </row>
    <row r="65" spans="1:11" ht="12.75">
      <c r="A65" s="156" t="s">
        <v>68</v>
      </c>
      <c r="B65" s="33"/>
      <c r="C65" s="34" t="s">
        <v>70</v>
      </c>
      <c r="D65" s="33"/>
      <c r="E65" s="33"/>
      <c r="F65" s="33">
        <f>'Balance til analyse'!D31</f>
        <v>94556</v>
      </c>
      <c r="G65" s="33"/>
      <c r="H65" s="85"/>
      <c r="I65" s="85"/>
      <c r="J65" s="157"/>
      <c r="K65" s="253"/>
    </row>
    <row r="66" spans="1:11" ht="13.5" thickBot="1">
      <c r="A66" s="176" t="s">
        <v>67</v>
      </c>
      <c r="B66" s="29"/>
      <c r="C66" s="32" t="s">
        <v>74</v>
      </c>
      <c r="D66" s="30" t="str">
        <f>D64</f>
        <v>*100</v>
      </c>
      <c r="E66" s="29"/>
      <c r="F66" s="30">
        <f>'Balance til analyse'!D14</f>
        <v>75093</v>
      </c>
      <c r="G66" s="52" t="str">
        <f>G64</f>
        <v>*100</v>
      </c>
      <c r="H66" s="91">
        <f>'Balance til analyse'!D14/'Balance til analyse'!D31*100</f>
        <v>79.4164304750624</v>
      </c>
      <c r="I66" s="91">
        <f>'Balance til analyse'!E14/'Balance til analyse'!E31*100</f>
        <v>72.28848147490918</v>
      </c>
      <c r="J66" s="164">
        <f>'Balance til analyse'!F14/'Balance til analyse'!F31*100</f>
        <v>95.19395441861579</v>
      </c>
      <c r="K66" s="252">
        <f t="shared" si="0"/>
        <v>0.19866825856026984</v>
      </c>
    </row>
    <row r="67" spans="1:11" ht="12.75">
      <c r="A67" s="179" t="s">
        <v>73</v>
      </c>
      <c r="B67" s="33"/>
      <c r="C67" s="34" t="str">
        <f>C65</f>
        <v>Kortfristet gæld</v>
      </c>
      <c r="D67" s="33"/>
      <c r="E67" s="33"/>
      <c r="F67" s="33">
        <f>'Balance til analyse'!D31</f>
        <v>94556</v>
      </c>
      <c r="G67" s="33"/>
      <c r="H67" s="85"/>
      <c r="I67" s="85"/>
      <c r="J67" s="157"/>
      <c r="K67" s="258"/>
    </row>
    <row r="68" spans="1:11" ht="13.5" thickBot="1">
      <c r="A68" s="176" t="s">
        <v>75</v>
      </c>
      <c r="B68" s="29"/>
      <c r="C68" s="72" t="s">
        <v>1</v>
      </c>
      <c r="D68" s="30" t="str">
        <f>D66</f>
        <v>*100</v>
      </c>
      <c r="E68" s="29"/>
      <c r="F68" s="30">
        <f>'Balance til analyse'!D17</f>
        <v>69702</v>
      </c>
      <c r="G68" s="30" t="s">
        <v>28</v>
      </c>
      <c r="H68" s="102">
        <f>'Balance til analyse'!D17/'Balance til analyse'!D15*100</f>
        <v>31.541364611332845</v>
      </c>
      <c r="I68" s="102">
        <f>'Balance til analyse'!E17/'Balance til analyse'!E15*100</f>
        <v>33.29121391781693</v>
      </c>
      <c r="J68" s="180">
        <f>'Balance til analyse'!F17/'Balance til analyse'!F15*100</f>
        <v>36.23530986817058</v>
      </c>
      <c r="K68" s="252">
        <f t="shared" si="0"/>
        <v>0.1488187120208235</v>
      </c>
    </row>
    <row r="69" spans="1:11" ht="12.75">
      <c r="A69" s="11"/>
      <c r="B69" s="44"/>
      <c r="C69" s="243" t="s">
        <v>76</v>
      </c>
      <c r="D69" s="44"/>
      <c r="E69" s="44"/>
      <c r="F69" s="44">
        <f>'Balance til analyse'!D15</f>
        <v>220986</v>
      </c>
      <c r="G69" s="44"/>
      <c r="H69" s="244"/>
      <c r="I69" s="88"/>
      <c r="J69" s="160"/>
      <c r="K69" s="253"/>
    </row>
    <row r="70" spans="1:11" ht="13.5" thickBot="1">
      <c r="A70" s="154" t="s">
        <v>114</v>
      </c>
      <c r="B70" s="29"/>
      <c r="C70" s="72" t="s">
        <v>115</v>
      </c>
      <c r="D70" s="29"/>
      <c r="E70" s="29"/>
      <c r="F70" s="30">
        <f>'Balance til analyse'!D32</f>
        <v>151284</v>
      </c>
      <c r="G70" s="246"/>
      <c r="H70" s="102">
        <f>'Balance til analyse'!D32/'Balance til analyse'!D17</f>
        <v>2.1704398726004994</v>
      </c>
      <c r="I70" s="102">
        <f>'Balance til analyse'!E32/'Balance til analyse'!E17</f>
        <v>2.003795543378536</v>
      </c>
      <c r="J70" s="180">
        <f>'Balance til analyse'!F32/'Balance til analyse'!F17</f>
        <v>1.7597390601547165</v>
      </c>
      <c r="K70" s="252">
        <f>(J70-H70)/H70</f>
        <v>-0.189224690179371</v>
      </c>
    </row>
    <row r="71" spans="1:11" ht="12.75">
      <c r="A71" s="156"/>
      <c r="B71" s="33"/>
      <c r="C71" s="71" t="str">
        <f>C68</f>
        <v>Egenkapital</v>
      </c>
      <c r="D71" s="33"/>
      <c r="E71" s="33"/>
      <c r="F71" s="33">
        <f>'Balance til analyse'!D17</f>
        <v>69702</v>
      </c>
      <c r="G71" s="33"/>
      <c r="H71" s="109"/>
      <c r="I71" s="85"/>
      <c r="J71" s="157"/>
      <c r="K71" s="253"/>
    </row>
    <row r="72" spans="1:11" ht="14.25">
      <c r="A72" s="154" t="s">
        <v>116</v>
      </c>
      <c r="B72" s="29"/>
      <c r="C72" s="245" t="s">
        <v>117</v>
      </c>
      <c r="D72" s="29"/>
      <c r="E72" s="29"/>
      <c r="F72" s="247">
        <f>H4</f>
        <v>0.06598155539264931</v>
      </c>
      <c r="G72" s="248">
        <f>H10*-1</f>
        <v>-0.05476454879564263</v>
      </c>
      <c r="H72" s="249">
        <f>H4-H10</f>
        <v>0.011217006597006682</v>
      </c>
      <c r="I72" s="249">
        <f>I4-I10</f>
        <v>0.06085864838360685</v>
      </c>
      <c r="J72" s="259">
        <f>J4-J10</f>
        <v>0.054990645181424685</v>
      </c>
      <c r="K72" s="252">
        <f>(J72-H72)/H72</f>
        <v>3.902434950524076</v>
      </c>
    </row>
    <row r="73" spans="1:11" ht="18">
      <c r="A73" s="260" t="s">
        <v>89</v>
      </c>
      <c r="B73" s="261"/>
      <c r="C73" s="262"/>
      <c r="D73" s="261"/>
      <c r="E73" s="261"/>
      <c r="F73" s="261"/>
      <c r="G73" s="261"/>
      <c r="H73" s="263"/>
      <c r="I73" s="264"/>
      <c r="J73" s="265"/>
      <c r="K73" s="266"/>
    </row>
    <row r="74" spans="1:11" ht="13.5" hidden="1" thickBot="1">
      <c r="A74" s="176" t="s">
        <v>78</v>
      </c>
      <c r="B74" s="29"/>
      <c r="C74" s="72" t="str">
        <f>'Resultatopgørelse til analyse'!A22</f>
        <v>Årests resultat</v>
      </c>
      <c r="D74" s="30"/>
      <c r="E74" s="29"/>
      <c r="F74" s="40">
        <f>'Resultatopgørelse til analyse'!B22</f>
        <v>5833</v>
      </c>
      <c r="G74" s="30"/>
      <c r="H74" s="103" t="e">
        <f>'Resultatopgørelse til analyse'!B22/'Resultatopgørelse til analyse'!B26</f>
        <v>#DIV/0!</v>
      </c>
      <c r="I74" s="103" t="e">
        <f>'Resultatopgørelse til analyse'!C22/'Resultatopgørelse til analyse'!C26</f>
        <v>#DIV/0!</v>
      </c>
      <c r="J74" s="181" t="e">
        <f>'Resultatopgørelse til analyse'!D22/'Resultatopgørelse til analyse'!D26</f>
        <v>#DIV/0!</v>
      </c>
      <c r="K74" s="252" t="e">
        <f aca="true" t="shared" si="1" ref="K74:K90">(J74-H74)/H74</f>
        <v>#DIV/0!</v>
      </c>
    </row>
    <row r="75" spans="1:11" ht="12.75" hidden="1">
      <c r="A75" s="156" t="s">
        <v>84</v>
      </c>
      <c r="B75" s="33"/>
      <c r="C75" s="34" t="str">
        <f>'Resultatopgørelse til analyse'!A26</f>
        <v>Antal aktier</v>
      </c>
      <c r="D75" s="33"/>
      <c r="E75" s="33"/>
      <c r="F75" s="2">
        <f>'Resultatopgørelse til analyse'!B26</f>
        <v>0</v>
      </c>
      <c r="G75" s="33"/>
      <c r="H75" s="100"/>
      <c r="I75" s="100"/>
      <c r="J75" s="175"/>
      <c r="K75" s="253"/>
    </row>
    <row r="76" spans="1:11" ht="13.5" hidden="1" thickBot="1">
      <c r="A76" s="154" t="s">
        <v>81</v>
      </c>
      <c r="B76" s="29"/>
      <c r="C76" s="32" t="str">
        <f>'Resultatopgørelse til analyse'!A27</f>
        <v>Børskurs</v>
      </c>
      <c r="D76" s="30"/>
      <c r="E76" s="29"/>
      <c r="F76" s="40">
        <f>'Resultatopgørelse til analyse'!B27</f>
        <v>0</v>
      </c>
      <c r="G76" s="30"/>
      <c r="H76" s="104" t="e">
        <f>'Resultatopgørelse til analyse'!B27/'beregning af nøgletal'!H74</f>
        <v>#DIV/0!</v>
      </c>
      <c r="I76" s="104" t="e">
        <f>'Resultatopgørelse til analyse'!C27/'beregning af nøgletal'!I74</f>
        <v>#DIV/0!</v>
      </c>
      <c r="J76" s="182" t="e">
        <f>'Resultatopgørelse til analyse'!D27/'beregning af nøgletal'!J74</f>
        <v>#DIV/0!</v>
      </c>
      <c r="K76" s="252" t="e">
        <f t="shared" si="1"/>
        <v>#DIV/0!</v>
      </c>
    </row>
    <row r="77" spans="1:11" ht="12.75" hidden="1">
      <c r="A77" s="156" t="s">
        <v>85</v>
      </c>
      <c r="B77" s="33"/>
      <c r="C77" s="34" t="str">
        <f>A74</f>
        <v>Resultat pr. aktie</v>
      </c>
      <c r="D77" s="33"/>
      <c r="E77" s="33"/>
      <c r="F77" s="77" t="e">
        <f>H74</f>
        <v>#DIV/0!</v>
      </c>
      <c r="G77" s="33"/>
      <c r="H77" s="85"/>
      <c r="I77" s="85"/>
      <c r="J77" s="157"/>
      <c r="K77" s="253"/>
    </row>
    <row r="78" spans="1:11" ht="13.5" hidden="1" thickBot="1">
      <c r="A78" s="154" t="s">
        <v>82</v>
      </c>
      <c r="B78" s="29"/>
      <c r="C78" s="32" t="str">
        <f>'Balance til analyse'!A17</f>
        <v>Egenkapital</v>
      </c>
      <c r="D78" s="30"/>
      <c r="E78" s="29"/>
      <c r="F78" s="40">
        <f>'Balance til analyse'!D17</f>
        <v>69702</v>
      </c>
      <c r="G78" s="30"/>
      <c r="H78" s="91" t="e">
        <f>'Balance til analyse'!D17/'Resultatopgørelse til analyse'!B26</f>
        <v>#DIV/0!</v>
      </c>
      <c r="I78" s="91" t="e">
        <f>'Balance til analyse'!E17/'Resultatopgørelse til analyse'!C26</f>
        <v>#DIV/0!</v>
      </c>
      <c r="J78" s="164" t="e">
        <f>'Balance til analyse'!F17/'Resultatopgørelse til analyse'!D26</f>
        <v>#DIV/0!</v>
      </c>
      <c r="K78" s="252" t="e">
        <f t="shared" si="1"/>
        <v>#DIV/0!</v>
      </c>
    </row>
    <row r="79" spans="1:11" ht="12.75" hidden="1">
      <c r="A79" s="156"/>
      <c r="B79" s="33"/>
      <c r="C79" s="34" t="str">
        <f>C75</f>
        <v>Antal aktier</v>
      </c>
      <c r="D79" s="33"/>
      <c r="E79" s="33"/>
      <c r="F79" s="2">
        <f>F75</f>
        <v>0</v>
      </c>
      <c r="G79" s="33"/>
      <c r="H79" s="85"/>
      <c r="I79" s="105"/>
      <c r="J79" s="140"/>
      <c r="K79" s="253"/>
    </row>
    <row r="80" spans="1:11" ht="13.5" hidden="1" thickBot="1">
      <c r="A80" s="154" t="s">
        <v>83</v>
      </c>
      <c r="B80" s="29"/>
      <c r="C80" s="32" t="str">
        <f>C76</f>
        <v>Børskurs</v>
      </c>
      <c r="D80" s="30"/>
      <c r="E80" s="29"/>
      <c r="F80" s="40">
        <f>F76</f>
        <v>0</v>
      </c>
      <c r="G80" s="30"/>
      <c r="H80" s="106" t="e">
        <f>'Resultatopgørelse til analyse'!B27/'beregning af nøgletal'!H78</f>
        <v>#DIV/0!</v>
      </c>
      <c r="I80" s="106" t="e">
        <f>'Resultatopgørelse til analyse'!C27/'beregning af nøgletal'!I78</f>
        <v>#DIV/0!</v>
      </c>
      <c r="J80" s="183" t="e">
        <f>'Resultatopgørelse til analyse'!D27/'beregning af nøgletal'!J78</f>
        <v>#DIV/0!</v>
      </c>
      <c r="K80" s="252" t="e">
        <f t="shared" si="1"/>
        <v>#DIV/0!</v>
      </c>
    </row>
    <row r="81" spans="1:11" ht="12.75" hidden="1">
      <c r="A81" s="156"/>
      <c r="B81" s="33"/>
      <c r="C81" s="34" t="str">
        <f>A78</f>
        <v>Indre værdi pr. aktie</v>
      </c>
      <c r="D81" s="33"/>
      <c r="E81" s="33"/>
      <c r="F81" s="43" t="e">
        <f>H78</f>
        <v>#DIV/0!</v>
      </c>
      <c r="G81" s="33"/>
      <c r="H81" s="85"/>
      <c r="I81" s="105"/>
      <c r="J81" s="140"/>
      <c r="K81" s="253"/>
    </row>
    <row r="82" spans="1:11" ht="13.5" hidden="1" thickBot="1">
      <c r="A82" s="154" t="s">
        <v>19</v>
      </c>
      <c r="B82" s="29"/>
      <c r="C82" s="32" t="str">
        <f>C22</f>
        <v>Nettoomsætning</v>
      </c>
      <c r="D82" s="30"/>
      <c r="E82" s="29"/>
      <c r="F82" s="55">
        <f>F30</f>
        <v>183982</v>
      </c>
      <c r="G82" s="30"/>
      <c r="H82" s="91" t="e">
        <f>'Resultatopgørelse til analyse'!B3/'Resultatopgørelse til analyse'!B25</f>
        <v>#DIV/0!</v>
      </c>
      <c r="I82" s="91" t="e">
        <f>'Resultatopgørelse til analyse'!C3/'Resultatopgørelse til analyse'!C25</f>
        <v>#DIV/0!</v>
      </c>
      <c r="J82" s="164" t="e">
        <f>'Resultatopgørelse til analyse'!D3/'Resultatopgørelse til analyse'!D25</f>
        <v>#DIV/0!</v>
      </c>
      <c r="K82" s="252" t="e">
        <f t="shared" si="1"/>
        <v>#DIV/0!</v>
      </c>
    </row>
    <row r="83" spans="1:11" ht="12.75" hidden="1">
      <c r="A83" s="156"/>
      <c r="B83" s="33"/>
      <c r="C83" s="34" t="str">
        <f>'Resultatopgørelse til analyse'!A25</f>
        <v>Antal ansatte</v>
      </c>
      <c r="D83" s="33"/>
      <c r="E83" s="33"/>
      <c r="F83" s="56">
        <f>'Resultatopgørelse til analyse'!B25</f>
        <v>0</v>
      </c>
      <c r="G83" s="33"/>
      <c r="H83" s="95"/>
      <c r="I83" s="95"/>
      <c r="J83" s="169"/>
      <c r="K83" s="253"/>
    </row>
    <row r="84" spans="1:11" ht="12.75">
      <c r="A84" s="184" t="s">
        <v>91</v>
      </c>
      <c r="B84" s="134">
        <f>B31</f>
        <v>2001</v>
      </c>
      <c r="C84" s="135" t="s">
        <v>90</v>
      </c>
      <c r="D84" s="134"/>
      <c r="E84" s="134"/>
      <c r="F84" s="134" t="str">
        <f>F31</f>
        <v>Eksempel for året</v>
      </c>
      <c r="G84" s="136">
        <f>G31</f>
        <v>2003</v>
      </c>
      <c r="H84" s="137"/>
      <c r="I84" s="138"/>
      <c r="J84" s="185"/>
      <c r="K84" s="255"/>
    </row>
    <row r="85" spans="1:11" ht="13.5" thickBot="1">
      <c r="A85" s="154" t="str">
        <f>'Balance til analyse'!A6</f>
        <v>Anlægsaktiver i alt</v>
      </c>
      <c r="B85" s="29"/>
      <c r="C85" s="32" t="str">
        <f>C32</f>
        <v>Årets tal</v>
      </c>
      <c r="D85" s="30" t="str">
        <f>D32</f>
        <v>*100</v>
      </c>
      <c r="E85" s="29"/>
      <c r="F85" s="40">
        <f>'Balance til analyse'!E6</f>
        <v>161603</v>
      </c>
      <c r="G85" s="30" t="str">
        <f>D85</f>
        <v>*100</v>
      </c>
      <c r="H85" s="107">
        <f>'Balance til analyse'!D6/'Balance til analyse'!$D$6*100</f>
        <v>100</v>
      </c>
      <c r="I85" s="91">
        <f>'Balance til analyse'!E6/'Balance til analyse'!$D$6*100</f>
        <v>110.76816571048644</v>
      </c>
      <c r="J85" s="186">
        <f>'Balance til analyse'!F6/'Balance til analyse'!$D$6*100</f>
        <v>109.35068851829766</v>
      </c>
      <c r="K85" s="252">
        <f t="shared" si="1"/>
        <v>0.09350688518297659</v>
      </c>
    </row>
    <row r="86" spans="1:11" ht="12.75">
      <c r="A86" s="156"/>
      <c r="B86" s="33"/>
      <c r="C86" s="34" t="str">
        <f>C33</f>
        <v>Basisårets tal</v>
      </c>
      <c r="D86" s="33"/>
      <c r="E86" s="33"/>
      <c r="F86" s="2">
        <f>'Balance til analyse'!D6</f>
        <v>145893</v>
      </c>
      <c r="G86" s="33"/>
      <c r="H86" s="85"/>
      <c r="I86" s="85"/>
      <c r="J86" s="187"/>
      <c r="K86" s="253"/>
    </row>
    <row r="87" spans="1:11" ht="12.75">
      <c r="A87" s="156" t="str">
        <f>'Balance til analyse'!A14</f>
        <v>Omsætningsaktiver i alt </v>
      </c>
      <c r="B87" s="44"/>
      <c r="C87" s="44"/>
      <c r="D87" s="44"/>
      <c r="E87" s="44"/>
      <c r="F87" s="44"/>
      <c r="G87" s="44"/>
      <c r="H87" s="85">
        <f>'Balance til analyse'!D14/'Balance til analyse'!$D$14*100</f>
        <v>100</v>
      </c>
      <c r="I87" s="105">
        <f>'Balance til analyse'!E14/'Balance til analyse'!$D$14*100</f>
        <v>103.0721904838001</v>
      </c>
      <c r="J87" s="12">
        <f>'Balance til analyse'!F14/'Balance til analyse'!$D$14*100</f>
        <v>105.85007923508184</v>
      </c>
      <c r="K87" s="258">
        <f t="shared" si="1"/>
        <v>0.058500792350818356</v>
      </c>
    </row>
    <row r="88" spans="1:11" ht="12.75">
      <c r="A88" s="11" t="str">
        <f>'Balance til analyse'!A17</f>
        <v>Egenkapital</v>
      </c>
      <c r="B88" s="78"/>
      <c r="C88" s="78"/>
      <c r="D88" s="78"/>
      <c r="E88" s="78"/>
      <c r="F88" s="78"/>
      <c r="G88" s="78"/>
      <c r="H88" s="88">
        <f>'Balance til analyse'!D17/'Balance til analyse'!$D$17*100</f>
        <v>100</v>
      </c>
      <c r="I88" s="117">
        <f>'Balance til analyse'!E17/'Balance til analyse'!$D$17*100</f>
        <v>114.15310894952799</v>
      </c>
      <c r="J88" s="119">
        <f>'Balance til analyse'!F17/'Balance til analyse'!$D$17*100</f>
        <v>124.25755358526298</v>
      </c>
      <c r="K88" s="252">
        <f t="shared" si="1"/>
        <v>0.24257553585262984</v>
      </c>
    </row>
    <row r="89" spans="1:11" ht="12.75">
      <c r="A89" s="170" t="str">
        <f>'Balance til analyse'!A24</f>
        <v>Langfristet gæld i alt</v>
      </c>
      <c r="B89" s="78"/>
      <c r="C89" s="78"/>
      <c r="D89" s="78"/>
      <c r="E89" s="78"/>
      <c r="F89" s="78"/>
      <c r="G89" s="78"/>
      <c r="H89" s="93">
        <f>'Balance til analyse'!D24/'Balance til analyse'!$D$24*100</f>
        <v>100</v>
      </c>
      <c r="I89" s="133">
        <f>'Balance til analyse'!E24/'Balance til analyse'!$D$24*100</f>
        <v>87.21164302737222</v>
      </c>
      <c r="J89" s="188">
        <f>'Balance til analyse'!F24/'Balance til analyse'!$D$24*100</f>
        <v>118.3692357527939</v>
      </c>
      <c r="K89" s="252">
        <f t="shared" si="1"/>
        <v>0.18369235752793897</v>
      </c>
    </row>
    <row r="90" spans="1:11" ht="13.5" thickBot="1">
      <c r="A90" s="189" t="str">
        <f>'Balance til analyse'!A31</f>
        <v>Kortfristet gæld i alt</v>
      </c>
      <c r="B90" s="4"/>
      <c r="C90" s="4"/>
      <c r="D90" s="4"/>
      <c r="E90" s="4"/>
      <c r="F90" s="4"/>
      <c r="G90" s="4"/>
      <c r="H90" s="190">
        <f>'Balance til analyse'!D31/'Balance til analyse'!$D$31*100</f>
        <v>100</v>
      </c>
      <c r="I90" s="191">
        <f>'Balance til analyse'!E31/'Balance til analyse'!$D$31*100</f>
        <v>113.23554295867</v>
      </c>
      <c r="J90" s="192">
        <f>'Balance til analyse'!F31/'Balance til analyse'!$D$31*100</f>
        <v>88.30640043995092</v>
      </c>
      <c r="K90" s="256">
        <f t="shared" si="1"/>
        <v>-0.1169359956004908</v>
      </c>
    </row>
    <row r="91" spans="9:11" ht="12.75">
      <c r="I91" s="1"/>
      <c r="J91" s="1"/>
      <c r="K91" s="1"/>
    </row>
    <row r="92" spans="9:11" ht="12.75">
      <c r="I92" s="1"/>
      <c r="J92" s="1"/>
      <c r="K92" s="1"/>
    </row>
    <row r="93" spans="9:11" ht="12.75">
      <c r="I93" s="1"/>
      <c r="J93" s="1"/>
      <c r="K93" s="1"/>
    </row>
    <row r="94" spans="9:11" ht="12.75">
      <c r="I94" s="1"/>
      <c r="J94" s="1"/>
      <c r="K94" s="1"/>
    </row>
    <row r="95" spans="9:11" ht="12.75">
      <c r="I95" s="1"/>
      <c r="J95" s="1"/>
      <c r="K95" s="1"/>
    </row>
    <row r="96" spans="9:11" ht="12.75">
      <c r="I96" s="1"/>
      <c r="J96" s="1"/>
      <c r="K96" s="1"/>
    </row>
    <row r="97" spans="9:11" ht="12.75">
      <c r="I97" s="1"/>
      <c r="J97" s="1"/>
      <c r="K97" s="1"/>
    </row>
    <row r="98" spans="9:11" ht="12.75">
      <c r="I98" s="1"/>
      <c r="J98" s="1"/>
      <c r="K98" s="1"/>
    </row>
    <row r="99" spans="9:11" ht="12.75">
      <c r="I99" s="1"/>
      <c r="J99" s="1"/>
      <c r="K99" s="1"/>
    </row>
    <row r="100" spans="9:11" ht="12.75">
      <c r="I100" s="1"/>
      <c r="J100" s="1"/>
      <c r="K100" s="1"/>
    </row>
    <row r="101" spans="9:11" ht="12.75">
      <c r="I101" s="1"/>
      <c r="J101" s="1"/>
      <c r="K101" s="1"/>
    </row>
    <row r="102" spans="9:11" ht="12.75">
      <c r="I102" s="1"/>
      <c r="J102" s="1"/>
      <c r="K102" s="1"/>
    </row>
    <row r="103" spans="9:11" ht="12.75">
      <c r="I103" s="1"/>
      <c r="J103" s="1"/>
      <c r="K103" s="1"/>
    </row>
    <row r="104" spans="9:11" ht="12.75">
      <c r="I104" s="1"/>
      <c r="J104" s="1"/>
      <c r="K104" s="1"/>
    </row>
    <row r="105" spans="9:11" ht="12.75">
      <c r="I105" s="1"/>
      <c r="J105" s="1"/>
      <c r="K105" s="1"/>
    </row>
    <row r="106" spans="9:11" ht="12.75">
      <c r="I106" s="1"/>
      <c r="J106" s="1"/>
      <c r="K106" s="1"/>
    </row>
    <row r="107" spans="9:11" ht="12.75">
      <c r="I107" s="1"/>
      <c r="J107" s="1"/>
      <c r="K107" s="1"/>
    </row>
    <row r="108" spans="9:11" ht="12.75">
      <c r="I108" s="1"/>
      <c r="J108" s="1"/>
      <c r="K108" s="1"/>
    </row>
    <row r="109" spans="9:11" ht="12.75">
      <c r="I109" s="1"/>
      <c r="J109" s="1"/>
      <c r="K109" s="1"/>
    </row>
    <row r="110" spans="9:11" ht="12.75">
      <c r="I110" s="1"/>
      <c r="J110" s="1"/>
      <c r="K110" s="1"/>
    </row>
    <row r="111" spans="9:11" ht="12.75">
      <c r="I111" s="1"/>
      <c r="J111" s="1"/>
      <c r="K111" s="1"/>
    </row>
    <row r="112" spans="9:11" ht="12.75">
      <c r="I112" s="1"/>
      <c r="J112" s="1"/>
      <c r="K112" s="1"/>
    </row>
    <row r="113" spans="9:11" ht="12.75">
      <c r="I113" s="1"/>
      <c r="J113" s="1"/>
      <c r="K113" s="1"/>
    </row>
    <row r="114" spans="9:11" ht="12.75">
      <c r="I114" s="1"/>
      <c r="J114" s="1"/>
      <c r="K114" s="1"/>
    </row>
    <row r="115" spans="9:11" ht="12.75">
      <c r="I115" s="1"/>
      <c r="J115" s="1"/>
      <c r="K115" s="1"/>
    </row>
    <row r="116" spans="9:11" ht="12.75">
      <c r="I116" s="1"/>
      <c r="J116" s="1"/>
      <c r="K116" s="1"/>
    </row>
    <row r="117" spans="9:11" ht="12.75">
      <c r="I117" s="1"/>
      <c r="J117" s="1"/>
      <c r="K117" s="1"/>
    </row>
    <row r="118" spans="9:11" ht="12.75">
      <c r="I118" s="1"/>
      <c r="J118" s="1"/>
      <c r="K118" s="1"/>
    </row>
    <row r="119" spans="9:11" ht="12.75">
      <c r="I119" s="1"/>
      <c r="J119" s="1"/>
      <c r="K119" s="1"/>
    </row>
    <row r="120" spans="9:11" ht="12.75">
      <c r="I120" s="1"/>
      <c r="J120" s="1"/>
      <c r="K120" s="1"/>
    </row>
    <row r="121" spans="9:11" ht="12.75">
      <c r="I121" s="1"/>
      <c r="J121" s="1"/>
      <c r="K121" s="1"/>
    </row>
    <row r="122" spans="9:11" ht="12.75">
      <c r="I122" s="1"/>
      <c r="J122" s="1"/>
      <c r="K122" s="1"/>
    </row>
    <row r="123" spans="9:11" ht="12.75">
      <c r="I123" s="1"/>
      <c r="J123" s="1"/>
      <c r="K123" s="1"/>
    </row>
    <row r="124" spans="9:11" ht="12.75">
      <c r="I124" s="1"/>
      <c r="J124" s="1"/>
      <c r="K124" s="1"/>
    </row>
    <row r="125" spans="9:11" ht="12.75">
      <c r="I125" s="1"/>
      <c r="J125" s="1"/>
      <c r="K125" s="1"/>
    </row>
    <row r="126" spans="9:11" ht="12.75">
      <c r="I126" s="1"/>
      <c r="J126" s="1"/>
      <c r="K126" s="1"/>
    </row>
    <row r="127" spans="9:11" ht="12.75">
      <c r="I127" s="1"/>
      <c r="J127" s="1"/>
      <c r="K127" s="1"/>
    </row>
    <row r="128" spans="9:11" ht="12.75">
      <c r="I128" s="1"/>
      <c r="J128" s="1"/>
      <c r="K128" s="1"/>
    </row>
    <row r="129" spans="9:11" ht="12.75">
      <c r="I129" s="1"/>
      <c r="J129" s="1"/>
      <c r="K129" s="1"/>
    </row>
    <row r="130" spans="9:11" ht="12.75">
      <c r="I130" s="1"/>
      <c r="J130" s="1"/>
      <c r="K130" s="1"/>
    </row>
    <row r="131" spans="9:11" ht="12.75">
      <c r="I131" s="1"/>
      <c r="J131" s="1"/>
      <c r="K131" s="1"/>
    </row>
    <row r="132" spans="9:11" ht="12.75">
      <c r="I132" s="1"/>
      <c r="J132" s="1"/>
      <c r="K132" s="1"/>
    </row>
    <row r="133" spans="9:11" ht="12.75">
      <c r="I133" s="1"/>
      <c r="J133" s="1"/>
      <c r="K133" s="1"/>
    </row>
    <row r="134" spans="9:11" ht="12.75">
      <c r="I134" s="1"/>
      <c r="J134" s="1"/>
      <c r="K134" s="1"/>
    </row>
    <row r="135" spans="9:11" ht="12.75">
      <c r="I135" s="1"/>
      <c r="J135" s="1"/>
      <c r="K135" s="1"/>
    </row>
    <row r="136" spans="9:11" ht="12.75">
      <c r="I136" s="1"/>
      <c r="J136" s="1"/>
      <c r="K136" s="1"/>
    </row>
    <row r="137" spans="9:11" ht="12.75">
      <c r="I137" s="1"/>
      <c r="J137" s="1"/>
      <c r="K137" s="1"/>
    </row>
    <row r="138" spans="9:11" ht="12.75">
      <c r="I138" s="1"/>
      <c r="J138" s="1"/>
      <c r="K138" s="1"/>
    </row>
    <row r="139" spans="9:11" ht="12.75">
      <c r="I139" s="1"/>
      <c r="J139" s="1"/>
      <c r="K139" s="1"/>
    </row>
    <row r="140" spans="9:11" ht="12.75">
      <c r="I140" s="1"/>
      <c r="J140" s="1"/>
      <c r="K140" s="1"/>
    </row>
    <row r="141" spans="9:11" ht="12.75">
      <c r="I141" s="1"/>
      <c r="J141" s="1"/>
      <c r="K141" s="1"/>
    </row>
    <row r="142" spans="9:11" ht="12.75">
      <c r="I142" s="1"/>
      <c r="J142" s="1"/>
      <c r="K142" s="1"/>
    </row>
    <row r="143" spans="9:11" ht="12.75">
      <c r="I143" s="1"/>
      <c r="J143" s="1"/>
      <c r="K143" s="1"/>
    </row>
    <row r="144" spans="9:11" ht="12.75">
      <c r="I144" s="1"/>
      <c r="J144" s="1"/>
      <c r="K144" s="1"/>
    </row>
    <row r="145" spans="9:11" ht="12.75">
      <c r="I145" s="1"/>
      <c r="J145" s="1"/>
      <c r="K145" s="1"/>
    </row>
    <row r="146" spans="9:11" ht="12.75">
      <c r="I146" s="1"/>
      <c r="J146" s="1"/>
      <c r="K146" s="1"/>
    </row>
    <row r="147" spans="9:11" ht="12.75">
      <c r="I147" s="1"/>
      <c r="J147" s="1"/>
      <c r="K147" s="1"/>
    </row>
    <row r="148" spans="9:11" ht="12.75">
      <c r="I148" s="1"/>
      <c r="J148" s="1"/>
      <c r="K148" s="1"/>
    </row>
    <row r="149" spans="9:11" ht="12.75">
      <c r="I149" s="1"/>
      <c r="J149" s="1"/>
      <c r="K149" s="1"/>
    </row>
    <row r="150" spans="9:11" ht="12.75">
      <c r="I150" s="1"/>
      <c r="J150" s="1"/>
      <c r="K150" s="1"/>
    </row>
    <row r="151" spans="9:11" ht="12.75">
      <c r="I151" s="1"/>
      <c r="J151" s="1"/>
      <c r="K151" s="1"/>
    </row>
    <row r="152" spans="9:11" ht="12.75">
      <c r="I152" s="1"/>
      <c r="J152" s="1"/>
      <c r="K152" s="1"/>
    </row>
    <row r="153" spans="9:11" ht="12.75">
      <c r="I153" s="1"/>
      <c r="J153" s="1"/>
      <c r="K153" s="1"/>
    </row>
    <row r="154" spans="9:11" ht="12.75">
      <c r="I154" s="1"/>
      <c r="J154" s="1"/>
      <c r="K154" s="1"/>
    </row>
    <row r="155" spans="9:11" ht="12.75">
      <c r="I155" s="1"/>
      <c r="J155" s="1"/>
      <c r="K155" s="1"/>
    </row>
    <row r="156" spans="9:11" ht="12.75">
      <c r="I156" s="1"/>
      <c r="J156" s="1"/>
      <c r="K156" s="1"/>
    </row>
    <row r="157" spans="9:11" ht="12.75">
      <c r="I157" s="1"/>
      <c r="J157" s="1"/>
      <c r="K157" s="1"/>
    </row>
    <row r="158" spans="9:11" ht="12.75">
      <c r="I158" s="1"/>
      <c r="J158" s="1"/>
      <c r="K158" s="1"/>
    </row>
    <row r="159" spans="9:11" ht="12.75">
      <c r="I159" s="1"/>
      <c r="J159" s="1"/>
      <c r="K159" s="1"/>
    </row>
    <row r="160" spans="9:11" ht="12.75">
      <c r="I160" s="1"/>
      <c r="J160" s="1"/>
      <c r="K160" s="1"/>
    </row>
    <row r="161" spans="9:11" ht="12.75">
      <c r="I161" s="1"/>
      <c r="J161" s="1"/>
      <c r="K161" s="1"/>
    </row>
    <row r="162" spans="9:11" ht="12.75">
      <c r="I162" s="1"/>
      <c r="J162" s="1"/>
      <c r="K162" s="1"/>
    </row>
    <row r="163" spans="9:11" ht="12.75">
      <c r="I163" s="1"/>
      <c r="J163" s="1"/>
      <c r="K163" s="1"/>
    </row>
    <row r="164" spans="9:11" ht="12.75">
      <c r="I164" s="1"/>
      <c r="J164" s="1"/>
      <c r="K164" s="1"/>
    </row>
    <row r="165" spans="9:11" ht="12.75">
      <c r="I165" s="1"/>
      <c r="J165" s="1"/>
      <c r="K165" s="1"/>
    </row>
    <row r="166" spans="9:11" ht="12.75">
      <c r="I166" s="1"/>
      <c r="J166" s="1"/>
      <c r="K166" s="1"/>
    </row>
    <row r="167" spans="9:11" ht="12.75">
      <c r="I167" s="1"/>
      <c r="J167" s="1"/>
      <c r="K167" s="1"/>
    </row>
    <row r="168" spans="9:11" ht="12.75">
      <c r="I168" s="1"/>
      <c r="J168" s="1"/>
      <c r="K168" s="1"/>
    </row>
    <row r="169" spans="9:11" ht="12.75">
      <c r="I169" s="1"/>
      <c r="J169" s="1"/>
      <c r="K169" s="1"/>
    </row>
    <row r="170" spans="9:11" ht="12.75">
      <c r="I170" s="1"/>
      <c r="J170" s="1"/>
      <c r="K170" s="1"/>
    </row>
    <row r="171" spans="9:11" ht="12.75">
      <c r="I171" s="1"/>
      <c r="J171" s="1"/>
      <c r="K171" s="1"/>
    </row>
    <row r="172" spans="9:11" ht="12.75">
      <c r="I172" s="1"/>
      <c r="J172" s="1"/>
      <c r="K172" s="1"/>
    </row>
    <row r="173" spans="9:11" ht="12.75">
      <c r="I173" s="1"/>
      <c r="J173" s="1"/>
      <c r="K173" s="1"/>
    </row>
    <row r="174" spans="9:11" ht="12.75">
      <c r="I174" s="1"/>
      <c r="J174" s="1"/>
      <c r="K174" s="1"/>
    </row>
    <row r="175" spans="9:11" ht="12.75">
      <c r="I175" s="1"/>
      <c r="J175" s="1"/>
      <c r="K175" s="1"/>
    </row>
    <row r="176" spans="9:11" ht="12.75">
      <c r="I176" s="1"/>
      <c r="J176" s="1"/>
      <c r="K176" s="1"/>
    </row>
    <row r="177" spans="9:11" ht="12.75">
      <c r="I177" s="1"/>
      <c r="J177" s="1"/>
      <c r="K177" s="1"/>
    </row>
    <row r="178" spans="9:11" ht="12.75">
      <c r="I178" s="1"/>
      <c r="J178" s="1"/>
      <c r="K178" s="1"/>
    </row>
    <row r="179" spans="9:11" ht="12.75">
      <c r="I179" s="1"/>
      <c r="J179" s="1"/>
      <c r="K179" s="1"/>
    </row>
    <row r="180" spans="9:11" ht="12.75">
      <c r="I180" s="1"/>
      <c r="J180" s="1"/>
      <c r="K180" s="1"/>
    </row>
    <row r="181" spans="9:11" ht="12.75">
      <c r="I181" s="1"/>
      <c r="J181" s="1"/>
      <c r="K181" s="1"/>
    </row>
    <row r="182" spans="9:11" ht="12.75">
      <c r="I182" s="1"/>
      <c r="J182" s="1"/>
      <c r="K182" s="1"/>
    </row>
    <row r="183" spans="9:11" ht="12.75">
      <c r="I183" s="1"/>
      <c r="J183" s="1"/>
      <c r="K183" s="1"/>
    </row>
    <row r="184" spans="9:11" ht="12.75">
      <c r="I184" s="1"/>
      <c r="J184" s="1"/>
      <c r="K184" s="1"/>
    </row>
    <row r="185" spans="9:11" ht="12.75">
      <c r="I185" s="1"/>
      <c r="J185" s="1"/>
      <c r="K185" s="1"/>
    </row>
    <row r="186" spans="9:11" ht="12.75">
      <c r="I186" s="1"/>
      <c r="J186" s="1"/>
      <c r="K186" s="1"/>
    </row>
    <row r="187" spans="9:11" ht="12.75">
      <c r="I187" s="1"/>
      <c r="J187" s="1"/>
      <c r="K187" s="1"/>
    </row>
    <row r="188" spans="9:11" ht="12.75">
      <c r="I188" s="1"/>
      <c r="J188" s="1"/>
      <c r="K188" s="1"/>
    </row>
    <row r="189" spans="9:11" ht="12.75">
      <c r="I189" s="1"/>
      <c r="J189" s="1"/>
      <c r="K189" s="1"/>
    </row>
    <row r="190" spans="9:11" ht="12.75">
      <c r="I190" s="1"/>
      <c r="J190" s="1"/>
      <c r="K190" s="1"/>
    </row>
    <row r="191" spans="9:11" ht="12.75">
      <c r="I191" s="1"/>
      <c r="J191" s="1"/>
      <c r="K191" s="1"/>
    </row>
    <row r="192" spans="9:11" ht="12.75">
      <c r="I192" s="1"/>
      <c r="J192" s="1"/>
      <c r="K192" s="1"/>
    </row>
    <row r="193" spans="9:11" ht="12.75">
      <c r="I193" s="1"/>
      <c r="J193" s="1"/>
      <c r="K193" s="1"/>
    </row>
    <row r="194" spans="9:11" ht="12.75">
      <c r="I194" s="1"/>
      <c r="J194" s="1"/>
      <c r="K194" s="1"/>
    </row>
    <row r="195" spans="9:11" ht="12.75">
      <c r="I195" s="1"/>
      <c r="J195" s="1"/>
      <c r="K195" s="1"/>
    </row>
    <row r="196" spans="9:11" ht="12.75">
      <c r="I196" s="1"/>
      <c r="J196" s="1"/>
      <c r="K196" s="1"/>
    </row>
    <row r="197" spans="9:11" ht="12.75">
      <c r="I197" s="1"/>
      <c r="J197" s="1"/>
      <c r="K197" s="1"/>
    </row>
    <row r="198" spans="9:11" ht="12.75">
      <c r="I198" s="1"/>
      <c r="J198" s="1"/>
      <c r="K198" s="1"/>
    </row>
    <row r="199" spans="9:11" ht="12.75">
      <c r="I199" s="1"/>
      <c r="J199" s="1"/>
      <c r="K199" s="1"/>
    </row>
    <row r="200" spans="9:11" ht="12.75">
      <c r="I200" s="1"/>
      <c r="J200" s="1"/>
      <c r="K200" s="1"/>
    </row>
    <row r="201" spans="9:11" ht="12.75">
      <c r="I201" s="1"/>
      <c r="J201" s="1"/>
      <c r="K201" s="1"/>
    </row>
    <row r="202" spans="9:11" ht="12.75">
      <c r="I202" s="1"/>
      <c r="J202" s="1"/>
      <c r="K202" s="1"/>
    </row>
    <row r="203" spans="9:11" ht="12.75">
      <c r="I203" s="1"/>
      <c r="J203" s="1"/>
      <c r="K203" s="1"/>
    </row>
    <row r="204" spans="9:11" ht="12.75">
      <c r="I204" s="1"/>
      <c r="J204" s="1"/>
      <c r="K204" s="1"/>
    </row>
    <row r="205" spans="9:11" ht="12.75">
      <c r="I205" s="1"/>
      <c r="J205" s="1"/>
      <c r="K205" s="1"/>
    </row>
    <row r="206" spans="9:11" ht="12.75">
      <c r="I206" s="1"/>
      <c r="J206" s="1"/>
      <c r="K206" s="1"/>
    </row>
    <row r="207" spans="9:11" ht="12.75">
      <c r="I207" s="1"/>
      <c r="J207" s="1"/>
      <c r="K207" s="1"/>
    </row>
    <row r="208" spans="9:11" ht="12.75">
      <c r="I208" s="1"/>
      <c r="J208" s="1"/>
      <c r="K208" s="1"/>
    </row>
    <row r="209" spans="9:11" ht="12.75">
      <c r="I209" s="1"/>
      <c r="J209" s="1"/>
      <c r="K209" s="1"/>
    </row>
    <row r="210" spans="9:11" ht="12.75">
      <c r="I210" s="1"/>
      <c r="J210" s="1"/>
      <c r="K210" s="1"/>
    </row>
    <row r="211" spans="9:11" ht="12.75">
      <c r="I211" s="1"/>
      <c r="J211" s="1"/>
      <c r="K211" s="1"/>
    </row>
    <row r="212" spans="9:11" ht="12.75">
      <c r="I212" s="1"/>
      <c r="J212" s="1"/>
      <c r="K212" s="1"/>
    </row>
    <row r="213" spans="9:11" ht="12.75">
      <c r="I213" s="1"/>
      <c r="J213" s="1"/>
      <c r="K213" s="1"/>
    </row>
    <row r="214" spans="9:11" ht="12.75">
      <c r="I214" s="1"/>
      <c r="J214" s="1"/>
      <c r="K214" s="1"/>
    </row>
    <row r="215" spans="9:11" ht="12.75">
      <c r="I215" s="1"/>
      <c r="J215" s="1"/>
      <c r="K215" s="1"/>
    </row>
    <row r="216" spans="9:11" ht="12.75">
      <c r="I216" s="1"/>
      <c r="J216" s="1"/>
      <c r="K216" s="1"/>
    </row>
    <row r="217" spans="9:11" ht="12.75">
      <c r="I217" s="1"/>
      <c r="J217" s="1"/>
      <c r="K217" s="1"/>
    </row>
    <row r="218" spans="9:11" ht="12.75">
      <c r="I218" s="1"/>
      <c r="J218" s="1"/>
      <c r="K218" s="1"/>
    </row>
    <row r="219" spans="9:11" ht="12.75">
      <c r="I219" s="1"/>
      <c r="J219" s="1"/>
      <c r="K219" s="1"/>
    </row>
    <row r="220" spans="9:11" ht="12.75">
      <c r="I220" s="1"/>
      <c r="J220" s="1"/>
      <c r="K220" s="1"/>
    </row>
    <row r="221" spans="9:11" ht="12.75">
      <c r="I221" s="1"/>
      <c r="J221" s="1"/>
      <c r="K221" s="1"/>
    </row>
    <row r="222" spans="9:11" ht="12.75">
      <c r="I222" s="1"/>
      <c r="J222" s="1"/>
      <c r="K222" s="1"/>
    </row>
    <row r="223" spans="9:11" ht="12.75">
      <c r="I223" s="1"/>
      <c r="J223" s="1"/>
      <c r="K223" s="1"/>
    </row>
    <row r="224" spans="9:11" ht="12.75">
      <c r="I224" s="1"/>
      <c r="J224" s="1"/>
      <c r="K224" s="1"/>
    </row>
    <row r="225" spans="9:11" ht="12.75">
      <c r="I225" s="1"/>
      <c r="J225" s="1"/>
      <c r="K225" s="1"/>
    </row>
    <row r="226" spans="9:11" ht="12.75">
      <c r="I226" s="1"/>
      <c r="J226" s="1"/>
      <c r="K226" s="1"/>
    </row>
    <row r="227" spans="9:11" ht="12.75">
      <c r="I227" s="1"/>
      <c r="J227" s="1"/>
      <c r="K227" s="1"/>
    </row>
    <row r="228" spans="9:11" ht="12.75">
      <c r="I228" s="1"/>
      <c r="J228" s="1"/>
      <c r="K228" s="1"/>
    </row>
    <row r="229" spans="9:11" ht="12.75">
      <c r="I229" s="1"/>
      <c r="J229" s="1"/>
      <c r="K229" s="1"/>
    </row>
    <row r="230" spans="9:11" ht="12.75">
      <c r="I230" s="1"/>
      <c r="J230" s="1"/>
      <c r="K230" s="1"/>
    </row>
    <row r="231" spans="9:11" ht="12.75">
      <c r="I231" s="1"/>
      <c r="J231" s="1"/>
      <c r="K231" s="1"/>
    </row>
    <row r="232" spans="9:11" ht="12.75">
      <c r="I232" s="1"/>
      <c r="J232" s="1"/>
      <c r="K232" s="1"/>
    </row>
    <row r="233" spans="9:11" ht="12.75">
      <c r="I233" s="1"/>
      <c r="J233" s="1"/>
      <c r="K233" s="1"/>
    </row>
    <row r="234" spans="9:11" ht="12.75">
      <c r="I234" s="1"/>
      <c r="J234" s="1"/>
      <c r="K234" s="1"/>
    </row>
    <row r="235" spans="9:11" ht="12.75">
      <c r="I235" s="1"/>
      <c r="J235" s="1"/>
      <c r="K235" s="1"/>
    </row>
    <row r="236" spans="9:11" ht="12.75">
      <c r="I236" s="1"/>
      <c r="J236" s="1"/>
      <c r="K236" s="1"/>
    </row>
    <row r="237" spans="9:11" ht="12.75">
      <c r="I237" s="1"/>
      <c r="J237" s="1"/>
      <c r="K237" s="1"/>
    </row>
    <row r="238" spans="9:11" ht="12.75">
      <c r="I238" s="1"/>
      <c r="J238" s="1"/>
      <c r="K238" s="1"/>
    </row>
    <row r="239" spans="9:11" ht="12.75">
      <c r="I239" s="1"/>
      <c r="J239" s="1"/>
      <c r="K239" s="1"/>
    </row>
    <row r="240" spans="9:11" ht="12.75">
      <c r="I240" s="1"/>
      <c r="J240" s="1"/>
      <c r="K240" s="1"/>
    </row>
    <row r="241" spans="9:11" ht="12.75">
      <c r="I241" s="1"/>
      <c r="J241" s="1"/>
      <c r="K241" s="1"/>
    </row>
    <row r="242" spans="9:11" ht="12.75">
      <c r="I242" s="1"/>
      <c r="J242" s="1"/>
      <c r="K242" s="1"/>
    </row>
    <row r="243" spans="9:11" ht="12.75">
      <c r="I243" s="1"/>
      <c r="J243" s="1"/>
      <c r="K243" s="1"/>
    </row>
    <row r="244" spans="9:11" ht="12.75">
      <c r="I244" s="1"/>
      <c r="J244" s="1"/>
      <c r="K244" s="1"/>
    </row>
    <row r="245" spans="9:11" ht="12.75">
      <c r="I245" s="1"/>
      <c r="J245" s="1"/>
      <c r="K245" s="1"/>
    </row>
    <row r="246" spans="9:11" ht="12.75">
      <c r="I246" s="1"/>
      <c r="J246" s="1"/>
      <c r="K246" s="1"/>
    </row>
    <row r="247" spans="9:11" ht="12.75">
      <c r="I247" s="1"/>
      <c r="J247" s="1"/>
      <c r="K247" s="1"/>
    </row>
    <row r="248" spans="9:11" ht="12.75">
      <c r="I248" s="1"/>
      <c r="J248" s="1"/>
      <c r="K248" s="1"/>
    </row>
    <row r="249" spans="9:11" ht="12.75">
      <c r="I249" s="1"/>
      <c r="J249" s="1"/>
      <c r="K249" s="1"/>
    </row>
    <row r="250" spans="9:11" ht="12.75">
      <c r="I250" s="1"/>
      <c r="J250" s="1"/>
      <c r="K250" s="1"/>
    </row>
    <row r="251" spans="9:11" ht="12.75">
      <c r="I251" s="1"/>
      <c r="J251" s="1"/>
      <c r="K251" s="1"/>
    </row>
    <row r="252" spans="9:11" ht="12.75">
      <c r="I252" s="1"/>
      <c r="J252" s="1"/>
      <c r="K252" s="1"/>
    </row>
    <row r="253" spans="9:11" ht="12.75">
      <c r="I253" s="1"/>
      <c r="J253" s="1"/>
      <c r="K253" s="1"/>
    </row>
    <row r="254" spans="9:11" ht="12.75">
      <c r="I254" s="1"/>
      <c r="J254" s="1"/>
      <c r="K254" s="1"/>
    </row>
    <row r="255" spans="9:11" ht="12.75">
      <c r="I255" s="1"/>
      <c r="J255" s="1"/>
      <c r="K255" s="1"/>
    </row>
    <row r="256" spans="9:11" ht="12.75">
      <c r="I256" s="1"/>
      <c r="J256" s="1"/>
      <c r="K256" s="1"/>
    </row>
    <row r="257" spans="9:11" ht="12.75">
      <c r="I257" s="1"/>
      <c r="J257" s="1"/>
      <c r="K257" s="1"/>
    </row>
    <row r="258" spans="9:11" ht="12.75">
      <c r="I258" s="1"/>
      <c r="J258" s="1"/>
      <c r="K258" s="1"/>
    </row>
    <row r="259" spans="9:11" ht="12.75">
      <c r="I259" s="1"/>
      <c r="J259" s="1"/>
      <c r="K259" s="1"/>
    </row>
    <row r="260" spans="9:11" ht="12.75">
      <c r="I260" s="1"/>
      <c r="J260" s="1"/>
      <c r="K260" s="1"/>
    </row>
    <row r="261" spans="9:11" ht="12.75">
      <c r="I261" s="1"/>
      <c r="J261" s="1"/>
      <c r="K261" s="1"/>
    </row>
    <row r="262" spans="9:11" ht="12.75">
      <c r="I262" s="1"/>
      <c r="J262" s="1"/>
      <c r="K262" s="1"/>
    </row>
    <row r="263" spans="9:11" ht="12.75">
      <c r="I263" s="1"/>
      <c r="J263" s="1"/>
      <c r="K263" s="1"/>
    </row>
    <row r="264" spans="9:11" ht="12.75">
      <c r="I264" s="1"/>
      <c r="J264" s="1"/>
      <c r="K264" s="1"/>
    </row>
    <row r="265" spans="9:11" ht="12.75">
      <c r="I265" s="1"/>
      <c r="J265" s="1"/>
      <c r="K265" s="1"/>
    </row>
    <row r="266" spans="9:11" ht="12.75">
      <c r="I266" s="1"/>
      <c r="J266" s="1"/>
      <c r="K266" s="1"/>
    </row>
    <row r="267" spans="9:11" ht="12.75">
      <c r="I267" s="1"/>
      <c r="J267" s="1"/>
      <c r="K267" s="1"/>
    </row>
    <row r="268" spans="9:11" ht="12.75">
      <c r="I268" s="1"/>
      <c r="J268" s="1"/>
      <c r="K268" s="1"/>
    </row>
    <row r="269" spans="9:11" ht="12.75">
      <c r="I269" s="1"/>
      <c r="J269" s="1"/>
      <c r="K269" s="1"/>
    </row>
    <row r="270" spans="9:11" ht="12.75">
      <c r="I270" s="1"/>
      <c r="J270" s="1"/>
      <c r="K270" s="1"/>
    </row>
    <row r="271" spans="9:11" ht="12.75">
      <c r="I271" s="1"/>
      <c r="J271" s="1"/>
      <c r="K271" s="1"/>
    </row>
    <row r="272" spans="9:11" ht="12.75">
      <c r="I272" s="1"/>
      <c r="J272" s="1"/>
      <c r="K272" s="1"/>
    </row>
    <row r="273" spans="9:11" ht="12.75">
      <c r="I273" s="1"/>
      <c r="J273" s="1"/>
      <c r="K273" s="1"/>
    </row>
    <row r="274" spans="9:11" ht="12.75">
      <c r="I274" s="1"/>
      <c r="J274" s="1"/>
      <c r="K274" s="1"/>
    </row>
    <row r="275" spans="9:11" ht="12.75">
      <c r="I275" s="1"/>
      <c r="J275" s="1"/>
      <c r="K275" s="1"/>
    </row>
    <row r="276" spans="9:11" ht="12.75">
      <c r="I276" s="1"/>
      <c r="J276" s="1"/>
      <c r="K276" s="1"/>
    </row>
    <row r="277" spans="9:11" ht="12.75">
      <c r="I277" s="1"/>
      <c r="J277" s="1"/>
      <c r="K277" s="1"/>
    </row>
    <row r="278" spans="9:11" ht="12.75">
      <c r="I278" s="1"/>
      <c r="J278" s="1"/>
      <c r="K278" s="1"/>
    </row>
    <row r="279" spans="9:11" ht="12.75">
      <c r="I279" s="1"/>
      <c r="J279" s="1"/>
      <c r="K279" s="1"/>
    </row>
    <row r="280" spans="9:11" ht="12.75">
      <c r="I280" s="1"/>
      <c r="J280" s="1"/>
      <c r="K280" s="1"/>
    </row>
    <row r="281" spans="9:11" ht="12.75">
      <c r="I281" s="1"/>
      <c r="J281" s="1"/>
      <c r="K281" s="1"/>
    </row>
    <row r="282" spans="9:11" ht="12.75">
      <c r="I282" s="1"/>
      <c r="J282" s="1"/>
      <c r="K282" s="1"/>
    </row>
    <row r="283" spans="9:11" ht="12.75">
      <c r="I283" s="1"/>
      <c r="J283" s="1"/>
      <c r="K283" s="1"/>
    </row>
    <row r="284" spans="9:11" ht="12.75">
      <c r="I284" s="1"/>
      <c r="J284" s="1"/>
      <c r="K284" s="1"/>
    </row>
    <row r="285" spans="9:11" ht="12.75">
      <c r="I285" s="1"/>
      <c r="J285" s="1"/>
      <c r="K285" s="1"/>
    </row>
    <row r="286" spans="9:11" ht="12.75">
      <c r="I286" s="1"/>
      <c r="J286" s="1"/>
      <c r="K286" s="1"/>
    </row>
    <row r="287" spans="9:11" ht="12.75">
      <c r="I287" s="1"/>
      <c r="J287" s="1"/>
      <c r="K287" s="1"/>
    </row>
    <row r="288" spans="9:11" ht="12.75">
      <c r="I288" s="1"/>
      <c r="J288" s="1"/>
      <c r="K288" s="1"/>
    </row>
    <row r="289" spans="9:11" ht="12.75">
      <c r="I289" s="1"/>
      <c r="J289" s="1"/>
      <c r="K289" s="1"/>
    </row>
    <row r="290" spans="9:11" ht="12.75">
      <c r="I290" s="1"/>
      <c r="J290" s="1"/>
      <c r="K290" s="1"/>
    </row>
    <row r="291" spans="9:11" ht="12.75">
      <c r="I291" s="1"/>
      <c r="J291" s="1"/>
      <c r="K291" s="1"/>
    </row>
    <row r="292" spans="9:11" ht="12.75">
      <c r="I292" s="1"/>
      <c r="J292" s="1"/>
      <c r="K292" s="1"/>
    </row>
    <row r="293" spans="9:11" ht="12.75">
      <c r="I293" s="1"/>
      <c r="J293" s="1"/>
      <c r="K293" s="1"/>
    </row>
    <row r="294" spans="9:11" ht="12.75">
      <c r="I294" s="1"/>
      <c r="J294" s="1"/>
      <c r="K294" s="1"/>
    </row>
    <row r="295" spans="9:11" ht="12.75">
      <c r="I295" s="1"/>
      <c r="J295" s="1"/>
      <c r="K295" s="1"/>
    </row>
    <row r="296" spans="9:11" ht="12.75">
      <c r="I296" s="1"/>
      <c r="J296" s="1"/>
      <c r="K296" s="1"/>
    </row>
    <row r="297" spans="9:11" ht="12.75">
      <c r="I297" s="1"/>
      <c r="J297" s="1"/>
      <c r="K297" s="1"/>
    </row>
    <row r="298" spans="9:11" ht="12.75">
      <c r="I298" s="1"/>
      <c r="J298" s="1"/>
      <c r="K298" s="1"/>
    </row>
    <row r="299" spans="9:11" ht="12.75">
      <c r="I299" s="1"/>
      <c r="J299" s="1"/>
      <c r="K299" s="1"/>
    </row>
    <row r="300" spans="9:11" ht="12.75">
      <c r="I300" s="1"/>
      <c r="J300" s="1"/>
      <c r="K300" s="1"/>
    </row>
    <row r="301" spans="9:11" ht="12.75">
      <c r="I301" s="1"/>
      <c r="J301" s="1"/>
      <c r="K301" s="1"/>
    </row>
    <row r="302" spans="9:11" ht="12.75">
      <c r="I302" s="1"/>
      <c r="J302" s="1"/>
      <c r="K302" s="1"/>
    </row>
    <row r="303" spans="9:11" ht="12.75">
      <c r="I303" s="1"/>
      <c r="J303" s="1"/>
      <c r="K303" s="1"/>
    </row>
    <row r="304" spans="9:11" ht="12.75">
      <c r="I304" s="1"/>
      <c r="J304" s="1"/>
      <c r="K304" s="1"/>
    </row>
  </sheetData>
  <mergeCells count="2">
    <mergeCell ref="F5:G5"/>
    <mergeCell ref="F1:J1"/>
  </mergeCells>
  <printOptions/>
  <pageMargins left="0.4330708661417323" right="0.2755905511811024" top="0.31496062992125984" bottom="0.07874015748031496" header="0.5118110236220472" footer="0.5118110236220472"/>
  <pageSetup horizontalDpi="300" verticalDpi="300" orientation="landscape" paperSize="9" scale="90" r:id="rId3"/>
  <rowBreaks count="1" manualBreakCount="1">
    <brk id="4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workbookViewId="0" topLeftCell="A1">
      <selection activeCell="A1" sqref="A1"/>
    </sheetView>
  </sheetViews>
  <sheetFormatPr defaultColWidth="9.140625" defaultRowHeight="12.75"/>
  <cols>
    <col min="1" max="2" width="10.00390625" style="0" customWidth="1"/>
    <col min="3" max="3" width="8.00390625" style="0" customWidth="1"/>
    <col min="4" max="4" width="7.57421875" style="0" customWidth="1"/>
    <col min="5" max="5" width="4.421875" style="0" customWidth="1"/>
    <col min="6" max="6" width="12.28125" style="0" customWidth="1"/>
    <col min="7" max="7" width="12.140625" style="0" customWidth="1"/>
    <col min="8" max="8" width="16.7109375" style="0" customWidth="1"/>
    <col min="9" max="9" width="17.421875" style="0" customWidth="1"/>
    <col min="10" max="10" width="7.8515625" style="0" customWidth="1"/>
    <col min="11" max="11" width="11.140625" style="0" customWidth="1"/>
  </cols>
  <sheetData>
    <row r="1" ht="18">
      <c r="A1" s="233" t="s">
        <v>97</v>
      </c>
    </row>
    <row r="2" ht="15.75">
      <c r="A2" s="232" t="s">
        <v>112</v>
      </c>
    </row>
    <row r="3" spans="1:11" ht="15">
      <c r="A3" s="488" t="s">
        <v>98</v>
      </c>
      <c r="B3" s="488"/>
      <c r="C3" s="488"/>
      <c r="D3" s="235">
        <f>'beregning af nøgletal'!J2</f>
        <v>2003</v>
      </c>
      <c r="E3" s="236" t="s">
        <v>99</v>
      </c>
      <c r="F3" s="237">
        <f>'beregning af nøgletal'!J4</f>
        <v>0.11439580622623116</v>
      </c>
      <c r="G3" s="236" t="s">
        <v>102</v>
      </c>
      <c r="H3" s="236" t="str">
        <f>IF(F3&gt;F4,"tilfredsstillende","utilfredsstillende")</f>
        <v>utilfredsstillende</v>
      </c>
      <c r="I3" s="488" t="s">
        <v>100</v>
      </c>
      <c r="J3" s="488"/>
      <c r="K3" s="488"/>
    </row>
    <row r="4" spans="1:11" ht="15">
      <c r="A4" s="493" t="s">
        <v>101</v>
      </c>
      <c r="B4" s="488"/>
      <c r="C4" s="488"/>
      <c r="D4" s="488"/>
      <c r="E4" s="488"/>
      <c r="F4" s="274">
        <v>0.118</v>
      </c>
      <c r="G4" s="236" t="s">
        <v>217</v>
      </c>
      <c r="H4" s="236"/>
      <c r="I4" s="236"/>
      <c r="J4" s="236" t="str">
        <f>IF('beregning af nøgletal'!H4&lt;'beregning af nøgletal'!J4,"steget","faldet")</f>
        <v>steget</v>
      </c>
      <c r="K4" s="236" t="s">
        <v>103</v>
      </c>
    </row>
    <row r="5" spans="1:12" ht="15">
      <c r="A5" s="238">
        <f>IF('beregning af nøgletal'!K4&gt;0,'beregning af nøgletal'!K4,'beregning af nøgletal'!K4*-1)</f>
        <v>0.7337543127844398</v>
      </c>
      <c r="B5" s="236" t="s">
        <v>218</v>
      </c>
      <c r="C5" s="236"/>
      <c r="D5" s="236"/>
      <c r="E5" s="236"/>
      <c r="F5" s="236" t="str">
        <f>IF(J13&gt;J19,H13,H19)</f>
        <v>en stigning</v>
      </c>
      <c r="G5" s="236" t="s">
        <v>142</v>
      </c>
      <c r="H5" s="236" t="str">
        <f>IF(J13&lt;J19,"aktivernes omsætningshastighed","overskudsgraden")</f>
        <v>overskudsgraden</v>
      </c>
      <c r="I5" s="236"/>
      <c r="J5" s="236" t="s">
        <v>99</v>
      </c>
      <c r="K5" s="238">
        <f>IF(J13&gt;J19,Kommentarer!J13,Kommentarer!J19)</f>
        <v>0.5491883432656176</v>
      </c>
      <c r="L5" t="s">
        <v>134</v>
      </c>
    </row>
    <row r="6" spans="1:11" ht="15">
      <c r="A6" s="238" t="s">
        <v>191</v>
      </c>
      <c r="B6" s="236"/>
      <c r="C6" s="236"/>
      <c r="D6" s="236"/>
      <c r="E6" s="236"/>
      <c r="F6" s="236"/>
      <c r="G6" s="236"/>
      <c r="H6" s="236"/>
      <c r="I6" s="236"/>
      <c r="J6" s="236"/>
      <c r="K6" s="238"/>
    </row>
    <row r="8" ht="15.75">
      <c r="A8" s="232" t="s">
        <v>111</v>
      </c>
    </row>
    <row r="9" spans="1:11" ht="15">
      <c r="A9" s="236" t="s">
        <v>210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</row>
    <row r="10" spans="1:11" ht="15">
      <c r="A10" s="268">
        <f>D3</f>
        <v>2003</v>
      </c>
      <c r="B10" s="236" t="s">
        <v>99</v>
      </c>
      <c r="C10" s="240">
        <f>'beregning af nøgletal'!J6</f>
        <v>0.12277676747266564</v>
      </c>
      <c r="D10" s="236" t="s">
        <v>106</v>
      </c>
      <c r="E10" s="488" t="str">
        <f>'Resultatopgørelse til analyse'!A1</f>
        <v>Nordic Chains</v>
      </c>
      <c r="F10" s="488"/>
      <c r="G10" s="488"/>
      <c r="H10" s="236" t="s">
        <v>107</v>
      </c>
      <c r="I10" s="242">
        <f>C10*100</f>
        <v>12.277676747266565</v>
      </c>
      <c r="J10" s="236" t="s">
        <v>132</v>
      </c>
      <c r="K10" s="236"/>
    </row>
    <row r="11" spans="1:11" ht="15">
      <c r="A11" s="240" t="s">
        <v>133</v>
      </c>
      <c r="B11" s="236"/>
      <c r="C11" s="236"/>
      <c r="E11" s="236" t="s">
        <v>189</v>
      </c>
      <c r="F11" s="236"/>
      <c r="G11" s="241"/>
      <c r="H11" s="236"/>
      <c r="I11" s="236"/>
      <c r="J11" s="236"/>
      <c r="K11" s="236"/>
    </row>
    <row r="12" spans="1:11" ht="15">
      <c r="A12" s="236" t="s">
        <v>108</v>
      </c>
      <c r="B12" s="275">
        <v>0.065</v>
      </c>
      <c r="C12" s="236" t="s">
        <v>192</v>
      </c>
      <c r="D12" s="236"/>
      <c r="E12" s="236"/>
      <c r="F12" s="236"/>
      <c r="G12" s="236" t="str">
        <f>IF(B12&lt;C10,"tilfredsstillende.","utilfredsstillende.")</f>
        <v>tilfredsstillende.</v>
      </c>
      <c r="H12" s="236"/>
      <c r="I12" s="236"/>
      <c r="J12" s="236"/>
      <c r="K12" s="236"/>
    </row>
    <row r="13" spans="1:11" ht="15">
      <c r="A13" s="488" t="s">
        <v>109</v>
      </c>
      <c r="B13" s="489"/>
      <c r="C13" s="489"/>
      <c r="D13" s="489"/>
      <c r="E13" s="489"/>
      <c r="F13" s="236" t="str">
        <f>IF('beregning af nøgletal'!J6&gt;'beregning af nøgletal'!H6,"positiv","negativ")</f>
        <v>positiv</v>
      </c>
      <c r="G13" s="236" t="s">
        <v>110</v>
      </c>
      <c r="H13" s="236" t="str">
        <f>IF('beregning af nøgletal'!J6&gt;'beregning af nøgletal'!H6,"en stigning","et fald")</f>
        <v>en stigning</v>
      </c>
      <c r="I13" s="236" t="s">
        <v>99</v>
      </c>
      <c r="J13" s="239">
        <f>IF('beregning af nøgletal'!K6&lt;0,'beregning af nøgletal'!K6*-1,'beregning af nøgletal'!K6)</f>
        <v>0.5491883432656176</v>
      </c>
      <c r="K13" s="236" t="s">
        <v>134</v>
      </c>
    </row>
    <row r="14" spans="1:11" ht="1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</row>
    <row r="15" spans="1:11" ht="15.75">
      <c r="A15" s="232" t="s">
        <v>113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</row>
    <row r="16" spans="1:11" ht="15">
      <c r="A16" s="236" t="str">
        <f>E10</f>
        <v>Nordic Chains</v>
      </c>
      <c r="B16" s="236"/>
      <c r="C16" s="236" t="s">
        <v>118</v>
      </c>
      <c r="D16" s="236"/>
      <c r="E16" s="491">
        <f>D3</f>
        <v>2003</v>
      </c>
      <c r="F16" s="491"/>
      <c r="G16" s="236" t="s">
        <v>119</v>
      </c>
      <c r="H16" s="267">
        <f>'beregning af nøgletal'!J8</f>
        <v>0.9317382154706072</v>
      </c>
      <c r="I16" s="488" t="s">
        <v>120</v>
      </c>
      <c r="J16" s="488"/>
      <c r="K16" s="488"/>
    </row>
    <row r="17" spans="1:11" ht="15">
      <c r="A17" s="236" t="s">
        <v>121</v>
      </c>
      <c r="B17" s="267">
        <f>F4/B12</f>
        <v>1.8153846153846152</v>
      </c>
      <c r="C17" s="236" t="s">
        <v>122</v>
      </c>
      <c r="D17" s="236"/>
      <c r="E17" s="236"/>
      <c r="F17" s="236"/>
      <c r="G17" s="236"/>
      <c r="H17" s="236" t="s">
        <v>219</v>
      </c>
      <c r="I17" s="236"/>
      <c r="J17" s="236"/>
      <c r="K17" s="236"/>
    </row>
    <row r="18" spans="1:11" ht="15">
      <c r="A18" s="236" t="str">
        <f>IF(B17&lt;H16,"tilfredsstillende.","utilfredsstillende.")</f>
        <v>utilfredsstillende.</v>
      </c>
      <c r="B18" s="236"/>
      <c r="C18" s="236" t="s">
        <v>123</v>
      </c>
      <c r="D18" s="236"/>
      <c r="E18" s="236"/>
      <c r="F18" s="236"/>
      <c r="G18" s="236"/>
      <c r="H18" s="236" t="str">
        <f>IF('beregning af nøgletal'!H8&lt;'beregning af nøgletal'!J8,"positivt","negativt")</f>
        <v>positivt</v>
      </c>
      <c r="I18" s="236" t="s">
        <v>124</v>
      </c>
      <c r="J18" s="236"/>
      <c r="K18" s="236"/>
    </row>
    <row r="19" spans="1:11" ht="15">
      <c r="A19" s="236" t="str">
        <f>IF('beregning af nøgletal'!H8&lt;'beregning af nøgletal'!J8,"forbedre","forringe")</f>
        <v>forbedre</v>
      </c>
      <c r="B19" s="236" t="s">
        <v>125</v>
      </c>
      <c r="C19" s="236"/>
      <c r="D19" s="236"/>
      <c r="E19" s="236"/>
      <c r="F19" s="236"/>
      <c r="G19" s="236" t="s">
        <v>185</v>
      </c>
      <c r="H19" s="235" t="str">
        <f>IF('beregning af nøgletal'!H8&lt;'beregning af nøgletal'!J8,"stigningen","faldet")</f>
        <v>stigningen</v>
      </c>
      <c r="I19" s="236" t="s">
        <v>186</v>
      </c>
      <c r="J19" s="239">
        <f>IF('beregning af nøgletal'!K8&lt;0,'beregning af nøgletal'!K8*-1,'beregning af nøgletal'!K8)</f>
        <v>0.11913720518304843</v>
      </c>
      <c r="K19" s="236" t="s">
        <v>127</v>
      </c>
    </row>
    <row r="20" spans="1:11" ht="15">
      <c r="A20" s="236"/>
      <c r="B20" s="236"/>
      <c r="C20" s="236"/>
      <c r="D20" s="236"/>
      <c r="E20" s="236"/>
      <c r="F20" s="236"/>
      <c r="G20" s="236"/>
      <c r="H20" s="236"/>
      <c r="I20" s="236"/>
      <c r="J20" s="236"/>
      <c r="K20" s="236"/>
    </row>
    <row r="21" spans="1:11" ht="15.75">
      <c r="A21" s="232" t="s">
        <v>128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</row>
    <row r="22" spans="1:11" ht="15">
      <c r="A22" s="236" t="s">
        <v>129</v>
      </c>
      <c r="B22" s="236"/>
      <c r="C22" s="236"/>
      <c r="D22" s="492">
        <f>'beregning af nøgletal'!J12</f>
        <v>0.23536543124350537</v>
      </c>
      <c r="E22" s="492"/>
      <c r="F22" s="236" t="s">
        <v>190</v>
      </c>
      <c r="G22" s="236"/>
      <c r="H22" s="236"/>
      <c r="I22" s="236"/>
      <c r="J22" s="236"/>
      <c r="K22" s="236"/>
    </row>
    <row r="23" spans="1:11" ht="15">
      <c r="A23" s="276">
        <v>0.134</v>
      </c>
      <c r="B23" s="236" t="s">
        <v>131</v>
      </c>
      <c r="C23" s="488" t="str">
        <f>IF(D22&lt;A23,"utilfredsstillende.","tilfredsstillende.")</f>
        <v>tilfredsstillende.</v>
      </c>
      <c r="D23" s="489"/>
      <c r="E23" s="489"/>
      <c r="F23" s="489"/>
      <c r="G23" s="236" t="s">
        <v>135</v>
      </c>
      <c r="I23" s="269">
        <f>A10</f>
        <v>2003</v>
      </c>
      <c r="J23" s="236" t="s">
        <v>136</v>
      </c>
      <c r="K23" s="240">
        <f>'beregning af nøgletal'!J10</f>
        <v>0.059405161044806476</v>
      </c>
    </row>
    <row r="24" spans="1:11" ht="15">
      <c r="A24" s="236" t="s">
        <v>130</v>
      </c>
      <c r="B24" s="236" t="str">
        <f>IF(F3&lt;K23,"over","under")</f>
        <v>under</v>
      </c>
      <c r="C24" s="236" t="s">
        <v>196</v>
      </c>
      <c r="D24" s="236"/>
      <c r="E24" s="236"/>
      <c r="F24" s="236"/>
      <c r="G24" s="236" t="str">
        <f>IF(K23&lt;F3,"tjener","taber")</f>
        <v>tjener</v>
      </c>
      <c r="H24" s="236" t="s">
        <v>137</v>
      </c>
      <c r="I24" s="236"/>
      <c r="J24" s="236"/>
      <c r="K24" s="236"/>
    </row>
    <row r="25" spans="1:11" ht="15">
      <c r="A25" s="236" t="s">
        <v>138</v>
      </c>
      <c r="B25" s="236"/>
      <c r="C25" s="236"/>
      <c r="D25" s="236"/>
      <c r="E25" s="236"/>
      <c r="F25" s="236"/>
      <c r="G25" s="270">
        <f>'beregning af nøgletal'!J72</f>
        <v>0.054990645181424685</v>
      </c>
      <c r="H25" s="236" t="s">
        <v>220</v>
      </c>
      <c r="I25" s="236"/>
      <c r="J25" s="236"/>
      <c r="K25" s="236" t="str">
        <f>IF(F3&lt;K23,"mindre","større")</f>
        <v>større</v>
      </c>
    </row>
    <row r="26" spans="1:11" ht="15">
      <c r="A26" s="236" t="s">
        <v>139</v>
      </c>
      <c r="B26" s="236"/>
      <c r="C26" s="236" t="str">
        <f>A16</f>
        <v>Nordic Chains</v>
      </c>
      <c r="D26" s="236"/>
      <c r="E26" s="236"/>
      <c r="F26" s="236" t="s">
        <v>140</v>
      </c>
      <c r="G26" s="236"/>
      <c r="H26" s="236"/>
      <c r="I26" s="271">
        <f>'beregning af nøgletal'!J70</f>
        <v>1.7597390601547165</v>
      </c>
      <c r="J26" s="236" t="s">
        <v>141</v>
      </c>
      <c r="K26" s="236" t="s">
        <v>142</v>
      </c>
    </row>
    <row r="27" spans="1:9" ht="15">
      <c r="A27" s="236">
        <f>A10</f>
        <v>2003</v>
      </c>
      <c r="B27" s="236" t="s">
        <v>197</v>
      </c>
      <c r="D27" s="490">
        <f>'beregning af nøgletal'!J68/100</f>
        <v>0.36235309868170584</v>
      </c>
      <c r="E27" s="490"/>
      <c r="F27" s="271" t="s">
        <v>198</v>
      </c>
      <c r="H27" s="236" t="str">
        <f>IF(D27&lt;C28,"under","over")</f>
        <v>under</v>
      </c>
      <c r="I27" s="236" t="s">
        <v>188</v>
      </c>
    </row>
    <row r="28" spans="1:9" ht="15">
      <c r="A28" s="236" t="s">
        <v>148</v>
      </c>
      <c r="C28" s="277">
        <v>0.4</v>
      </c>
      <c r="D28" s="236" t="s">
        <v>199</v>
      </c>
      <c r="G28" s="236" t="str">
        <f>IF(D27&lt;C28,"nedbringes","forøges")</f>
        <v>nedbringes</v>
      </c>
      <c r="H28" s="236" t="s">
        <v>193</v>
      </c>
      <c r="I28" s="236" t="str">
        <f>IF(C28&lt;D27,"sænkes.","hæves.")</f>
        <v>hæves.</v>
      </c>
    </row>
    <row r="30" ht="15.75">
      <c r="A30" s="232" t="s">
        <v>143</v>
      </c>
    </row>
    <row r="31" spans="1:11" ht="15">
      <c r="A31" s="236" t="s">
        <v>144</v>
      </c>
      <c r="E31" s="488" t="str">
        <f>IF('beregning af nøgletal'!J17&lt;'beregning af nøgletal'!H17,"faldet","steget")</f>
        <v>steget</v>
      </c>
      <c r="F31" s="488"/>
      <c r="G31" s="236" t="s">
        <v>145</v>
      </c>
      <c r="H31" s="240">
        <f>'beregning af nøgletal'!H17</f>
        <v>0.07925231816155928</v>
      </c>
      <c r="I31" s="236" t="s">
        <v>146</v>
      </c>
      <c r="J31" s="240">
        <f>'beregning af nøgletal'!J17</f>
        <v>0.12277676747266564</v>
      </c>
      <c r="K31" t="s">
        <v>134</v>
      </c>
    </row>
    <row r="32" spans="1:8" ht="15">
      <c r="A32" s="488" t="s">
        <v>147</v>
      </c>
      <c r="B32" s="489"/>
      <c r="C32" s="489"/>
      <c r="D32" s="488" t="str">
        <f>IF('beregning af nøgletal'!J32&lt;'beregning af nøgletal'!H32,"faldet","steget")</f>
        <v>steget</v>
      </c>
      <c r="E32" s="488"/>
      <c r="F32" s="236" t="s">
        <v>103</v>
      </c>
      <c r="G32" s="239">
        <f>IF('beregning af nøgletal'!K32&lt;0,'beregning af nøgletal'!K32*-1,'beregning af nøgletal'!K32)</f>
        <v>0.21047167657705643</v>
      </c>
      <c r="H32" s="236" t="s">
        <v>127</v>
      </c>
    </row>
    <row r="33" spans="1:11" ht="15">
      <c r="A33" s="236" t="str">
        <f>'Resultatopgørelse til analyse'!A4</f>
        <v>Rå og hjælpematerialer</v>
      </c>
      <c r="B33" s="236"/>
      <c r="C33" s="236" t="s">
        <v>150</v>
      </c>
      <c r="D33" s="488" t="str">
        <f>IF('Resultatopgørelse til analyse'!D4&gt;'Resultatopgørelse til analyse'!B4,"steget","faldet")</f>
        <v>steget</v>
      </c>
      <c r="E33" s="488"/>
      <c r="F33" s="236" t="s">
        <v>103</v>
      </c>
      <c r="G33" s="270">
        <f>IF('beregning af nøgletal'!K34&lt;0,'beregning af nøgletal'!K34*-1,'beregning af nøgletal'!K34)</f>
        <v>0.29537499069039996</v>
      </c>
      <c r="H33" s="236" t="str">
        <f>H32</f>
        <v>i perioden.</v>
      </c>
      <c r="I33" s="236" t="s">
        <v>151</v>
      </c>
      <c r="J33" s="236"/>
      <c r="K33" s="236"/>
    </row>
    <row r="34" spans="1:11" ht="15">
      <c r="A34" s="236" t="s">
        <v>221</v>
      </c>
      <c r="B34" s="236"/>
      <c r="C34" s="236" t="s">
        <v>150</v>
      </c>
      <c r="D34" s="488" t="str">
        <f>IF(G32&lt;G33,"faldet","steget")</f>
        <v>faldet</v>
      </c>
      <c r="E34" s="488"/>
      <c r="F34" s="236" t="s">
        <v>145</v>
      </c>
      <c r="G34" s="270">
        <f>'beregning af nøgletal'!H19</f>
        <v>0.7810601037057973</v>
      </c>
      <c r="H34" s="236" t="s">
        <v>152</v>
      </c>
      <c r="I34" s="270">
        <f>'beregning af nøgletal'!J19</f>
        <v>0.7657035091264228</v>
      </c>
      <c r="J34" s="236" t="s">
        <v>153</v>
      </c>
      <c r="K34" s="236"/>
    </row>
    <row r="35" spans="1:11" ht="15">
      <c r="A35" s="236" t="s">
        <v>154</v>
      </c>
      <c r="B35" s="236"/>
      <c r="C35" s="236"/>
      <c r="D35" s="236"/>
      <c r="E35" s="236"/>
      <c r="F35" s="236"/>
      <c r="G35" s="236"/>
      <c r="H35" s="236" t="str">
        <f>IF(G34&lt;I34,"positiv","negativ")</f>
        <v>negativ</v>
      </c>
      <c r="I35" s="236" t="s">
        <v>155</v>
      </c>
      <c r="J35" s="236"/>
      <c r="K35" s="236"/>
    </row>
    <row r="36" spans="1:11" ht="15">
      <c r="A36" s="236" t="s">
        <v>156</v>
      </c>
      <c r="B36" s="236"/>
      <c r="C36" s="236"/>
      <c r="D36" s="488" t="str">
        <f>IF('beregning af nøgletal'!H27&lt;'beregning af nøgletal'!J27,"vokset","faldet")</f>
        <v>vokset</v>
      </c>
      <c r="E36" s="488"/>
      <c r="F36" s="488" t="s">
        <v>157</v>
      </c>
      <c r="G36" s="488"/>
      <c r="H36" s="272">
        <f>'beregning af nøgletal'!J27</f>
        <v>186995.35563491785</v>
      </c>
      <c r="I36" s="236" t="s">
        <v>222</v>
      </c>
      <c r="J36" s="236"/>
      <c r="K36" s="236"/>
    </row>
    <row r="37" spans="1:11" ht="15">
      <c r="A37" s="270">
        <f>'beregning af nøgletal'!J29</f>
        <v>0.16034505002169752</v>
      </c>
      <c r="B37" s="236" t="s">
        <v>158</v>
      </c>
      <c r="C37" s="236"/>
      <c r="D37" s="236"/>
      <c r="E37" s="236"/>
      <c r="F37" s="236"/>
      <c r="G37" s="270">
        <f>A37</f>
        <v>0.16034505002169752</v>
      </c>
      <c r="H37" s="236" t="s">
        <v>159</v>
      </c>
      <c r="I37" s="488" t="str">
        <f>C26</f>
        <v>Nordic Chains</v>
      </c>
      <c r="J37" s="488"/>
      <c r="K37" s="488"/>
    </row>
    <row r="38" spans="1:11" ht="15">
      <c r="A38" s="236" t="s">
        <v>160</v>
      </c>
      <c r="B38" s="236"/>
      <c r="C38" s="236"/>
      <c r="D38" s="236"/>
      <c r="E38" s="236"/>
      <c r="F38" s="236"/>
      <c r="G38" s="236"/>
      <c r="H38" s="236"/>
      <c r="I38" s="236"/>
      <c r="J38" s="236"/>
      <c r="K38" s="236"/>
    </row>
    <row r="39" spans="1:11" ht="15">
      <c r="A39" s="278" t="s">
        <v>223</v>
      </c>
      <c r="B39" s="278"/>
      <c r="C39" s="278"/>
      <c r="D39" s="278"/>
      <c r="E39" s="278"/>
      <c r="F39" s="236"/>
      <c r="G39" s="236"/>
      <c r="H39" s="236"/>
      <c r="I39" s="236"/>
      <c r="J39" s="236"/>
      <c r="K39" s="236"/>
    </row>
    <row r="40" spans="1:12" ht="15">
      <c r="A40" s="236" t="s">
        <v>161</v>
      </c>
      <c r="B40" s="236"/>
      <c r="C40" s="236"/>
      <c r="D40" s="236"/>
      <c r="E40" s="236" t="s">
        <v>150</v>
      </c>
      <c r="F40" s="236" t="str">
        <f>IF('beregning af nøgletal'!H35&lt;'beregning af nøgletal'!J35,"steget","faldet")</f>
        <v>faldet</v>
      </c>
      <c r="G40" s="236" t="s">
        <v>126</v>
      </c>
      <c r="H40" s="239">
        <f>IF('beregning af nøgletal'!K35&gt;0,'beregning af nøgletal'!K35,'beregning af nøgletal'!K35*-1)</f>
        <v>0.05687037337223757</v>
      </c>
      <c r="I40" s="236" t="s">
        <v>200</v>
      </c>
      <c r="J40" s="488" t="str">
        <f>IF(F40="faldet","forbedret","forringet")</f>
        <v>forbedret</v>
      </c>
      <c r="K40" s="489"/>
      <c r="L40" s="236" t="s">
        <v>194</v>
      </c>
    </row>
    <row r="41" spans="1:12" ht="15">
      <c r="A41" s="488" t="str">
        <f>'beregning af nøgletal'!A36</f>
        <v>Personale omk.</v>
      </c>
      <c r="B41" s="488"/>
      <c r="C41" s="488"/>
      <c r="D41" s="488"/>
      <c r="E41" s="236" t="s">
        <v>150</v>
      </c>
      <c r="F41" s="236" t="str">
        <f>IF('beregning af nøgletal'!H36&lt;'beregning af nøgletal'!J36,"steget","faldet")</f>
        <v>steget</v>
      </c>
      <c r="G41" s="236" t="s">
        <v>103</v>
      </c>
      <c r="H41" s="239">
        <f>IF('beregning af nøgletal'!K36&gt;0,'beregning af nøgletal'!K36,'beregning af nøgletal'!K36*-1)</f>
        <v>0.16633618348762894</v>
      </c>
      <c r="I41" s="236" t="str">
        <f>I40</f>
        <v>hvilket har  </v>
      </c>
      <c r="J41" s="488" t="str">
        <f>IF(F41="faldet","forbedret","forringet")</f>
        <v>forringet</v>
      </c>
      <c r="K41" s="489"/>
      <c r="L41" s="236" t="s">
        <v>194</v>
      </c>
    </row>
    <row r="42" spans="1:12" ht="15">
      <c r="A42" s="488" t="str">
        <f>'beregning af nøgletal'!A37</f>
        <v>-</v>
      </c>
      <c r="B42" s="488"/>
      <c r="C42" s="488"/>
      <c r="D42" s="488"/>
      <c r="E42" s="236" t="s">
        <v>150</v>
      </c>
      <c r="F42" s="236" t="e">
        <f>IF('beregning af nøgletal'!H37&lt;'beregning af nøgletal'!J37,"steget","faldet")</f>
        <v>#DIV/0!</v>
      </c>
      <c r="G42" s="236" t="s">
        <v>103</v>
      </c>
      <c r="H42" s="239" t="e">
        <f>IF('beregning af nøgletal'!K37&gt;0,'beregning af nøgletal'!K37,'beregning af nøgletal'!K37*-1)</f>
        <v>#DIV/0!</v>
      </c>
      <c r="I42" s="236" t="str">
        <f aca="true" t="shared" si="0" ref="I42:I48">I41</f>
        <v>hvilket har  </v>
      </c>
      <c r="J42" s="488" t="e">
        <f aca="true" t="shared" si="1" ref="J42:J48">IF(F42="faldet","forbedret","forringet")</f>
        <v>#DIV/0!</v>
      </c>
      <c r="K42" s="489"/>
      <c r="L42" s="236" t="s">
        <v>194</v>
      </c>
    </row>
    <row r="43" spans="1:12" ht="15">
      <c r="A43" s="488" t="str">
        <f>'beregning af nøgletal'!A38</f>
        <v>-</v>
      </c>
      <c r="B43" s="488"/>
      <c r="C43" s="488"/>
      <c r="D43" s="488"/>
      <c r="E43" s="236" t="s">
        <v>150</v>
      </c>
      <c r="F43" s="236" t="e">
        <f>IF('beregning af nøgletal'!H38&lt;'beregning af nøgletal'!J38,"steget","faldet")</f>
        <v>#DIV/0!</v>
      </c>
      <c r="G43" s="236" t="s">
        <v>103</v>
      </c>
      <c r="H43" s="239" t="e">
        <f>IF('beregning af nøgletal'!K38&gt;0,'beregning af nøgletal'!K38,'beregning af nøgletal'!K38*-1)</f>
        <v>#DIV/0!</v>
      </c>
      <c r="I43" s="236" t="str">
        <f t="shared" si="0"/>
        <v>hvilket har  </v>
      </c>
      <c r="J43" s="488" t="e">
        <f t="shared" si="1"/>
        <v>#DIV/0!</v>
      </c>
      <c r="K43" s="489"/>
      <c r="L43" s="236" t="s">
        <v>194</v>
      </c>
    </row>
    <row r="44" spans="1:12" ht="15">
      <c r="A44" s="488" t="str">
        <f>'beregning af nøgletal'!A39</f>
        <v>-</v>
      </c>
      <c r="B44" s="488"/>
      <c r="C44" s="488"/>
      <c r="D44" s="488"/>
      <c r="E44" s="236" t="s">
        <v>150</v>
      </c>
      <c r="F44" s="236" t="e">
        <f>IF('beregning af nøgletal'!H39&lt;'beregning af nøgletal'!J39,"steget","faldet")</f>
        <v>#DIV/0!</v>
      </c>
      <c r="G44" s="236" t="s">
        <v>103</v>
      </c>
      <c r="H44" s="239" t="e">
        <f>IF('beregning af nøgletal'!K39&gt;0,'beregning af nøgletal'!K39,'beregning af nøgletal'!K39*-1)</f>
        <v>#DIV/0!</v>
      </c>
      <c r="I44" s="236" t="str">
        <f t="shared" si="0"/>
        <v>hvilket har  </v>
      </c>
      <c r="J44" s="488" t="e">
        <f t="shared" si="1"/>
        <v>#DIV/0!</v>
      </c>
      <c r="K44" s="489"/>
      <c r="L44" s="236" t="s">
        <v>194</v>
      </c>
    </row>
    <row r="45" spans="1:12" ht="15">
      <c r="A45" s="488" t="str">
        <f>'beregning af nøgletal'!A40</f>
        <v>-</v>
      </c>
      <c r="B45" s="488"/>
      <c r="C45" s="488"/>
      <c r="D45" s="488"/>
      <c r="E45" s="236" t="s">
        <v>150</v>
      </c>
      <c r="F45" s="236" t="e">
        <f>IF('beregning af nøgletal'!H40&lt;'beregning af nøgletal'!J40,"steget","faldet")</f>
        <v>#DIV/0!</v>
      </c>
      <c r="G45" s="236" t="s">
        <v>103</v>
      </c>
      <c r="H45" s="239" t="e">
        <f>IF('beregning af nøgletal'!K40&gt;0,'beregning af nøgletal'!K40,'beregning af nøgletal'!K40*-1)</f>
        <v>#DIV/0!</v>
      </c>
      <c r="I45" s="236" t="str">
        <f t="shared" si="0"/>
        <v>hvilket har  </v>
      </c>
      <c r="J45" s="488" t="e">
        <f t="shared" si="1"/>
        <v>#DIV/0!</v>
      </c>
      <c r="K45" s="489"/>
      <c r="L45" s="236" t="s">
        <v>194</v>
      </c>
    </row>
    <row r="46" spans="1:12" ht="15">
      <c r="A46" s="488" t="str">
        <f>'beregning af nøgletal'!A41</f>
        <v>Afskrivninger</v>
      </c>
      <c r="B46" s="488"/>
      <c r="C46" s="488"/>
      <c r="D46" s="488"/>
      <c r="E46" s="236" t="s">
        <v>150</v>
      </c>
      <c r="F46" s="236" t="str">
        <f>IF('beregning af nøgletal'!H41&lt;'beregning af nøgletal'!J41,"steget","faldet")</f>
        <v>steget</v>
      </c>
      <c r="G46" s="236" t="s">
        <v>103</v>
      </c>
      <c r="H46" s="239">
        <f>IF('beregning af nøgletal'!K41&gt;0,'beregning af nøgletal'!K41,'beregning af nøgletal'!K41*-1)</f>
        <v>0.2318818160723954</v>
      </c>
      <c r="I46" s="236" t="str">
        <f t="shared" si="0"/>
        <v>hvilket har  </v>
      </c>
      <c r="J46" s="488" t="str">
        <f t="shared" si="1"/>
        <v>forringet</v>
      </c>
      <c r="K46" s="489"/>
      <c r="L46" s="236" t="s">
        <v>194</v>
      </c>
    </row>
    <row r="47" spans="1:12" ht="15">
      <c r="A47" s="488" t="str">
        <f>'beregning af nøgletal'!A42</f>
        <v>Finansielle indtægter</v>
      </c>
      <c r="B47" s="488"/>
      <c r="C47" s="488"/>
      <c r="D47" s="488"/>
      <c r="E47" s="236" t="s">
        <v>150</v>
      </c>
      <c r="F47" s="236" t="str">
        <f>IF('beregning af nøgletal'!H42&lt;'beregning af nøgletal'!J42,"steget","faldet")</f>
        <v>faldet</v>
      </c>
      <c r="G47" s="236" t="s">
        <v>103</v>
      </c>
      <c r="H47" s="239">
        <f>IF('beregning af nøgletal'!K42&gt;0,'beregning af nøgletal'!K42,'beregning af nøgletal'!K42*-1)</f>
        <v>0.12884455527847052</v>
      </c>
      <c r="I47" s="236" t="str">
        <f t="shared" si="0"/>
        <v>hvilket har  </v>
      </c>
      <c r="J47" s="488" t="str">
        <f t="shared" si="1"/>
        <v>forbedret</v>
      </c>
      <c r="K47" s="489"/>
      <c r="L47" s="236" t="s">
        <v>194</v>
      </c>
    </row>
    <row r="48" spans="1:12" ht="15">
      <c r="A48" s="488" t="str">
        <f>'beregning af nøgletal'!A43</f>
        <v>Finansielle omkostninger</v>
      </c>
      <c r="B48" s="488"/>
      <c r="C48" s="488"/>
      <c r="D48" s="488"/>
      <c r="E48" s="236" t="s">
        <v>150</v>
      </c>
      <c r="F48" s="236" t="str">
        <f>IF('beregning af nøgletal'!H43&lt;'beregning af nøgletal'!J43,"steget","faldet")</f>
        <v>steget</v>
      </c>
      <c r="G48" s="236" t="s">
        <v>103</v>
      </c>
      <c r="H48" s="239">
        <f>IF('beregning af nøgletal'!K43&gt;0,'beregning af nøgletal'!K43,'beregning af nøgletal'!K43*-1)</f>
        <v>0.09281834640917325</v>
      </c>
      <c r="I48" s="236" t="str">
        <f t="shared" si="0"/>
        <v>hvilket har  </v>
      </c>
      <c r="J48" s="488" t="str">
        <f t="shared" si="1"/>
        <v>forringet</v>
      </c>
      <c r="K48" s="489"/>
      <c r="L48" s="236" t="s">
        <v>194</v>
      </c>
    </row>
    <row r="49" spans="1:12" ht="15">
      <c r="A49" s="234"/>
      <c r="B49" s="234"/>
      <c r="C49" s="234"/>
      <c r="D49" s="236"/>
      <c r="E49" s="236"/>
      <c r="F49" s="236"/>
      <c r="G49" s="236"/>
      <c r="H49" s="239"/>
      <c r="I49" s="236"/>
      <c r="J49" s="236"/>
      <c r="K49" s="236"/>
      <c r="L49" s="236"/>
    </row>
    <row r="50" spans="1:12" ht="15.75">
      <c r="A50" s="232" t="s">
        <v>149</v>
      </c>
      <c r="B50" s="236"/>
      <c r="C50" s="236"/>
      <c r="D50" s="236"/>
      <c r="E50" s="236"/>
      <c r="F50" s="236"/>
      <c r="G50" s="236"/>
      <c r="H50" s="236"/>
      <c r="I50" s="236"/>
      <c r="J50" s="236"/>
      <c r="K50" s="236"/>
      <c r="L50" s="236"/>
    </row>
    <row r="51" spans="1:12" ht="15">
      <c r="A51" s="488" t="s">
        <v>224</v>
      </c>
      <c r="B51" s="488"/>
      <c r="C51" s="488"/>
      <c r="D51" s="488"/>
      <c r="E51" s="488"/>
      <c r="F51" s="488"/>
      <c r="G51" s="488"/>
      <c r="H51" s="488"/>
      <c r="I51" s="236" t="str">
        <f>IF('beregning af nøgletal'!J48&gt;'beregning af nøgletal'!H48,"steget","faldet")</f>
        <v>steget</v>
      </c>
      <c r="J51" s="236" t="s">
        <v>103</v>
      </c>
      <c r="K51" s="239">
        <f>IF('beregning af nøgletal'!K48&lt;0,'beregning af nøgletal'!K48*-1,'beregning af nøgletal'!K48)</f>
        <v>0.11913720518304843</v>
      </c>
      <c r="L51" s="236" t="s">
        <v>134</v>
      </c>
    </row>
    <row r="52" spans="1:12" ht="15">
      <c r="A52" s="236" t="s">
        <v>162</v>
      </c>
      <c r="B52" s="236"/>
      <c r="C52" s="242">
        <f>H16</f>
        <v>0.9317382154706072</v>
      </c>
      <c r="D52" s="236" t="s">
        <v>201</v>
      </c>
      <c r="E52" s="488" t="s">
        <v>202</v>
      </c>
      <c r="F52" s="488"/>
      <c r="G52" s="488"/>
      <c r="H52" s="236" t="str">
        <f>A18</f>
        <v>utilfredsstillende.</v>
      </c>
      <c r="J52" s="488"/>
      <c r="K52" s="488"/>
      <c r="L52" s="236"/>
    </row>
    <row r="53" spans="1:12" ht="15">
      <c r="A53" s="236"/>
      <c r="B53" s="236"/>
      <c r="C53" s="242"/>
      <c r="D53" s="236"/>
      <c r="E53" s="236"/>
      <c r="F53" s="236"/>
      <c r="G53" s="236"/>
      <c r="H53" s="236"/>
      <c r="J53" s="234"/>
      <c r="K53" s="234"/>
      <c r="L53" s="236"/>
    </row>
    <row r="54" spans="1:12" ht="15">
      <c r="A54" s="236"/>
      <c r="B54" s="236"/>
      <c r="C54" s="242"/>
      <c r="D54" s="236"/>
      <c r="E54" s="236"/>
      <c r="F54" s="236"/>
      <c r="G54" s="236"/>
      <c r="H54" s="236"/>
      <c r="J54" s="234"/>
      <c r="K54" s="234"/>
      <c r="L54" s="236"/>
    </row>
    <row r="55" spans="1:11" ht="15">
      <c r="A55" s="273" t="s">
        <v>163</v>
      </c>
      <c r="B55" s="273"/>
      <c r="C55" s="273"/>
      <c r="D55" s="273"/>
      <c r="E55" s="273"/>
      <c r="F55" s="273"/>
      <c r="G55" s="273"/>
      <c r="H55" s="236"/>
      <c r="I55" s="236"/>
      <c r="J55" s="236"/>
      <c r="K55" s="236"/>
    </row>
    <row r="56" spans="1:11" ht="15">
      <c r="A56" s="236" t="s">
        <v>164</v>
      </c>
      <c r="B56" s="236" t="str">
        <f>IF('beregning af nøgletal'!J50&gt;'beregning af nøgletal'!H50,"steget","faldet")</f>
        <v>steget</v>
      </c>
      <c r="C56" s="236" t="s">
        <v>165</v>
      </c>
      <c r="D56" s="242">
        <f>'beregning af nøgletal'!H50</f>
        <v>1.1858513895430993</v>
      </c>
      <c r="E56" s="488" t="s">
        <v>166</v>
      </c>
      <c r="F56" s="488"/>
      <c r="G56" s="242">
        <f>'beregning af nøgletal'!J50</f>
        <v>1.5143221986824158</v>
      </c>
      <c r="H56" s="236" t="s">
        <v>141</v>
      </c>
      <c r="I56" s="236" t="s">
        <v>167</v>
      </c>
      <c r="J56" s="236"/>
      <c r="K56" s="236"/>
    </row>
    <row r="57" spans="1:11" ht="15">
      <c r="A57" s="236" t="str">
        <f>IF(G56&gt;D56,"kortere","længere")</f>
        <v>kortere</v>
      </c>
      <c r="B57" s="236" t="s">
        <v>168</v>
      </c>
      <c r="C57" s="236"/>
      <c r="D57" s="236" t="s">
        <v>169</v>
      </c>
      <c r="E57" s="236"/>
      <c r="F57" s="236"/>
      <c r="G57" s="236" t="str">
        <f>IF('beregning af nøgletal'!J52&gt;'beregning af nøgletal'!H52,"steget","faldet")</f>
        <v>faldet</v>
      </c>
      <c r="H57" s="236" t="s">
        <v>170</v>
      </c>
      <c r="I57" s="271">
        <f>'beregning af nøgletal'!J52</f>
        <v>237.73012131317196</v>
      </c>
      <c r="J57" s="236" t="s">
        <v>171</v>
      </c>
      <c r="K57" s="236" t="s">
        <v>134</v>
      </c>
    </row>
    <row r="58" spans="1:11" ht="15">
      <c r="A58" s="236" t="str">
        <f>E10</f>
        <v>Nordic Chains</v>
      </c>
      <c r="B58" s="236"/>
      <c r="C58" s="236" t="s">
        <v>172</v>
      </c>
      <c r="D58" s="236"/>
      <c r="E58" s="236"/>
      <c r="F58" s="239">
        <f>IF('beregning af nøgletal'!K34&gt;0,'beregning af nøgletal'!K34,'beregning af nøgletal'!K34*-1)</f>
        <v>0.29537499069039996</v>
      </c>
      <c r="G58" s="236" t="str">
        <f>IF('beregning af nøgletal'!J32&gt;'beregning af nøgletal'!H32,"større","mindre")</f>
        <v>større</v>
      </c>
      <c r="H58" s="236" t="s">
        <v>195</v>
      </c>
      <c r="I58" s="236"/>
      <c r="J58" s="239">
        <f>IF('Balance til analyse'!H8&gt;0,'Balance til analyse'!H8,'Balance til analyse'!H8*-1)</f>
        <v>0.014395902025435704</v>
      </c>
      <c r="K58" s="236" t="str">
        <f>IF('Balance til analyse'!H8&gt;0,"større","mindre")</f>
        <v>større</v>
      </c>
    </row>
    <row r="59" spans="1:12" ht="15">
      <c r="A59" s="236" t="s">
        <v>173</v>
      </c>
      <c r="B59" s="236" t="str">
        <f>IF(D56&lt;G56,"forbedret","forringet")</f>
        <v>forbedret</v>
      </c>
      <c r="C59" s="236" t="s">
        <v>174</v>
      </c>
      <c r="D59" s="236"/>
      <c r="E59" s="236"/>
      <c r="F59" s="239"/>
      <c r="G59" s="236"/>
      <c r="H59" s="236"/>
      <c r="I59" s="236"/>
      <c r="J59" s="236"/>
      <c r="K59" s="239"/>
      <c r="L59" s="236"/>
    </row>
    <row r="60" spans="1:12" ht="15">
      <c r="A60" s="236"/>
      <c r="B60" s="236"/>
      <c r="C60" s="236"/>
      <c r="D60" s="236"/>
      <c r="E60" s="236"/>
      <c r="F60" s="239"/>
      <c r="G60" s="236"/>
      <c r="H60" s="236"/>
      <c r="I60" s="236"/>
      <c r="J60" s="236"/>
      <c r="K60" s="239"/>
      <c r="L60" s="236"/>
    </row>
    <row r="61" spans="1:11" ht="15">
      <c r="A61" s="273" t="s">
        <v>175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</row>
    <row r="62" spans="1:11" ht="15">
      <c r="A62" s="236" t="s">
        <v>176</v>
      </c>
      <c r="B62" s="236"/>
      <c r="C62" s="236"/>
      <c r="D62" s="488" t="str">
        <f>IF('beregning af nøgletal'!J56&gt;'beregning af nøgletal'!H56,"steget","faldet")</f>
        <v>faldet</v>
      </c>
      <c r="E62" s="488"/>
      <c r="F62" s="236" t="s">
        <v>165</v>
      </c>
      <c r="G62" s="271">
        <f>'beregning af nøgletal'!H56</f>
        <v>62.345577284734375</v>
      </c>
      <c r="H62" s="236" t="s">
        <v>177</v>
      </c>
      <c r="I62" s="271">
        <f>'beregning af nøgletal'!J56</f>
        <v>54.44073550212164</v>
      </c>
      <c r="J62" s="236" t="s">
        <v>178</v>
      </c>
      <c r="K62" s="236" t="s">
        <v>179</v>
      </c>
    </row>
    <row r="63" spans="1:11" ht="15">
      <c r="A63" s="236" t="str">
        <f>IF(G62&gt;I62,"forbedret","forringet")</f>
        <v>forbedret</v>
      </c>
      <c r="B63" s="488" t="s">
        <v>203</v>
      </c>
      <c r="C63" s="488"/>
      <c r="D63" s="488"/>
      <c r="E63" s="489"/>
      <c r="F63" s="489"/>
      <c r="G63" s="489"/>
      <c r="H63" s="489"/>
      <c r="I63" s="236"/>
      <c r="J63" s="236"/>
      <c r="K63" s="236"/>
    </row>
    <row r="64" spans="1:11" ht="15">
      <c r="A64" s="236"/>
      <c r="B64" s="236"/>
      <c r="C64" s="236"/>
      <c r="D64" s="236"/>
      <c r="E64" s="236"/>
      <c r="F64" s="236"/>
      <c r="G64" s="236"/>
      <c r="H64" s="236"/>
      <c r="I64" s="236"/>
      <c r="J64" s="236"/>
      <c r="K64" s="236"/>
    </row>
    <row r="65" spans="1:11" ht="15">
      <c r="A65" s="273" t="s">
        <v>180</v>
      </c>
      <c r="B65" s="236"/>
      <c r="C65" s="236"/>
      <c r="D65" s="236"/>
      <c r="E65" s="236"/>
      <c r="F65" s="236"/>
      <c r="G65" s="236"/>
      <c r="H65" s="236"/>
      <c r="I65" s="236"/>
      <c r="J65" s="236"/>
      <c r="K65" s="236"/>
    </row>
    <row r="66" spans="1:12" ht="15">
      <c r="A66" s="236" t="s">
        <v>181</v>
      </c>
      <c r="B66" s="236"/>
      <c r="C66" s="236"/>
      <c r="D66" s="236"/>
      <c r="E66" s="488" t="str">
        <f>IF('beregning af nøgletal'!J62&lt;'beregning af nøgletal'!H62,"faldet","steget")</f>
        <v>faldet</v>
      </c>
      <c r="F66" s="488"/>
      <c r="G66" s="236" t="s">
        <v>145</v>
      </c>
      <c r="H66" s="271">
        <f>'beregning af nøgletal'!H62</f>
        <v>83.02316228494823</v>
      </c>
      <c r="I66" s="236" t="s">
        <v>171</v>
      </c>
      <c r="J66" s="236" t="s">
        <v>152</v>
      </c>
      <c r="K66" s="271">
        <f>'beregning af nøgletal'!J62</f>
        <v>45.978842186938174</v>
      </c>
      <c r="L66" s="236" t="s">
        <v>178</v>
      </c>
    </row>
    <row r="67" spans="1:11" ht="15">
      <c r="A67" s="236" t="s">
        <v>205</v>
      </c>
      <c r="B67" s="236"/>
      <c r="C67" s="236"/>
      <c r="D67" s="236"/>
      <c r="E67" s="236"/>
      <c r="F67" s="236"/>
      <c r="G67" s="236"/>
      <c r="H67" s="236"/>
      <c r="I67" s="236"/>
      <c r="J67" s="236" t="str">
        <f>IF(H66&gt;K66,"faldet.","steget.")</f>
        <v>faldet.</v>
      </c>
      <c r="K67" s="236"/>
    </row>
    <row r="68" spans="1:11" ht="15">
      <c r="A68" s="236"/>
      <c r="B68" s="236"/>
      <c r="C68" s="236"/>
      <c r="D68" s="236"/>
      <c r="E68" s="236"/>
      <c r="F68" s="236"/>
      <c r="G68" s="236"/>
      <c r="H68" s="236"/>
      <c r="I68" s="236"/>
      <c r="J68" s="236"/>
      <c r="K68" s="236"/>
    </row>
    <row r="69" spans="1:11" ht="15">
      <c r="A69" s="273" t="s">
        <v>182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6"/>
    </row>
    <row r="70" spans="1:11" ht="15">
      <c r="A70" s="236" t="str">
        <f>'beregning af nøgletal'!A66</f>
        <v>Likviditetsgrad I</v>
      </c>
      <c r="B70" s="236"/>
      <c r="C70" s="236" t="s">
        <v>183</v>
      </c>
      <c r="D70" s="488" t="str">
        <f>IF('beregning af nøgletal'!H66&lt;'beregning af nøgletal'!J66,"forbedret","forringet")</f>
        <v>forbedret</v>
      </c>
      <c r="E70" s="488"/>
      <c r="F70" s="236" t="s">
        <v>184</v>
      </c>
      <c r="G70" s="236"/>
      <c r="H70" s="236"/>
      <c r="I70" s="271">
        <f>'beregning af nøgletal'!J66</f>
        <v>95.19395441861579</v>
      </c>
      <c r="J70" s="236" t="s">
        <v>228</v>
      </c>
      <c r="K70" s="236"/>
    </row>
    <row r="71" spans="1:11" ht="15">
      <c r="A71" s="236" t="str">
        <f>IF(I70&gt;90,"tilfredsstillende.","utilfredsstillende.")</f>
        <v>tilfredsstillende.</v>
      </c>
      <c r="B71" s="236"/>
      <c r="C71" s="236" t="s">
        <v>204</v>
      </c>
      <c r="D71" s="236"/>
      <c r="E71" s="236"/>
      <c r="F71" s="236"/>
      <c r="G71" s="236"/>
      <c r="H71" s="236"/>
      <c r="I71" s="236"/>
      <c r="J71" s="236"/>
      <c r="K71" s="236"/>
    </row>
    <row r="72" spans="1:11" ht="15">
      <c r="A72" s="236"/>
      <c r="B72" s="236"/>
      <c r="C72" s="236"/>
      <c r="D72" s="236"/>
      <c r="E72" s="236"/>
      <c r="F72" s="236"/>
      <c r="G72" s="236"/>
      <c r="H72" s="236"/>
      <c r="I72" s="236"/>
      <c r="J72" s="236"/>
      <c r="K72" s="236"/>
    </row>
    <row r="73" spans="1:11" ht="15.75">
      <c r="A73" s="232" t="s">
        <v>206</v>
      </c>
      <c r="B73" s="236"/>
      <c r="C73" s="236"/>
      <c r="D73" s="236"/>
      <c r="E73" s="236"/>
      <c r="F73" s="236"/>
      <c r="G73" s="236"/>
      <c r="H73" s="236"/>
      <c r="I73" s="236"/>
      <c r="J73" s="236"/>
      <c r="K73" s="236"/>
    </row>
    <row r="74" spans="1:11" ht="15">
      <c r="A74" s="236" t="s">
        <v>207</v>
      </c>
      <c r="B74" s="236"/>
      <c r="C74" s="236"/>
      <c r="D74" s="236"/>
      <c r="E74" s="236"/>
      <c r="F74" s="236" t="str">
        <f>IF('beregning af nøgletal'!H4&lt;'beregning af nøgletal'!J4,"positivt","negativt")</f>
        <v>positivt</v>
      </c>
      <c r="G74" s="236" t="s">
        <v>208</v>
      </c>
      <c r="H74" s="236" t="str">
        <f>J4</f>
        <v>steget</v>
      </c>
      <c r="I74" s="236" t="s">
        <v>126</v>
      </c>
      <c r="J74" s="270">
        <f>A5</f>
        <v>0.7337543127844398</v>
      </c>
      <c r="K74" s="236" t="s">
        <v>134</v>
      </c>
    </row>
    <row r="75" spans="1:11" ht="15">
      <c r="A75" s="236" t="s">
        <v>209</v>
      </c>
      <c r="B75" s="236"/>
      <c r="C75" s="236"/>
      <c r="D75" s="236"/>
      <c r="F75" s="236" t="str">
        <f>F5</f>
        <v>en stigning</v>
      </c>
      <c r="G75" t="s">
        <v>142</v>
      </c>
      <c r="H75" s="488" t="str">
        <f>IF(K5=J13,"indtjeningsevnen","kapitaltilpasningen")</f>
        <v>indtjeningsevnen</v>
      </c>
      <c r="I75" s="488"/>
      <c r="J75" s="488"/>
      <c r="K75" s="236" t="s">
        <v>134</v>
      </c>
    </row>
    <row r="76" spans="1:11" ht="15">
      <c r="A76" s="236" t="s">
        <v>213</v>
      </c>
      <c r="B76" s="236"/>
      <c r="C76" s="236"/>
      <c r="D76" s="236"/>
      <c r="E76" s="488" t="str">
        <f>H3</f>
        <v>utilfredsstillende</v>
      </c>
      <c r="F76" s="488"/>
      <c r="G76" s="488"/>
      <c r="H76" s="236" t="s">
        <v>225</v>
      </c>
      <c r="I76" s="236"/>
      <c r="J76" s="270"/>
      <c r="K76" s="236"/>
    </row>
    <row r="77" spans="1:11" ht="15">
      <c r="A77" s="236" t="s">
        <v>211</v>
      </c>
      <c r="B77" s="236"/>
      <c r="C77" s="236"/>
      <c r="D77" s="236"/>
      <c r="E77" s="488" t="str">
        <f>G12</f>
        <v>tilfredsstillende.</v>
      </c>
      <c r="F77" s="488"/>
      <c r="G77" s="488"/>
      <c r="H77" s="236" t="s">
        <v>225</v>
      </c>
      <c r="I77" s="236"/>
      <c r="J77" s="270"/>
      <c r="K77" s="236"/>
    </row>
    <row r="78" spans="1:11" ht="15">
      <c r="A78" s="236" t="s">
        <v>212</v>
      </c>
      <c r="B78" s="236"/>
      <c r="C78" s="236"/>
      <c r="D78" s="236"/>
      <c r="E78" s="488" t="str">
        <f>A18</f>
        <v>utilfredsstillende.</v>
      </c>
      <c r="F78" s="488"/>
      <c r="G78" s="488"/>
      <c r="H78" s="236" t="s">
        <v>225</v>
      </c>
      <c r="I78" s="236"/>
      <c r="J78" s="270"/>
      <c r="K78" s="236"/>
    </row>
    <row r="79" spans="1:11" ht="15">
      <c r="A79" s="236" t="s">
        <v>216</v>
      </c>
      <c r="B79" s="236"/>
      <c r="C79" s="236"/>
      <c r="D79" s="236"/>
      <c r="E79" s="234"/>
      <c r="F79" s="234"/>
      <c r="G79" s="234" t="str">
        <f>C23</f>
        <v>tilfredsstillende.</v>
      </c>
      <c r="H79" s="236"/>
      <c r="I79" s="236"/>
      <c r="J79" s="270"/>
      <c r="K79" s="236"/>
    </row>
    <row r="80" spans="1:11" ht="15">
      <c r="A80" s="236" t="str">
        <f>A58</f>
        <v>Nordic Chains</v>
      </c>
      <c r="B80" s="236"/>
      <c r="C80" s="236" t="str">
        <f>G24</f>
        <v>tjener</v>
      </c>
      <c r="D80" s="236" t="s">
        <v>214</v>
      </c>
      <c r="E80" s="234"/>
      <c r="F80" s="234"/>
      <c r="G80" s="234"/>
      <c r="H80" s="236"/>
      <c r="I80" s="236" t="str">
        <f>B24</f>
        <v>under</v>
      </c>
      <c r="J80" s="270" t="s">
        <v>215</v>
      </c>
      <c r="K80" s="236"/>
    </row>
    <row r="81" spans="1:11" ht="15">
      <c r="A81" s="236" t="str">
        <f>D28</f>
        <v>. Gearingen bør derfor</v>
      </c>
      <c r="B81" s="236"/>
      <c r="C81" s="236"/>
      <c r="D81" s="488" t="str">
        <f>G28</f>
        <v>nedbringes</v>
      </c>
      <c r="E81" s="489"/>
      <c r="F81" s="488" t="str">
        <f>H28</f>
        <v>og soliditeten </v>
      </c>
      <c r="G81" s="489"/>
      <c r="H81" s="234" t="str">
        <f>I28</f>
        <v>hæves.</v>
      </c>
      <c r="I81" s="236"/>
      <c r="J81" s="270"/>
      <c r="K81" s="236"/>
    </row>
    <row r="82" spans="1:11" ht="15">
      <c r="A82" s="236"/>
      <c r="B82" s="236"/>
      <c r="C82" s="236"/>
      <c r="D82" s="236"/>
      <c r="E82" s="234"/>
      <c r="F82" s="234"/>
      <c r="G82" s="234"/>
      <c r="H82" s="236"/>
      <c r="I82" s="236"/>
      <c r="J82" s="270"/>
      <c r="K82" s="236"/>
    </row>
    <row r="83" spans="1:11" ht="15">
      <c r="A83" s="236" t="s">
        <v>187</v>
      </c>
      <c r="B83" s="236"/>
      <c r="C83" s="236"/>
      <c r="D83" s="236"/>
      <c r="E83" s="236"/>
      <c r="F83" s="236"/>
      <c r="G83" s="236"/>
      <c r="H83" s="236"/>
      <c r="I83" s="236"/>
      <c r="J83" s="236"/>
      <c r="K83" s="236"/>
    </row>
    <row r="84" spans="1:11" ht="15">
      <c r="A84" s="236"/>
      <c r="B84" s="236"/>
      <c r="C84" s="236"/>
      <c r="D84" s="236"/>
      <c r="E84" s="236"/>
      <c r="F84" s="236"/>
      <c r="G84" s="236"/>
      <c r="H84" s="236"/>
      <c r="I84" s="236"/>
      <c r="J84" s="236"/>
      <c r="K84" s="236"/>
    </row>
    <row r="85" spans="1:11" ht="15">
      <c r="A85" s="236"/>
      <c r="B85" s="236"/>
      <c r="C85" s="236"/>
      <c r="D85" s="236"/>
      <c r="E85" s="236"/>
      <c r="F85" s="236"/>
      <c r="G85" s="236"/>
      <c r="H85" s="236"/>
      <c r="I85" s="236"/>
      <c r="J85" s="236"/>
      <c r="K85" s="236"/>
    </row>
    <row r="86" spans="1:11" ht="15">
      <c r="A86" s="236"/>
      <c r="B86" s="236"/>
      <c r="C86" s="236"/>
      <c r="D86" s="236"/>
      <c r="E86" s="236"/>
      <c r="F86" s="236"/>
      <c r="G86" s="236"/>
      <c r="H86" s="236"/>
      <c r="I86" s="236"/>
      <c r="J86" s="236"/>
      <c r="K86" s="236"/>
    </row>
    <row r="87" spans="1:11" ht="15">
      <c r="A87" s="236"/>
      <c r="B87" s="236"/>
      <c r="C87" s="236"/>
      <c r="D87" s="236"/>
      <c r="E87" s="236"/>
      <c r="F87" s="236"/>
      <c r="G87" s="236"/>
      <c r="H87" s="236"/>
      <c r="I87" s="236"/>
      <c r="J87" s="236"/>
      <c r="K87" s="236"/>
    </row>
    <row r="88" spans="1:11" ht="15">
      <c r="A88" s="236"/>
      <c r="B88" s="236"/>
      <c r="C88" s="236"/>
      <c r="D88" s="236"/>
      <c r="E88" s="236"/>
      <c r="F88" s="236"/>
      <c r="G88" s="236"/>
      <c r="H88" s="236"/>
      <c r="I88" s="236"/>
      <c r="J88" s="236"/>
      <c r="K88" s="236"/>
    </row>
  </sheetData>
  <mergeCells count="49">
    <mergeCell ref="J43:K43"/>
    <mergeCell ref="J44:K44"/>
    <mergeCell ref="D70:E70"/>
    <mergeCell ref="D62:E62"/>
    <mergeCell ref="B63:H63"/>
    <mergeCell ref="E66:F66"/>
    <mergeCell ref="E52:G52"/>
    <mergeCell ref="A51:H51"/>
    <mergeCell ref="E56:F56"/>
    <mergeCell ref="J45:K45"/>
    <mergeCell ref="I37:K37"/>
    <mergeCell ref="J40:K40"/>
    <mergeCell ref="J41:K41"/>
    <mergeCell ref="J42:K42"/>
    <mergeCell ref="A3:C3"/>
    <mergeCell ref="A4:E4"/>
    <mergeCell ref="I3:K3"/>
    <mergeCell ref="E10:G10"/>
    <mergeCell ref="E16:F16"/>
    <mergeCell ref="I16:K16"/>
    <mergeCell ref="D22:E22"/>
    <mergeCell ref="C23:F23"/>
    <mergeCell ref="D27:E27"/>
    <mergeCell ref="A46:D46"/>
    <mergeCell ref="A47:D47"/>
    <mergeCell ref="D33:E33"/>
    <mergeCell ref="D34:E34"/>
    <mergeCell ref="D36:E36"/>
    <mergeCell ref="E31:F31"/>
    <mergeCell ref="A32:C32"/>
    <mergeCell ref="D32:E32"/>
    <mergeCell ref="H75:J75"/>
    <mergeCell ref="E76:G76"/>
    <mergeCell ref="E77:G77"/>
    <mergeCell ref="E78:G78"/>
    <mergeCell ref="D81:E81"/>
    <mergeCell ref="F81:G81"/>
    <mergeCell ref="A13:E13"/>
    <mergeCell ref="F36:G36"/>
    <mergeCell ref="A48:D48"/>
    <mergeCell ref="A41:D41"/>
    <mergeCell ref="A42:D42"/>
    <mergeCell ref="A43:D43"/>
    <mergeCell ref="A44:D44"/>
    <mergeCell ref="A45:D45"/>
    <mergeCell ref="J46:K46"/>
    <mergeCell ref="J47:K47"/>
    <mergeCell ref="J48:K48"/>
    <mergeCell ref="J52:K52"/>
  </mergeCells>
  <printOptions/>
  <pageMargins left="0.75" right="0.75" top="1" bottom="1" header="0" footer="0"/>
  <pageSetup fitToHeight="1" fitToWidth="1"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3"/>
  <sheetViews>
    <sheetView zoomScale="90" zoomScaleNormal="90" workbookViewId="0" topLeftCell="A1">
      <selection activeCell="D4" sqref="D4"/>
    </sheetView>
  </sheetViews>
  <sheetFormatPr defaultColWidth="9.140625" defaultRowHeight="12.75"/>
  <cols>
    <col min="1" max="1" width="10.421875" style="0" customWidth="1"/>
    <col min="2" max="2" width="3.140625" style="0" customWidth="1"/>
    <col min="3" max="3" width="2.00390625" style="0" customWidth="1"/>
    <col min="4" max="4" width="12.421875" style="0" customWidth="1"/>
    <col min="5" max="5" width="13.00390625" style="0" customWidth="1"/>
    <col min="6" max="6" width="2.421875" style="0" customWidth="1"/>
    <col min="7" max="7" width="1.8515625" style="0" customWidth="1"/>
    <col min="8" max="8" width="3.00390625" style="0" customWidth="1"/>
    <col min="9" max="9" width="8.140625" style="0" customWidth="1"/>
    <col min="10" max="10" width="4.28125" style="0" customWidth="1"/>
    <col min="12" max="12" width="2.421875" style="0" customWidth="1"/>
    <col min="13" max="13" width="12.28125" style="0" customWidth="1"/>
    <col min="14" max="14" width="8.421875" style="0" customWidth="1"/>
    <col min="15" max="15" width="2.421875" style="0" customWidth="1"/>
    <col min="16" max="16" width="2.140625" style="0" customWidth="1"/>
    <col min="17" max="17" width="1.57421875" style="0" customWidth="1"/>
    <col min="18" max="18" width="7.7109375" style="0" customWidth="1"/>
    <col min="19" max="19" width="2.00390625" style="0" customWidth="1"/>
    <col min="20" max="20" width="2.140625" style="0" customWidth="1"/>
    <col min="21" max="21" width="11.28125" style="0" bestFit="1" customWidth="1"/>
    <col min="22" max="22" width="11.28125" style="0" customWidth="1"/>
  </cols>
  <sheetData>
    <row r="1" spans="1:9" ht="26.25">
      <c r="A1" s="281" t="s">
        <v>245</v>
      </c>
      <c r="H1" s="282" t="s">
        <v>246</v>
      </c>
      <c r="I1" s="283"/>
    </row>
    <row r="2" spans="1:21" ht="13.5" thickBot="1">
      <c r="A2" s="523" t="s">
        <v>247</v>
      </c>
      <c r="B2" s="524"/>
      <c r="C2" s="524"/>
      <c r="D2" s="524"/>
      <c r="E2" s="524"/>
      <c r="F2" s="524"/>
      <c r="G2" s="524"/>
      <c r="H2" s="524"/>
      <c r="I2" s="524"/>
      <c r="K2" s="523" t="s">
        <v>248</v>
      </c>
      <c r="L2" s="523"/>
      <c r="M2" s="524"/>
      <c r="N2" s="524"/>
      <c r="O2" s="524"/>
      <c r="P2" s="524"/>
      <c r="Q2" s="524"/>
      <c r="R2" s="524"/>
      <c r="S2" s="524"/>
      <c r="T2" s="524"/>
      <c r="U2" s="524"/>
    </row>
    <row r="3" spans="1:21" ht="14.25">
      <c r="A3" s="284" t="s">
        <v>249</v>
      </c>
      <c r="B3" s="67" t="s">
        <v>250</v>
      </c>
      <c r="C3" s="67" t="s">
        <v>251</v>
      </c>
      <c r="D3" s="285">
        <v>-12500</v>
      </c>
      <c r="E3" s="286">
        <v>1</v>
      </c>
      <c r="F3" s="287" t="s">
        <v>252</v>
      </c>
      <c r="G3" s="288"/>
      <c r="H3" s="289" t="s">
        <v>253</v>
      </c>
      <c r="I3" s="288">
        <v>800000</v>
      </c>
      <c r="J3" s="69"/>
      <c r="K3" s="284" t="s">
        <v>254</v>
      </c>
      <c r="L3" s="290" t="s">
        <v>251</v>
      </c>
      <c r="M3" s="286">
        <f>200000*20</f>
        <v>4000000</v>
      </c>
      <c r="N3" s="291"/>
      <c r="O3" s="67"/>
      <c r="P3" s="67"/>
      <c r="Q3" s="292"/>
      <c r="R3" s="67"/>
      <c r="S3" s="67"/>
      <c r="T3" s="67"/>
      <c r="U3" s="69"/>
    </row>
    <row r="4" spans="1:21" ht="14.25">
      <c r="A4" s="178"/>
      <c r="B4" s="44"/>
      <c r="C4" s="44"/>
      <c r="D4" s="44"/>
      <c r="E4" s="44"/>
      <c r="F4" s="293"/>
      <c r="G4" s="44"/>
      <c r="H4" s="294"/>
      <c r="I4" s="44"/>
      <c r="J4" s="295"/>
      <c r="K4" s="178" t="s">
        <v>255</v>
      </c>
      <c r="L4" s="296" t="s">
        <v>251</v>
      </c>
      <c r="M4" s="297">
        <v>0</v>
      </c>
      <c r="N4" s="297">
        <v>1</v>
      </c>
      <c r="O4" s="298" t="str">
        <f>F3</f>
        <v>X</v>
      </c>
      <c r="P4" s="299">
        <v>2</v>
      </c>
      <c r="Q4" s="300" t="s">
        <v>253</v>
      </c>
      <c r="R4" s="297">
        <v>300000</v>
      </c>
      <c r="S4" s="301" t="str">
        <f>O4</f>
        <v>X</v>
      </c>
      <c r="T4" s="44"/>
      <c r="U4" s="295"/>
    </row>
    <row r="5" spans="1:21" ht="14.25">
      <c r="A5" s="525" t="s">
        <v>256</v>
      </c>
      <c r="B5" s="489"/>
      <c r="C5" s="44" t="s">
        <v>251</v>
      </c>
      <c r="D5" s="44">
        <f>D3</f>
        <v>-12500</v>
      </c>
      <c r="E5" s="302">
        <f>E3</f>
        <v>1</v>
      </c>
      <c r="F5" s="293" t="str">
        <f>F3</f>
        <v>X</v>
      </c>
      <c r="G5" s="303">
        <v>2</v>
      </c>
      <c r="H5" s="304" t="s">
        <v>253</v>
      </c>
      <c r="I5" s="44">
        <f>I3</f>
        <v>800000</v>
      </c>
      <c r="J5" s="295" t="str">
        <f>F3</f>
        <v>X</v>
      </c>
      <c r="K5" s="178" t="s">
        <v>257</v>
      </c>
      <c r="L5" s="296" t="s">
        <v>251</v>
      </c>
      <c r="M5" s="44">
        <f aca="true" t="shared" si="0" ref="M5:S5">M4</f>
        <v>0</v>
      </c>
      <c r="N5" s="44">
        <f t="shared" si="0"/>
        <v>1</v>
      </c>
      <c r="O5" s="305" t="str">
        <f t="shared" si="0"/>
        <v>X</v>
      </c>
      <c r="P5" s="303">
        <f t="shared" si="0"/>
        <v>2</v>
      </c>
      <c r="Q5" s="306" t="str">
        <f t="shared" si="0"/>
        <v>+</v>
      </c>
      <c r="R5" s="44">
        <f t="shared" si="0"/>
        <v>300000</v>
      </c>
      <c r="S5" s="307" t="str">
        <f t="shared" si="0"/>
        <v>X</v>
      </c>
      <c r="T5" s="306" t="s">
        <v>253</v>
      </c>
      <c r="U5" s="308">
        <f>M3</f>
        <v>4000000</v>
      </c>
    </row>
    <row r="6" spans="1:21" ht="14.25">
      <c r="A6" s="178"/>
      <c r="B6" s="44"/>
      <c r="C6" s="44"/>
      <c r="D6" s="44"/>
      <c r="E6" s="44"/>
      <c r="F6" s="293"/>
      <c r="G6" s="44"/>
      <c r="H6" s="294"/>
      <c r="I6" s="44"/>
      <c r="J6" s="295"/>
      <c r="K6" s="178"/>
      <c r="L6" s="296"/>
      <c r="M6" s="44"/>
      <c r="N6" s="44"/>
      <c r="O6" s="305"/>
      <c r="P6" s="44"/>
      <c r="Q6" s="306"/>
      <c r="R6" s="44"/>
      <c r="S6" s="44"/>
      <c r="T6" s="44"/>
      <c r="U6" s="295"/>
    </row>
    <row r="7" spans="1:21" ht="15" thickBot="1">
      <c r="A7" s="526" t="s">
        <v>258</v>
      </c>
      <c r="B7" s="524"/>
      <c r="C7" s="4" t="s">
        <v>251</v>
      </c>
      <c r="D7" s="4">
        <f>D5*2</f>
        <v>-25000</v>
      </c>
      <c r="E7" s="61">
        <f>E3</f>
        <v>1</v>
      </c>
      <c r="F7" s="309" t="str">
        <f>F5</f>
        <v>X</v>
      </c>
      <c r="G7" s="4"/>
      <c r="H7" s="310" t="s">
        <v>253</v>
      </c>
      <c r="I7" s="4">
        <f>I5</f>
        <v>800000</v>
      </c>
      <c r="J7" s="311"/>
      <c r="K7" s="312" t="s">
        <v>259</v>
      </c>
      <c r="L7" s="313" t="s">
        <v>251</v>
      </c>
      <c r="M7" s="4">
        <f>M5*P5</f>
        <v>0</v>
      </c>
      <c r="N7" s="4">
        <f>N5</f>
        <v>1</v>
      </c>
      <c r="O7" s="314" t="str">
        <f>O5</f>
        <v>X</v>
      </c>
      <c r="P7" s="4"/>
      <c r="Q7" s="315" t="str">
        <f>Q5</f>
        <v>+</v>
      </c>
      <c r="R7" s="4">
        <f>R5</f>
        <v>300000</v>
      </c>
      <c r="S7" s="4"/>
      <c r="T7" s="4"/>
      <c r="U7" s="311"/>
    </row>
    <row r="8" spans="1:21" ht="14.25">
      <c r="A8" s="316"/>
      <c r="B8" s="317"/>
      <c r="C8" s="44"/>
      <c r="D8" s="44"/>
      <c r="E8" s="302"/>
      <c r="F8" s="293"/>
      <c r="G8" s="44"/>
      <c r="H8" s="294"/>
      <c r="I8" s="44"/>
      <c r="J8" s="44"/>
      <c r="K8" s="296"/>
      <c r="L8" s="296"/>
      <c r="M8" s="44"/>
      <c r="N8" s="44"/>
      <c r="O8" s="305"/>
      <c r="P8" s="44"/>
      <c r="Q8" s="306"/>
      <c r="R8" s="44"/>
      <c r="S8" s="44"/>
      <c r="T8" s="44"/>
      <c r="U8" s="44"/>
    </row>
    <row r="9" spans="1:21" ht="14.25">
      <c r="A9" s="316" t="s">
        <v>260</v>
      </c>
      <c r="B9" s="317"/>
      <c r="C9" s="44" t="str">
        <f>C5</f>
        <v>=</v>
      </c>
      <c r="D9" s="318">
        <v>30</v>
      </c>
      <c r="E9" s="302"/>
      <c r="F9" s="293"/>
      <c r="G9" s="44"/>
      <c r="H9" s="294"/>
      <c r="I9" s="44"/>
      <c r="J9" s="44"/>
      <c r="K9" s="296"/>
      <c r="L9" s="296"/>
      <c r="M9" s="44"/>
      <c r="N9" s="44"/>
      <c r="O9" s="305"/>
      <c r="P9" s="44"/>
      <c r="Q9" s="306"/>
      <c r="R9" s="44"/>
      <c r="S9" s="44"/>
      <c r="T9" s="44"/>
      <c r="U9" s="44"/>
    </row>
    <row r="10" spans="8:17" ht="12.75">
      <c r="H10" s="319"/>
      <c r="Q10" s="320"/>
    </row>
    <row r="11" spans="1:17" ht="12.75">
      <c r="A11" t="s">
        <v>261</v>
      </c>
      <c r="H11" s="319"/>
      <c r="Q11" s="320"/>
    </row>
    <row r="12" spans="8:17" ht="12.75">
      <c r="H12" s="319"/>
      <c r="Q12" s="320"/>
    </row>
    <row r="13" spans="8:17" ht="12.75">
      <c r="H13" s="319"/>
      <c r="I13" s="321" t="s">
        <v>258</v>
      </c>
      <c r="J13" s="322" t="s">
        <v>251</v>
      </c>
      <c r="K13" t="s">
        <v>259</v>
      </c>
      <c r="Q13" s="320"/>
    </row>
    <row r="14" spans="4:17" ht="12.75">
      <c r="D14" s="522" t="str">
        <f>M14</f>
        <v>(Hældningskoeficienten)</v>
      </c>
      <c r="E14" s="522"/>
      <c r="H14" s="319"/>
      <c r="J14" s="322"/>
      <c r="M14" s="522" t="s">
        <v>262</v>
      </c>
      <c r="N14" s="522"/>
      <c r="Q14" s="320"/>
    </row>
    <row r="15" spans="4:18" ht="12.75">
      <c r="D15">
        <f>D7</f>
        <v>-25000</v>
      </c>
      <c r="E15" s="323">
        <f>E7</f>
        <v>1</v>
      </c>
      <c r="F15" t="str">
        <f>F7</f>
        <v>X</v>
      </c>
      <c r="H15" s="319" t="str">
        <f>H7</f>
        <v>+</v>
      </c>
      <c r="I15">
        <f>I7</f>
        <v>800000</v>
      </c>
      <c r="J15" s="322" t="str">
        <f>J13</f>
        <v>=</v>
      </c>
      <c r="M15">
        <f>M7</f>
        <v>0</v>
      </c>
      <c r="N15">
        <f>N7</f>
        <v>1</v>
      </c>
      <c r="O15" t="str">
        <f>O7</f>
        <v>X</v>
      </c>
      <c r="Q15" s="320" t="str">
        <f>Q7</f>
        <v>+</v>
      </c>
      <c r="R15">
        <f>R7</f>
        <v>300000</v>
      </c>
    </row>
    <row r="16" spans="8:17" ht="12.75">
      <c r="H16" s="319"/>
      <c r="J16" s="322"/>
      <c r="Q16" s="320"/>
    </row>
    <row r="17" spans="8:17" ht="12.75">
      <c r="H17" s="319"/>
      <c r="I17">
        <f>I15-R15</f>
        <v>500000</v>
      </c>
      <c r="J17" s="322" t="str">
        <f>J15</f>
        <v>=</v>
      </c>
      <c r="N17">
        <f>-1*(D15/E15)+(M15/N15)</f>
        <v>25000</v>
      </c>
      <c r="O17" t="str">
        <f>O15</f>
        <v>X</v>
      </c>
      <c r="Q17" s="320"/>
    </row>
    <row r="18" ht="12.75">
      <c r="H18" s="319"/>
    </row>
    <row r="19" spans="1:17" ht="12.75">
      <c r="A19" s="324">
        <f>IF(I20=D9,"Da løsningen er større end max. Kap. er den ugyldig",0)</f>
        <v>0</v>
      </c>
      <c r="H19" s="319"/>
      <c r="I19" s="294">
        <f>I17/N17</f>
        <v>20</v>
      </c>
      <c r="J19" s="325" t="str">
        <f>J17</f>
        <v>=</v>
      </c>
      <c r="K19" s="325" t="str">
        <f>O4</f>
        <v>X</v>
      </c>
      <c r="L19" s="296"/>
      <c r="M19" s="296"/>
      <c r="N19" s="296"/>
      <c r="O19" s="296"/>
      <c r="Q19" s="320"/>
    </row>
    <row r="20" spans="8:17" ht="13.5" thickBot="1">
      <c r="H20" s="319"/>
      <c r="I20" s="326">
        <f>IF(I19&gt;D9,D9,I19)</f>
        <v>20</v>
      </c>
      <c r="J20" s="327" t="str">
        <f>J19</f>
        <v>=</v>
      </c>
      <c r="K20" s="327" t="str">
        <f>O5</f>
        <v>X</v>
      </c>
      <c r="L20" s="326"/>
      <c r="Q20" s="320"/>
    </row>
    <row r="21" spans="8:17" ht="13.5" thickTop="1">
      <c r="H21" s="319"/>
      <c r="I21" s="296"/>
      <c r="J21" s="328"/>
      <c r="K21" s="328"/>
      <c r="L21" s="296"/>
      <c r="Q21" s="320"/>
    </row>
    <row r="22" spans="1:8" ht="12.75">
      <c r="A22">
        <f>I19</f>
        <v>20</v>
      </c>
      <c r="B22" t="str">
        <f>J19</f>
        <v>=</v>
      </c>
      <c r="C22" t="str">
        <f>K19</f>
        <v>X</v>
      </c>
      <c r="D22" t="s">
        <v>263</v>
      </c>
      <c r="H22" s="319"/>
    </row>
    <row r="23" ht="12.75">
      <c r="H23" s="319"/>
    </row>
    <row r="24" spans="2:9" ht="12.75">
      <c r="B24" t="str">
        <f>B3</f>
        <v>P</v>
      </c>
      <c r="C24" t="str">
        <f>C3</f>
        <v>=</v>
      </c>
      <c r="D24">
        <f>D3</f>
        <v>-12500</v>
      </c>
      <c r="E24" s="323">
        <f>E3</f>
        <v>1</v>
      </c>
      <c r="F24" t="str">
        <f>F3</f>
        <v>X</v>
      </c>
      <c r="H24" s="319" t="str">
        <f>H3</f>
        <v>+</v>
      </c>
      <c r="I24">
        <f>I3</f>
        <v>800000</v>
      </c>
    </row>
    <row r="25" spans="2:9" ht="12.75">
      <c r="B25" t="str">
        <f>B24</f>
        <v>P</v>
      </c>
      <c r="C25" t="str">
        <f>C24</f>
        <v>=</v>
      </c>
      <c r="D25" s="329">
        <f>I20*(D24/E24)</f>
        <v>-250000</v>
      </c>
      <c r="H25" s="319" t="str">
        <f>H24</f>
        <v>+</v>
      </c>
      <c r="I25">
        <f>I24</f>
        <v>800000</v>
      </c>
    </row>
    <row r="26" spans="2:5" ht="13.5" thickBot="1">
      <c r="B26" s="326" t="str">
        <f>B25</f>
        <v>P</v>
      </c>
      <c r="C26" s="326" t="str">
        <f>C25</f>
        <v>=</v>
      </c>
      <c r="D26" s="326">
        <f>I25+D25</f>
        <v>550000</v>
      </c>
      <c r="E26" s="44"/>
    </row>
    <row r="27" ht="13.5" thickTop="1"/>
    <row r="28" spans="1:13" ht="15">
      <c r="A28" t="s">
        <v>256</v>
      </c>
      <c r="E28">
        <f>D26</f>
        <v>550000</v>
      </c>
      <c r="G28" s="330" t="s">
        <v>264</v>
      </c>
      <c r="I28">
        <f>I20</f>
        <v>20</v>
      </c>
      <c r="M28" s="331">
        <f>E28*I28</f>
        <v>11000000</v>
      </c>
    </row>
    <row r="29" spans="1:13" ht="12.75">
      <c r="A29" s="332" t="s">
        <v>265</v>
      </c>
      <c r="M29" s="331">
        <f>(POWER(I19,P5))*(M4/N4)+(R4*I28)</f>
        <v>6000000</v>
      </c>
    </row>
    <row r="30" spans="1:13" ht="12.75">
      <c r="A30" s="333" t="s">
        <v>266</v>
      </c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4">
        <f>M28-M29</f>
        <v>5000000</v>
      </c>
    </row>
    <row r="31" spans="1:13" ht="12.75">
      <c r="A31" t="s">
        <v>267</v>
      </c>
      <c r="M31" s="323">
        <f>M3</f>
        <v>4000000</v>
      </c>
    </row>
    <row r="32" spans="1:13" ht="13.5" thickBot="1">
      <c r="A32" t="s">
        <v>268</v>
      </c>
      <c r="M32" s="335">
        <f>M30-M31</f>
        <v>1000000</v>
      </c>
    </row>
    <row r="33" ht="13.5" thickTop="1"/>
    <row r="34" ht="12.75">
      <c r="A34" t="s">
        <v>269</v>
      </c>
    </row>
    <row r="35" spans="1:13" ht="12.75">
      <c r="A35" t="s">
        <v>270</v>
      </c>
      <c r="I35">
        <f>D26</f>
        <v>550000</v>
      </c>
      <c r="J35" t="s">
        <v>271</v>
      </c>
      <c r="K35" s="331">
        <f>I3-D26</f>
        <v>250000</v>
      </c>
      <c r="M35" s="336">
        <f>I35/K35*-1</f>
        <v>-2.2</v>
      </c>
    </row>
    <row r="36" ht="12.75">
      <c r="A36" t="str">
        <f>IF(M35&gt;-1,"Uelastisk","Elastisk")</f>
        <v>Elastisk</v>
      </c>
    </row>
    <row r="39" spans="1:4" ht="12.75">
      <c r="A39" s="489"/>
      <c r="B39" s="489"/>
      <c r="C39" s="489"/>
      <c r="D39" s="489"/>
    </row>
    <row r="40" spans="1:22" ht="27" thickBot="1">
      <c r="A40" s="489"/>
      <c r="B40" s="489"/>
      <c r="C40" s="489"/>
      <c r="D40" s="489"/>
      <c r="F40" s="282" t="s">
        <v>272</v>
      </c>
      <c r="V40" s="333"/>
    </row>
    <row r="41" spans="1:22" ht="13.5" thickBot="1">
      <c r="A41" s="519" t="s">
        <v>273</v>
      </c>
      <c r="B41" s="459"/>
      <c r="C41" s="459" t="s">
        <v>274</v>
      </c>
      <c r="D41" s="459"/>
      <c r="E41" s="337" t="s">
        <v>275</v>
      </c>
      <c r="F41" s="459" t="s">
        <v>276</v>
      </c>
      <c r="G41" s="459"/>
      <c r="H41" s="459"/>
      <c r="I41" s="459"/>
      <c r="J41" s="497" t="s">
        <v>266</v>
      </c>
      <c r="K41" s="498"/>
      <c r="L41" s="499"/>
      <c r="M41" s="337" t="s">
        <v>277</v>
      </c>
      <c r="N41" s="459" t="s">
        <v>268</v>
      </c>
      <c r="O41" s="459"/>
      <c r="P41" s="459"/>
      <c r="Q41" s="459"/>
      <c r="R41" s="459" t="s">
        <v>258</v>
      </c>
      <c r="S41" s="459"/>
      <c r="T41" s="459"/>
      <c r="U41" s="337" t="s">
        <v>259</v>
      </c>
      <c r="V41" s="338" t="s">
        <v>278</v>
      </c>
    </row>
    <row r="42" spans="1:22" ht="14.25">
      <c r="A42" s="520">
        <f>$A$45*-60%+$A$45</f>
        <v>8</v>
      </c>
      <c r="B42" s="514"/>
      <c r="C42" s="460">
        <f aca="true" t="shared" si="1" ref="C42:C49">A42*($D$24/$E$24)+$I$24</f>
        <v>700000</v>
      </c>
      <c r="D42" s="460"/>
      <c r="E42" s="339">
        <f aca="true" t="shared" si="2" ref="E42:E49">C42*A42</f>
        <v>5600000</v>
      </c>
      <c r="F42" s="513">
        <f aca="true" t="shared" si="3" ref="F42:F49">(POWER(A42,$P$4))*($M$4/$N$4)+($R$4*A42)</f>
        <v>2400000</v>
      </c>
      <c r="G42" s="514"/>
      <c r="H42" s="514"/>
      <c r="I42" s="514"/>
      <c r="J42" s="500">
        <f aca="true" t="shared" si="4" ref="J42:J49">E42-F42</f>
        <v>3200000</v>
      </c>
      <c r="K42" s="501"/>
      <c r="L42" s="502"/>
      <c r="M42" s="340">
        <f aca="true" t="shared" si="5" ref="M42:M49">$M$3</f>
        <v>4000000</v>
      </c>
      <c r="N42" s="513">
        <f aca="true" t="shared" si="6" ref="N42:N49">J42-M42</f>
        <v>-800000</v>
      </c>
      <c r="O42" s="514"/>
      <c r="P42" s="514"/>
      <c r="Q42" s="514"/>
      <c r="R42" s="460">
        <f aca="true" t="shared" si="7" ref="R42:R49">$I$7+($D$7/$E$7)*A42</f>
        <v>600000</v>
      </c>
      <c r="S42" s="460"/>
      <c r="T42" s="460"/>
      <c r="U42" s="341">
        <f aca="true" t="shared" si="8" ref="U42:U49">$R$7+($M$7/$N$7)*A42</f>
        <v>300000</v>
      </c>
      <c r="V42" s="342">
        <f aca="true" t="shared" si="9" ref="V42:V49">R42-U42</f>
        <v>300000</v>
      </c>
    </row>
    <row r="43" spans="1:22" ht="14.25">
      <c r="A43" s="518">
        <f>$A$45*-40%+$A$45</f>
        <v>12</v>
      </c>
      <c r="B43" s="512"/>
      <c r="C43" s="461">
        <f t="shared" si="1"/>
        <v>650000</v>
      </c>
      <c r="D43" s="461"/>
      <c r="E43" s="343">
        <f t="shared" si="2"/>
        <v>7800000</v>
      </c>
      <c r="F43" s="511">
        <f t="shared" si="3"/>
        <v>3600000</v>
      </c>
      <c r="G43" s="512"/>
      <c r="H43" s="512"/>
      <c r="I43" s="512"/>
      <c r="J43" s="503">
        <f t="shared" si="4"/>
        <v>4200000</v>
      </c>
      <c r="K43" s="504"/>
      <c r="L43" s="496"/>
      <c r="M43" s="344">
        <f t="shared" si="5"/>
        <v>4000000</v>
      </c>
      <c r="N43" s="511">
        <f t="shared" si="6"/>
        <v>200000</v>
      </c>
      <c r="O43" s="512"/>
      <c r="P43" s="512"/>
      <c r="Q43" s="512"/>
      <c r="R43" s="461">
        <f t="shared" si="7"/>
        <v>500000</v>
      </c>
      <c r="S43" s="461"/>
      <c r="T43" s="461"/>
      <c r="U43" s="345">
        <f t="shared" si="8"/>
        <v>300000</v>
      </c>
      <c r="V43" s="346">
        <f t="shared" si="9"/>
        <v>200000</v>
      </c>
    </row>
    <row r="44" spans="1:22" ht="14.25">
      <c r="A44" s="518">
        <f>$A$45*-20%+$A$45</f>
        <v>16</v>
      </c>
      <c r="B44" s="512"/>
      <c r="C44" s="461">
        <f t="shared" si="1"/>
        <v>600000</v>
      </c>
      <c r="D44" s="461"/>
      <c r="E44" s="343">
        <f t="shared" si="2"/>
        <v>9600000</v>
      </c>
      <c r="F44" s="511">
        <f t="shared" si="3"/>
        <v>4800000</v>
      </c>
      <c r="G44" s="512"/>
      <c r="H44" s="512"/>
      <c r="I44" s="512"/>
      <c r="J44" s="503">
        <f t="shared" si="4"/>
        <v>4800000</v>
      </c>
      <c r="K44" s="504"/>
      <c r="L44" s="496"/>
      <c r="M44" s="344">
        <f t="shared" si="5"/>
        <v>4000000</v>
      </c>
      <c r="N44" s="511">
        <f t="shared" si="6"/>
        <v>800000</v>
      </c>
      <c r="O44" s="512"/>
      <c r="P44" s="512"/>
      <c r="Q44" s="512"/>
      <c r="R44" s="461">
        <f t="shared" si="7"/>
        <v>400000</v>
      </c>
      <c r="S44" s="461"/>
      <c r="T44" s="461"/>
      <c r="U44" s="345">
        <f t="shared" si="8"/>
        <v>300000</v>
      </c>
      <c r="V44" s="346">
        <f t="shared" si="9"/>
        <v>100000</v>
      </c>
    </row>
    <row r="45" spans="1:22" ht="14.25">
      <c r="A45" s="518">
        <f>I19</f>
        <v>20</v>
      </c>
      <c r="B45" s="510"/>
      <c r="C45" s="505">
        <f t="shared" si="1"/>
        <v>550000</v>
      </c>
      <c r="D45" s="505"/>
      <c r="E45" s="347">
        <f t="shared" si="2"/>
        <v>11000000</v>
      </c>
      <c r="F45" s="509">
        <f t="shared" si="3"/>
        <v>6000000</v>
      </c>
      <c r="G45" s="510"/>
      <c r="H45" s="510"/>
      <c r="I45" s="510"/>
      <c r="J45" s="494">
        <f t="shared" si="4"/>
        <v>5000000</v>
      </c>
      <c r="K45" s="495"/>
      <c r="L45" s="496"/>
      <c r="M45" s="348">
        <f t="shared" si="5"/>
        <v>4000000</v>
      </c>
      <c r="N45" s="509">
        <f t="shared" si="6"/>
        <v>1000000</v>
      </c>
      <c r="O45" s="510"/>
      <c r="P45" s="510"/>
      <c r="Q45" s="510"/>
      <c r="R45" s="505">
        <f t="shared" si="7"/>
        <v>300000</v>
      </c>
      <c r="S45" s="505"/>
      <c r="T45" s="505"/>
      <c r="U45" s="349">
        <f t="shared" si="8"/>
        <v>300000</v>
      </c>
      <c r="V45" s="350">
        <f t="shared" si="9"/>
        <v>0</v>
      </c>
    </row>
    <row r="46" spans="1:22" ht="14.25">
      <c r="A46" s="518">
        <f>$A$45*20%+$A$45</f>
        <v>24</v>
      </c>
      <c r="B46" s="512"/>
      <c r="C46" s="461">
        <f t="shared" si="1"/>
        <v>500000</v>
      </c>
      <c r="D46" s="461"/>
      <c r="E46" s="343">
        <f t="shared" si="2"/>
        <v>12000000</v>
      </c>
      <c r="F46" s="511">
        <f t="shared" si="3"/>
        <v>7200000</v>
      </c>
      <c r="G46" s="512"/>
      <c r="H46" s="512"/>
      <c r="I46" s="512"/>
      <c r="J46" s="503">
        <f t="shared" si="4"/>
        <v>4800000</v>
      </c>
      <c r="K46" s="504"/>
      <c r="L46" s="496"/>
      <c r="M46" s="344">
        <f t="shared" si="5"/>
        <v>4000000</v>
      </c>
      <c r="N46" s="511">
        <f t="shared" si="6"/>
        <v>800000</v>
      </c>
      <c r="O46" s="512"/>
      <c r="P46" s="512"/>
      <c r="Q46" s="512"/>
      <c r="R46" s="461">
        <f t="shared" si="7"/>
        <v>200000</v>
      </c>
      <c r="S46" s="461"/>
      <c r="T46" s="461"/>
      <c r="U46" s="345">
        <f t="shared" si="8"/>
        <v>300000</v>
      </c>
      <c r="V46" s="346">
        <f t="shared" si="9"/>
        <v>-100000</v>
      </c>
    </row>
    <row r="47" spans="1:22" ht="14.25">
      <c r="A47" s="518">
        <f>$A$45*40%+$A$45</f>
        <v>28</v>
      </c>
      <c r="B47" s="512"/>
      <c r="C47" s="461">
        <f t="shared" si="1"/>
        <v>450000</v>
      </c>
      <c r="D47" s="461"/>
      <c r="E47" s="343">
        <f t="shared" si="2"/>
        <v>12600000</v>
      </c>
      <c r="F47" s="511">
        <f t="shared" si="3"/>
        <v>8400000</v>
      </c>
      <c r="G47" s="512"/>
      <c r="H47" s="512"/>
      <c r="I47" s="512"/>
      <c r="J47" s="503">
        <f t="shared" si="4"/>
        <v>4200000</v>
      </c>
      <c r="K47" s="504"/>
      <c r="L47" s="496"/>
      <c r="M47" s="344">
        <f t="shared" si="5"/>
        <v>4000000</v>
      </c>
      <c r="N47" s="511">
        <f t="shared" si="6"/>
        <v>200000</v>
      </c>
      <c r="O47" s="512"/>
      <c r="P47" s="512"/>
      <c r="Q47" s="512"/>
      <c r="R47" s="461">
        <f t="shared" si="7"/>
        <v>100000</v>
      </c>
      <c r="S47" s="461"/>
      <c r="T47" s="461"/>
      <c r="U47" s="345">
        <f t="shared" si="8"/>
        <v>300000</v>
      </c>
      <c r="V47" s="346">
        <f t="shared" si="9"/>
        <v>-200000</v>
      </c>
    </row>
    <row r="48" spans="1:22" ht="14.25">
      <c r="A48" s="518">
        <f>$A$45*60%+$A$45</f>
        <v>32</v>
      </c>
      <c r="B48" s="512"/>
      <c r="C48" s="461">
        <f t="shared" si="1"/>
        <v>400000</v>
      </c>
      <c r="D48" s="461"/>
      <c r="E48" s="343">
        <f t="shared" si="2"/>
        <v>12800000</v>
      </c>
      <c r="F48" s="511">
        <f t="shared" si="3"/>
        <v>9600000</v>
      </c>
      <c r="G48" s="512"/>
      <c r="H48" s="512"/>
      <c r="I48" s="512"/>
      <c r="J48" s="503">
        <f t="shared" si="4"/>
        <v>3200000</v>
      </c>
      <c r="K48" s="504"/>
      <c r="L48" s="496"/>
      <c r="M48" s="344">
        <f t="shared" si="5"/>
        <v>4000000</v>
      </c>
      <c r="N48" s="511">
        <f t="shared" si="6"/>
        <v>-800000</v>
      </c>
      <c r="O48" s="512"/>
      <c r="P48" s="512"/>
      <c r="Q48" s="512"/>
      <c r="R48" s="461">
        <f t="shared" si="7"/>
        <v>0</v>
      </c>
      <c r="S48" s="461"/>
      <c r="T48" s="461"/>
      <c r="U48" s="345">
        <f t="shared" si="8"/>
        <v>300000</v>
      </c>
      <c r="V48" s="346">
        <f t="shared" si="9"/>
        <v>-300000</v>
      </c>
    </row>
    <row r="49" spans="1:22" ht="15" thickBot="1">
      <c r="A49" s="521">
        <f>$A$45*80%+$A$45</f>
        <v>36</v>
      </c>
      <c r="B49" s="508"/>
      <c r="C49" s="506">
        <f t="shared" si="1"/>
        <v>350000</v>
      </c>
      <c r="D49" s="506"/>
      <c r="E49" s="351">
        <f t="shared" si="2"/>
        <v>12600000</v>
      </c>
      <c r="F49" s="507">
        <f t="shared" si="3"/>
        <v>10800000</v>
      </c>
      <c r="G49" s="508"/>
      <c r="H49" s="508"/>
      <c r="I49" s="508"/>
      <c r="J49" s="515">
        <f t="shared" si="4"/>
        <v>1800000</v>
      </c>
      <c r="K49" s="516"/>
      <c r="L49" s="517"/>
      <c r="M49" s="352">
        <f t="shared" si="5"/>
        <v>4000000</v>
      </c>
      <c r="N49" s="507">
        <f t="shared" si="6"/>
        <v>-2200000</v>
      </c>
      <c r="O49" s="508"/>
      <c r="P49" s="508"/>
      <c r="Q49" s="508"/>
      <c r="R49" s="506">
        <f t="shared" si="7"/>
        <v>-100000</v>
      </c>
      <c r="S49" s="506"/>
      <c r="T49" s="506"/>
      <c r="U49" s="353">
        <f t="shared" si="8"/>
        <v>300000</v>
      </c>
      <c r="V49" s="354">
        <f t="shared" si="9"/>
        <v>-400000</v>
      </c>
    </row>
    <row r="50" spans="1:20" ht="12.75">
      <c r="A50" s="489"/>
      <c r="B50" s="489"/>
      <c r="C50" s="489"/>
      <c r="D50" s="489"/>
      <c r="F50" s="489"/>
      <c r="G50" s="489"/>
      <c r="H50" s="489"/>
      <c r="I50" s="489"/>
      <c r="J50" s="489"/>
      <c r="K50" s="489"/>
      <c r="L50" s="279"/>
      <c r="N50" s="489"/>
      <c r="O50" s="489"/>
      <c r="P50" s="489"/>
      <c r="Q50" s="489"/>
      <c r="R50" s="489"/>
      <c r="S50" s="489"/>
      <c r="T50" s="489"/>
    </row>
    <row r="51" spans="1:20" ht="12.75">
      <c r="A51" s="489"/>
      <c r="B51" s="489"/>
      <c r="C51" s="489"/>
      <c r="D51" s="489"/>
      <c r="F51" s="489"/>
      <c r="G51" s="489"/>
      <c r="H51" s="489"/>
      <c r="I51" s="489"/>
      <c r="J51" s="489"/>
      <c r="K51" s="489"/>
      <c r="L51" s="279"/>
      <c r="N51" s="489"/>
      <c r="O51" s="489"/>
      <c r="P51" s="489"/>
      <c r="Q51" s="489"/>
      <c r="R51" s="489"/>
      <c r="S51" s="489"/>
      <c r="T51" s="489"/>
    </row>
    <row r="52" spans="1:20" ht="12.75">
      <c r="A52" s="489"/>
      <c r="B52" s="489"/>
      <c r="C52" s="489"/>
      <c r="D52" s="489"/>
      <c r="F52" s="489"/>
      <c r="G52" s="489"/>
      <c r="H52" s="489"/>
      <c r="I52" s="489"/>
      <c r="J52" s="489"/>
      <c r="K52" s="489"/>
      <c r="L52" s="279"/>
      <c r="N52" s="489"/>
      <c r="O52" s="489"/>
      <c r="P52" s="489"/>
      <c r="Q52" s="489"/>
      <c r="R52" s="489"/>
      <c r="S52" s="489"/>
      <c r="T52" s="489"/>
    </row>
    <row r="53" spans="1:20" ht="12.75">
      <c r="A53" s="489"/>
      <c r="B53" s="489"/>
      <c r="C53" s="489"/>
      <c r="D53" s="489"/>
      <c r="F53" s="489"/>
      <c r="G53" s="489"/>
      <c r="H53" s="489"/>
      <c r="I53" s="489"/>
      <c r="J53" s="489"/>
      <c r="K53" s="489"/>
      <c r="L53" s="279"/>
      <c r="N53" s="489"/>
      <c r="O53" s="489"/>
      <c r="P53" s="489"/>
      <c r="Q53" s="489"/>
      <c r="R53" s="489"/>
      <c r="S53" s="489"/>
      <c r="T53" s="489"/>
    </row>
  </sheetData>
  <mergeCells count="88">
    <mergeCell ref="A49:B49"/>
    <mergeCell ref="M14:N14"/>
    <mergeCell ref="D14:E14"/>
    <mergeCell ref="A2:I2"/>
    <mergeCell ref="K2:U2"/>
    <mergeCell ref="A5:B5"/>
    <mergeCell ref="A7:B7"/>
    <mergeCell ref="A45:B45"/>
    <mergeCell ref="A46:B46"/>
    <mergeCell ref="A47:B47"/>
    <mergeCell ref="A48:B48"/>
    <mergeCell ref="A41:B41"/>
    <mergeCell ref="A42:B42"/>
    <mergeCell ref="A43:B43"/>
    <mergeCell ref="A44:B44"/>
    <mergeCell ref="A50:B50"/>
    <mergeCell ref="A51:B51"/>
    <mergeCell ref="A52:B52"/>
    <mergeCell ref="A53:B53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F45:I45"/>
    <mergeCell ref="F46:I46"/>
    <mergeCell ref="F47:I47"/>
    <mergeCell ref="F48:I48"/>
    <mergeCell ref="F41:I41"/>
    <mergeCell ref="F42:I42"/>
    <mergeCell ref="F43:I43"/>
    <mergeCell ref="F44:I44"/>
    <mergeCell ref="F51:I51"/>
    <mergeCell ref="F52:I52"/>
    <mergeCell ref="F53:I53"/>
    <mergeCell ref="C53:D53"/>
    <mergeCell ref="J46:L46"/>
    <mergeCell ref="J47:L47"/>
    <mergeCell ref="J48:L48"/>
    <mergeCell ref="F50:I50"/>
    <mergeCell ref="F49:I49"/>
    <mergeCell ref="J50:K50"/>
    <mergeCell ref="J51:K51"/>
    <mergeCell ref="J52:K52"/>
    <mergeCell ref="J49:L49"/>
    <mergeCell ref="J53:K53"/>
    <mergeCell ref="N41:Q41"/>
    <mergeCell ref="N42:Q42"/>
    <mergeCell ref="N43:Q43"/>
    <mergeCell ref="N44:Q44"/>
    <mergeCell ref="N45:Q45"/>
    <mergeCell ref="N46:Q46"/>
    <mergeCell ref="N47:Q47"/>
    <mergeCell ref="N48:Q48"/>
    <mergeCell ref="N49:Q49"/>
    <mergeCell ref="N50:Q50"/>
    <mergeCell ref="N51:Q51"/>
    <mergeCell ref="N52:Q52"/>
    <mergeCell ref="N53:Q53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A39:B39"/>
    <mergeCell ref="A40:B40"/>
    <mergeCell ref="C39:D39"/>
    <mergeCell ref="C40:D40"/>
    <mergeCell ref="J45:L45"/>
    <mergeCell ref="J41:L41"/>
    <mergeCell ref="J42:L42"/>
    <mergeCell ref="J43:L43"/>
    <mergeCell ref="J44:L44"/>
  </mergeCells>
  <printOptions/>
  <pageMargins left="0.7874015748031497" right="0.7874015748031497" top="0.5905511811023623" bottom="0.984251968503937" header="0" footer="0"/>
  <pageSetup horizontalDpi="300" verticalDpi="3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"/>
  <sheetViews>
    <sheetView workbookViewId="0" topLeftCell="A1">
      <selection activeCell="K32" sqref="K32"/>
    </sheetView>
  </sheetViews>
  <sheetFormatPr defaultColWidth="9.140625" defaultRowHeight="12.75"/>
  <cols>
    <col min="1" max="1" width="9.28125" style="0" bestFit="1" customWidth="1"/>
    <col min="2" max="2" width="14.28125" style="0" bestFit="1" customWidth="1"/>
    <col min="3" max="3" width="10.57421875" style="0" customWidth="1"/>
    <col min="4" max="4" width="12.8515625" style="0" bestFit="1" customWidth="1"/>
    <col min="5" max="5" width="12.00390625" style="0" bestFit="1" customWidth="1"/>
    <col min="6" max="6" width="14.28125" style="0" bestFit="1" customWidth="1"/>
    <col min="7" max="7" width="9.28125" style="0" bestFit="1" customWidth="1"/>
    <col min="8" max="8" width="12.8515625" style="0" bestFit="1" customWidth="1"/>
    <col min="9" max="9" width="9.28125" style="0" bestFit="1" customWidth="1"/>
    <col min="10" max="10" width="12.8515625" style="0" bestFit="1" customWidth="1"/>
    <col min="11" max="11" width="9.28125" style="0" bestFit="1" customWidth="1"/>
    <col min="12" max="12" width="12.8515625" style="0" bestFit="1" customWidth="1"/>
  </cols>
  <sheetData>
    <row r="1" ht="24" thickBot="1">
      <c r="E1" s="355" t="s">
        <v>279</v>
      </c>
    </row>
    <row r="2" spans="1:12" ht="15.75">
      <c r="A2" s="206" t="str">
        <f>'MR=MC 2.1'!A3</f>
        <v>Afsætning</v>
      </c>
      <c r="B2" s="356"/>
      <c r="C2" s="357" t="s">
        <v>258</v>
      </c>
      <c r="D2" s="356"/>
      <c r="E2" s="206" t="str">
        <f>'MR=MC 2.1'!K7</f>
        <v>MC</v>
      </c>
      <c r="F2" s="356"/>
      <c r="G2" s="206" t="str">
        <f>'MR=MC 2.1'!A9</f>
        <v>Max.kapacitet</v>
      </c>
      <c r="H2" s="356"/>
      <c r="I2" s="206" t="s">
        <v>280</v>
      </c>
      <c r="J2" s="356"/>
      <c r="K2" s="206" t="s">
        <v>281</v>
      </c>
      <c r="L2" s="356"/>
    </row>
    <row r="3" spans="1:12" ht="15">
      <c r="A3" s="358" t="s">
        <v>274</v>
      </c>
      <c r="B3" s="359" t="s">
        <v>273</v>
      </c>
      <c r="C3" s="358" t="s">
        <v>274</v>
      </c>
      <c r="D3" s="359" t="str">
        <f>B3</f>
        <v>Mængde</v>
      </c>
      <c r="E3" s="358" t="s">
        <v>274</v>
      </c>
      <c r="F3" s="359" t="str">
        <f>D3</f>
        <v>Mængde</v>
      </c>
      <c r="G3" s="358" t="s">
        <v>282</v>
      </c>
      <c r="H3" s="359" t="s">
        <v>273</v>
      </c>
      <c r="I3" s="358" t="str">
        <f>G3</f>
        <v>Pris </v>
      </c>
      <c r="J3" s="359" t="str">
        <f>H3</f>
        <v>Mængde</v>
      </c>
      <c r="K3" s="358" t="str">
        <f>I3</f>
        <v>Pris </v>
      </c>
      <c r="L3" s="359" t="str">
        <f>J3</f>
        <v>Mængde</v>
      </c>
    </row>
    <row r="4" spans="1:12" ht="15">
      <c r="A4" s="360">
        <f>'MR=MC 2.1'!I3</f>
        <v>800000</v>
      </c>
      <c r="B4" s="361">
        <v>0</v>
      </c>
      <c r="C4" s="360">
        <f>A4</f>
        <v>800000</v>
      </c>
      <c r="D4" s="361">
        <v>0</v>
      </c>
      <c r="E4" s="360">
        <f>'MR=MC 2.1'!R7</f>
        <v>300000</v>
      </c>
      <c r="F4" s="361">
        <f>B4</f>
        <v>0</v>
      </c>
      <c r="G4" s="360">
        <f>A4</f>
        <v>800000</v>
      </c>
      <c r="H4" s="361">
        <f>'MR=MC 2.1'!D9</f>
        <v>30</v>
      </c>
      <c r="I4" s="360">
        <f>'MR=MC 2.1'!D26</f>
        <v>550000</v>
      </c>
      <c r="J4" s="361">
        <f>F4</f>
        <v>0</v>
      </c>
      <c r="K4" s="360">
        <v>0</v>
      </c>
      <c r="L4" s="361">
        <f>'MR=MC 2.1'!I20</f>
        <v>20</v>
      </c>
    </row>
    <row r="5" spans="1:12" ht="15.75" thickBot="1">
      <c r="A5" s="362">
        <f>IF('MR=MC 2.1'!D3/'MR=MC 2.1'!E3=0,A4,0)</f>
        <v>0</v>
      </c>
      <c r="B5" s="363">
        <f>C8+IF('MR=MC 2.1'!D3/'MR=MC 2.1'!E3=0,'MR=MC 2.1'!D9,'MR=MC 2.1'!I3/('MR=MC 2.1'!D3/'MR=MC 2.1'!E3)*-1)</f>
        <v>64</v>
      </c>
      <c r="C5" s="362">
        <f>A5</f>
        <v>0</v>
      </c>
      <c r="D5" s="363">
        <f>IF('MR=MC 2.1'!D3/'MR=MC 2.1'!E3=0,B5,B5/2)</f>
        <v>32</v>
      </c>
      <c r="E5" s="362">
        <f>B5*('MR=MC 2.1'!M7/'MR=MC 2.1'!N7)+'MR=MC 2.1'!R7</f>
        <v>300000</v>
      </c>
      <c r="F5" s="363">
        <f>B5</f>
        <v>64</v>
      </c>
      <c r="G5" s="362">
        <f>A5</f>
        <v>0</v>
      </c>
      <c r="H5" s="363">
        <f>'MR=MC 2.1'!D9</f>
        <v>30</v>
      </c>
      <c r="I5" s="362">
        <f>'MR=MC 2.1'!D26</f>
        <v>550000</v>
      </c>
      <c r="J5" s="363">
        <f>L5</f>
        <v>20</v>
      </c>
      <c r="K5" s="362">
        <f>I5</f>
        <v>550000</v>
      </c>
      <c r="L5" s="363">
        <f>'MR=MC 2.1'!I20</f>
        <v>20</v>
      </c>
    </row>
  </sheetData>
  <printOptions/>
  <pageMargins left="0.75" right="0.75" top="1" bottom="1" header="0" footer="0"/>
  <pageSetup fitToHeight="1" fitToWidth="1" horizontalDpi="300" verticalDpi="3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0" zoomScaleNormal="70" workbookViewId="0" topLeftCell="A1">
      <selection activeCell="B74" sqref="B74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16.140625" style="0" customWidth="1"/>
    <col min="4" max="4" width="20.7109375" style="0" customWidth="1"/>
    <col min="5" max="5" width="32.00390625" style="0" customWidth="1"/>
    <col min="6" max="6" width="28.28125" style="0" customWidth="1"/>
    <col min="7" max="7" width="24.8515625" style="0" customWidth="1"/>
    <col min="8" max="8" width="24.140625" style="0" customWidth="1"/>
  </cols>
  <sheetData>
    <row r="1" spans="1:3" ht="18">
      <c r="A1" s="364" t="s">
        <v>283</v>
      </c>
      <c r="B1" s="279"/>
      <c r="C1" s="279"/>
    </row>
    <row r="2" spans="2:5" ht="18">
      <c r="B2" s="364" t="s">
        <v>284</v>
      </c>
      <c r="C2" s="279">
        <v>24000</v>
      </c>
      <c r="D2" s="279">
        <v>135</v>
      </c>
      <c r="E2" s="331">
        <f>C2*D2</f>
        <v>3240000</v>
      </c>
    </row>
    <row r="3" spans="2:5" ht="18">
      <c r="B3" s="364" t="s">
        <v>285</v>
      </c>
      <c r="C3" s="279">
        <v>24000</v>
      </c>
      <c r="D3" s="279">
        <v>80</v>
      </c>
      <c r="E3" s="331">
        <f>C3*D3</f>
        <v>1920000</v>
      </c>
    </row>
    <row r="4" spans="2:5" ht="18">
      <c r="B4" s="364" t="s">
        <v>231</v>
      </c>
      <c r="C4" s="279"/>
      <c r="D4" s="279"/>
      <c r="E4" s="331">
        <f>E2-E3</f>
        <v>1320000</v>
      </c>
    </row>
    <row r="5" spans="2:5" ht="18">
      <c r="B5" s="283" t="s">
        <v>286</v>
      </c>
      <c r="E5" s="331">
        <v>250000</v>
      </c>
    </row>
    <row r="6" spans="2:5" ht="18">
      <c r="B6" s="283" t="s">
        <v>287</v>
      </c>
      <c r="E6" s="331">
        <f>E4-E5</f>
        <v>1070000</v>
      </c>
    </row>
    <row r="7" ht="18">
      <c r="B7" s="283"/>
    </row>
    <row r="8" spans="2:3" ht="15.75">
      <c r="B8" s="232" t="s">
        <v>288</v>
      </c>
      <c r="C8" s="365">
        <v>5</v>
      </c>
    </row>
    <row r="9" spans="2:3" ht="16.5" thickBot="1">
      <c r="B9" s="232" t="s">
        <v>289</v>
      </c>
      <c r="C9" s="366">
        <v>0.12</v>
      </c>
    </row>
    <row r="10" spans="2:8" ht="64.5" customHeight="1" thickBot="1">
      <c r="B10" s="367" t="s">
        <v>290</v>
      </c>
      <c r="C10" s="368" t="s">
        <v>291</v>
      </c>
      <c r="D10" s="369" t="s">
        <v>292</v>
      </c>
      <c r="E10" s="370" t="s">
        <v>293</v>
      </c>
      <c r="F10" s="367" t="s">
        <v>325</v>
      </c>
      <c r="G10" s="371" t="s">
        <v>294</v>
      </c>
      <c r="H10" s="371" t="s">
        <v>326</v>
      </c>
    </row>
    <row r="11" spans="2:8" ht="18">
      <c r="B11" s="372">
        <v>0</v>
      </c>
      <c r="C11" s="373">
        <v>0</v>
      </c>
      <c r="D11" s="374">
        <f>3400000+200000</f>
        <v>3600000</v>
      </c>
      <c r="E11" s="375">
        <f aca="true" t="shared" si="0" ref="E11:E42">C11-D11</f>
        <v>-3600000</v>
      </c>
      <c r="F11" s="376">
        <f>E11</f>
        <v>-3600000</v>
      </c>
      <c r="G11" s="376">
        <f>F11</f>
        <v>-3600000</v>
      </c>
      <c r="H11" s="372"/>
    </row>
    <row r="12" spans="2:8" ht="18">
      <c r="B12" s="377">
        <f aca="true" t="shared" si="1" ref="B12:B43">B11+1</f>
        <v>1</v>
      </c>
      <c r="C12" s="378">
        <f>$E$4</f>
        <v>1320000</v>
      </c>
      <c r="D12" s="379">
        <f>$E$5</f>
        <v>250000</v>
      </c>
      <c r="E12" s="380">
        <f t="shared" si="0"/>
        <v>1070000</v>
      </c>
      <c r="F12" s="381">
        <f aca="true" t="shared" si="2" ref="F12:F43">PV($C$9,B12,0,E12)*-1</f>
        <v>955357.1428571427</v>
      </c>
      <c r="G12" s="381">
        <f>PV($F$64,B12,0,E12)*-1</f>
        <v>918197.6028699003</v>
      </c>
      <c r="H12" s="381">
        <f>PMT($C$9,$C$8,$F$62)*-1</f>
        <v>118547.88459453841</v>
      </c>
    </row>
    <row r="13" spans="2:8" ht="18">
      <c r="B13" s="377">
        <f t="shared" si="1"/>
        <v>2</v>
      </c>
      <c r="C13" s="378">
        <f>$E$4</f>
        <v>1320000</v>
      </c>
      <c r="D13" s="379">
        <f>$E$5</f>
        <v>250000</v>
      </c>
      <c r="E13" s="380">
        <f t="shared" si="0"/>
        <v>1070000</v>
      </c>
      <c r="F13" s="381">
        <f t="shared" si="2"/>
        <v>852997.4489795917</v>
      </c>
      <c r="G13" s="381">
        <f aca="true" t="shared" si="3" ref="G13:G61">PV($F$64,B13,0,E13)*-1</f>
        <v>787931.6242205899</v>
      </c>
      <c r="H13" s="381">
        <f aca="true" t="shared" si="4" ref="H13:H60">IF(F13&gt;0,H12,0)</f>
        <v>118547.88459453841</v>
      </c>
    </row>
    <row r="14" spans="2:8" ht="18">
      <c r="B14" s="377">
        <f t="shared" si="1"/>
        <v>3</v>
      </c>
      <c r="C14" s="378">
        <f>$E$4</f>
        <v>1320000</v>
      </c>
      <c r="D14" s="379">
        <f>$E$5</f>
        <v>250000</v>
      </c>
      <c r="E14" s="380">
        <f t="shared" si="0"/>
        <v>1070000</v>
      </c>
      <c r="F14" s="381">
        <f t="shared" si="2"/>
        <v>761604.8651603496</v>
      </c>
      <c r="G14" s="381">
        <f t="shared" si="3"/>
        <v>676146.6622287221</v>
      </c>
      <c r="H14" s="381">
        <f t="shared" si="4"/>
        <v>118547.88459453841</v>
      </c>
    </row>
    <row r="15" spans="2:8" ht="18">
      <c r="B15" s="377">
        <f t="shared" si="1"/>
        <v>4</v>
      </c>
      <c r="C15" s="378">
        <f>$E$4</f>
        <v>1320000</v>
      </c>
      <c r="D15" s="379">
        <f>$E$5</f>
        <v>250000</v>
      </c>
      <c r="E15" s="380">
        <f t="shared" si="0"/>
        <v>1070000</v>
      </c>
      <c r="F15" s="381">
        <f t="shared" si="2"/>
        <v>680004.3438931693</v>
      </c>
      <c r="G15" s="381">
        <f t="shared" si="3"/>
        <v>580220.7892027074</v>
      </c>
      <c r="H15" s="381">
        <f t="shared" si="4"/>
        <v>118547.88459453841</v>
      </c>
    </row>
    <row r="16" spans="2:8" ht="18">
      <c r="B16" s="377">
        <f t="shared" si="1"/>
        <v>5</v>
      </c>
      <c r="C16" s="378">
        <f>$E$4+300000</f>
        <v>1620000</v>
      </c>
      <c r="D16" s="379">
        <f>$E$5</f>
        <v>250000</v>
      </c>
      <c r="E16" s="380">
        <f>(C16-D16)</f>
        <v>1370000</v>
      </c>
      <c r="F16" s="381">
        <f t="shared" si="2"/>
        <v>777374.7923344809</v>
      </c>
      <c r="G16" s="381">
        <f t="shared" si="3"/>
        <v>637503.3214780806</v>
      </c>
      <c r="H16" s="381">
        <f t="shared" si="4"/>
        <v>118547.88459453841</v>
      </c>
    </row>
    <row r="17" spans="2:8" ht="18">
      <c r="B17" s="377">
        <f t="shared" si="1"/>
        <v>6</v>
      </c>
      <c r="C17" s="378">
        <v>0</v>
      </c>
      <c r="D17" s="379">
        <v>0</v>
      </c>
      <c r="E17" s="380">
        <f t="shared" si="0"/>
        <v>0</v>
      </c>
      <c r="F17" s="381">
        <f t="shared" si="2"/>
        <v>0</v>
      </c>
      <c r="G17" s="381">
        <f t="shared" si="3"/>
        <v>0</v>
      </c>
      <c r="H17" s="381">
        <f t="shared" si="4"/>
        <v>0</v>
      </c>
    </row>
    <row r="18" spans="2:8" ht="18">
      <c r="B18" s="377">
        <f t="shared" si="1"/>
        <v>7</v>
      </c>
      <c r="C18" s="378">
        <v>0</v>
      </c>
      <c r="D18" s="379">
        <v>0</v>
      </c>
      <c r="E18" s="380">
        <f t="shared" si="0"/>
        <v>0</v>
      </c>
      <c r="F18" s="381">
        <f t="shared" si="2"/>
        <v>0</v>
      </c>
      <c r="G18" s="381">
        <f t="shared" si="3"/>
        <v>0</v>
      </c>
      <c r="H18" s="381">
        <f t="shared" si="4"/>
        <v>0</v>
      </c>
    </row>
    <row r="19" spans="2:10" ht="18">
      <c r="B19" s="377">
        <f t="shared" si="1"/>
        <v>8</v>
      </c>
      <c r="C19" s="378">
        <v>0</v>
      </c>
      <c r="D19" s="379">
        <v>0</v>
      </c>
      <c r="E19" s="380">
        <f t="shared" si="0"/>
        <v>0</v>
      </c>
      <c r="F19" s="381">
        <f t="shared" si="2"/>
        <v>0</v>
      </c>
      <c r="G19" s="381">
        <f t="shared" si="3"/>
        <v>0</v>
      </c>
      <c r="H19" s="381">
        <f t="shared" si="4"/>
        <v>0</v>
      </c>
      <c r="J19" s="382"/>
    </row>
    <row r="20" spans="2:8" ht="18">
      <c r="B20" s="377">
        <f t="shared" si="1"/>
        <v>9</v>
      </c>
      <c r="C20" s="378">
        <v>0</v>
      </c>
      <c r="D20" s="379">
        <v>0</v>
      </c>
      <c r="E20" s="380">
        <f t="shared" si="0"/>
        <v>0</v>
      </c>
      <c r="F20" s="381">
        <f t="shared" si="2"/>
        <v>0</v>
      </c>
      <c r="G20" s="381">
        <f t="shared" si="3"/>
        <v>0</v>
      </c>
      <c r="H20" s="381">
        <f t="shared" si="4"/>
        <v>0</v>
      </c>
    </row>
    <row r="21" spans="2:8" ht="18">
      <c r="B21" s="377">
        <f t="shared" si="1"/>
        <v>10</v>
      </c>
      <c r="C21" s="378">
        <v>0</v>
      </c>
      <c r="D21" s="379">
        <v>0</v>
      </c>
      <c r="E21" s="380">
        <f t="shared" si="0"/>
        <v>0</v>
      </c>
      <c r="F21" s="381">
        <f t="shared" si="2"/>
        <v>0</v>
      </c>
      <c r="G21" s="381">
        <f t="shared" si="3"/>
        <v>0</v>
      </c>
      <c r="H21" s="381">
        <f t="shared" si="4"/>
        <v>0</v>
      </c>
    </row>
    <row r="22" spans="2:8" ht="18">
      <c r="B22" s="377">
        <f t="shared" si="1"/>
        <v>11</v>
      </c>
      <c r="C22" s="378">
        <v>0</v>
      </c>
      <c r="D22" s="379">
        <v>0</v>
      </c>
      <c r="E22" s="380">
        <f t="shared" si="0"/>
        <v>0</v>
      </c>
      <c r="F22" s="381">
        <f t="shared" si="2"/>
        <v>0</v>
      </c>
      <c r="G22" s="381">
        <f t="shared" si="3"/>
        <v>0</v>
      </c>
      <c r="H22" s="381">
        <f t="shared" si="4"/>
        <v>0</v>
      </c>
    </row>
    <row r="23" spans="2:8" ht="18">
      <c r="B23" s="377">
        <f t="shared" si="1"/>
        <v>12</v>
      </c>
      <c r="C23" s="378">
        <v>0</v>
      </c>
      <c r="D23" s="379">
        <v>0</v>
      </c>
      <c r="E23" s="380">
        <f t="shared" si="0"/>
        <v>0</v>
      </c>
      <c r="F23" s="381">
        <f t="shared" si="2"/>
        <v>0</v>
      </c>
      <c r="G23" s="381">
        <f t="shared" si="3"/>
        <v>0</v>
      </c>
      <c r="H23" s="381">
        <f t="shared" si="4"/>
        <v>0</v>
      </c>
    </row>
    <row r="24" spans="2:10" ht="18">
      <c r="B24" s="377">
        <f t="shared" si="1"/>
        <v>13</v>
      </c>
      <c r="C24" s="378">
        <v>0</v>
      </c>
      <c r="D24" s="379">
        <v>0</v>
      </c>
      <c r="E24" s="380">
        <f t="shared" si="0"/>
        <v>0</v>
      </c>
      <c r="F24" s="381">
        <f t="shared" si="2"/>
        <v>0</v>
      </c>
      <c r="G24" s="381">
        <f t="shared" si="3"/>
        <v>0</v>
      </c>
      <c r="H24" s="381">
        <f t="shared" si="4"/>
        <v>0</v>
      </c>
      <c r="J24" s="382"/>
    </row>
    <row r="25" spans="2:8" ht="18">
      <c r="B25" s="377">
        <f t="shared" si="1"/>
        <v>14</v>
      </c>
      <c r="C25" s="378">
        <v>0</v>
      </c>
      <c r="D25" s="379">
        <v>0</v>
      </c>
      <c r="E25" s="380">
        <f t="shared" si="0"/>
        <v>0</v>
      </c>
      <c r="F25" s="381">
        <f t="shared" si="2"/>
        <v>0</v>
      </c>
      <c r="G25" s="381">
        <f t="shared" si="3"/>
        <v>0</v>
      </c>
      <c r="H25" s="381">
        <f t="shared" si="4"/>
        <v>0</v>
      </c>
    </row>
    <row r="26" spans="2:8" ht="18.75" thickBot="1">
      <c r="B26" s="383">
        <f t="shared" si="1"/>
        <v>15</v>
      </c>
      <c r="C26" s="384">
        <v>0</v>
      </c>
      <c r="D26" s="385">
        <v>0</v>
      </c>
      <c r="E26" s="386">
        <f t="shared" si="0"/>
        <v>0</v>
      </c>
      <c r="F26" s="387">
        <f t="shared" si="2"/>
        <v>0</v>
      </c>
      <c r="G26" s="387">
        <f t="shared" si="3"/>
        <v>0</v>
      </c>
      <c r="H26" s="387">
        <f t="shared" si="4"/>
        <v>0</v>
      </c>
    </row>
    <row r="27" spans="2:8" ht="18.75" hidden="1" thickBot="1">
      <c r="B27" s="372">
        <f t="shared" si="1"/>
        <v>16</v>
      </c>
      <c r="C27" s="373">
        <v>0</v>
      </c>
      <c r="D27" s="374">
        <v>0</v>
      </c>
      <c r="E27" s="375">
        <f t="shared" si="0"/>
        <v>0</v>
      </c>
      <c r="F27" s="376">
        <f t="shared" si="2"/>
        <v>0</v>
      </c>
      <c r="G27" s="376">
        <f t="shared" si="3"/>
        <v>0</v>
      </c>
      <c r="H27" s="376">
        <f t="shared" si="4"/>
        <v>0</v>
      </c>
    </row>
    <row r="28" spans="2:8" ht="18.75" hidden="1" thickBot="1">
      <c r="B28" s="377">
        <f t="shared" si="1"/>
        <v>17</v>
      </c>
      <c r="C28" s="378">
        <v>0</v>
      </c>
      <c r="D28" s="379">
        <v>0</v>
      </c>
      <c r="E28" s="380">
        <f t="shared" si="0"/>
        <v>0</v>
      </c>
      <c r="F28" s="381">
        <f t="shared" si="2"/>
        <v>0</v>
      </c>
      <c r="G28" s="381">
        <f t="shared" si="3"/>
        <v>0</v>
      </c>
      <c r="H28" s="381">
        <f t="shared" si="4"/>
        <v>0</v>
      </c>
    </row>
    <row r="29" spans="2:8" ht="18.75" hidden="1" thickBot="1">
      <c r="B29" s="377">
        <f t="shared" si="1"/>
        <v>18</v>
      </c>
      <c r="C29" s="378">
        <v>0</v>
      </c>
      <c r="D29" s="379">
        <v>0</v>
      </c>
      <c r="E29" s="380">
        <f t="shared" si="0"/>
        <v>0</v>
      </c>
      <c r="F29" s="381">
        <f t="shared" si="2"/>
        <v>0</v>
      </c>
      <c r="G29" s="381">
        <f t="shared" si="3"/>
        <v>0</v>
      </c>
      <c r="H29" s="381">
        <f t="shared" si="4"/>
        <v>0</v>
      </c>
    </row>
    <row r="30" spans="2:8" ht="18.75" hidden="1" thickBot="1">
      <c r="B30" s="377">
        <f t="shared" si="1"/>
        <v>19</v>
      </c>
      <c r="C30" s="378">
        <v>0</v>
      </c>
      <c r="D30" s="379">
        <v>0</v>
      </c>
      <c r="E30" s="380">
        <f t="shared" si="0"/>
        <v>0</v>
      </c>
      <c r="F30" s="381">
        <f t="shared" si="2"/>
        <v>0</v>
      </c>
      <c r="G30" s="381">
        <f t="shared" si="3"/>
        <v>0</v>
      </c>
      <c r="H30" s="381">
        <f t="shared" si="4"/>
        <v>0</v>
      </c>
    </row>
    <row r="31" spans="2:8" ht="18.75" hidden="1" thickBot="1">
      <c r="B31" s="377">
        <f t="shared" si="1"/>
        <v>20</v>
      </c>
      <c r="C31" s="378">
        <v>0</v>
      </c>
      <c r="D31" s="379">
        <v>0</v>
      </c>
      <c r="E31" s="380">
        <f t="shared" si="0"/>
        <v>0</v>
      </c>
      <c r="F31" s="381">
        <f t="shared" si="2"/>
        <v>0</v>
      </c>
      <c r="G31" s="381">
        <f t="shared" si="3"/>
        <v>0</v>
      </c>
      <c r="H31" s="381">
        <f t="shared" si="4"/>
        <v>0</v>
      </c>
    </row>
    <row r="32" spans="2:8" ht="18.75" hidden="1" thickBot="1">
      <c r="B32" s="377">
        <f t="shared" si="1"/>
        <v>21</v>
      </c>
      <c r="C32" s="378">
        <v>0</v>
      </c>
      <c r="D32" s="379">
        <v>0</v>
      </c>
      <c r="E32" s="380">
        <f t="shared" si="0"/>
        <v>0</v>
      </c>
      <c r="F32" s="381">
        <f t="shared" si="2"/>
        <v>0</v>
      </c>
      <c r="G32" s="381">
        <f t="shared" si="3"/>
        <v>0</v>
      </c>
      <c r="H32" s="381">
        <f t="shared" si="4"/>
        <v>0</v>
      </c>
    </row>
    <row r="33" spans="2:8" ht="18.75" hidden="1" thickBot="1">
      <c r="B33" s="377">
        <f t="shared" si="1"/>
        <v>22</v>
      </c>
      <c r="C33" s="378">
        <v>0</v>
      </c>
      <c r="D33" s="379">
        <v>0</v>
      </c>
      <c r="E33" s="380">
        <f t="shared" si="0"/>
        <v>0</v>
      </c>
      <c r="F33" s="381">
        <f t="shared" si="2"/>
        <v>0</v>
      </c>
      <c r="G33" s="381">
        <f t="shared" si="3"/>
        <v>0</v>
      </c>
      <c r="H33" s="381">
        <f t="shared" si="4"/>
        <v>0</v>
      </c>
    </row>
    <row r="34" spans="2:8" ht="18.75" hidden="1" thickBot="1">
      <c r="B34" s="377">
        <f t="shared" si="1"/>
        <v>23</v>
      </c>
      <c r="C34" s="378">
        <v>0</v>
      </c>
      <c r="D34" s="379">
        <v>0</v>
      </c>
      <c r="E34" s="380">
        <f t="shared" si="0"/>
        <v>0</v>
      </c>
      <c r="F34" s="381">
        <f t="shared" si="2"/>
        <v>0</v>
      </c>
      <c r="G34" s="381">
        <f t="shared" si="3"/>
        <v>0</v>
      </c>
      <c r="H34" s="381">
        <f t="shared" si="4"/>
        <v>0</v>
      </c>
    </row>
    <row r="35" spans="2:8" ht="18.75" hidden="1" thickBot="1">
      <c r="B35" s="377">
        <f t="shared" si="1"/>
        <v>24</v>
      </c>
      <c r="C35" s="378">
        <v>0</v>
      </c>
      <c r="D35" s="379">
        <v>0</v>
      </c>
      <c r="E35" s="380">
        <f t="shared" si="0"/>
        <v>0</v>
      </c>
      <c r="F35" s="381">
        <f t="shared" si="2"/>
        <v>0</v>
      </c>
      <c r="G35" s="381">
        <f t="shared" si="3"/>
        <v>0</v>
      </c>
      <c r="H35" s="381">
        <f t="shared" si="4"/>
        <v>0</v>
      </c>
    </row>
    <row r="36" spans="2:8" ht="18.75" hidden="1" thickBot="1">
      <c r="B36" s="377">
        <f t="shared" si="1"/>
        <v>25</v>
      </c>
      <c r="C36" s="378">
        <v>0</v>
      </c>
      <c r="D36" s="379">
        <v>0</v>
      </c>
      <c r="E36" s="380">
        <f t="shared" si="0"/>
        <v>0</v>
      </c>
      <c r="F36" s="381">
        <f t="shared" si="2"/>
        <v>0</v>
      </c>
      <c r="G36" s="381">
        <f t="shared" si="3"/>
        <v>0</v>
      </c>
      <c r="H36" s="381">
        <f t="shared" si="4"/>
        <v>0</v>
      </c>
    </row>
    <row r="37" spans="2:8" ht="18.75" hidden="1" thickBot="1">
      <c r="B37" s="377">
        <f t="shared" si="1"/>
        <v>26</v>
      </c>
      <c r="C37" s="378">
        <v>0</v>
      </c>
      <c r="D37" s="379">
        <v>0</v>
      </c>
      <c r="E37" s="380">
        <f t="shared" si="0"/>
        <v>0</v>
      </c>
      <c r="F37" s="381">
        <f t="shared" si="2"/>
        <v>0</v>
      </c>
      <c r="G37" s="381">
        <f t="shared" si="3"/>
        <v>0</v>
      </c>
      <c r="H37" s="381">
        <f t="shared" si="4"/>
        <v>0</v>
      </c>
    </row>
    <row r="38" spans="2:8" ht="18.75" hidden="1" thickBot="1">
      <c r="B38" s="377">
        <f t="shared" si="1"/>
        <v>27</v>
      </c>
      <c r="C38" s="378">
        <v>0</v>
      </c>
      <c r="D38" s="379">
        <v>0</v>
      </c>
      <c r="E38" s="380">
        <f t="shared" si="0"/>
        <v>0</v>
      </c>
      <c r="F38" s="381">
        <f t="shared" si="2"/>
        <v>0</v>
      </c>
      <c r="G38" s="381">
        <f t="shared" si="3"/>
        <v>0</v>
      </c>
      <c r="H38" s="381">
        <f t="shared" si="4"/>
        <v>0</v>
      </c>
    </row>
    <row r="39" spans="2:8" ht="18.75" hidden="1" thickBot="1">
      <c r="B39" s="377">
        <f t="shared" si="1"/>
        <v>28</v>
      </c>
      <c r="C39" s="378">
        <v>0</v>
      </c>
      <c r="D39" s="379">
        <v>0</v>
      </c>
      <c r="E39" s="380">
        <f t="shared" si="0"/>
        <v>0</v>
      </c>
      <c r="F39" s="381">
        <f t="shared" si="2"/>
        <v>0</v>
      </c>
      <c r="G39" s="381">
        <f t="shared" si="3"/>
        <v>0</v>
      </c>
      <c r="H39" s="381">
        <f t="shared" si="4"/>
        <v>0</v>
      </c>
    </row>
    <row r="40" spans="2:8" ht="18.75" hidden="1" thickBot="1">
      <c r="B40" s="377">
        <f t="shared" si="1"/>
        <v>29</v>
      </c>
      <c r="C40" s="378">
        <v>0</v>
      </c>
      <c r="D40" s="379">
        <v>0</v>
      </c>
      <c r="E40" s="380">
        <f t="shared" si="0"/>
        <v>0</v>
      </c>
      <c r="F40" s="381">
        <f t="shared" si="2"/>
        <v>0</v>
      </c>
      <c r="G40" s="381">
        <f t="shared" si="3"/>
        <v>0</v>
      </c>
      <c r="H40" s="381">
        <f t="shared" si="4"/>
        <v>0</v>
      </c>
    </row>
    <row r="41" spans="2:8" ht="18.75" hidden="1" thickBot="1">
      <c r="B41" s="377">
        <f t="shared" si="1"/>
        <v>30</v>
      </c>
      <c r="C41" s="378">
        <v>0</v>
      </c>
      <c r="D41" s="379">
        <v>0</v>
      </c>
      <c r="E41" s="380">
        <f t="shared" si="0"/>
        <v>0</v>
      </c>
      <c r="F41" s="381">
        <f t="shared" si="2"/>
        <v>0</v>
      </c>
      <c r="G41" s="381">
        <f t="shared" si="3"/>
        <v>0</v>
      </c>
      <c r="H41" s="381">
        <f t="shared" si="4"/>
        <v>0</v>
      </c>
    </row>
    <row r="42" spans="2:8" ht="18.75" hidden="1" thickBot="1">
      <c r="B42" s="377">
        <f t="shared" si="1"/>
        <v>31</v>
      </c>
      <c r="C42" s="378">
        <v>0</v>
      </c>
      <c r="D42" s="379">
        <v>0</v>
      </c>
      <c r="E42" s="380">
        <f t="shared" si="0"/>
        <v>0</v>
      </c>
      <c r="F42" s="381">
        <f t="shared" si="2"/>
        <v>0</v>
      </c>
      <c r="G42" s="381">
        <f t="shared" si="3"/>
        <v>0</v>
      </c>
      <c r="H42" s="381">
        <f t="shared" si="4"/>
        <v>0</v>
      </c>
    </row>
    <row r="43" spans="2:8" ht="18.75" hidden="1" thickBot="1">
      <c r="B43" s="377">
        <f t="shared" si="1"/>
        <v>32</v>
      </c>
      <c r="C43" s="378">
        <v>0</v>
      </c>
      <c r="D43" s="379">
        <v>0</v>
      </c>
      <c r="E43" s="380">
        <f aca="true" t="shared" si="5" ref="E43:E61">C43-D43</f>
        <v>0</v>
      </c>
      <c r="F43" s="381">
        <f t="shared" si="2"/>
        <v>0</v>
      </c>
      <c r="G43" s="381">
        <f t="shared" si="3"/>
        <v>0</v>
      </c>
      <c r="H43" s="381">
        <f t="shared" si="4"/>
        <v>0</v>
      </c>
    </row>
    <row r="44" spans="2:8" ht="18.75" hidden="1" thickBot="1">
      <c r="B44" s="377">
        <f aca="true" t="shared" si="6" ref="B44:B61">B43+1</f>
        <v>33</v>
      </c>
      <c r="C44" s="378">
        <v>0</v>
      </c>
      <c r="D44" s="379">
        <v>0</v>
      </c>
      <c r="E44" s="380">
        <f t="shared" si="5"/>
        <v>0</v>
      </c>
      <c r="F44" s="381">
        <f aca="true" t="shared" si="7" ref="F44:F61">PV($C$9,B44,0,E44)*-1</f>
        <v>0</v>
      </c>
      <c r="G44" s="381">
        <f t="shared" si="3"/>
        <v>0</v>
      </c>
      <c r="H44" s="381">
        <f t="shared" si="4"/>
        <v>0</v>
      </c>
    </row>
    <row r="45" spans="2:8" ht="18.75" hidden="1" thickBot="1">
      <c r="B45" s="377">
        <f t="shared" si="6"/>
        <v>34</v>
      </c>
      <c r="C45" s="378">
        <v>0</v>
      </c>
      <c r="D45" s="379">
        <v>0</v>
      </c>
      <c r="E45" s="380">
        <f t="shared" si="5"/>
        <v>0</v>
      </c>
      <c r="F45" s="381">
        <f t="shared" si="7"/>
        <v>0</v>
      </c>
      <c r="G45" s="381">
        <f t="shared" si="3"/>
        <v>0</v>
      </c>
      <c r="H45" s="381">
        <f t="shared" si="4"/>
        <v>0</v>
      </c>
    </row>
    <row r="46" spans="2:8" ht="18.75" hidden="1" thickBot="1">
      <c r="B46" s="377">
        <f t="shared" si="6"/>
        <v>35</v>
      </c>
      <c r="C46" s="378">
        <v>0</v>
      </c>
      <c r="D46" s="379">
        <v>0</v>
      </c>
      <c r="E46" s="380">
        <f t="shared" si="5"/>
        <v>0</v>
      </c>
      <c r="F46" s="381">
        <f t="shared" si="7"/>
        <v>0</v>
      </c>
      <c r="G46" s="381">
        <f t="shared" si="3"/>
        <v>0</v>
      </c>
      <c r="H46" s="381">
        <f t="shared" si="4"/>
        <v>0</v>
      </c>
    </row>
    <row r="47" spans="2:8" ht="18.75" hidden="1" thickBot="1">
      <c r="B47" s="377">
        <f t="shared" si="6"/>
        <v>36</v>
      </c>
      <c r="C47" s="378">
        <v>0</v>
      </c>
      <c r="D47" s="379">
        <v>0</v>
      </c>
      <c r="E47" s="380">
        <f t="shared" si="5"/>
        <v>0</v>
      </c>
      <c r="F47" s="381">
        <f t="shared" si="7"/>
        <v>0</v>
      </c>
      <c r="G47" s="381">
        <f t="shared" si="3"/>
        <v>0</v>
      </c>
      <c r="H47" s="381">
        <f t="shared" si="4"/>
        <v>0</v>
      </c>
    </row>
    <row r="48" spans="2:8" ht="18.75" hidden="1" thickBot="1">
      <c r="B48" s="377">
        <f t="shared" si="6"/>
        <v>37</v>
      </c>
      <c r="C48" s="378">
        <v>0</v>
      </c>
      <c r="D48" s="379">
        <v>0</v>
      </c>
      <c r="E48" s="380">
        <f t="shared" si="5"/>
        <v>0</v>
      </c>
      <c r="F48" s="381">
        <f t="shared" si="7"/>
        <v>0</v>
      </c>
      <c r="G48" s="381">
        <f t="shared" si="3"/>
        <v>0</v>
      </c>
      <c r="H48" s="381">
        <f t="shared" si="4"/>
        <v>0</v>
      </c>
    </row>
    <row r="49" spans="2:8" ht="18.75" hidden="1" thickBot="1">
      <c r="B49" s="377">
        <f t="shared" si="6"/>
        <v>38</v>
      </c>
      <c r="C49" s="378">
        <v>0</v>
      </c>
      <c r="D49" s="379">
        <v>0</v>
      </c>
      <c r="E49" s="380">
        <f t="shared" si="5"/>
        <v>0</v>
      </c>
      <c r="F49" s="381">
        <f t="shared" si="7"/>
        <v>0</v>
      </c>
      <c r="G49" s="381">
        <f t="shared" si="3"/>
        <v>0</v>
      </c>
      <c r="H49" s="381">
        <f t="shared" si="4"/>
        <v>0</v>
      </c>
    </row>
    <row r="50" spans="2:8" ht="18.75" hidden="1" thickBot="1">
      <c r="B50" s="377">
        <f t="shared" si="6"/>
        <v>39</v>
      </c>
      <c r="C50" s="378">
        <v>0</v>
      </c>
      <c r="D50" s="379">
        <v>0</v>
      </c>
      <c r="E50" s="380">
        <f t="shared" si="5"/>
        <v>0</v>
      </c>
      <c r="F50" s="381">
        <f t="shared" si="7"/>
        <v>0</v>
      </c>
      <c r="G50" s="381">
        <f t="shared" si="3"/>
        <v>0</v>
      </c>
      <c r="H50" s="381">
        <f t="shared" si="4"/>
        <v>0</v>
      </c>
    </row>
    <row r="51" spans="2:8" ht="18.75" hidden="1" thickBot="1">
      <c r="B51" s="377">
        <f t="shared" si="6"/>
        <v>40</v>
      </c>
      <c r="C51" s="378">
        <v>0</v>
      </c>
      <c r="D51" s="379">
        <v>0</v>
      </c>
      <c r="E51" s="380">
        <f t="shared" si="5"/>
        <v>0</v>
      </c>
      <c r="F51" s="381">
        <f t="shared" si="7"/>
        <v>0</v>
      </c>
      <c r="G51" s="381">
        <f t="shared" si="3"/>
        <v>0</v>
      </c>
      <c r="H51" s="381">
        <f t="shared" si="4"/>
        <v>0</v>
      </c>
    </row>
    <row r="52" spans="2:8" ht="18.75" hidden="1" thickBot="1">
      <c r="B52" s="377">
        <f t="shared" si="6"/>
        <v>41</v>
      </c>
      <c r="C52" s="378">
        <v>0</v>
      </c>
      <c r="D52" s="379">
        <v>0</v>
      </c>
      <c r="E52" s="380">
        <f t="shared" si="5"/>
        <v>0</v>
      </c>
      <c r="F52" s="381">
        <f t="shared" si="7"/>
        <v>0</v>
      </c>
      <c r="G52" s="381">
        <f t="shared" si="3"/>
        <v>0</v>
      </c>
      <c r="H52" s="381">
        <f t="shared" si="4"/>
        <v>0</v>
      </c>
    </row>
    <row r="53" spans="2:8" ht="18.75" hidden="1" thickBot="1">
      <c r="B53" s="377">
        <f t="shared" si="6"/>
        <v>42</v>
      </c>
      <c r="C53" s="378">
        <v>0</v>
      </c>
      <c r="D53" s="379">
        <v>0</v>
      </c>
      <c r="E53" s="380">
        <f t="shared" si="5"/>
        <v>0</v>
      </c>
      <c r="F53" s="381">
        <f t="shared" si="7"/>
        <v>0</v>
      </c>
      <c r="G53" s="381">
        <f t="shared" si="3"/>
        <v>0</v>
      </c>
      <c r="H53" s="381">
        <f t="shared" si="4"/>
        <v>0</v>
      </c>
    </row>
    <row r="54" spans="2:8" ht="18.75" hidden="1" thickBot="1">
      <c r="B54" s="377">
        <f t="shared" si="6"/>
        <v>43</v>
      </c>
      <c r="C54" s="378">
        <v>0</v>
      </c>
      <c r="D54" s="379">
        <v>0</v>
      </c>
      <c r="E54" s="380">
        <f t="shared" si="5"/>
        <v>0</v>
      </c>
      <c r="F54" s="381">
        <f t="shared" si="7"/>
        <v>0</v>
      </c>
      <c r="G54" s="381">
        <f t="shared" si="3"/>
        <v>0</v>
      </c>
      <c r="H54" s="381">
        <f t="shared" si="4"/>
        <v>0</v>
      </c>
    </row>
    <row r="55" spans="2:8" ht="18.75" hidden="1" thickBot="1">
      <c r="B55" s="377">
        <f t="shared" si="6"/>
        <v>44</v>
      </c>
      <c r="C55" s="378">
        <v>0</v>
      </c>
      <c r="D55" s="379">
        <v>0</v>
      </c>
      <c r="E55" s="380">
        <f t="shared" si="5"/>
        <v>0</v>
      </c>
      <c r="F55" s="381">
        <f t="shared" si="7"/>
        <v>0</v>
      </c>
      <c r="G55" s="381">
        <f t="shared" si="3"/>
        <v>0</v>
      </c>
      <c r="H55" s="381">
        <f t="shared" si="4"/>
        <v>0</v>
      </c>
    </row>
    <row r="56" spans="2:8" ht="18.75" hidden="1" thickBot="1">
      <c r="B56" s="377">
        <f t="shared" si="6"/>
        <v>45</v>
      </c>
      <c r="C56" s="378">
        <v>0</v>
      </c>
      <c r="D56" s="379">
        <v>0</v>
      </c>
      <c r="E56" s="380">
        <f t="shared" si="5"/>
        <v>0</v>
      </c>
      <c r="F56" s="381">
        <f t="shared" si="7"/>
        <v>0</v>
      </c>
      <c r="G56" s="381">
        <f t="shared" si="3"/>
        <v>0</v>
      </c>
      <c r="H56" s="381">
        <f t="shared" si="4"/>
        <v>0</v>
      </c>
    </row>
    <row r="57" spans="2:8" ht="18.75" hidden="1" thickBot="1">
      <c r="B57" s="377">
        <f t="shared" si="6"/>
        <v>46</v>
      </c>
      <c r="C57" s="378">
        <v>0</v>
      </c>
      <c r="D57" s="379">
        <v>0</v>
      </c>
      <c r="E57" s="380">
        <f t="shared" si="5"/>
        <v>0</v>
      </c>
      <c r="F57" s="381">
        <f t="shared" si="7"/>
        <v>0</v>
      </c>
      <c r="G57" s="381">
        <f t="shared" si="3"/>
        <v>0</v>
      </c>
      <c r="H57" s="381">
        <f t="shared" si="4"/>
        <v>0</v>
      </c>
    </row>
    <row r="58" spans="2:8" ht="18.75" hidden="1" thickBot="1">
      <c r="B58" s="377">
        <f t="shared" si="6"/>
        <v>47</v>
      </c>
      <c r="C58" s="378">
        <v>0</v>
      </c>
      <c r="D58" s="379">
        <v>0</v>
      </c>
      <c r="E58" s="380">
        <f t="shared" si="5"/>
        <v>0</v>
      </c>
      <c r="F58" s="381">
        <f t="shared" si="7"/>
        <v>0</v>
      </c>
      <c r="G58" s="381">
        <f t="shared" si="3"/>
        <v>0</v>
      </c>
      <c r="H58" s="381">
        <f t="shared" si="4"/>
        <v>0</v>
      </c>
    </row>
    <row r="59" spans="2:8" ht="18.75" hidden="1" thickBot="1">
      <c r="B59" s="377">
        <f t="shared" si="6"/>
        <v>48</v>
      </c>
      <c r="C59" s="378">
        <v>0</v>
      </c>
      <c r="D59" s="379">
        <v>0</v>
      </c>
      <c r="E59" s="380">
        <f t="shared" si="5"/>
        <v>0</v>
      </c>
      <c r="F59" s="381">
        <f t="shared" si="7"/>
        <v>0</v>
      </c>
      <c r="G59" s="381">
        <f t="shared" si="3"/>
        <v>0</v>
      </c>
      <c r="H59" s="381">
        <f t="shared" si="4"/>
        <v>0</v>
      </c>
    </row>
    <row r="60" spans="2:8" ht="18.75" hidden="1" thickBot="1">
      <c r="B60" s="377">
        <f t="shared" si="6"/>
        <v>49</v>
      </c>
      <c r="C60" s="378">
        <v>0</v>
      </c>
      <c r="D60" s="379">
        <v>0</v>
      </c>
      <c r="E60" s="380">
        <f t="shared" si="5"/>
        <v>0</v>
      </c>
      <c r="F60" s="381">
        <f t="shared" si="7"/>
        <v>0</v>
      </c>
      <c r="G60" s="381">
        <f t="shared" si="3"/>
        <v>0</v>
      </c>
      <c r="H60" s="381">
        <f t="shared" si="4"/>
        <v>0</v>
      </c>
    </row>
    <row r="61" spans="2:8" ht="18.75" hidden="1" thickBot="1">
      <c r="B61" s="383">
        <f t="shared" si="6"/>
        <v>50</v>
      </c>
      <c r="C61" s="384">
        <v>0</v>
      </c>
      <c r="D61" s="385">
        <v>0</v>
      </c>
      <c r="E61" s="386">
        <f t="shared" si="5"/>
        <v>0</v>
      </c>
      <c r="F61" s="387">
        <f t="shared" si="7"/>
        <v>0</v>
      </c>
      <c r="G61" s="387">
        <f t="shared" si="3"/>
        <v>0</v>
      </c>
      <c r="H61" s="387">
        <f>IF(F61&gt;0,H40,0)</f>
        <v>0</v>
      </c>
    </row>
    <row r="62" spans="1:8" ht="18.75" thickBot="1">
      <c r="A62" t="s">
        <v>295</v>
      </c>
      <c r="B62" s="388" t="s">
        <v>296</v>
      </c>
      <c r="C62" s="389"/>
      <c r="D62" s="389"/>
      <c r="E62" s="389"/>
      <c r="F62" s="390">
        <f>SUM(F11:F61)</f>
        <v>427338.5932247343</v>
      </c>
      <c r="G62" s="391">
        <f>SUM(G11:G61)</f>
        <v>3.4924596548080444E-10</v>
      </c>
      <c r="H62" s="233"/>
    </row>
    <row r="63" spans="2:8" ht="18.75" thickBot="1">
      <c r="B63" s="392" t="s">
        <v>297</v>
      </c>
      <c r="C63" s="393"/>
      <c r="D63" s="393"/>
      <c r="E63" s="393"/>
      <c r="F63" s="394">
        <f>H12</f>
        <v>118547.88459453841</v>
      </c>
      <c r="G63" s="395"/>
      <c r="H63" s="233"/>
    </row>
    <row r="64" spans="1:8" ht="18.75" thickBot="1">
      <c r="A64" t="s">
        <v>298</v>
      </c>
      <c r="B64" s="396" t="s">
        <v>299</v>
      </c>
      <c r="C64" s="397"/>
      <c r="D64" s="397"/>
      <c r="E64" s="397"/>
      <c r="F64" s="398">
        <f>IRR(E11:E61)</f>
        <v>0.16532650124072318</v>
      </c>
      <c r="G64" s="399"/>
      <c r="H64" s="233"/>
    </row>
    <row r="65" spans="2:8" ht="18.75" thickBot="1">
      <c r="B65" s="388" t="s">
        <v>300</v>
      </c>
      <c r="C65" s="389"/>
      <c r="D65" s="389"/>
      <c r="E65" s="389"/>
      <c r="F65" s="400">
        <f>NPER(C9,F67,F11,0)</f>
        <v>4.313622207550962</v>
      </c>
      <c r="G65" s="401"/>
      <c r="H65" s="233"/>
    </row>
    <row r="66" spans="2:7" ht="12.75" hidden="1">
      <c r="B66" s="14" t="s">
        <v>301</v>
      </c>
      <c r="F66" s="402">
        <f>SUM(F12:F61)</f>
        <v>4027338.593224734</v>
      </c>
      <c r="G66" s="402"/>
    </row>
    <row r="67" spans="2:7" ht="12.75" hidden="1">
      <c r="B67" s="14" t="s">
        <v>302</v>
      </c>
      <c r="F67" s="403">
        <f>PMT(C9,C8,F66,0)*-1</f>
        <v>1117222.9195823139</v>
      </c>
      <c r="G67" s="403"/>
    </row>
    <row r="69" spans="1:2" ht="12.75">
      <c r="A69" t="s">
        <v>303</v>
      </c>
      <c r="B69" t="s">
        <v>304</v>
      </c>
    </row>
    <row r="70" spans="2:3" ht="12.75">
      <c r="B70" s="44" t="s">
        <v>305</v>
      </c>
      <c r="C70" s="44"/>
    </row>
    <row r="71" spans="2:3" ht="12.75">
      <c r="B71" s="44"/>
      <c r="C71" s="44"/>
    </row>
    <row r="72" spans="2:3" ht="12.75">
      <c r="B72" s="44"/>
      <c r="C72" s="44"/>
    </row>
    <row r="73" spans="2:3" ht="12.75">
      <c r="B73" s="44"/>
      <c r="C73" s="44"/>
    </row>
    <row r="74" spans="2:3" ht="12.75">
      <c r="B74" s="44"/>
      <c r="C74" s="44"/>
    </row>
  </sheetData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="75" zoomScaleNormal="75" workbookViewId="0" topLeftCell="A1">
      <selection activeCell="B71" sqref="B71"/>
    </sheetView>
  </sheetViews>
  <sheetFormatPr defaultColWidth="9.140625" defaultRowHeight="12.75"/>
  <cols>
    <col min="1" max="1" width="14.7109375" style="0" customWidth="1"/>
    <col min="2" max="2" width="52.57421875" style="0" customWidth="1"/>
    <col min="3" max="3" width="33.8515625" style="0" customWidth="1"/>
    <col min="4" max="4" width="34.140625" style="0" customWidth="1"/>
  </cols>
  <sheetData>
    <row r="1" spans="1:4" ht="17.25" customHeight="1">
      <c r="A1" s="404" t="s">
        <v>306</v>
      </c>
      <c r="B1" s="405"/>
      <c r="C1" s="405"/>
      <c r="D1" s="406"/>
    </row>
    <row r="2" spans="1:4" ht="16.5" customHeight="1">
      <c r="A2" s="407"/>
      <c r="B2" s="408"/>
      <c r="C2" s="408" t="s">
        <v>307</v>
      </c>
      <c r="D2" s="409" t="s">
        <v>308</v>
      </c>
    </row>
    <row r="3" spans="1:4" ht="20.25">
      <c r="A3" s="407" t="s">
        <v>309</v>
      </c>
      <c r="B3" s="408" t="s">
        <v>310</v>
      </c>
      <c r="C3" s="410">
        <v>5</v>
      </c>
      <c r="D3" s="411"/>
    </row>
    <row r="4" spans="1:4" ht="20.25">
      <c r="A4" s="407" t="s">
        <v>311</v>
      </c>
      <c r="B4" s="408" t="s">
        <v>312</v>
      </c>
      <c r="C4" s="412">
        <v>0.12</v>
      </c>
      <c r="D4" s="413"/>
    </row>
    <row r="5" spans="1:4" ht="20.25">
      <c r="A5" s="407" t="s">
        <v>313</v>
      </c>
      <c r="B5" s="408" t="s">
        <v>314</v>
      </c>
      <c r="C5" s="414">
        <v>-3600000</v>
      </c>
      <c r="D5" s="415"/>
    </row>
    <row r="6" spans="1:4" ht="20.25">
      <c r="A6" s="407" t="s">
        <v>315</v>
      </c>
      <c r="B6" s="408" t="s">
        <v>316</v>
      </c>
      <c r="C6" s="414">
        <v>0</v>
      </c>
      <c r="D6" s="415">
        <f>PMT(C4,C3,C5,C7)</f>
        <v>951452.1154054608</v>
      </c>
    </row>
    <row r="7" spans="1:4" ht="21" thickBot="1">
      <c r="A7" s="416" t="s">
        <v>317</v>
      </c>
      <c r="B7" s="417" t="s">
        <v>318</v>
      </c>
      <c r="C7" s="418">
        <v>300000</v>
      </c>
      <c r="D7" s="419"/>
    </row>
    <row r="8" spans="1:4" ht="18">
      <c r="A8" s="420"/>
      <c r="B8" s="233"/>
      <c r="C8" s="233"/>
      <c r="D8" s="233"/>
    </row>
    <row r="9" spans="1:4" ht="18">
      <c r="A9" s="420" t="s">
        <v>319</v>
      </c>
      <c r="B9" s="233"/>
      <c r="C9" s="233"/>
      <c r="D9" s="421">
        <f>D6</f>
        <v>951452.1154054608</v>
      </c>
    </row>
    <row r="10" spans="1:4" ht="18">
      <c r="A10" s="233" t="s">
        <v>320</v>
      </c>
      <c r="B10" s="233"/>
      <c r="C10" s="233"/>
      <c r="D10" s="421">
        <v>250000</v>
      </c>
    </row>
    <row r="11" spans="1:4" ht="18">
      <c r="A11" s="233" t="s">
        <v>321</v>
      </c>
      <c r="B11" s="233"/>
      <c r="C11" s="233"/>
      <c r="D11" s="421">
        <f>D9+D10</f>
        <v>1201452.1154054608</v>
      </c>
    </row>
    <row r="12" spans="1:4" ht="18">
      <c r="A12" s="233" t="s">
        <v>322</v>
      </c>
      <c r="B12" s="233"/>
      <c r="C12" s="233">
        <v>24000</v>
      </c>
      <c r="D12" s="421">
        <f>D11/C12</f>
        <v>50.060504808560864</v>
      </c>
    </row>
    <row r="13" spans="1:4" ht="18">
      <c r="A13" s="422" t="s">
        <v>323</v>
      </c>
      <c r="B13" s="422"/>
      <c r="C13" s="422"/>
      <c r="D13" s="423">
        <v>80</v>
      </c>
    </row>
    <row r="14" spans="1:4" ht="18.75" thickBot="1">
      <c r="A14" s="422" t="s">
        <v>324</v>
      </c>
      <c r="B14" s="422"/>
      <c r="C14" s="422"/>
      <c r="D14" s="424">
        <f>D12+D13</f>
        <v>130.06050480856086</v>
      </c>
    </row>
    <row r="15" ht="13.5" thickTop="1"/>
  </sheetData>
  <printOptions/>
  <pageMargins left="0.75" right="0.75" top="1" bottom="1" header="0" footer="0"/>
  <pageSetup fitToHeight="1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="70" zoomScaleNormal="70" workbookViewId="0" topLeftCell="A1">
      <selection activeCell="B71" sqref="B71"/>
    </sheetView>
  </sheetViews>
  <sheetFormatPr defaultColWidth="9.140625" defaultRowHeight="12.75"/>
  <cols>
    <col min="1" max="1" width="7.28125" style="0" customWidth="1"/>
    <col min="2" max="2" width="9.28125" style="0" customWidth="1"/>
    <col min="3" max="3" width="16.140625" style="0" customWidth="1"/>
    <col min="4" max="4" width="20.7109375" style="0" customWidth="1"/>
    <col min="5" max="5" width="32.00390625" style="0" customWidth="1"/>
    <col min="6" max="6" width="28.28125" style="0" customWidth="1"/>
    <col min="7" max="7" width="24.8515625" style="0" customWidth="1"/>
    <col min="8" max="8" width="24.140625" style="0" customWidth="1"/>
  </cols>
  <sheetData>
    <row r="1" spans="1:3" ht="18">
      <c r="A1" s="364" t="s">
        <v>283</v>
      </c>
      <c r="B1" s="279"/>
      <c r="C1" s="279"/>
    </row>
    <row r="2" spans="2:5" ht="18">
      <c r="B2" s="364" t="s">
        <v>284</v>
      </c>
      <c r="C2" s="279">
        <v>24000</v>
      </c>
      <c r="D2" s="425">
        <f>'Lommeregneren TI-83 3.4'!D14</f>
        <v>130.06050480856086</v>
      </c>
      <c r="E2" s="331">
        <f>C2*D2</f>
        <v>3121452.115405461</v>
      </c>
    </row>
    <row r="3" spans="2:5" ht="18">
      <c r="B3" s="364" t="s">
        <v>285</v>
      </c>
      <c r="C3" s="279">
        <v>24000</v>
      </c>
      <c r="D3" s="279">
        <v>80</v>
      </c>
      <c r="E3" s="331">
        <f>C3*D3</f>
        <v>1920000</v>
      </c>
    </row>
    <row r="4" spans="2:5" ht="18">
      <c r="B4" s="364" t="s">
        <v>231</v>
      </c>
      <c r="C4" s="279"/>
      <c r="D4" s="279"/>
      <c r="E4" s="331">
        <f>E2-E3</f>
        <v>1201452.1154054608</v>
      </c>
    </row>
    <row r="5" spans="2:5" ht="18">
      <c r="B5" s="283" t="s">
        <v>286</v>
      </c>
      <c r="E5" s="331">
        <v>250000</v>
      </c>
    </row>
    <row r="6" spans="2:5" ht="18">
      <c r="B6" s="283" t="s">
        <v>287</v>
      </c>
      <c r="E6" s="331">
        <f>E4-E5</f>
        <v>951452.1154054608</v>
      </c>
    </row>
    <row r="7" ht="18">
      <c r="B7" s="283"/>
    </row>
    <row r="8" spans="2:3" ht="15.75">
      <c r="B8" s="232" t="s">
        <v>288</v>
      </c>
      <c r="C8" s="365">
        <v>5</v>
      </c>
    </row>
    <row r="9" spans="2:3" ht="16.5" thickBot="1">
      <c r="B9" s="232" t="s">
        <v>289</v>
      </c>
      <c r="C9" s="366">
        <v>0.12</v>
      </c>
    </row>
    <row r="10" spans="2:8" ht="64.5" customHeight="1" thickBot="1">
      <c r="B10" s="367" t="s">
        <v>290</v>
      </c>
      <c r="C10" s="368" t="s">
        <v>291</v>
      </c>
      <c r="D10" s="369" t="s">
        <v>292</v>
      </c>
      <c r="E10" s="370" t="s">
        <v>293</v>
      </c>
      <c r="F10" s="367" t="s">
        <v>325</v>
      </c>
      <c r="G10" s="371" t="s">
        <v>294</v>
      </c>
      <c r="H10" s="371" t="s">
        <v>326</v>
      </c>
    </row>
    <row r="11" spans="2:8" ht="18">
      <c r="B11" s="372">
        <v>0</v>
      </c>
      <c r="C11" s="373">
        <v>0</v>
      </c>
      <c r="D11" s="374">
        <f>3400000+200000</f>
        <v>3600000</v>
      </c>
      <c r="E11" s="375">
        <f>C11-D11</f>
        <v>-3600000</v>
      </c>
      <c r="F11" s="376">
        <f>E11</f>
        <v>-3600000</v>
      </c>
      <c r="G11" s="376">
        <f>F11</f>
        <v>-3600000</v>
      </c>
      <c r="H11" s="372"/>
    </row>
    <row r="12" spans="2:8" ht="18">
      <c r="B12" s="377">
        <f aca="true" t="shared" si="0" ref="B12:B43">B11+1</f>
        <v>1</v>
      </c>
      <c r="C12" s="378">
        <f>$E$4</f>
        <v>1201452.1154054608</v>
      </c>
      <c r="D12" s="379">
        <f>$E$5</f>
        <v>250000</v>
      </c>
      <c r="E12" s="380">
        <f>C12-D12</f>
        <v>951452.1154054608</v>
      </c>
      <c r="F12" s="381">
        <f aca="true" t="shared" si="1" ref="F12:F43">PV($C$9,B12,0,E12)*-1</f>
        <v>849510.8173263043</v>
      </c>
      <c r="G12" s="381">
        <f aca="true" t="shared" si="2" ref="G12:G43">PV($F$64,B12,0,E12)*-1</f>
        <v>849510.8173263044</v>
      </c>
      <c r="H12" s="381">
        <f>PMT($C$9,$C$8,$F$62)*-1</f>
        <v>-5.167158915494545E-10</v>
      </c>
    </row>
    <row r="13" spans="2:8" ht="18">
      <c r="B13" s="377">
        <f t="shared" si="0"/>
        <v>2</v>
      </c>
      <c r="C13" s="378">
        <f>$E$4</f>
        <v>1201452.1154054608</v>
      </c>
      <c r="D13" s="379">
        <f>$E$5</f>
        <v>250000</v>
      </c>
      <c r="E13" s="380">
        <f>C13-D13</f>
        <v>951452.1154054608</v>
      </c>
      <c r="F13" s="381">
        <f t="shared" si="1"/>
        <v>758491.8011842002</v>
      </c>
      <c r="G13" s="381">
        <f t="shared" si="2"/>
        <v>758491.8011842004</v>
      </c>
      <c r="H13" s="381">
        <f aca="true" t="shared" si="3" ref="H13:H60">IF(F13&gt;0,H12,0)</f>
        <v>-5.167158915494545E-10</v>
      </c>
    </row>
    <row r="14" spans="2:8" ht="18">
      <c r="B14" s="377">
        <f t="shared" si="0"/>
        <v>3</v>
      </c>
      <c r="C14" s="378">
        <f>$E$4</f>
        <v>1201452.1154054608</v>
      </c>
      <c r="D14" s="379">
        <f>$E$5</f>
        <v>250000</v>
      </c>
      <c r="E14" s="380">
        <f>C14-D14</f>
        <v>951452.1154054608</v>
      </c>
      <c r="F14" s="381">
        <f t="shared" si="1"/>
        <v>677224.8224858929</v>
      </c>
      <c r="G14" s="381">
        <f t="shared" si="2"/>
        <v>677224.8224858934</v>
      </c>
      <c r="H14" s="381">
        <f t="shared" si="3"/>
        <v>-5.167158915494545E-10</v>
      </c>
    </row>
    <row r="15" spans="2:8" ht="18">
      <c r="B15" s="377">
        <f t="shared" si="0"/>
        <v>4</v>
      </c>
      <c r="C15" s="378">
        <f>$E$4</f>
        <v>1201452.1154054608</v>
      </c>
      <c r="D15" s="379">
        <f>$E$5</f>
        <v>250000</v>
      </c>
      <c r="E15" s="380">
        <f>C15-D15</f>
        <v>951452.1154054608</v>
      </c>
      <c r="F15" s="381">
        <f t="shared" si="1"/>
        <v>604665.0200766901</v>
      </c>
      <c r="G15" s="381">
        <f t="shared" si="2"/>
        <v>604665.0200766906</v>
      </c>
      <c r="H15" s="381">
        <f t="shared" si="3"/>
        <v>-5.167158915494545E-10</v>
      </c>
    </row>
    <row r="16" spans="2:8" ht="18">
      <c r="B16" s="377">
        <f t="shared" si="0"/>
        <v>5</v>
      </c>
      <c r="C16" s="378">
        <f>$E$4+300000</f>
        <v>1501452.1154054608</v>
      </c>
      <c r="D16" s="379">
        <f>$E$5</f>
        <v>250000</v>
      </c>
      <c r="E16" s="380">
        <f>(C16-D16)</f>
        <v>1251452.1154054608</v>
      </c>
      <c r="F16" s="381">
        <f t="shared" si="1"/>
        <v>710107.5389269103</v>
      </c>
      <c r="G16" s="381">
        <f t="shared" si="2"/>
        <v>710107.5389269108</v>
      </c>
      <c r="H16" s="381">
        <f t="shared" si="3"/>
        <v>-5.167158915494545E-10</v>
      </c>
    </row>
    <row r="17" spans="2:8" ht="18">
      <c r="B17" s="377">
        <f t="shared" si="0"/>
        <v>6</v>
      </c>
      <c r="C17" s="378">
        <v>0</v>
      </c>
      <c r="D17" s="379">
        <v>0</v>
      </c>
      <c r="E17" s="380">
        <f aca="true" t="shared" si="4" ref="E17:E61">C17-D17</f>
        <v>0</v>
      </c>
      <c r="F17" s="381">
        <f t="shared" si="1"/>
        <v>0</v>
      </c>
      <c r="G17" s="381">
        <f t="shared" si="2"/>
        <v>0</v>
      </c>
      <c r="H17" s="381">
        <f t="shared" si="3"/>
        <v>0</v>
      </c>
    </row>
    <row r="18" spans="2:8" ht="18">
      <c r="B18" s="377">
        <f t="shared" si="0"/>
        <v>7</v>
      </c>
      <c r="C18" s="378">
        <v>0</v>
      </c>
      <c r="D18" s="379">
        <v>0</v>
      </c>
      <c r="E18" s="380">
        <f t="shared" si="4"/>
        <v>0</v>
      </c>
      <c r="F18" s="381">
        <f t="shared" si="1"/>
        <v>0</v>
      </c>
      <c r="G18" s="381">
        <f t="shared" si="2"/>
        <v>0</v>
      </c>
      <c r="H18" s="381">
        <f t="shared" si="3"/>
        <v>0</v>
      </c>
    </row>
    <row r="19" spans="2:10" ht="18">
      <c r="B19" s="377">
        <f t="shared" si="0"/>
        <v>8</v>
      </c>
      <c r="C19" s="378">
        <v>0</v>
      </c>
      <c r="D19" s="379">
        <v>0</v>
      </c>
      <c r="E19" s="380">
        <f t="shared" si="4"/>
        <v>0</v>
      </c>
      <c r="F19" s="381">
        <f t="shared" si="1"/>
        <v>0</v>
      </c>
      <c r="G19" s="381">
        <f t="shared" si="2"/>
        <v>0</v>
      </c>
      <c r="H19" s="381">
        <f t="shared" si="3"/>
        <v>0</v>
      </c>
      <c r="J19" s="382"/>
    </row>
    <row r="20" spans="2:8" ht="18">
      <c r="B20" s="377">
        <f t="shared" si="0"/>
        <v>9</v>
      </c>
      <c r="C20" s="378">
        <v>0</v>
      </c>
      <c r="D20" s="379">
        <v>0</v>
      </c>
      <c r="E20" s="380">
        <f t="shared" si="4"/>
        <v>0</v>
      </c>
      <c r="F20" s="381">
        <f t="shared" si="1"/>
        <v>0</v>
      </c>
      <c r="G20" s="381">
        <f t="shared" si="2"/>
        <v>0</v>
      </c>
      <c r="H20" s="381">
        <f t="shared" si="3"/>
        <v>0</v>
      </c>
    </row>
    <row r="21" spans="2:8" ht="18">
      <c r="B21" s="377">
        <f t="shared" si="0"/>
        <v>10</v>
      </c>
      <c r="C21" s="378">
        <v>0</v>
      </c>
      <c r="D21" s="379">
        <v>0</v>
      </c>
      <c r="E21" s="380">
        <f t="shared" si="4"/>
        <v>0</v>
      </c>
      <c r="F21" s="381">
        <f t="shared" si="1"/>
        <v>0</v>
      </c>
      <c r="G21" s="381">
        <f t="shared" si="2"/>
        <v>0</v>
      </c>
      <c r="H21" s="381">
        <f t="shared" si="3"/>
        <v>0</v>
      </c>
    </row>
    <row r="22" spans="2:8" ht="18">
      <c r="B22" s="377">
        <f t="shared" si="0"/>
        <v>11</v>
      </c>
      <c r="C22" s="378">
        <v>0</v>
      </c>
      <c r="D22" s="379">
        <v>0</v>
      </c>
      <c r="E22" s="380">
        <f t="shared" si="4"/>
        <v>0</v>
      </c>
      <c r="F22" s="381">
        <f t="shared" si="1"/>
        <v>0</v>
      </c>
      <c r="G22" s="381">
        <f t="shared" si="2"/>
        <v>0</v>
      </c>
      <c r="H22" s="381">
        <f t="shared" si="3"/>
        <v>0</v>
      </c>
    </row>
    <row r="23" spans="2:8" ht="18">
      <c r="B23" s="377">
        <f t="shared" si="0"/>
        <v>12</v>
      </c>
      <c r="C23" s="378">
        <v>0</v>
      </c>
      <c r="D23" s="379">
        <v>0</v>
      </c>
      <c r="E23" s="380">
        <f t="shared" si="4"/>
        <v>0</v>
      </c>
      <c r="F23" s="381">
        <f t="shared" si="1"/>
        <v>0</v>
      </c>
      <c r="G23" s="381">
        <f t="shared" si="2"/>
        <v>0</v>
      </c>
      <c r="H23" s="381">
        <f t="shared" si="3"/>
        <v>0</v>
      </c>
    </row>
    <row r="24" spans="2:10" ht="18">
      <c r="B24" s="377">
        <f t="shared" si="0"/>
        <v>13</v>
      </c>
      <c r="C24" s="378">
        <v>0</v>
      </c>
      <c r="D24" s="379">
        <v>0</v>
      </c>
      <c r="E24" s="380">
        <f t="shared" si="4"/>
        <v>0</v>
      </c>
      <c r="F24" s="381">
        <f t="shared" si="1"/>
        <v>0</v>
      </c>
      <c r="G24" s="381">
        <f t="shared" si="2"/>
        <v>0</v>
      </c>
      <c r="H24" s="381">
        <f t="shared" si="3"/>
        <v>0</v>
      </c>
      <c r="J24" s="382"/>
    </row>
    <row r="25" spans="2:8" ht="18">
      <c r="B25" s="377">
        <f t="shared" si="0"/>
        <v>14</v>
      </c>
      <c r="C25" s="378">
        <v>0</v>
      </c>
      <c r="D25" s="379">
        <v>0</v>
      </c>
      <c r="E25" s="380">
        <f t="shared" si="4"/>
        <v>0</v>
      </c>
      <c r="F25" s="381">
        <f t="shared" si="1"/>
        <v>0</v>
      </c>
      <c r="G25" s="381">
        <f t="shared" si="2"/>
        <v>0</v>
      </c>
      <c r="H25" s="381">
        <f t="shared" si="3"/>
        <v>0</v>
      </c>
    </row>
    <row r="26" spans="2:8" ht="18.75" thickBot="1">
      <c r="B26" s="383">
        <f t="shared" si="0"/>
        <v>15</v>
      </c>
      <c r="C26" s="384">
        <v>0</v>
      </c>
      <c r="D26" s="385">
        <v>0</v>
      </c>
      <c r="E26" s="386">
        <f t="shared" si="4"/>
        <v>0</v>
      </c>
      <c r="F26" s="387">
        <f t="shared" si="1"/>
        <v>0</v>
      </c>
      <c r="G26" s="387">
        <f t="shared" si="2"/>
        <v>0</v>
      </c>
      <c r="H26" s="387">
        <f t="shared" si="3"/>
        <v>0</v>
      </c>
    </row>
    <row r="27" spans="2:8" ht="18.75" hidden="1" thickBot="1">
      <c r="B27" s="372">
        <f t="shared" si="0"/>
        <v>16</v>
      </c>
      <c r="C27" s="373">
        <v>0</v>
      </c>
      <c r="D27" s="374">
        <v>0</v>
      </c>
      <c r="E27" s="375">
        <f t="shared" si="4"/>
        <v>0</v>
      </c>
      <c r="F27" s="376">
        <f t="shared" si="1"/>
        <v>0</v>
      </c>
      <c r="G27" s="376">
        <f t="shared" si="2"/>
        <v>0</v>
      </c>
      <c r="H27" s="376">
        <f t="shared" si="3"/>
        <v>0</v>
      </c>
    </row>
    <row r="28" spans="2:8" ht="18.75" hidden="1" thickBot="1">
      <c r="B28" s="377">
        <f t="shared" si="0"/>
        <v>17</v>
      </c>
      <c r="C28" s="378">
        <v>0</v>
      </c>
      <c r="D28" s="379">
        <v>0</v>
      </c>
      <c r="E28" s="380">
        <f t="shared" si="4"/>
        <v>0</v>
      </c>
      <c r="F28" s="381">
        <f t="shared" si="1"/>
        <v>0</v>
      </c>
      <c r="G28" s="381">
        <f t="shared" si="2"/>
        <v>0</v>
      </c>
      <c r="H28" s="381">
        <f t="shared" si="3"/>
        <v>0</v>
      </c>
    </row>
    <row r="29" spans="2:8" ht="18.75" hidden="1" thickBot="1">
      <c r="B29" s="377">
        <f t="shared" si="0"/>
        <v>18</v>
      </c>
      <c r="C29" s="378">
        <v>0</v>
      </c>
      <c r="D29" s="379">
        <v>0</v>
      </c>
      <c r="E29" s="380">
        <f t="shared" si="4"/>
        <v>0</v>
      </c>
      <c r="F29" s="381">
        <f t="shared" si="1"/>
        <v>0</v>
      </c>
      <c r="G29" s="381">
        <f t="shared" si="2"/>
        <v>0</v>
      </c>
      <c r="H29" s="381">
        <f t="shared" si="3"/>
        <v>0</v>
      </c>
    </row>
    <row r="30" spans="2:8" ht="18.75" hidden="1" thickBot="1">
      <c r="B30" s="377">
        <f t="shared" si="0"/>
        <v>19</v>
      </c>
      <c r="C30" s="378">
        <v>0</v>
      </c>
      <c r="D30" s="379">
        <v>0</v>
      </c>
      <c r="E30" s="380">
        <f t="shared" si="4"/>
        <v>0</v>
      </c>
      <c r="F30" s="381">
        <f t="shared" si="1"/>
        <v>0</v>
      </c>
      <c r="G30" s="381">
        <f t="shared" si="2"/>
        <v>0</v>
      </c>
      <c r="H30" s="381">
        <f t="shared" si="3"/>
        <v>0</v>
      </c>
    </row>
    <row r="31" spans="2:8" ht="18.75" hidden="1" thickBot="1">
      <c r="B31" s="377">
        <f t="shared" si="0"/>
        <v>20</v>
      </c>
      <c r="C31" s="378">
        <v>0</v>
      </c>
      <c r="D31" s="379">
        <v>0</v>
      </c>
      <c r="E31" s="380">
        <f t="shared" si="4"/>
        <v>0</v>
      </c>
      <c r="F31" s="381">
        <f t="shared" si="1"/>
        <v>0</v>
      </c>
      <c r="G31" s="381">
        <f t="shared" si="2"/>
        <v>0</v>
      </c>
      <c r="H31" s="381">
        <f t="shared" si="3"/>
        <v>0</v>
      </c>
    </row>
    <row r="32" spans="2:8" ht="18.75" hidden="1" thickBot="1">
      <c r="B32" s="377">
        <f t="shared" si="0"/>
        <v>21</v>
      </c>
      <c r="C32" s="378">
        <v>0</v>
      </c>
      <c r="D32" s="379">
        <v>0</v>
      </c>
      <c r="E32" s="380">
        <f t="shared" si="4"/>
        <v>0</v>
      </c>
      <c r="F32" s="381">
        <f t="shared" si="1"/>
        <v>0</v>
      </c>
      <c r="G32" s="381">
        <f t="shared" si="2"/>
        <v>0</v>
      </c>
      <c r="H32" s="381">
        <f t="shared" si="3"/>
        <v>0</v>
      </c>
    </row>
    <row r="33" spans="2:8" ht="18.75" hidden="1" thickBot="1">
      <c r="B33" s="377">
        <f t="shared" si="0"/>
        <v>22</v>
      </c>
      <c r="C33" s="378">
        <v>0</v>
      </c>
      <c r="D33" s="379">
        <v>0</v>
      </c>
      <c r="E33" s="380">
        <f t="shared" si="4"/>
        <v>0</v>
      </c>
      <c r="F33" s="381">
        <f t="shared" si="1"/>
        <v>0</v>
      </c>
      <c r="G33" s="381">
        <f t="shared" si="2"/>
        <v>0</v>
      </c>
      <c r="H33" s="381">
        <f t="shared" si="3"/>
        <v>0</v>
      </c>
    </row>
    <row r="34" spans="2:8" ht="18.75" hidden="1" thickBot="1">
      <c r="B34" s="377">
        <f t="shared" si="0"/>
        <v>23</v>
      </c>
      <c r="C34" s="378">
        <v>0</v>
      </c>
      <c r="D34" s="379">
        <v>0</v>
      </c>
      <c r="E34" s="380">
        <f t="shared" si="4"/>
        <v>0</v>
      </c>
      <c r="F34" s="381">
        <f t="shared" si="1"/>
        <v>0</v>
      </c>
      <c r="G34" s="381">
        <f t="shared" si="2"/>
        <v>0</v>
      </c>
      <c r="H34" s="381">
        <f t="shared" si="3"/>
        <v>0</v>
      </c>
    </row>
    <row r="35" spans="2:8" ht="18.75" hidden="1" thickBot="1">
      <c r="B35" s="377">
        <f t="shared" si="0"/>
        <v>24</v>
      </c>
      <c r="C35" s="378">
        <v>0</v>
      </c>
      <c r="D35" s="379">
        <v>0</v>
      </c>
      <c r="E35" s="380">
        <f t="shared" si="4"/>
        <v>0</v>
      </c>
      <c r="F35" s="381">
        <f t="shared" si="1"/>
        <v>0</v>
      </c>
      <c r="G35" s="381">
        <f t="shared" si="2"/>
        <v>0</v>
      </c>
      <c r="H35" s="381">
        <f t="shared" si="3"/>
        <v>0</v>
      </c>
    </row>
    <row r="36" spans="2:8" ht="18.75" hidden="1" thickBot="1">
      <c r="B36" s="377">
        <f t="shared" si="0"/>
        <v>25</v>
      </c>
      <c r="C36" s="378">
        <v>0</v>
      </c>
      <c r="D36" s="379">
        <v>0</v>
      </c>
      <c r="E36" s="380">
        <f t="shared" si="4"/>
        <v>0</v>
      </c>
      <c r="F36" s="381">
        <f t="shared" si="1"/>
        <v>0</v>
      </c>
      <c r="G36" s="381">
        <f t="shared" si="2"/>
        <v>0</v>
      </c>
      <c r="H36" s="381">
        <f t="shared" si="3"/>
        <v>0</v>
      </c>
    </row>
    <row r="37" spans="2:8" ht="18.75" hidden="1" thickBot="1">
      <c r="B37" s="377">
        <f t="shared" si="0"/>
        <v>26</v>
      </c>
      <c r="C37" s="378">
        <v>0</v>
      </c>
      <c r="D37" s="379">
        <v>0</v>
      </c>
      <c r="E37" s="380">
        <f t="shared" si="4"/>
        <v>0</v>
      </c>
      <c r="F37" s="381">
        <f t="shared" si="1"/>
        <v>0</v>
      </c>
      <c r="G37" s="381">
        <f t="shared" si="2"/>
        <v>0</v>
      </c>
      <c r="H37" s="381">
        <f t="shared" si="3"/>
        <v>0</v>
      </c>
    </row>
    <row r="38" spans="2:8" ht="18.75" hidden="1" thickBot="1">
      <c r="B38" s="377">
        <f t="shared" si="0"/>
        <v>27</v>
      </c>
      <c r="C38" s="378">
        <v>0</v>
      </c>
      <c r="D38" s="379">
        <v>0</v>
      </c>
      <c r="E38" s="380">
        <f t="shared" si="4"/>
        <v>0</v>
      </c>
      <c r="F38" s="381">
        <f t="shared" si="1"/>
        <v>0</v>
      </c>
      <c r="G38" s="381">
        <f t="shared" si="2"/>
        <v>0</v>
      </c>
      <c r="H38" s="381">
        <f t="shared" si="3"/>
        <v>0</v>
      </c>
    </row>
    <row r="39" spans="2:8" ht="18.75" hidden="1" thickBot="1">
      <c r="B39" s="377">
        <f t="shared" si="0"/>
        <v>28</v>
      </c>
      <c r="C39" s="378">
        <v>0</v>
      </c>
      <c r="D39" s="379">
        <v>0</v>
      </c>
      <c r="E39" s="380">
        <f t="shared" si="4"/>
        <v>0</v>
      </c>
      <c r="F39" s="381">
        <f t="shared" si="1"/>
        <v>0</v>
      </c>
      <c r="G39" s="381">
        <f t="shared" si="2"/>
        <v>0</v>
      </c>
      <c r="H39" s="381">
        <f t="shared" si="3"/>
        <v>0</v>
      </c>
    </row>
    <row r="40" spans="2:8" ht="18.75" hidden="1" thickBot="1">
      <c r="B40" s="377">
        <f t="shared" si="0"/>
        <v>29</v>
      </c>
      <c r="C40" s="378">
        <v>0</v>
      </c>
      <c r="D40" s="379">
        <v>0</v>
      </c>
      <c r="E40" s="380">
        <f t="shared" si="4"/>
        <v>0</v>
      </c>
      <c r="F40" s="381">
        <f t="shared" si="1"/>
        <v>0</v>
      </c>
      <c r="G40" s="381">
        <f t="shared" si="2"/>
        <v>0</v>
      </c>
      <c r="H40" s="381">
        <f t="shared" si="3"/>
        <v>0</v>
      </c>
    </row>
    <row r="41" spans="2:8" ht="18.75" hidden="1" thickBot="1">
      <c r="B41" s="377">
        <f t="shared" si="0"/>
        <v>30</v>
      </c>
      <c r="C41" s="378">
        <v>0</v>
      </c>
      <c r="D41" s="379">
        <v>0</v>
      </c>
      <c r="E41" s="380">
        <f t="shared" si="4"/>
        <v>0</v>
      </c>
      <c r="F41" s="381">
        <f t="shared" si="1"/>
        <v>0</v>
      </c>
      <c r="G41" s="381">
        <f t="shared" si="2"/>
        <v>0</v>
      </c>
      <c r="H41" s="381">
        <f t="shared" si="3"/>
        <v>0</v>
      </c>
    </row>
    <row r="42" spans="2:8" ht="18.75" hidden="1" thickBot="1">
      <c r="B42" s="377">
        <f t="shared" si="0"/>
        <v>31</v>
      </c>
      <c r="C42" s="378">
        <v>0</v>
      </c>
      <c r="D42" s="379">
        <v>0</v>
      </c>
      <c r="E42" s="380">
        <f t="shared" si="4"/>
        <v>0</v>
      </c>
      <c r="F42" s="381">
        <f t="shared" si="1"/>
        <v>0</v>
      </c>
      <c r="G42" s="381">
        <f t="shared" si="2"/>
        <v>0</v>
      </c>
      <c r="H42" s="381">
        <f t="shared" si="3"/>
        <v>0</v>
      </c>
    </row>
    <row r="43" spans="2:8" ht="18.75" hidden="1" thickBot="1">
      <c r="B43" s="377">
        <f t="shared" si="0"/>
        <v>32</v>
      </c>
      <c r="C43" s="378">
        <v>0</v>
      </c>
      <c r="D43" s="379">
        <v>0</v>
      </c>
      <c r="E43" s="380">
        <f t="shared" si="4"/>
        <v>0</v>
      </c>
      <c r="F43" s="381">
        <f t="shared" si="1"/>
        <v>0</v>
      </c>
      <c r="G43" s="381">
        <f t="shared" si="2"/>
        <v>0</v>
      </c>
      <c r="H43" s="381">
        <f t="shared" si="3"/>
        <v>0</v>
      </c>
    </row>
    <row r="44" spans="2:8" ht="18.75" hidden="1" thickBot="1">
      <c r="B44" s="377">
        <f aca="true" t="shared" si="5" ref="B44:B61">B43+1</f>
        <v>33</v>
      </c>
      <c r="C44" s="378">
        <v>0</v>
      </c>
      <c r="D44" s="379">
        <v>0</v>
      </c>
      <c r="E44" s="380">
        <f t="shared" si="4"/>
        <v>0</v>
      </c>
      <c r="F44" s="381">
        <f aca="true" t="shared" si="6" ref="F44:F61">PV($C$9,B44,0,E44)*-1</f>
        <v>0</v>
      </c>
      <c r="G44" s="381">
        <f aca="true" t="shared" si="7" ref="G44:G61">PV($F$64,B44,0,E44)*-1</f>
        <v>0</v>
      </c>
      <c r="H44" s="381">
        <f t="shared" si="3"/>
        <v>0</v>
      </c>
    </row>
    <row r="45" spans="2:8" ht="18.75" hidden="1" thickBot="1">
      <c r="B45" s="377">
        <f t="shared" si="5"/>
        <v>34</v>
      </c>
      <c r="C45" s="378">
        <v>0</v>
      </c>
      <c r="D45" s="379">
        <v>0</v>
      </c>
      <c r="E45" s="380">
        <f t="shared" si="4"/>
        <v>0</v>
      </c>
      <c r="F45" s="381">
        <f t="shared" si="6"/>
        <v>0</v>
      </c>
      <c r="G45" s="381">
        <f t="shared" si="7"/>
        <v>0</v>
      </c>
      <c r="H45" s="381">
        <f t="shared" si="3"/>
        <v>0</v>
      </c>
    </row>
    <row r="46" spans="2:8" ht="18.75" hidden="1" thickBot="1">
      <c r="B46" s="377">
        <f t="shared" si="5"/>
        <v>35</v>
      </c>
      <c r="C46" s="378">
        <v>0</v>
      </c>
      <c r="D46" s="379">
        <v>0</v>
      </c>
      <c r="E46" s="380">
        <f t="shared" si="4"/>
        <v>0</v>
      </c>
      <c r="F46" s="381">
        <f t="shared" si="6"/>
        <v>0</v>
      </c>
      <c r="G46" s="381">
        <f t="shared" si="7"/>
        <v>0</v>
      </c>
      <c r="H46" s="381">
        <f t="shared" si="3"/>
        <v>0</v>
      </c>
    </row>
    <row r="47" spans="2:8" ht="18.75" hidden="1" thickBot="1">
      <c r="B47" s="377">
        <f t="shared" si="5"/>
        <v>36</v>
      </c>
      <c r="C47" s="378">
        <v>0</v>
      </c>
      <c r="D47" s="379">
        <v>0</v>
      </c>
      <c r="E47" s="380">
        <f t="shared" si="4"/>
        <v>0</v>
      </c>
      <c r="F47" s="381">
        <f t="shared" si="6"/>
        <v>0</v>
      </c>
      <c r="G47" s="381">
        <f t="shared" si="7"/>
        <v>0</v>
      </c>
      <c r="H47" s="381">
        <f t="shared" si="3"/>
        <v>0</v>
      </c>
    </row>
    <row r="48" spans="2:8" ht="18.75" hidden="1" thickBot="1">
      <c r="B48" s="377">
        <f t="shared" si="5"/>
        <v>37</v>
      </c>
      <c r="C48" s="378">
        <v>0</v>
      </c>
      <c r="D48" s="379">
        <v>0</v>
      </c>
      <c r="E48" s="380">
        <f t="shared" si="4"/>
        <v>0</v>
      </c>
      <c r="F48" s="381">
        <f t="shared" si="6"/>
        <v>0</v>
      </c>
      <c r="G48" s="381">
        <f t="shared" si="7"/>
        <v>0</v>
      </c>
      <c r="H48" s="381">
        <f t="shared" si="3"/>
        <v>0</v>
      </c>
    </row>
    <row r="49" spans="2:8" ht="18.75" hidden="1" thickBot="1">
      <c r="B49" s="377">
        <f t="shared" si="5"/>
        <v>38</v>
      </c>
      <c r="C49" s="378">
        <v>0</v>
      </c>
      <c r="D49" s="379">
        <v>0</v>
      </c>
      <c r="E49" s="380">
        <f t="shared" si="4"/>
        <v>0</v>
      </c>
      <c r="F49" s="381">
        <f t="shared" si="6"/>
        <v>0</v>
      </c>
      <c r="G49" s="381">
        <f t="shared" si="7"/>
        <v>0</v>
      </c>
      <c r="H49" s="381">
        <f t="shared" si="3"/>
        <v>0</v>
      </c>
    </row>
    <row r="50" spans="2:8" ht="18.75" hidden="1" thickBot="1">
      <c r="B50" s="377">
        <f t="shared" si="5"/>
        <v>39</v>
      </c>
      <c r="C50" s="378">
        <v>0</v>
      </c>
      <c r="D50" s="379">
        <v>0</v>
      </c>
      <c r="E50" s="380">
        <f t="shared" si="4"/>
        <v>0</v>
      </c>
      <c r="F50" s="381">
        <f t="shared" si="6"/>
        <v>0</v>
      </c>
      <c r="G50" s="381">
        <f t="shared" si="7"/>
        <v>0</v>
      </c>
      <c r="H50" s="381">
        <f t="shared" si="3"/>
        <v>0</v>
      </c>
    </row>
    <row r="51" spans="2:8" ht="18.75" hidden="1" thickBot="1">
      <c r="B51" s="377">
        <f t="shared" si="5"/>
        <v>40</v>
      </c>
      <c r="C51" s="378">
        <v>0</v>
      </c>
      <c r="D51" s="379">
        <v>0</v>
      </c>
      <c r="E51" s="380">
        <f t="shared" si="4"/>
        <v>0</v>
      </c>
      <c r="F51" s="381">
        <f t="shared" si="6"/>
        <v>0</v>
      </c>
      <c r="G51" s="381">
        <f t="shared" si="7"/>
        <v>0</v>
      </c>
      <c r="H51" s="381">
        <f t="shared" si="3"/>
        <v>0</v>
      </c>
    </row>
    <row r="52" spans="2:8" ht="18.75" hidden="1" thickBot="1">
      <c r="B52" s="377">
        <f t="shared" si="5"/>
        <v>41</v>
      </c>
      <c r="C52" s="378">
        <v>0</v>
      </c>
      <c r="D52" s="379">
        <v>0</v>
      </c>
      <c r="E52" s="380">
        <f t="shared" si="4"/>
        <v>0</v>
      </c>
      <c r="F52" s="381">
        <f t="shared" si="6"/>
        <v>0</v>
      </c>
      <c r="G52" s="381">
        <f t="shared" si="7"/>
        <v>0</v>
      </c>
      <c r="H52" s="381">
        <f t="shared" si="3"/>
        <v>0</v>
      </c>
    </row>
    <row r="53" spans="2:8" ht="18.75" hidden="1" thickBot="1">
      <c r="B53" s="377">
        <f t="shared" si="5"/>
        <v>42</v>
      </c>
      <c r="C53" s="378">
        <v>0</v>
      </c>
      <c r="D53" s="379">
        <v>0</v>
      </c>
      <c r="E53" s="380">
        <f t="shared" si="4"/>
        <v>0</v>
      </c>
      <c r="F53" s="381">
        <f t="shared" si="6"/>
        <v>0</v>
      </c>
      <c r="G53" s="381">
        <f t="shared" si="7"/>
        <v>0</v>
      </c>
      <c r="H53" s="381">
        <f t="shared" si="3"/>
        <v>0</v>
      </c>
    </row>
    <row r="54" spans="2:8" ht="18.75" hidden="1" thickBot="1">
      <c r="B54" s="377">
        <f t="shared" si="5"/>
        <v>43</v>
      </c>
      <c r="C54" s="378">
        <v>0</v>
      </c>
      <c r="D54" s="379">
        <v>0</v>
      </c>
      <c r="E54" s="380">
        <f t="shared" si="4"/>
        <v>0</v>
      </c>
      <c r="F54" s="381">
        <f t="shared" si="6"/>
        <v>0</v>
      </c>
      <c r="G54" s="381">
        <f t="shared" si="7"/>
        <v>0</v>
      </c>
      <c r="H54" s="381">
        <f t="shared" si="3"/>
        <v>0</v>
      </c>
    </row>
    <row r="55" spans="2:8" ht="18.75" hidden="1" thickBot="1">
      <c r="B55" s="377">
        <f t="shared" si="5"/>
        <v>44</v>
      </c>
      <c r="C55" s="378">
        <v>0</v>
      </c>
      <c r="D55" s="379">
        <v>0</v>
      </c>
      <c r="E55" s="380">
        <f t="shared" si="4"/>
        <v>0</v>
      </c>
      <c r="F55" s="381">
        <f t="shared" si="6"/>
        <v>0</v>
      </c>
      <c r="G55" s="381">
        <f t="shared" si="7"/>
        <v>0</v>
      </c>
      <c r="H55" s="381">
        <f t="shared" si="3"/>
        <v>0</v>
      </c>
    </row>
    <row r="56" spans="2:8" ht="18.75" hidden="1" thickBot="1">
      <c r="B56" s="377">
        <f t="shared" si="5"/>
        <v>45</v>
      </c>
      <c r="C56" s="378">
        <v>0</v>
      </c>
      <c r="D56" s="379">
        <v>0</v>
      </c>
      <c r="E56" s="380">
        <f t="shared" si="4"/>
        <v>0</v>
      </c>
      <c r="F56" s="381">
        <f t="shared" si="6"/>
        <v>0</v>
      </c>
      <c r="G56" s="381">
        <f t="shared" si="7"/>
        <v>0</v>
      </c>
      <c r="H56" s="381">
        <f t="shared" si="3"/>
        <v>0</v>
      </c>
    </row>
    <row r="57" spans="2:8" ht="18.75" hidden="1" thickBot="1">
      <c r="B57" s="377">
        <f t="shared" si="5"/>
        <v>46</v>
      </c>
      <c r="C57" s="378">
        <v>0</v>
      </c>
      <c r="D57" s="379">
        <v>0</v>
      </c>
      <c r="E57" s="380">
        <f t="shared" si="4"/>
        <v>0</v>
      </c>
      <c r="F57" s="381">
        <f t="shared" si="6"/>
        <v>0</v>
      </c>
      <c r="G57" s="381">
        <f t="shared" si="7"/>
        <v>0</v>
      </c>
      <c r="H57" s="381">
        <f t="shared" si="3"/>
        <v>0</v>
      </c>
    </row>
    <row r="58" spans="2:8" ht="18.75" hidden="1" thickBot="1">
      <c r="B58" s="377">
        <f t="shared" si="5"/>
        <v>47</v>
      </c>
      <c r="C58" s="378">
        <v>0</v>
      </c>
      <c r="D58" s="379">
        <v>0</v>
      </c>
      <c r="E58" s="380">
        <f t="shared" si="4"/>
        <v>0</v>
      </c>
      <c r="F58" s="381">
        <f t="shared" si="6"/>
        <v>0</v>
      </c>
      <c r="G58" s="381">
        <f t="shared" si="7"/>
        <v>0</v>
      </c>
      <c r="H58" s="381">
        <f t="shared" si="3"/>
        <v>0</v>
      </c>
    </row>
    <row r="59" spans="2:8" ht="18.75" hidden="1" thickBot="1">
      <c r="B59" s="377">
        <f t="shared" si="5"/>
        <v>48</v>
      </c>
      <c r="C59" s="378">
        <v>0</v>
      </c>
      <c r="D59" s="379">
        <v>0</v>
      </c>
      <c r="E59" s="380">
        <f t="shared" si="4"/>
        <v>0</v>
      </c>
      <c r="F59" s="381">
        <f t="shared" si="6"/>
        <v>0</v>
      </c>
      <c r="G59" s="381">
        <f t="shared" si="7"/>
        <v>0</v>
      </c>
      <c r="H59" s="381">
        <f t="shared" si="3"/>
        <v>0</v>
      </c>
    </row>
    <row r="60" spans="2:8" ht="18.75" hidden="1" thickBot="1">
      <c r="B60" s="377">
        <f t="shared" si="5"/>
        <v>49</v>
      </c>
      <c r="C60" s="378">
        <v>0</v>
      </c>
      <c r="D60" s="379">
        <v>0</v>
      </c>
      <c r="E60" s="380">
        <f t="shared" si="4"/>
        <v>0</v>
      </c>
      <c r="F60" s="381">
        <f t="shared" si="6"/>
        <v>0</v>
      </c>
      <c r="G60" s="381">
        <f t="shared" si="7"/>
        <v>0</v>
      </c>
      <c r="H60" s="381">
        <f t="shared" si="3"/>
        <v>0</v>
      </c>
    </row>
    <row r="61" spans="2:8" ht="18.75" hidden="1" thickBot="1">
      <c r="B61" s="383">
        <f t="shared" si="5"/>
        <v>50</v>
      </c>
      <c r="C61" s="384">
        <v>0</v>
      </c>
      <c r="D61" s="385">
        <v>0</v>
      </c>
      <c r="E61" s="386">
        <f t="shared" si="4"/>
        <v>0</v>
      </c>
      <c r="F61" s="387">
        <f t="shared" si="6"/>
        <v>0</v>
      </c>
      <c r="G61" s="387">
        <f t="shared" si="7"/>
        <v>0</v>
      </c>
      <c r="H61" s="387">
        <f>IF(F61&gt;0,H40,0)</f>
        <v>0</v>
      </c>
    </row>
    <row r="62" spans="1:8" ht="18.75" thickBot="1">
      <c r="A62" t="s">
        <v>295</v>
      </c>
      <c r="B62" s="388" t="s">
        <v>296</v>
      </c>
      <c r="C62" s="389"/>
      <c r="D62" s="389"/>
      <c r="E62" s="389"/>
      <c r="F62" s="390">
        <f>SUM(F11:F61)</f>
        <v>-1.862645149230957E-09</v>
      </c>
      <c r="G62" s="391">
        <f>SUM(G11:G61)</f>
        <v>-3.4924596548080444E-10</v>
      </c>
      <c r="H62" s="233"/>
    </row>
    <row r="63" spans="2:8" ht="18.75" thickBot="1">
      <c r="B63" s="392" t="s">
        <v>297</v>
      </c>
      <c r="C63" s="393"/>
      <c r="D63" s="393"/>
      <c r="E63" s="393"/>
      <c r="F63" s="394">
        <f>H12</f>
        <v>-5.167158915494545E-10</v>
      </c>
      <c r="G63" s="395"/>
      <c r="H63" s="233"/>
    </row>
    <row r="64" spans="1:8" ht="18.75" thickBot="1">
      <c r="A64" t="s">
        <v>298</v>
      </c>
      <c r="B64" s="396" t="s">
        <v>299</v>
      </c>
      <c r="C64" s="397"/>
      <c r="D64" s="397"/>
      <c r="E64" s="397"/>
      <c r="F64" s="398">
        <f>IRR(E11:E61)</f>
        <v>0.11999999999999983</v>
      </c>
      <c r="G64" s="399"/>
      <c r="H64" s="233"/>
    </row>
    <row r="65" spans="2:8" ht="18.75" thickBot="1">
      <c r="B65" s="388" t="s">
        <v>300</v>
      </c>
      <c r="C65" s="389"/>
      <c r="D65" s="389"/>
      <c r="E65" s="389"/>
      <c r="F65" s="400">
        <f>NPER(C9,F67,F11,0)</f>
        <v>5.000000000000003</v>
      </c>
      <c r="G65" s="401"/>
      <c r="H65" s="233"/>
    </row>
    <row r="66" spans="2:7" ht="12.75" hidden="1">
      <c r="B66" s="14" t="s">
        <v>301</v>
      </c>
      <c r="F66" s="402">
        <f>SUM(F12:F61)</f>
        <v>3599999.9999999977</v>
      </c>
      <c r="G66" s="402"/>
    </row>
    <row r="67" spans="2:7" ht="12.75" hidden="1">
      <c r="B67" s="14" t="s">
        <v>302</v>
      </c>
      <c r="F67" s="403">
        <f>PMT(C9,C8,F66,0)*-1</f>
        <v>998675.0349877749</v>
      </c>
      <c r="G67" s="403"/>
    </row>
    <row r="69" spans="1:2" ht="12.75">
      <c r="A69" t="s">
        <v>303</v>
      </c>
      <c r="B69" t="s">
        <v>304</v>
      </c>
    </row>
    <row r="70" spans="2:3" ht="12.75">
      <c r="B70" s="44" t="s">
        <v>305</v>
      </c>
      <c r="C70" s="44"/>
    </row>
    <row r="71" spans="2:3" ht="12.75">
      <c r="B71" s="44"/>
      <c r="C71" s="44"/>
    </row>
    <row r="72" spans="2:3" ht="12.75">
      <c r="B72" s="44"/>
      <c r="C72" s="44"/>
    </row>
    <row r="73" spans="2:3" ht="12.75">
      <c r="B73" s="44"/>
      <c r="C73" s="44"/>
    </row>
    <row r="74" spans="2:3" ht="12.75">
      <c r="B74" s="44"/>
      <c r="C74" s="44"/>
    </row>
  </sheetData>
  <printOptions/>
  <pageMargins left="0.7874015748031497" right="0.3937007874015748" top="0.984251968503937" bottom="0.98425196850393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Roskilde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Brygger</dc:creator>
  <cp:keywords/>
  <dc:description/>
  <cp:lastModifiedBy>Roskilde Handelsskole</cp:lastModifiedBy>
  <cp:lastPrinted>2004-12-15T13:09:25Z</cp:lastPrinted>
  <dcterms:created xsi:type="dcterms:W3CDTF">1999-01-23T11:04:33Z</dcterms:created>
  <dcterms:modified xsi:type="dcterms:W3CDTF">2004-12-15T13:09:40Z</dcterms:modified>
  <cp:category/>
  <cp:version/>
  <cp:contentType/>
  <cp:contentStatus/>
</cp:coreProperties>
</file>