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/chart2.xml" ContentType="application/vnd.openxmlformats-officedocument.drawingml.chart+xml"/>
  <Override PartName="/xl/comments6.xml" ContentType="application/vnd.openxmlformats-officedocument.spreadsheetml.comments+xml"/>
  <Override PartName="/xl/comments7.xml" ContentType="application/vnd.openxmlformats-officedocument.spreadsheetml.comment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heckCompatibility="1" defaultThemeVersion="124226"/>
  <bookViews>
    <workbookView xWindow="240" yWindow="105" windowWidth="21075" windowHeight="10005" activeTab="13"/>
  </bookViews>
  <sheets>
    <sheet name="MR=MC produkt 1" sheetId="1" r:id="rId1"/>
    <sheet name="Graf produkt 1" sheetId="2" r:id="rId2"/>
    <sheet name="Data til graf produkt 1" sheetId="3" r:id="rId3"/>
    <sheet name="MR=MC produkt 2" sheetId="4" r:id="rId4"/>
    <sheet name="Graf produkt 2" sheetId="5" r:id="rId5"/>
    <sheet name="Data til graf produkt 2" sheetId="6" r:id="rId6"/>
    <sheet name="investering 50 år" sheetId="8" r:id="rId7"/>
    <sheet name="Lommeregneren TI-83" sheetId="7" r:id="rId8"/>
    <sheet name="investering 50 år 2.3" sheetId="10" r:id="rId9"/>
    <sheet name="Resultatbudget" sheetId="12" r:id="rId10"/>
    <sheet name="Likvidietetsbudget cash flow" sheetId="11" r:id="rId11"/>
    <sheet name="Balance" sheetId="13" r:id="rId12"/>
    <sheet name="Likviditetsbudget" sheetId="14" r:id="rId13"/>
    <sheet name="Resultatopgørelse til analyse" sheetId="15" r:id="rId14"/>
    <sheet name="Balance til analyse" sheetId="16" r:id="rId15"/>
    <sheet name="beregning af nøgletal" sheetId="17" r:id="rId16"/>
    <sheet name="Kommentarer" sheetId="19" r:id="rId17"/>
  </sheets>
  <externalReferences>
    <externalReference r:id="rId18"/>
    <externalReference r:id="rId19"/>
    <externalReference r:id="rId20"/>
  </externalReferences>
  <calcPr calcId="125725"/>
</workbook>
</file>

<file path=xl/calcChain.xml><?xml version="1.0" encoding="utf-8"?>
<calcChain xmlns="http://schemas.openxmlformats.org/spreadsheetml/2006/main">
  <c r="F8" i="16"/>
  <c r="F81" i="19"/>
  <c r="A81"/>
  <c r="A70"/>
  <c r="I41"/>
  <c r="I42" s="1"/>
  <c r="I43" s="1"/>
  <c r="I44" s="1"/>
  <c r="I45" s="1"/>
  <c r="I46" s="1"/>
  <c r="I47" s="1"/>
  <c r="I48" s="1"/>
  <c r="H33"/>
  <c r="D33"/>
  <c r="A33"/>
  <c r="B17"/>
  <c r="E10"/>
  <c r="A58" s="1"/>
  <c r="A80" s="1"/>
  <c r="A90" i="17"/>
  <c r="A89"/>
  <c r="A88"/>
  <c r="A87"/>
  <c r="C86"/>
  <c r="D85"/>
  <c r="G85" s="1"/>
  <c r="C85"/>
  <c r="A85"/>
  <c r="F84"/>
  <c r="F83"/>
  <c r="C83"/>
  <c r="J82"/>
  <c r="K82" s="1"/>
  <c r="I82"/>
  <c r="H82"/>
  <c r="C81"/>
  <c r="C78"/>
  <c r="C77"/>
  <c r="F76"/>
  <c r="F80" s="1"/>
  <c r="C76"/>
  <c r="C80" s="1"/>
  <c r="F75"/>
  <c r="F79" s="1"/>
  <c r="C75"/>
  <c r="C79" s="1"/>
  <c r="C74"/>
  <c r="C71"/>
  <c r="D68"/>
  <c r="C67"/>
  <c r="D66"/>
  <c r="C63"/>
  <c r="F59"/>
  <c r="C59"/>
  <c r="J58"/>
  <c r="K58" s="1"/>
  <c r="I58"/>
  <c r="H58"/>
  <c r="F63" s="1"/>
  <c r="F58"/>
  <c r="D58"/>
  <c r="C57"/>
  <c r="F56"/>
  <c r="I56" s="1"/>
  <c r="C56"/>
  <c r="C62" s="1"/>
  <c r="F55"/>
  <c r="C55"/>
  <c r="J54"/>
  <c r="K54" s="1"/>
  <c r="I54"/>
  <c r="H54"/>
  <c r="F57" s="1"/>
  <c r="C54"/>
  <c r="C53"/>
  <c r="F51"/>
  <c r="C51"/>
  <c r="J50"/>
  <c r="G56" i="19" s="1"/>
  <c r="I50" i="17"/>
  <c r="I52" s="1"/>
  <c r="H50"/>
  <c r="F53" s="1"/>
  <c r="F50"/>
  <c r="C50"/>
  <c r="A46"/>
  <c r="J45"/>
  <c r="K45" s="1"/>
  <c r="I45"/>
  <c r="H45"/>
  <c r="A45"/>
  <c r="J44"/>
  <c r="K44" s="1"/>
  <c r="I44"/>
  <c r="H44"/>
  <c r="A44"/>
  <c r="J43"/>
  <c r="K43" s="1"/>
  <c r="H48" i="19" s="1"/>
  <c r="I43" i="17"/>
  <c r="H43"/>
  <c r="F48" i="19" s="1"/>
  <c r="J48" s="1"/>
  <c r="A43" i="17"/>
  <c r="A48" i="19" s="1"/>
  <c r="J42" i="17"/>
  <c r="I42"/>
  <c r="A42"/>
  <c r="A47" i="19" s="1"/>
  <c r="J41" i="17"/>
  <c r="K41" s="1"/>
  <c r="H46" i="19" s="1"/>
  <c r="I41" i="17"/>
  <c r="H41"/>
  <c r="F46" i="19" s="1"/>
  <c r="J46" s="1"/>
  <c r="A41" i="17"/>
  <c r="A46" i="19" s="1"/>
  <c r="K40" i="17"/>
  <c r="H45" i="19" s="1"/>
  <c r="J40" i="17"/>
  <c r="I40"/>
  <c r="H40"/>
  <c r="F45" i="19" s="1"/>
  <c r="J45" s="1"/>
  <c r="A40" i="17"/>
  <c r="A45" i="19" s="1"/>
  <c r="J39" i="17"/>
  <c r="K39" s="1"/>
  <c r="H44" i="19" s="1"/>
  <c r="I39" i="17"/>
  <c r="H39"/>
  <c r="F44" i="19" s="1"/>
  <c r="J44" s="1"/>
  <c r="A39" i="17"/>
  <c r="A44" i="19" s="1"/>
  <c r="K38" i="17"/>
  <c r="H43" i="19" s="1"/>
  <c r="J38" i="17"/>
  <c r="I38"/>
  <c r="H38"/>
  <c r="F43" i="19" s="1"/>
  <c r="J43" s="1"/>
  <c r="A38" i="17"/>
  <c r="A43" i="19" s="1"/>
  <c r="J37" i="17"/>
  <c r="K37" s="1"/>
  <c r="H42" i="19" s="1"/>
  <c r="I37" i="17"/>
  <c r="H37"/>
  <c r="F42" i="19" s="1"/>
  <c r="J42" s="1"/>
  <c r="A37" i="17"/>
  <c r="A42" i="19" s="1"/>
  <c r="K36" i="17"/>
  <c r="H41" i="19" s="1"/>
  <c r="J36" i="17"/>
  <c r="I36"/>
  <c r="H36"/>
  <c r="F41" i="19" s="1"/>
  <c r="J41" s="1"/>
  <c r="A36" i="17"/>
  <c r="A41" i="19" s="1"/>
  <c r="J35" i="17"/>
  <c r="K35" s="1"/>
  <c r="H40" i="19" s="1"/>
  <c r="I35" i="17"/>
  <c r="H35"/>
  <c r="F40" i="19" s="1"/>
  <c r="J40" s="1"/>
  <c r="A35" i="17"/>
  <c r="K34"/>
  <c r="G33" i="19" s="1"/>
  <c r="J34" i="17"/>
  <c r="I34"/>
  <c r="H34"/>
  <c r="A34"/>
  <c r="K32"/>
  <c r="G32" i="19" s="1"/>
  <c r="D34" s="1"/>
  <c r="J32" i="17"/>
  <c r="G58" i="19" s="1"/>
  <c r="I32" i="17"/>
  <c r="H32"/>
  <c r="F32"/>
  <c r="A32"/>
  <c r="C28"/>
  <c r="C27"/>
  <c r="F26"/>
  <c r="F27" s="1"/>
  <c r="C23"/>
  <c r="F22"/>
  <c r="F24" s="1"/>
  <c r="G21"/>
  <c r="G23" s="1"/>
  <c r="G27" s="1"/>
  <c r="G32" s="1"/>
  <c r="G64" s="1"/>
  <c r="G66" s="1"/>
  <c r="C21"/>
  <c r="C19"/>
  <c r="C25" s="1"/>
  <c r="G17"/>
  <c r="C15"/>
  <c r="G14"/>
  <c r="C14"/>
  <c r="A14"/>
  <c r="C12"/>
  <c r="G10"/>
  <c r="F10"/>
  <c r="D10"/>
  <c r="D12" s="1"/>
  <c r="D14" s="1"/>
  <c r="D19" s="1"/>
  <c r="D21" s="1"/>
  <c r="D23" s="1"/>
  <c r="D25" s="1"/>
  <c r="D27" s="1"/>
  <c r="D29" s="1"/>
  <c r="C10"/>
  <c r="F7"/>
  <c r="F18" s="1"/>
  <c r="C7"/>
  <c r="C8" s="1"/>
  <c r="C48" s="1"/>
  <c r="D6"/>
  <c r="C5"/>
  <c r="C9" s="1"/>
  <c r="C49" s="1"/>
  <c r="C4"/>
  <c r="C6" s="1"/>
  <c r="C17" s="1"/>
  <c r="H2"/>
  <c r="H47" s="1"/>
  <c r="F1"/>
  <c r="G34" i="16"/>
  <c r="H34" s="1"/>
  <c r="F31"/>
  <c r="E31"/>
  <c r="D31"/>
  <c r="F67" i="17" s="1"/>
  <c r="G30" i="16"/>
  <c r="H30" s="1"/>
  <c r="G29"/>
  <c r="H29" s="1"/>
  <c r="H28"/>
  <c r="G28"/>
  <c r="H27"/>
  <c r="G27"/>
  <c r="G26"/>
  <c r="H26" s="1"/>
  <c r="G25"/>
  <c r="H25" s="1"/>
  <c r="F24"/>
  <c r="E24"/>
  <c r="D24"/>
  <c r="H89" i="17" s="1"/>
  <c r="G23" i="16"/>
  <c r="H23" s="1"/>
  <c r="G22"/>
  <c r="H22" s="1"/>
  <c r="G21"/>
  <c r="H21" s="1"/>
  <c r="G20"/>
  <c r="H20" s="1"/>
  <c r="G19"/>
  <c r="H19" s="1"/>
  <c r="G18"/>
  <c r="H18" s="1"/>
  <c r="F14"/>
  <c r="E14"/>
  <c r="I66" i="17" s="1"/>
  <c r="D14" i="16"/>
  <c r="H87" i="17" s="1"/>
  <c r="G13" i="16"/>
  <c r="H13" s="1"/>
  <c r="G12"/>
  <c r="H12" s="1"/>
  <c r="H11"/>
  <c r="G11"/>
  <c r="H10"/>
  <c r="G10"/>
  <c r="G9"/>
  <c r="H9" s="1"/>
  <c r="G8"/>
  <c r="H8" s="1"/>
  <c r="K58" i="19" s="1"/>
  <c r="G7" i="16"/>
  <c r="H7" s="1"/>
  <c r="F6"/>
  <c r="E6"/>
  <c r="D6"/>
  <c r="F86" i="17" s="1"/>
  <c r="G5" i="16"/>
  <c r="H5" s="1"/>
  <c r="G4"/>
  <c r="H4" s="1"/>
  <c r="G3"/>
  <c r="H3" s="1"/>
  <c r="G2"/>
  <c r="D2"/>
  <c r="A1"/>
  <c r="F29" i="15"/>
  <c r="E29"/>
  <c r="F28"/>
  <c r="E28"/>
  <c r="F27"/>
  <c r="E26"/>
  <c r="E25"/>
  <c r="F23"/>
  <c r="E23"/>
  <c r="E22"/>
  <c r="F22" s="1"/>
  <c r="E20"/>
  <c r="F20" s="1"/>
  <c r="E19"/>
  <c r="F19" s="1"/>
  <c r="F17"/>
  <c r="E17"/>
  <c r="E15"/>
  <c r="F15" s="1"/>
  <c r="E14"/>
  <c r="F14" s="1"/>
  <c r="E13"/>
  <c r="F13" s="1"/>
  <c r="E12"/>
  <c r="F12" s="1"/>
  <c r="E11"/>
  <c r="F11" s="1"/>
  <c r="E10"/>
  <c r="F10" s="1"/>
  <c r="C9"/>
  <c r="C16" s="1"/>
  <c r="F8"/>
  <c r="E8"/>
  <c r="D7"/>
  <c r="J19" i="17" s="1"/>
  <c r="C7" i="15"/>
  <c r="I25" i="17" s="1"/>
  <c r="B7" i="15"/>
  <c r="F25" i="17" s="1"/>
  <c r="E6" i="15"/>
  <c r="F6" s="1"/>
  <c r="E3"/>
  <c r="F3" s="1"/>
  <c r="C2"/>
  <c r="I2" i="17" s="1"/>
  <c r="I47" s="1"/>
  <c r="L50" i="11"/>
  <c r="M50"/>
  <c r="N50"/>
  <c r="O50"/>
  <c r="L49"/>
  <c r="K50"/>
  <c r="K49"/>
  <c r="J50"/>
  <c r="K37"/>
  <c r="L37"/>
  <c r="J37"/>
  <c r="C7" i="12"/>
  <c r="D7"/>
  <c r="E7"/>
  <c r="B7"/>
  <c r="E4"/>
  <c r="P8" i="11"/>
  <c r="F41" i="14"/>
  <c r="B2" i="13"/>
  <c r="G2" s="1"/>
  <c r="I15"/>
  <c r="P4" i="11"/>
  <c r="P39"/>
  <c r="D5" i="13"/>
  <c r="E21" i="12"/>
  <c r="E19"/>
  <c r="E18"/>
  <c r="D19"/>
  <c r="C19"/>
  <c r="B19"/>
  <c r="E12"/>
  <c r="C9"/>
  <c r="C11" s="1"/>
  <c r="C17" s="1"/>
  <c r="C20" s="1"/>
  <c r="C23" s="1"/>
  <c r="E8"/>
  <c r="C8"/>
  <c r="D8"/>
  <c r="B8"/>
  <c r="E5"/>
  <c r="C5"/>
  <c r="D5"/>
  <c r="B5"/>
  <c r="B45" i="13" s="1"/>
  <c r="E45" s="1"/>
  <c r="E3" i="12"/>
  <c r="A47" i="14"/>
  <c r="F39"/>
  <c r="D38"/>
  <c r="C38"/>
  <c r="A38"/>
  <c r="D37"/>
  <c r="C37"/>
  <c r="F32"/>
  <c r="A32"/>
  <c r="A31"/>
  <c r="A30"/>
  <c r="F29"/>
  <c r="F28"/>
  <c r="A28"/>
  <c r="F27"/>
  <c r="A27"/>
  <c r="F25"/>
  <c r="A25"/>
  <c r="F24"/>
  <c r="A24"/>
  <c r="A19"/>
  <c r="A18"/>
  <c r="D17"/>
  <c r="A17"/>
  <c r="E16"/>
  <c r="F16" s="1"/>
  <c r="D16"/>
  <c r="A16"/>
  <c r="D15"/>
  <c r="A15"/>
  <c r="E14"/>
  <c r="F14" s="1"/>
  <c r="D14"/>
  <c r="A14"/>
  <c r="D13"/>
  <c r="A13"/>
  <c r="D12"/>
  <c r="A12"/>
  <c r="D10"/>
  <c r="A10"/>
  <c r="D9"/>
  <c r="A9"/>
  <c r="D8"/>
  <c r="A8"/>
  <c r="D7"/>
  <c r="A7"/>
  <c r="D6"/>
  <c r="D5"/>
  <c r="D4"/>
  <c r="D46" i="13"/>
  <c r="A46"/>
  <c r="F45"/>
  <c r="D45"/>
  <c r="C45"/>
  <c r="A45"/>
  <c r="B44"/>
  <c r="E42"/>
  <c r="B42"/>
  <c r="A41"/>
  <c r="E39"/>
  <c r="B39"/>
  <c r="A38"/>
  <c r="E36"/>
  <c r="H36" s="1"/>
  <c r="B36"/>
  <c r="I34"/>
  <c r="H34"/>
  <c r="E34"/>
  <c r="F34" s="1"/>
  <c r="B34"/>
  <c r="H32"/>
  <c r="E32"/>
  <c r="I30"/>
  <c r="E5" i="14" s="1"/>
  <c r="H30" i="13"/>
  <c r="F30"/>
  <c r="E30"/>
  <c r="B30"/>
  <c r="E28"/>
  <c r="E27"/>
  <c r="B27"/>
  <c r="H26"/>
  <c r="E26"/>
  <c r="B23"/>
  <c r="F22"/>
  <c r="I21"/>
  <c r="G21"/>
  <c r="F30" i="14" s="1"/>
  <c r="F21" i="13"/>
  <c r="E21"/>
  <c r="E10" i="14" s="1"/>
  <c r="I20" i="13"/>
  <c r="E17" i="14" s="1"/>
  <c r="F17" s="1"/>
  <c r="E20" i="13"/>
  <c r="E9" i="14" s="1"/>
  <c r="I19" i="13"/>
  <c r="E19"/>
  <c r="E8" i="14" s="1"/>
  <c r="I18" i="13"/>
  <c r="E15" i="14" s="1"/>
  <c r="F15" s="1"/>
  <c r="I17" i="13"/>
  <c r="E17"/>
  <c r="E6" i="14" s="1"/>
  <c r="A17" i="13"/>
  <c r="A35" s="1"/>
  <c r="I16"/>
  <c r="E13" i="14" s="1"/>
  <c r="F13" s="1"/>
  <c r="A5"/>
  <c r="C44" i="13"/>
  <c r="I14"/>
  <c r="H13"/>
  <c r="G13"/>
  <c r="C13"/>
  <c r="F22" i="14" s="1"/>
  <c r="B13" i="13"/>
  <c r="B24" s="1"/>
  <c r="I12"/>
  <c r="E12"/>
  <c r="I11"/>
  <c r="E11"/>
  <c r="I10"/>
  <c r="E10"/>
  <c r="I9"/>
  <c r="E9"/>
  <c r="I8"/>
  <c r="I13" s="1"/>
  <c r="E8"/>
  <c r="E7"/>
  <c r="E6"/>
  <c r="E5"/>
  <c r="H4"/>
  <c r="I2"/>
  <c r="B38" i="12"/>
  <c r="E36"/>
  <c r="B35"/>
  <c r="E35" s="1"/>
  <c r="E32"/>
  <c r="B32"/>
  <c r="F5" i="13" s="1"/>
  <c r="E24" i="12"/>
  <c r="E22"/>
  <c r="F19" i="14" s="1"/>
  <c r="F18"/>
  <c r="D4" i="13"/>
  <c r="E16" i="12"/>
  <c r="E14"/>
  <c r="E13"/>
  <c r="E10"/>
  <c r="B9"/>
  <c r="B11" s="1"/>
  <c r="D6"/>
  <c r="E6" s="1"/>
  <c r="A6"/>
  <c r="B31" i="13" s="1"/>
  <c r="J40" i="11"/>
  <c r="K40"/>
  <c r="L40"/>
  <c r="M40"/>
  <c r="N40"/>
  <c r="I40"/>
  <c r="L39"/>
  <c r="L45" s="1"/>
  <c r="K39"/>
  <c r="J39"/>
  <c r="H39"/>
  <c r="L6"/>
  <c r="K6"/>
  <c r="J6"/>
  <c r="I6"/>
  <c r="H6"/>
  <c r="G6"/>
  <c r="L5"/>
  <c r="K5"/>
  <c r="J5"/>
  <c r="I5"/>
  <c r="H5"/>
  <c r="G5"/>
  <c r="O4"/>
  <c r="N4"/>
  <c r="M4"/>
  <c r="L3"/>
  <c r="K3"/>
  <c r="J3"/>
  <c r="I3"/>
  <c r="H3"/>
  <c r="G3"/>
  <c r="L4"/>
  <c r="K4"/>
  <c r="J4"/>
  <c r="O45"/>
  <c r="N45"/>
  <c r="M45"/>
  <c r="K45"/>
  <c r="J45"/>
  <c r="I45"/>
  <c r="H45"/>
  <c r="G45"/>
  <c r="F45"/>
  <c r="E45"/>
  <c r="D45"/>
  <c r="C44"/>
  <c r="C43"/>
  <c r="C42"/>
  <c r="C41"/>
  <c r="C40"/>
  <c r="O37"/>
  <c r="N37"/>
  <c r="N46" s="1"/>
  <c r="M37"/>
  <c r="J46"/>
  <c r="I37"/>
  <c r="H37"/>
  <c r="H46" s="1"/>
  <c r="G37"/>
  <c r="F37"/>
  <c r="F46" s="1"/>
  <c r="E37"/>
  <c r="D37"/>
  <c r="D46" s="1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5"/>
  <c r="C4"/>
  <c r="C3"/>
  <c r="I6" i="10"/>
  <c r="I7" s="1"/>
  <c r="I8" s="1"/>
  <c r="I10" s="1"/>
  <c r="I12" s="1"/>
  <c r="I14" s="1"/>
  <c r="B23" s="1"/>
  <c r="D23" s="1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A19"/>
  <c r="E18"/>
  <c r="C14"/>
  <c r="C18" s="1"/>
  <c r="D18" s="1"/>
  <c r="H7"/>
  <c r="H8" s="1"/>
  <c r="H10" s="1"/>
  <c r="H12" s="1"/>
  <c r="H14" s="1"/>
  <c r="B22" s="1"/>
  <c r="D22" s="1"/>
  <c r="G7"/>
  <c r="G8" s="1"/>
  <c r="G10" s="1"/>
  <c r="G12" s="1"/>
  <c r="G14" s="1"/>
  <c r="F7"/>
  <c r="F8" s="1"/>
  <c r="F10" s="1"/>
  <c r="F12" s="1"/>
  <c r="F14" s="1"/>
  <c r="B21" s="1"/>
  <c r="D21" s="1"/>
  <c r="E7"/>
  <c r="E8" s="1"/>
  <c r="E10" s="1"/>
  <c r="E12" s="1"/>
  <c r="E14" s="1"/>
  <c r="B20" s="1"/>
  <c r="D20" s="1"/>
  <c r="D7"/>
  <c r="D8" s="1"/>
  <c r="D10" s="1"/>
  <c r="D12" s="1"/>
  <c r="D14" s="1"/>
  <c r="B19" s="1"/>
  <c r="D19" s="1"/>
  <c r="D8" i="7"/>
  <c r="B23" i="8"/>
  <c r="B22"/>
  <c r="B21"/>
  <c r="B20"/>
  <c r="C18"/>
  <c r="C14"/>
  <c r="G14"/>
  <c r="I14"/>
  <c r="E12"/>
  <c r="E14" s="1"/>
  <c r="F12"/>
  <c r="F14" s="1"/>
  <c r="G12"/>
  <c r="H12"/>
  <c r="H14" s="1"/>
  <c r="I12"/>
  <c r="D12"/>
  <c r="D14" s="1"/>
  <c r="B19" s="1"/>
  <c r="D19" s="1"/>
  <c r="E10"/>
  <c r="F10"/>
  <c r="G10"/>
  <c r="H10"/>
  <c r="I10"/>
  <c r="D10"/>
  <c r="E8"/>
  <c r="F8"/>
  <c r="G8"/>
  <c r="H8"/>
  <c r="I8"/>
  <c r="D8"/>
  <c r="E7"/>
  <c r="F7"/>
  <c r="G7"/>
  <c r="H7"/>
  <c r="I7"/>
  <c r="D7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A19"/>
  <c r="E18"/>
  <c r="D18"/>
  <c r="D20" i="7"/>
  <c r="D19"/>
  <c r="D18"/>
  <c r="D17"/>
  <c r="D16"/>
  <c r="D14"/>
  <c r="B14"/>
  <c r="B20" s="1"/>
  <c r="D13"/>
  <c r="B13"/>
  <c r="B19" s="1"/>
  <c r="D12"/>
  <c r="B12"/>
  <c r="B18" s="1"/>
  <c r="D11"/>
  <c r="B11"/>
  <c r="B17" s="1"/>
  <c r="D10"/>
  <c r="B10"/>
  <c r="B16" s="1"/>
  <c r="D4"/>
  <c r="M122" i="4"/>
  <c r="M106"/>
  <c r="M104"/>
  <c r="M101"/>
  <c r="M102"/>
  <c r="I102"/>
  <c r="I101"/>
  <c r="I100"/>
  <c r="M100" s="1"/>
  <c r="M103"/>
  <c r="M94"/>
  <c r="F13" i="6"/>
  <c r="E13"/>
  <c r="E12"/>
  <c r="G13" s="1"/>
  <c r="F11"/>
  <c r="H11" s="1"/>
  <c r="E11"/>
  <c r="G11" s="1"/>
  <c r="G10"/>
  <c r="E10"/>
  <c r="F9"/>
  <c r="E9"/>
  <c r="E8"/>
  <c r="G9" s="1"/>
  <c r="H7"/>
  <c r="G7"/>
  <c r="G6"/>
  <c r="E6"/>
  <c r="H5"/>
  <c r="F5"/>
  <c r="B5"/>
  <c r="D5" s="1"/>
  <c r="A5"/>
  <c r="G5" s="1"/>
  <c r="H4"/>
  <c r="F4"/>
  <c r="J4" s="1"/>
  <c r="A4"/>
  <c r="C4" s="1"/>
  <c r="J3"/>
  <c r="L3" s="1"/>
  <c r="I3"/>
  <c r="K3" s="1"/>
  <c r="D3"/>
  <c r="F3" s="1"/>
  <c r="G2"/>
  <c r="E2"/>
  <c r="A2"/>
  <c r="M143" i="4"/>
  <c r="M142"/>
  <c r="M141"/>
  <c r="M140"/>
  <c r="M139"/>
  <c r="M138"/>
  <c r="M137"/>
  <c r="M136"/>
  <c r="I119"/>
  <c r="M119" s="1"/>
  <c r="E119"/>
  <c r="M96"/>
  <c r="E87"/>
  <c r="I86"/>
  <c r="I88" s="1"/>
  <c r="H86"/>
  <c r="H88" s="1"/>
  <c r="F86"/>
  <c r="E86"/>
  <c r="D86"/>
  <c r="D88" s="1"/>
  <c r="D89" s="1"/>
  <c r="C86"/>
  <c r="C88" s="1"/>
  <c r="C89" s="1"/>
  <c r="J76"/>
  <c r="J79" s="1"/>
  <c r="J81" s="1"/>
  <c r="H76"/>
  <c r="M49"/>
  <c r="I49"/>
  <c r="E49"/>
  <c r="M44"/>
  <c r="I44"/>
  <c r="M40"/>
  <c r="I40"/>
  <c r="E40"/>
  <c r="M39"/>
  <c r="I39"/>
  <c r="M38"/>
  <c r="I38"/>
  <c r="E38"/>
  <c r="M36"/>
  <c r="I36"/>
  <c r="E36"/>
  <c r="C23"/>
  <c r="N20"/>
  <c r="R19"/>
  <c r="N19"/>
  <c r="L16"/>
  <c r="L21" s="1"/>
  <c r="L23" s="1"/>
  <c r="N15"/>
  <c r="R14"/>
  <c r="P14"/>
  <c r="M45" s="1"/>
  <c r="N14"/>
  <c r="N12"/>
  <c r="E12"/>
  <c r="E77" s="1"/>
  <c r="R11"/>
  <c r="I11"/>
  <c r="I76" s="1"/>
  <c r="E11"/>
  <c r="E76" s="1"/>
  <c r="N9"/>
  <c r="U8"/>
  <c r="R8"/>
  <c r="Q8"/>
  <c r="Q11" s="1"/>
  <c r="P8"/>
  <c r="N11" s="1"/>
  <c r="E5" i="6" s="1"/>
  <c r="N8" i="4"/>
  <c r="E7"/>
  <c r="J6"/>
  <c r="I6"/>
  <c r="F6"/>
  <c r="F11" s="1"/>
  <c r="F76" s="1"/>
  <c r="E6"/>
  <c r="S5"/>
  <c r="S8" s="1"/>
  <c r="O5"/>
  <c r="O8" s="1"/>
  <c r="F13" i="3"/>
  <c r="E13"/>
  <c r="E12"/>
  <c r="F12" s="1"/>
  <c r="F11"/>
  <c r="H11" s="1"/>
  <c r="E11"/>
  <c r="G11" s="1"/>
  <c r="G10"/>
  <c r="E10"/>
  <c r="F9"/>
  <c r="E9"/>
  <c r="F8" s="1"/>
  <c r="E8"/>
  <c r="G9" s="1"/>
  <c r="H7"/>
  <c r="G7"/>
  <c r="G6"/>
  <c r="E6"/>
  <c r="H5"/>
  <c r="F5"/>
  <c r="B5"/>
  <c r="D5" s="1"/>
  <c r="A5"/>
  <c r="G5" s="1"/>
  <c r="H4"/>
  <c r="F4"/>
  <c r="J4" s="1"/>
  <c r="A4"/>
  <c r="C4" s="1"/>
  <c r="J3"/>
  <c r="L3" s="1"/>
  <c r="I3"/>
  <c r="K3" s="1"/>
  <c r="D3"/>
  <c r="F3" s="1"/>
  <c r="G2"/>
  <c r="E2"/>
  <c r="A2"/>
  <c r="M133" i="1"/>
  <c r="M132"/>
  <c r="M131"/>
  <c r="M130"/>
  <c r="M129"/>
  <c r="M128"/>
  <c r="M127"/>
  <c r="M126"/>
  <c r="I109"/>
  <c r="E109"/>
  <c r="M109" s="1"/>
  <c r="M95"/>
  <c r="D88"/>
  <c r="D89" s="1"/>
  <c r="E87"/>
  <c r="I86"/>
  <c r="I88" s="1"/>
  <c r="H86"/>
  <c r="H88" s="1"/>
  <c r="F86"/>
  <c r="E86"/>
  <c r="D86"/>
  <c r="C86"/>
  <c r="C88" s="1"/>
  <c r="C89" s="1"/>
  <c r="J76"/>
  <c r="J79" s="1"/>
  <c r="J81" s="1"/>
  <c r="H76"/>
  <c r="M49"/>
  <c r="I49"/>
  <c r="E49"/>
  <c r="M44"/>
  <c r="I44"/>
  <c r="M40"/>
  <c r="I40"/>
  <c r="E40"/>
  <c r="M39"/>
  <c r="I39"/>
  <c r="M38"/>
  <c r="I38"/>
  <c r="E38"/>
  <c r="M36"/>
  <c r="I36"/>
  <c r="E36"/>
  <c r="C23"/>
  <c r="L21"/>
  <c r="L23" s="1"/>
  <c r="N20"/>
  <c r="R19"/>
  <c r="P19"/>
  <c r="N19"/>
  <c r="L18"/>
  <c r="L16"/>
  <c r="N15"/>
  <c r="M45" s="1"/>
  <c r="R14"/>
  <c r="P14"/>
  <c r="N14"/>
  <c r="E12"/>
  <c r="E77" s="1"/>
  <c r="R11"/>
  <c r="E4" i="3" s="1"/>
  <c r="N11" i="1"/>
  <c r="F11"/>
  <c r="F76" s="1"/>
  <c r="N9"/>
  <c r="N12" s="1"/>
  <c r="U8"/>
  <c r="R8"/>
  <c r="Q8"/>
  <c r="Q11" s="1"/>
  <c r="P8"/>
  <c r="N8"/>
  <c r="E7"/>
  <c r="J6"/>
  <c r="I6"/>
  <c r="I11" s="1"/>
  <c r="F6"/>
  <c r="E6"/>
  <c r="E11" s="1"/>
  <c r="E76" s="1"/>
  <c r="O5"/>
  <c r="K81" s="1"/>
  <c r="C84" s="1"/>
  <c r="J89" i="17" l="1"/>
  <c r="I89"/>
  <c r="J90"/>
  <c r="I90"/>
  <c r="G31" i="16"/>
  <c r="H31" s="1"/>
  <c r="G14"/>
  <c r="H14" s="1"/>
  <c r="J87" i="17"/>
  <c r="K87" s="1"/>
  <c r="G6" i="16"/>
  <c r="H6" s="1"/>
  <c r="I85" i="17"/>
  <c r="I23"/>
  <c r="C18" i="15"/>
  <c r="I34" i="19"/>
  <c r="J27" i="17"/>
  <c r="F30"/>
  <c r="F82" s="1"/>
  <c r="F29"/>
  <c r="F33" s="1"/>
  <c r="I62"/>
  <c r="F62"/>
  <c r="J62"/>
  <c r="H62"/>
  <c r="H66" i="19" s="1"/>
  <c r="K89" i="17"/>
  <c r="D15" i="16"/>
  <c r="F15"/>
  <c r="D32"/>
  <c r="F32"/>
  <c r="F8" i="17"/>
  <c r="C18"/>
  <c r="C20" s="1"/>
  <c r="C22" s="1"/>
  <c r="F19"/>
  <c r="I19"/>
  <c r="I27" s="1"/>
  <c r="I29" s="1"/>
  <c r="F20"/>
  <c r="I21"/>
  <c r="H25"/>
  <c r="J25"/>
  <c r="B31"/>
  <c r="B84" s="1"/>
  <c r="H52"/>
  <c r="J52"/>
  <c r="H56"/>
  <c r="G62" i="19" s="1"/>
  <c r="J56" i="17"/>
  <c r="F64"/>
  <c r="H64"/>
  <c r="J64"/>
  <c r="F65"/>
  <c r="F66"/>
  <c r="H66"/>
  <c r="J66"/>
  <c r="F85"/>
  <c r="H85"/>
  <c r="J85"/>
  <c r="K85" s="1"/>
  <c r="I87"/>
  <c r="H90"/>
  <c r="A16" i="19"/>
  <c r="C26" s="1"/>
  <c r="I37" s="1"/>
  <c r="D56"/>
  <c r="B59" s="1"/>
  <c r="F58"/>
  <c r="J58"/>
  <c r="D2" i="15"/>
  <c r="E7"/>
  <c r="F7" s="1"/>
  <c r="B9"/>
  <c r="D9"/>
  <c r="E2" i="16"/>
  <c r="E15"/>
  <c r="G24"/>
  <c r="H24" s="1"/>
  <c r="E32"/>
  <c r="G3" i="17"/>
  <c r="H19"/>
  <c r="K50"/>
  <c r="I64"/>
  <c r="D32" i="19"/>
  <c r="B56"/>
  <c r="B17" i="12"/>
  <c r="B20" s="1"/>
  <c r="B23" s="1"/>
  <c r="B25" s="1"/>
  <c r="B27" s="1"/>
  <c r="G7" i="13" s="1"/>
  <c r="F38" i="14"/>
  <c r="H28" i="13"/>
  <c r="D9" i="12"/>
  <c r="D11" s="1"/>
  <c r="D17" s="1"/>
  <c r="D20" s="1"/>
  <c r="D23" s="1"/>
  <c r="E31" i="13"/>
  <c r="E35" s="1"/>
  <c r="F35" s="1"/>
  <c r="A28"/>
  <c r="B28" s="1"/>
  <c r="A6" i="14"/>
  <c r="B35" i="13"/>
  <c r="A4" i="14"/>
  <c r="F5"/>
  <c r="D13" i="13"/>
  <c r="E4"/>
  <c r="F6" i="14"/>
  <c r="F8"/>
  <c r="F9"/>
  <c r="F10"/>
  <c r="E13" i="13"/>
  <c r="G23"/>
  <c r="G24" s="1"/>
  <c r="H27"/>
  <c r="I27" s="1"/>
  <c r="A30"/>
  <c r="A31"/>
  <c r="H31"/>
  <c r="I31" s="1"/>
  <c r="B32"/>
  <c r="E38"/>
  <c r="H38"/>
  <c r="B41"/>
  <c r="F4"/>
  <c r="F27"/>
  <c r="F31"/>
  <c r="A34"/>
  <c r="H35"/>
  <c r="I35" s="1"/>
  <c r="B38"/>
  <c r="E41"/>
  <c r="L46" i="11"/>
  <c r="C39"/>
  <c r="C45" s="1"/>
  <c r="C46" s="1"/>
  <c r="C37"/>
  <c r="C48" s="1"/>
  <c r="E46"/>
  <c r="M46"/>
  <c r="O46"/>
  <c r="E47"/>
  <c r="F47" s="1"/>
  <c r="I46"/>
  <c r="K46"/>
  <c r="G46"/>
  <c r="F18" i="10"/>
  <c r="F71"/>
  <c r="G19" s="1"/>
  <c r="F19"/>
  <c r="A20"/>
  <c r="E19"/>
  <c r="F71" i="8"/>
  <c r="G18" s="1"/>
  <c r="F18"/>
  <c r="F19"/>
  <c r="A20"/>
  <c r="E19"/>
  <c r="F8" i="6"/>
  <c r="H9" s="1"/>
  <c r="K82" i="4"/>
  <c r="O11"/>
  <c r="B84"/>
  <c r="J82"/>
  <c r="O76"/>
  <c r="Q16"/>
  <c r="Q21" s="1"/>
  <c r="I37"/>
  <c r="I41" s="1"/>
  <c r="K81"/>
  <c r="C84" s="1"/>
  <c r="E4" i="6"/>
  <c r="H8"/>
  <c r="F12"/>
  <c r="L18" i="4"/>
  <c r="P19"/>
  <c r="E37"/>
  <c r="E41" s="1"/>
  <c r="M37"/>
  <c r="M41" s="1"/>
  <c r="C5" i="6"/>
  <c r="G4" s="1"/>
  <c r="G8"/>
  <c r="G12"/>
  <c r="Q16" i="1"/>
  <c r="Q21" s="1"/>
  <c r="O76"/>
  <c r="I37"/>
  <c r="I41" s="1"/>
  <c r="I76"/>
  <c r="M37"/>
  <c r="M41" s="1"/>
  <c r="E37"/>
  <c r="E41" s="1"/>
  <c r="J82"/>
  <c r="B84"/>
  <c r="H9" i="3"/>
  <c r="H8"/>
  <c r="H13"/>
  <c r="H12"/>
  <c r="E5"/>
  <c r="O8" i="1"/>
  <c r="C5" i="3"/>
  <c r="G4" s="1"/>
  <c r="G8"/>
  <c r="G12"/>
  <c r="G13"/>
  <c r="S5" i="1"/>
  <c r="S8" s="1"/>
  <c r="K90" i="17" l="1"/>
  <c r="D70" i="19"/>
  <c r="H21" i="17"/>
  <c r="F21"/>
  <c r="B16" i="15"/>
  <c r="J2" i="17"/>
  <c r="F2" i="16"/>
  <c r="I70" i="19"/>
  <c r="A71" s="1"/>
  <c r="K66" i="17"/>
  <c r="C24"/>
  <c r="C30" s="1"/>
  <c r="C82"/>
  <c r="J10"/>
  <c r="G32" i="16"/>
  <c r="H32" s="1"/>
  <c r="J8" i="17"/>
  <c r="F33" i="16"/>
  <c r="G15"/>
  <c r="H15" s="1"/>
  <c r="J48" i="17"/>
  <c r="K66" i="19"/>
  <c r="E66"/>
  <c r="K62" i="17"/>
  <c r="F54"/>
  <c r="F48"/>
  <c r="H36" i="19"/>
  <c r="J29" i="17"/>
  <c r="K64"/>
  <c r="K25"/>
  <c r="A57" i="19"/>
  <c r="H27" i="17"/>
  <c r="G34" i="19"/>
  <c r="H35" s="1"/>
  <c r="F28" i="17"/>
  <c r="I10"/>
  <c r="I48"/>
  <c r="I8"/>
  <c r="E33" i="16"/>
  <c r="E17" s="1"/>
  <c r="I70" i="17" s="1"/>
  <c r="J21"/>
  <c r="K21" s="1"/>
  <c r="D16" i="15"/>
  <c r="E9"/>
  <c r="F9" s="1"/>
  <c r="I62" i="19"/>
  <c r="A63" s="1"/>
  <c r="D62"/>
  <c r="K56" i="17"/>
  <c r="G57" i="19"/>
  <c r="K52" i="17"/>
  <c r="I57" i="19"/>
  <c r="F70" i="17"/>
  <c r="F11"/>
  <c r="H10"/>
  <c r="G72" s="1"/>
  <c r="H8"/>
  <c r="D33" i="16"/>
  <c r="D17" s="1"/>
  <c r="H70" i="17" s="1"/>
  <c r="F69"/>
  <c r="H48"/>
  <c r="I4"/>
  <c r="I72" s="1"/>
  <c r="C21" i="15"/>
  <c r="I6" i="17"/>
  <c r="I17" s="1"/>
  <c r="J67" i="19"/>
  <c r="K19" i="17"/>
  <c r="B46" i="13"/>
  <c r="E46" s="1"/>
  <c r="H41" s="1"/>
  <c r="E9" i="12"/>
  <c r="E11" s="1"/>
  <c r="E17" s="1"/>
  <c r="E20" s="1"/>
  <c r="E23" s="1"/>
  <c r="H42" i="13"/>
  <c r="F41"/>
  <c r="H5"/>
  <c r="H7" s="1"/>
  <c r="I4"/>
  <c r="F6"/>
  <c r="A29" i="14" s="1"/>
  <c r="E4"/>
  <c r="F4" s="1"/>
  <c r="C46" i="13"/>
  <c r="F38"/>
  <c r="H39"/>
  <c r="I38" s="1"/>
  <c r="G47" i="11"/>
  <c r="H47" s="1"/>
  <c r="I47" s="1"/>
  <c r="M47" s="1"/>
  <c r="N47" s="1"/>
  <c r="O47" s="1"/>
  <c r="G20" i="10"/>
  <c r="E20"/>
  <c r="A21"/>
  <c r="F20"/>
  <c r="H18"/>
  <c r="H17"/>
  <c r="H21"/>
  <c r="H20"/>
  <c r="H19"/>
  <c r="G18"/>
  <c r="G19" i="8"/>
  <c r="H17"/>
  <c r="H20"/>
  <c r="H19"/>
  <c r="A21"/>
  <c r="F20"/>
  <c r="G20"/>
  <c r="E20"/>
  <c r="H18"/>
  <c r="E44" i="4"/>
  <c r="E42"/>
  <c r="E43" s="1"/>
  <c r="M42"/>
  <c r="M46"/>
  <c r="M43"/>
  <c r="H13" i="6"/>
  <c r="H12"/>
  <c r="I45" i="4"/>
  <c r="I42"/>
  <c r="I43" s="1"/>
  <c r="O16"/>
  <c r="Q13"/>
  <c r="Q18" s="1"/>
  <c r="Q23" s="1"/>
  <c r="N76"/>
  <c r="N79" s="1"/>
  <c r="E44" i="1"/>
  <c r="E42"/>
  <c r="E43" s="1"/>
  <c r="E47" s="1"/>
  <c r="O11"/>
  <c r="K82"/>
  <c r="M46"/>
  <c r="M42"/>
  <c r="M43" s="1"/>
  <c r="M47" s="1"/>
  <c r="I45"/>
  <c r="I42"/>
  <c r="I43" s="1"/>
  <c r="I47" s="1"/>
  <c r="J23" i="17" l="1"/>
  <c r="D18" i="15"/>
  <c r="E16"/>
  <c r="F16" s="1"/>
  <c r="D36" i="19"/>
  <c r="G29" i="17"/>
  <c r="H29"/>
  <c r="H19" i="19"/>
  <c r="H18"/>
  <c r="A19"/>
  <c r="I51"/>
  <c r="K48" i="17"/>
  <c r="K51" i="19" s="1"/>
  <c r="F17" i="16"/>
  <c r="G33"/>
  <c r="H33" s="1"/>
  <c r="H42" i="17"/>
  <c r="H23"/>
  <c r="F23"/>
  <c r="B18" i="15"/>
  <c r="K27" i="17"/>
  <c r="I12"/>
  <c r="C24" i="15"/>
  <c r="F78" i="17"/>
  <c r="F71"/>
  <c r="F68"/>
  <c r="F13"/>
  <c r="F15" s="1"/>
  <c r="H88"/>
  <c r="H78"/>
  <c r="H68"/>
  <c r="I88"/>
  <c r="I78"/>
  <c r="I80" s="1"/>
  <c r="I68"/>
  <c r="A37" i="19"/>
  <c r="G37" s="1"/>
  <c r="K29" i="17"/>
  <c r="H16" i="19"/>
  <c r="K8" i="17"/>
  <c r="J19" i="19" s="1"/>
  <c r="K23"/>
  <c r="K10" i="17"/>
  <c r="J47"/>
  <c r="G31"/>
  <c r="G84" s="1"/>
  <c r="D3" i="19"/>
  <c r="D35" i="16"/>
  <c r="F5" i="17" s="1"/>
  <c r="F9" s="1"/>
  <c r="F49" s="1"/>
  <c r="E35" i="16"/>
  <c r="I41" i="13"/>
  <c r="F2" i="14"/>
  <c r="E25" i="12"/>
  <c r="F31" i="14" s="1"/>
  <c r="E7"/>
  <c r="F7" s="1"/>
  <c r="E12"/>
  <c r="F12" s="1"/>
  <c r="G21" i="10"/>
  <c r="E21"/>
  <c r="A22"/>
  <c r="F21"/>
  <c r="G21" i="8"/>
  <c r="E21"/>
  <c r="A22"/>
  <c r="F21"/>
  <c r="H21"/>
  <c r="E47" i="4"/>
  <c r="E50" s="1"/>
  <c r="I47"/>
  <c r="I50" s="1"/>
  <c r="O14"/>
  <c r="S14" s="1"/>
  <c r="S19" s="1"/>
  <c r="O21"/>
  <c r="O19"/>
  <c r="M47"/>
  <c r="I50" i="1"/>
  <c r="M50"/>
  <c r="E50"/>
  <c r="M48"/>
  <c r="M35" s="1"/>
  <c r="E48"/>
  <c r="I48"/>
  <c r="I35" s="1"/>
  <c r="E35"/>
  <c r="N76"/>
  <c r="N79" s="1"/>
  <c r="O16"/>
  <c r="Q13"/>
  <c r="Q18" s="1"/>
  <c r="Q23" s="1"/>
  <c r="E16" i="19" l="1"/>
  <c r="A10"/>
  <c r="C52"/>
  <c r="A18"/>
  <c r="H6" i="17"/>
  <c r="H17" s="1"/>
  <c r="H31" i="19" s="1"/>
  <c r="F4" i="17"/>
  <c r="F6" s="1"/>
  <c r="F17" s="1"/>
  <c r="H4"/>
  <c r="B21" i="15"/>
  <c r="K23" i="17"/>
  <c r="F81"/>
  <c r="H80"/>
  <c r="I74"/>
  <c r="I76" s="1"/>
  <c r="I14"/>
  <c r="F47" i="19"/>
  <c r="J47" s="1"/>
  <c r="K42" i="17"/>
  <c r="H47" i="19" s="1"/>
  <c r="J88" i="17"/>
  <c r="K88" s="1"/>
  <c r="J78"/>
  <c r="J68"/>
  <c r="G17" i="16"/>
  <c r="H17" s="1"/>
  <c r="J70" i="17"/>
  <c r="F35" i="16"/>
  <c r="G35" s="1"/>
  <c r="H35" s="1"/>
  <c r="J6" i="17"/>
  <c r="J4"/>
  <c r="D21" i="15"/>
  <c r="E18"/>
  <c r="F18" s="1"/>
  <c r="E27" i="12"/>
  <c r="I5" i="13" s="1"/>
  <c r="I7" s="1"/>
  <c r="F20" i="14"/>
  <c r="F33" s="1"/>
  <c r="F40" s="1"/>
  <c r="F42" s="1"/>
  <c r="I22" i="13" s="1"/>
  <c r="G22" i="10"/>
  <c r="E22"/>
  <c r="A23"/>
  <c r="F22"/>
  <c r="H22"/>
  <c r="A23" i="8"/>
  <c r="F22"/>
  <c r="G22"/>
  <c r="E22"/>
  <c r="H22"/>
  <c r="M50" i="4"/>
  <c r="E48"/>
  <c r="I48"/>
  <c r="I35" s="1"/>
  <c r="M48"/>
  <c r="M35" s="1"/>
  <c r="O21" i="1"/>
  <c r="O19"/>
  <c r="O14"/>
  <c r="S14" s="1"/>
  <c r="S19" s="1"/>
  <c r="M93"/>
  <c r="I82"/>
  <c r="K75"/>
  <c r="F13" i="19" l="1"/>
  <c r="C10"/>
  <c r="H13"/>
  <c r="J17" i="17"/>
  <c r="K6"/>
  <c r="J13" i="19" s="1"/>
  <c r="F3"/>
  <c r="K4" i="17"/>
  <c r="A5" i="19" s="1"/>
  <c r="J74" s="1"/>
  <c r="J72" i="17"/>
  <c r="K78"/>
  <c r="J80"/>
  <c r="K80" s="1"/>
  <c r="F74" i="19"/>
  <c r="J4"/>
  <c r="H74" s="1"/>
  <c r="H72" i="17"/>
  <c r="F72"/>
  <c r="J12"/>
  <c r="D24" i="15"/>
  <c r="E21"/>
  <c r="F21" s="1"/>
  <c r="K70" i="17"/>
  <c r="I26" i="19"/>
  <c r="K68" i="17"/>
  <c r="D27" i="19"/>
  <c r="H12" i="17"/>
  <c r="B24" i="15"/>
  <c r="F12" i="17"/>
  <c r="E78" i="19"/>
  <c r="H52"/>
  <c r="A27"/>
  <c r="I23"/>
  <c r="I23" i="13"/>
  <c r="I24" s="1"/>
  <c r="H22"/>
  <c r="H23" s="1"/>
  <c r="E23"/>
  <c r="E24" s="1"/>
  <c r="G23" i="10"/>
  <c r="E23"/>
  <c r="A24"/>
  <c r="F23"/>
  <c r="H23"/>
  <c r="G23" i="8"/>
  <c r="E23"/>
  <c r="A24"/>
  <c r="F23"/>
  <c r="H23"/>
  <c r="I82" i="4"/>
  <c r="K75"/>
  <c r="E35"/>
  <c r="M77" i="1"/>
  <c r="P76"/>
  <c r="I79" s="1"/>
  <c r="M76"/>
  <c r="M79" s="1"/>
  <c r="L5" i="3"/>
  <c r="J5" s="1"/>
  <c r="L4"/>
  <c r="E88" i="1"/>
  <c r="E89" s="1"/>
  <c r="A84"/>
  <c r="A129"/>
  <c r="I92"/>
  <c r="F74" i="17" l="1"/>
  <c r="H46"/>
  <c r="H14"/>
  <c r="F14"/>
  <c r="H74"/>
  <c r="I46"/>
  <c r="I28" i="19"/>
  <c r="H81" s="1"/>
  <c r="H27"/>
  <c r="G28"/>
  <c r="D81" s="1"/>
  <c r="D22"/>
  <c r="C23" s="1"/>
  <c r="G79" s="1"/>
  <c r="K12" i="17"/>
  <c r="K5" i="19"/>
  <c r="H75" s="1"/>
  <c r="F5"/>
  <c r="F75" s="1"/>
  <c r="H5"/>
  <c r="J46" i="17"/>
  <c r="K46" s="1"/>
  <c r="J14"/>
  <c r="J74"/>
  <c r="E24" i="15"/>
  <c r="F24" s="1"/>
  <c r="G25" i="19"/>
  <c r="K72" i="17"/>
  <c r="B24" i="19"/>
  <c r="I80" s="1"/>
  <c r="K25"/>
  <c r="H3"/>
  <c r="E76" s="1"/>
  <c r="G24"/>
  <c r="C80" s="1"/>
  <c r="K17" i="17"/>
  <c r="J31" i="19"/>
  <c r="E31"/>
  <c r="I10"/>
  <c r="G12"/>
  <c r="E77" s="1"/>
  <c r="A25" i="10"/>
  <c r="F24"/>
  <c r="I24"/>
  <c r="G24"/>
  <c r="E24"/>
  <c r="H24"/>
  <c r="A25" i="8"/>
  <c r="F24"/>
  <c r="I24"/>
  <c r="G24"/>
  <c r="E24"/>
  <c r="H24"/>
  <c r="M76" i="4"/>
  <c r="M77"/>
  <c r="P76"/>
  <c r="I79" s="1"/>
  <c r="A139"/>
  <c r="I93"/>
  <c r="L5" i="6"/>
  <c r="J5" s="1"/>
  <c r="L4"/>
  <c r="E88" i="4"/>
  <c r="E89" s="1"/>
  <c r="A84"/>
  <c r="F129" i="1"/>
  <c r="C129"/>
  <c r="E129" s="1"/>
  <c r="J129" s="1"/>
  <c r="N129" s="1"/>
  <c r="A133"/>
  <c r="A132"/>
  <c r="A131"/>
  <c r="A130"/>
  <c r="A128"/>
  <c r="A127"/>
  <c r="A126"/>
  <c r="R129"/>
  <c r="V129" s="1"/>
  <c r="U129"/>
  <c r="I4" i="3"/>
  <c r="K105" i="1"/>
  <c r="E92"/>
  <c r="M92" s="1"/>
  <c r="M94" s="1"/>
  <c r="M96" s="1"/>
  <c r="M111" s="1"/>
  <c r="I5" i="3"/>
  <c r="K5" s="1"/>
  <c r="I105" i="1"/>
  <c r="M105" s="1"/>
  <c r="A106" s="1"/>
  <c r="I81"/>
  <c r="A81" s="1"/>
  <c r="K14" i="17" l="1"/>
  <c r="K74"/>
  <c r="J76"/>
  <c r="F77"/>
  <c r="H76"/>
  <c r="I25" i="10"/>
  <c r="G25"/>
  <c r="E25"/>
  <c r="I26"/>
  <c r="A26"/>
  <c r="F25"/>
  <c r="H25"/>
  <c r="I25" i="8"/>
  <c r="G25"/>
  <c r="E25"/>
  <c r="I26"/>
  <c r="A26"/>
  <c r="F25"/>
  <c r="H25"/>
  <c r="M79" i="4"/>
  <c r="I81" s="1"/>
  <c r="A81" s="1"/>
  <c r="I5" i="6"/>
  <c r="K5" s="1"/>
  <c r="I115" i="4"/>
  <c r="I4" i="6"/>
  <c r="K115" i="4"/>
  <c r="E93"/>
  <c r="M93" s="1"/>
  <c r="M95" s="1"/>
  <c r="M97" s="1"/>
  <c r="M121" s="1"/>
  <c r="A143"/>
  <c r="A142"/>
  <c r="A141"/>
  <c r="A140"/>
  <c r="A138"/>
  <c r="A137"/>
  <c r="A136"/>
  <c r="F139"/>
  <c r="C139"/>
  <c r="E139" s="1"/>
  <c r="U139"/>
  <c r="R139"/>
  <c r="F127" i="1"/>
  <c r="C127"/>
  <c r="E127" s="1"/>
  <c r="J127" s="1"/>
  <c r="N127" s="1"/>
  <c r="R127"/>
  <c r="U127"/>
  <c r="F130"/>
  <c r="C130"/>
  <c r="E130" s="1"/>
  <c r="J130" s="1"/>
  <c r="N130" s="1"/>
  <c r="R130"/>
  <c r="U130"/>
  <c r="F132"/>
  <c r="C132"/>
  <c r="E132" s="1"/>
  <c r="J132" s="1"/>
  <c r="N132" s="1"/>
  <c r="R132"/>
  <c r="U132"/>
  <c r="F126"/>
  <c r="C126"/>
  <c r="E126" s="1"/>
  <c r="J126" s="1"/>
  <c r="N126" s="1"/>
  <c r="R126"/>
  <c r="U126"/>
  <c r="F128"/>
  <c r="C128"/>
  <c r="E128" s="1"/>
  <c r="J128" s="1"/>
  <c r="N128" s="1"/>
  <c r="R128"/>
  <c r="U128"/>
  <c r="F131"/>
  <c r="C131"/>
  <c r="E131" s="1"/>
  <c r="J131" s="1"/>
  <c r="N131" s="1"/>
  <c r="R131"/>
  <c r="U131"/>
  <c r="F133"/>
  <c r="C133"/>
  <c r="E133" s="1"/>
  <c r="J133" s="1"/>
  <c r="N133" s="1"/>
  <c r="R133"/>
  <c r="U133"/>
  <c r="K76" i="17" l="1"/>
  <c r="I27" i="10"/>
  <c r="A27"/>
  <c r="F26"/>
  <c r="G26"/>
  <c r="E26"/>
  <c r="H26"/>
  <c r="I27" i="8"/>
  <c r="A27"/>
  <c r="F26"/>
  <c r="G26"/>
  <c r="E26"/>
  <c r="H26"/>
  <c r="V139" i="4"/>
  <c r="J139"/>
  <c r="N139" s="1"/>
  <c r="F136"/>
  <c r="C136"/>
  <c r="E136" s="1"/>
  <c r="R136"/>
  <c r="U136"/>
  <c r="F138"/>
  <c r="C138"/>
  <c r="E138" s="1"/>
  <c r="R138"/>
  <c r="U138"/>
  <c r="F141"/>
  <c r="C141"/>
  <c r="E141" s="1"/>
  <c r="U141"/>
  <c r="R141"/>
  <c r="F143"/>
  <c r="C143"/>
  <c r="E143" s="1"/>
  <c r="U143"/>
  <c r="R143"/>
  <c r="M115"/>
  <c r="A116" s="1"/>
  <c r="F137"/>
  <c r="C137"/>
  <c r="E137" s="1"/>
  <c r="U137"/>
  <c r="R137"/>
  <c r="F140"/>
  <c r="C140"/>
  <c r="E140" s="1"/>
  <c r="R140"/>
  <c r="U140"/>
  <c r="F142"/>
  <c r="C142"/>
  <c r="E142" s="1"/>
  <c r="R142"/>
  <c r="U142"/>
  <c r="V133" i="1"/>
  <c r="V131"/>
  <c r="V128"/>
  <c r="V126"/>
  <c r="V132"/>
  <c r="V130"/>
  <c r="V127"/>
  <c r="G27" i="10" l="1"/>
  <c r="E27"/>
  <c r="I28"/>
  <c r="A28"/>
  <c r="F27"/>
  <c r="H27"/>
  <c r="G27" i="8"/>
  <c r="E27"/>
  <c r="I28"/>
  <c r="A28"/>
  <c r="F27"/>
  <c r="H27"/>
  <c r="J142" i="4"/>
  <c r="N142" s="1"/>
  <c r="J140"/>
  <c r="N140" s="1"/>
  <c r="V137"/>
  <c r="J137"/>
  <c r="N137" s="1"/>
  <c r="V138"/>
  <c r="V136"/>
  <c r="V142"/>
  <c r="V140"/>
  <c r="V143"/>
  <c r="J143"/>
  <c r="N143" s="1"/>
  <c r="V141"/>
  <c r="J141"/>
  <c r="N141" s="1"/>
  <c r="J138"/>
  <c r="N138" s="1"/>
  <c r="J136"/>
  <c r="N136" s="1"/>
  <c r="I29" i="10" l="1"/>
  <c r="A29"/>
  <c r="F28"/>
  <c r="G28"/>
  <c r="E28"/>
  <c r="H28"/>
  <c r="I29" i="8"/>
  <c r="A29"/>
  <c r="F28"/>
  <c r="G28"/>
  <c r="E28"/>
  <c r="H28"/>
  <c r="G29" i="10" l="1"/>
  <c r="E29"/>
  <c r="I30"/>
  <c r="A30"/>
  <c r="F29"/>
  <c r="H29"/>
  <c r="G29" i="8"/>
  <c r="E29"/>
  <c r="I30"/>
  <c r="A30"/>
  <c r="F29"/>
  <c r="H29"/>
  <c r="I31" i="10" l="1"/>
  <c r="A31"/>
  <c r="F30"/>
  <c r="G30"/>
  <c r="E30"/>
  <c r="H30"/>
  <c r="I31" i="8"/>
  <c r="A31"/>
  <c r="F30"/>
  <c r="G30"/>
  <c r="E30"/>
  <c r="H30"/>
  <c r="G31" i="10" l="1"/>
  <c r="E31"/>
  <c r="I32"/>
  <c r="A32"/>
  <c r="F31"/>
  <c r="H31"/>
  <c r="G31" i="8"/>
  <c r="E31"/>
  <c r="I32"/>
  <c r="A32"/>
  <c r="F31"/>
  <c r="H31"/>
  <c r="I33" i="10" l="1"/>
  <c r="A33"/>
  <c r="F32"/>
  <c r="G32"/>
  <c r="E32"/>
  <c r="H32"/>
  <c r="I33" i="8"/>
  <c r="A33"/>
  <c r="F32"/>
  <c r="G32"/>
  <c r="E32"/>
  <c r="H32"/>
  <c r="G33" i="10" l="1"/>
  <c r="E33"/>
  <c r="I34"/>
  <c r="A34"/>
  <c r="F33"/>
  <c r="H33"/>
  <c r="G33" i="8"/>
  <c r="E33"/>
  <c r="I34"/>
  <c r="A34"/>
  <c r="F33"/>
  <c r="H33"/>
  <c r="I35" i="10" l="1"/>
  <c r="A35"/>
  <c r="F34"/>
  <c r="G34"/>
  <c r="E34"/>
  <c r="H34"/>
  <c r="I35" i="8"/>
  <c r="A35"/>
  <c r="F34"/>
  <c r="G34"/>
  <c r="E34"/>
  <c r="H34"/>
  <c r="G35" i="10" l="1"/>
  <c r="E35"/>
  <c r="I36"/>
  <c r="A36"/>
  <c r="F35"/>
  <c r="H35"/>
  <c r="G35" i="8"/>
  <c r="E35"/>
  <c r="I36"/>
  <c r="A36"/>
  <c r="F35"/>
  <c r="H35"/>
  <c r="I37" i="10" l="1"/>
  <c r="A37"/>
  <c r="F36"/>
  <c r="G36"/>
  <c r="E36"/>
  <c r="H36"/>
  <c r="I37" i="8"/>
  <c r="A37"/>
  <c r="F36"/>
  <c r="G36"/>
  <c r="E36"/>
  <c r="H36"/>
  <c r="G37" i="10" l="1"/>
  <c r="E37"/>
  <c r="I38"/>
  <c r="A38"/>
  <c r="F37"/>
  <c r="H37"/>
  <c r="G37" i="8"/>
  <c r="E37"/>
  <c r="I38"/>
  <c r="A38"/>
  <c r="F37"/>
  <c r="H37"/>
  <c r="I39" i="10" l="1"/>
  <c r="A39"/>
  <c r="F38"/>
  <c r="G38"/>
  <c r="E38"/>
  <c r="H38"/>
  <c r="I39" i="8"/>
  <c r="A39"/>
  <c r="F38"/>
  <c r="G38"/>
  <c r="E38"/>
  <c r="H38"/>
  <c r="G39" i="10" l="1"/>
  <c r="E39"/>
  <c r="I40"/>
  <c r="A40"/>
  <c r="F39"/>
  <c r="H39"/>
  <c r="G39" i="8"/>
  <c r="E39"/>
  <c r="I40"/>
  <c r="A40"/>
  <c r="F39"/>
  <c r="H39"/>
  <c r="I41" i="10" l="1"/>
  <c r="A41"/>
  <c r="F40"/>
  <c r="G40"/>
  <c r="E40"/>
  <c r="H40"/>
  <c r="I41" i="8"/>
  <c r="A41"/>
  <c r="F40"/>
  <c r="G40"/>
  <c r="E40"/>
  <c r="H40"/>
  <c r="G41" i="10" l="1"/>
  <c r="E41"/>
  <c r="I42"/>
  <c r="A42"/>
  <c r="F41"/>
  <c r="H41"/>
  <c r="G41" i="8"/>
  <c r="E41"/>
  <c r="I42"/>
  <c r="A42"/>
  <c r="F41"/>
  <c r="H41"/>
  <c r="I43" i="10" l="1"/>
  <c r="A43"/>
  <c r="F42"/>
  <c r="G42"/>
  <c r="E42"/>
  <c r="H42"/>
  <c r="I43" i="8"/>
  <c r="A43"/>
  <c r="F42"/>
  <c r="G42"/>
  <c r="E42"/>
  <c r="H42"/>
  <c r="G43" i="10" l="1"/>
  <c r="E43"/>
  <c r="I44"/>
  <c r="A44"/>
  <c r="F43"/>
  <c r="H43"/>
  <c r="G43" i="8"/>
  <c r="E43"/>
  <c r="I44"/>
  <c r="A44"/>
  <c r="F43"/>
  <c r="H43"/>
  <c r="I45" i="10" l="1"/>
  <c r="A45"/>
  <c r="F44"/>
  <c r="G44"/>
  <c r="E44"/>
  <c r="H44"/>
  <c r="I45" i="8"/>
  <c r="A45"/>
  <c r="F44"/>
  <c r="G44"/>
  <c r="E44"/>
  <c r="H44"/>
  <c r="G45" i="10" l="1"/>
  <c r="E45"/>
  <c r="I46"/>
  <c r="A46"/>
  <c r="F45"/>
  <c r="H45"/>
  <c r="G45" i="8"/>
  <c r="E45"/>
  <c r="I46"/>
  <c r="A46"/>
  <c r="F45"/>
  <c r="H45"/>
  <c r="I47" i="10" l="1"/>
  <c r="A47"/>
  <c r="F46"/>
  <c r="G46"/>
  <c r="E46"/>
  <c r="H46"/>
  <c r="I47" i="8"/>
  <c r="A47"/>
  <c r="F46"/>
  <c r="G46"/>
  <c r="E46"/>
  <c r="H46"/>
  <c r="G47" i="10" l="1"/>
  <c r="E47"/>
  <c r="I48"/>
  <c r="A48"/>
  <c r="F47"/>
  <c r="H47"/>
  <c r="G47" i="8"/>
  <c r="E47"/>
  <c r="I48"/>
  <c r="A48"/>
  <c r="F47"/>
  <c r="H47"/>
  <c r="I49" i="10" l="1"/>
  <c r="A49"/>
  <c r="F48"/>
  <c r="G48"/>
  <c r="E48"/>
  <c r="H48"/>
  <c r="I49" i="8"/>
  <c r="A49"/>
  <c r="F48"/>
  <c r="G48"/>
  <c r="E48"/>
  <c r="H48"/>
  <c r="G49" i="10" l="1"/>
  <c r="E49"/>
  <c r="I50"/>
  <c r="A50"/>
  <c r="F49"/>
  <c r="H49"/>
  <c r="G49" i="8"/>
  <c r="E49"/>
  <c r="I50"/>
  <c r="A50"/>
  <c r="F49"/>
  <c r="H49"/>
  <c r="I51" i="10" l="1"/>
  <c r="A51"/>
  <c r="F50"/>
  <c r="G50"/>
  <c r="E50"/>
  <c r="H50"/>
  <c r="I51" i="8"/>
  <c r="A51"/>
  <c r="F50"/>
  <c r="G50"/>
  <c r="E50"/>
  <c r="H50"/>
  <c r="G51" i="10" l="1"/>
  <c r="E51"/>
  <c r="I52"/>
  <c r="A52"/>
  <c r="F51"/>
  <c r="H51"/>
  <c r="G51" i="8"/>
  <c r="E51"/>
  <c r="I52"/>
  <c r="A52"/>
  <c r="F51"/>
  <c r="H51"/>
  <c r="I53" i="10" l="1"/>
  <c r="A53"/>
  <c r="F52"/>
  <c r="G52"/>
  <c r="E52"/>
  <c r="H52"/>
  <c r="I53" i="8"/>
  <c r="A53"/>
  <c r="F52"/>
  <c r="G52"/>
  <c r="E52"/>
  <c r="H52"/>
  <c r="G53" i="10" l="1"/>
  <c r="E53"/>
  <c r="I54"/>
  <c r="A54"/>
  <c r="F53"/>
  <c r="H53"/>
  <c r="G53" i="8"/>
  <c r="E53"/>
  <c r="I54"/>
  <c r="A54"/>
  <c r="F53"/>
  <c r="H53"/>
  <c r="I55" i="10" l="1"/>
  <c r="A55"/>
  <c r="F54"/>
  <c r="G54"/>
  <c r="E54"/>
  <c r="H54"/>
  <c r="I55" i="8"/>
  <c r="A55"/>
  <c r="F54"/>
  <c r="G54"/>
  <c r="E54"/>
  <c r="H54"/>
  <c r="G55" i="10" l="1"/>
  <c r="E55"/>
  <c r="I56"/>
  <c r="A56"/>
  <c r="F55"/>
  <c r="H55"/>
  <c r="G55" i="8"/>
  <c r="E55"/>
  <c r="I56"/>
  <c r="A56"/>
  <c r="F55"/>
  <c r="H55"/>
  <c r="I57" i="10" l="1"/>
  <c r="A57"/>
  <c r="F56"/>
  <c r="G56"/>
  <c r="E56"/>
  <c r="H56"/>
  <c r="I57" i="8"/>
  <c r="A57"/>
  <c r="F56"/>
  <c r="G56"/>
  <c r="E56"/>
  <c r="H56"/>
  <c r="G57" i="10" l="1"/>
  <c r="E57"/>
  <c r="I58"/>
  <c r="A58"/>
  <c r="F57"/>
  <c r="H57"/>
  <c r="G57" i="8"/>
  <c r="E57"/>
  <c r="I58"/>
  <c r="A58"/>
  <c r="F57"/>
  <c r="H57"/>
  <c r="I59" i="10" l="1"/>
  <c r="A59"/>
  <c r="F58"/>
  <c r="G58"/>
  <c r="E58"/>
  <c r="H58"/>
  <c r="I59" i="8"/>
  <c r="A59"/>
  <c r="F58"/>
  <c r="G58"/>
  <c r="E58"/>
  <c r="H58"/>
  <c r="G59" i="10" l="1"/>
  <c r="E59"/>
  <c r="I60"/>
  <c r="A60"/>
  <c r="F59"/>
  <c r="H59"/>
  <c r="G59" i="8"/>
  <c r="E59"/>
  <c r="I60"/>
  <c r="A60"/>
  <c r="F59"/>
  <c r="H59"/>
  <c r="I61" i="10" l="1"/>
  <c r="A61"/>
  <c r="F60"/>
  <c r="G60"/>
  <c r="E60"/>
  <c r="H60"/>
  <c r="I61" i="8"/>
  <c r="A61"/>
  <c r="F60"/>
  <c r="G60"/>
  <c r="E60"/>
  <c r="H60"/>
  <c r="G61" i="10" l="1"/>
  <c r="E61"/>
  <c r="I62"/>
  <c r="A62"/>
  <c r="F61"/>
  <c r="H61"/>
  <c r="G61" i="8"/>
  <c r="E61"/>
  <c r="I62"/>
  <c r="A62"/>
  <c r="F61"/>
  <c r="H61"/>
  <c r="I63" i="10" l="1"/>
  <c r="A63"/>
  <c r="F62"/>
  <c r="G62"/>
  <c r="E62"/>
  <c r="H62"/>
  <c r="I63" i="8"/>
  <c r="A63"/>
  <c r="F62"/>
  <c r="G62"/>
  <c r="E62"/>
  <c r="H62"/>
  <c r="G63" i="10" l="1"/>
  <c r="E63"/>
  <c r="I64"/>
  <c r="A64"/>
  <c r="F63"/>
  <c r="H63"/>
  <c r="G63" i="8"/>
  <c r="E63"/>
  <c r="I64"/>
  <c r="A64"/>
  <c r="F63"/>
  <c r="H63"/>
  <c r="I65" i="10" l="1"/>
  <c r="A65"/>
  <c r="F64"/>
  <c r="G64"/>
  <c r="E64"/>
  <c r="H64"/>
  <c r="I65" i="8"/>
  <c r="A65"/>
  <c r="F64"/>
  <c r="G64"/>
  <c r="E64"/>
  <c r="H64"/>
  <c r="G65" i="10" l="1"/>
  <c r="E65"/>
  <c r="I66"/>
  <c r="A66"/>
  <c r="F65"/>
  <c r="H65"/>
  <c r="G65" i="8"/>
  <c r="E65"/>
  <c r="I66"/>
  <c r="A66"/>
  <c r="F65"/>
  <c r="H65"/>
  <c r="I67" i="10" l="1"/>
  <c r="A67"/>
  <c r="F66"/>
  <c r="G66"/>
  <c r="E66"/>
  <c r="H66"/>
  <c r="I67" i="8"/>
  <c r="A67"/>
  <c r="F66"/>
  <c r="G66"/>
  <c r="E66"/>
  <c r="H66"/>
  <c r="G67" i="10" l="1"/>
  <c r="E67"/>
  <c r="I68"/>
  <c r="A68"/>
  <c r="F67"/>
  <c r="H67"/>
  <c r="G67" i="8"/>
  <c r="E67"/>
  <c r="I68"/>
  <c r="A68"/>
  <c r="F67"/>
  <c r="H67"/>
  <c r="F68" i="10" l="1"/>
  <c r="G68"/>
  <c r="E68"/>
  <c r="H68"/>
  <c r="H69" s="1"/>
  <c r="F68" i="8"/>
  <c r="G68"/>
  <c r="E68"/>
  <c r="H68"/>
  <c r="H69" s="1"/>
  <c r="F73" i="10" l="1"/>
  <c r="F74" s="1"/>
  <c r="F72" s="1"/>
  <c r="F69"/>
  <c r="F73" i="8"/>
  <c r="F74" s="1"/>
  <c r="F72" s="1"/>
  <c r="F69"/>
  <c r="I19" i="10" l="1"/>
  <c r="I19" i="8"/>
  <c r="F70" i="10" l="1"/>
  <c r="I20"/>
  <c r="I21"/>
  <c r="I22"/>
  <c r="I23"/>
  <c r="F70" i="8"/>
  <c r="A77" s="1"/>
  <c r="I20"/>
  <c r="I21"/>
  <c r="I22"/>
  <c r="I23"/>
</calcChain>
</file>

<file path=xl/comments1.xml><?xml version="1.0" encoding="utf-8"?>
<comments xmlns="http://schemas.openxmlformats.org/spreadsheetml/2006/main">
  <authors>
    <author>Brygger</author>
  </authors>
  <commentList>
    <comment ref="E3" authorId="0">
      <text>
        <r>
          <rPr>
            <sz val="20"/>
            <color indexed="81"/>
            <rFont val="Tahoma"/>
            <family val="2"/>
          </rPr>
          <t>I</t>
        </r>
        <r>
          <rPr>
            <b/>
            <sz val="20"/>
            <color indexed="81"/>
            <rFont val="Tahoma"/>
            <family val="2"/>
          </rPr>
          <t>ndtast tælleren i brøken. Hvis det ikke er en brøk 
indtastes det hele tal her.
Hvis der ikke er nogen hældning, dvs. hvis afsætningskurven er vandret skal der stå 0 her</t>
        </r>
      </text>
    </comment>
    <comment ref="E4" authorId="0">
      <text>
        <r>
          <rPr>
            <b/>
            <sz val="20"/>
            <color indexed="81"/>
            <rFont val="Tahoma"/>
            <family val="2"/>
          </rPr>
          <t>Indtast nævneren i brøken. Hvis hældningskoefficienten er et helt tal tastes 1 her.
Hvis der ikke er nogen hældning på MR - kurven dvs. den er vandret skal der også stå 1 her.</t>
        </r>
        <r>
          <rPr>
            <sz val="20"/>
            <color indexed="81"/>
            <rFont val="Tahoma"/>
            <family val="2"/>
          </rPr>
          <t xml:space="preserve">
</t>
        </r>
      </text>
    </comment>
    <comment ref="N5" authorId="0">
      <text>
        <r>
          <rPr>
            <b/>
            <sz val="20"/>
            <color indexed="81"/>
            <rFont val="Tahoma"/>
            <family val="2"/>
          </rPr>
          <t xml:space="preserve">Hvis der ikke er nogen hældning på MC - kurven dvs. den er vandret skal der stå 0 her.
</t>
        </r>
        <r>
          <rPr>
            <sz val="20"/>
            <color indexed="81"/>
            <rFont val="Tahoma"/>
            <family val="2"/>
          </rPr>
          <t xml:space="preserve">
</t>
        </r>
      </text>
    </comment>
    <comment ref="N6" authorId="0">
      <text>
        <r>
          <rPr>
            <b/>
            <sz val="20"/>
            <color indexed="81"/>
            <rFont val="Tahoma"/>
            <family val="2"/>
          </rPr>
          <t xml:space="preserve">Hvis der ikke er nogen hældning på MC - kurven dvs. den er vandret skal der stå 1 her.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Brygger</author>
  </authors>
  <commentList>
    <comment ref="E3" authorId="0">
      <text>
        <r>
          <rPr>
            <sz val="20"/>
            <color indexed="81"/>
            <rFont val="Tahoma"/>
            <family val="2"/>
          </rPr>
          <t>I</t>
        </r>
        <r>
          <rPr>
            <b/>
            <sz val="20"/>
            <color indexed="81"/>
            <rFont val="Tahoma"/>
            <family val="2"/>
          </rPr>
          <t>ndtast tælleren i brøken. Hvis det ikke er en brøk 
indtastes det hele tal her.
Hvis der ikke er nogen hældning, dvs. hvis afsætningskurven er vandret skal der stå 0 her</t>
        </r>
      </text>
    </comment>
    <comment ref="E4" authorId="0">
      <text>
        <r>
          <rPr>
            <b/>
            <sz val="20"/>
            <color indexed="81"/>
            <rFont val="Tahoma"/>
            <family val="2"/>
          </rPr>
          <t>Indtast nævneren i brøken. Hvis hældningskoefficienten er et helt tal tastes 1 her.
Hvis der ikke er nogen hældning på MR - kurven dvs. den er vandret skal der også stå 1 her.</t>
        </r>
        <r>
          <rPr>
            <sz val="20"/>
            <color indexed="81"/>
            <rFont val="Tahoma"/>
            <family val="2"/>
          </rPr>
          <t xml:space="preserve">
</t>
        </r>
      </text>
    </comment>
    <comment ref="N5" authorId="0">
      <text>
        <r>
          <rPr>
            <b/>
            <sz val="20"/>
            <color indexed="81"/>
            <rFont val="Tahoma"/>
            <family val="2"/>
          </rPr>
          <t xml:space="preserve">Hvis der ikke er nogen hældning på MC - kurven dvs. den er vandret skal der stå 0 her.
</t>
        </r>
        <r>
          <rPr>
            <sz val="20"/>
            <color indexed="81"/>
            <rFont val="Tahoma"/>
            <family val="2"/>
          </rPr>
          <t xml:space="preserve">
</t>
        </r>
      </text>
    </comment>
    <comment ref="N6" authorId="0">
      <text>
        <r>
          <rPr>
            <b/>
            <sz val="20"/>
            <color indexed="81"/>
            <rFont val="Tahoma"/>
            <family val="2"/>
          </rPr>
          <t xml:space="preserve">Hvis der ikke er nogen hældning på MC - kurven dvs. den er vandret skal der stå 1 her.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IT Afdelingen</author>
    <author>Roskilde Handelsskole</author>
    <author>IT afdelingen</author>
  </authors>
  <commentList>
    <comment ref="B2" authorId="0">
      <text>
        <r>
          <rPr>
            <b/>
            <sz val="8"/>
            <color indexed="81"/>
            <rFont val="Tahoma"/>
            <family val="2"/>
          </rPr>
          <t>Her indtastes årstal for regnskabsåret, de andre årstal justeres i forhold til dette</t>
        </r>
      </text>
    </comment>
    <comment ref="A5" authorId="1">
      <text>
        <r>
          <rPr>
            <b/>
            <sz val="14"/>
            <color indexed="81"/>
            <rFont val="Tahoma"/>
            <family val="2"/>
          </rPr>
          <t xml:space="preserve">Her skal du bestemme om det er en produktions eller en handelsvirksomhed.
Hvis det er en produktionsvirksomhed skriver du </t>
        </r>
        <r>
          <rPr>
            <b/>
            <i/>
            <sz val="16"/>
            <color indexed="81"/>
            <rFont val="Tahoma"/>
            <family val="2"/>
          </rPr>
          <t>Råvarer</t>
        </r>
        <r>
          <rPr>
            <b/>
            <sz val="14"/>
            <color indexed="81"/>
            <rFont val="Tahoma"/>
            <family val="2"/>
          </rPr>
          <t xml:space="preserve">.
Hvis det er en handelsvirksomhed skriver du </t>
        </r>
        <r>
          <rPr>
            <b/>
            <i/>
            <sz val="16"/>
            <color indexed="81"/>
            <rFont val="Tahoma"/>
            <family val="2"/>
          </rPr>
          <t>Vareforbrug</t>
        </r>
      </text>
    </comment>
    <comment ref="B36" authorId="2">
      <text>
        <r>
          <rPr>
            <b/>
            <sz val="8"/>
            <color indexed="81"/>
            <rFont val="Tahoma"/>
            <family val="2"/>
          </rPr>
          <t>Hvis der er en kassekredit i opgaven skal der angives et max. Hvis der ikke er angivet et max. i opgaven kan max sættes til primo saldoen.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38" authorId="2">
      <text>
        <r>
          <rPr>
            <b/>
            <sz val="12"/>
            <color indexed="81"/>
            <rFont val="Tahoma"/>
            <family val="2"/>
          </rPr>
          <t>Her skal du bestemme om opgaven skal udarbejdes exclusiv eller inclklusiv moms.
Hvis du vil lave opgaven exclusiv moms tastes: 0</t>
        </r>
        <r>
          <rPr>
            <b/>
            <sz val="12"/>
            <color indexed="81"/>
            <rFont val="Tahoma"/>
            <family val="2"/>
          </rPr>
          <t xml:space="preserve">
Hvis du vil lave opgaven inclusiv moms tastes en momsprocent. I Danmark 25%,
tast: 25</t>
        </r>
        <r>
          <rPr>
            <sz val="12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Per</author>
    <author>IT afdelingen</author>
    <author>Brygger</author>
    <author>Roskilde Handelsskole</author>
  </authors>
  <commentList>
    <comment ref="F4" authorId="0">
      <text>
        <r>
          <rPr>
            <sz val="8"/>
            <color indexed="81"/>
            <rFont val="Tahoma"/>
            <family val="2"/>
          </rPr>
          <t xml:space="preserve">Teksten ændrer sig. Hvis der tastes 0 i reserver i resultat budgettet bliver teksten til Egenkapital ellers aktiekapital.
</t>
        </r>
      </text>
    </comment>
    <comment ref="I6" authorId="0">
      <text>
        <r>
          <rPr>
            <b/>
            <sz val="8"/>
            <color indexed="81"/>
            <rFont val="Tahoma"/>
            <family val="2"/>
          </rPr>
          <t>Der skal ikke tastes minus foran privatforbruget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11" authorId="1">
      <text>
        <r>
          <rPr>
            <b/>
            <sz val="14"/>
            <color indexed="81"/>
            <rFont val="Tahoma"/>
            <family val="2"/>
          </rPr>
          <t>Når der afdrages på gælden skal der tastes minus foran tallet.</t>
        </r>
      </text>
    </comment>
    <comment ref="A15" authorId="2">
      <text>
        <r>
          <rPr>
            <b/>
            <sz val="8"/>
            <color indexed="81"/>
            <rFont val="Tahoma"/>
            <family val="2"/>
          </rPr>
          <t>Varelageret må ikke laves om da det danner grundlag for omsætningshastigheden på varelageret</t>
        </r>
      </text>
    </comment>
    <comment ref="F15" authorId="2">
      <text>
        <r>
          <rPr>
            <b/>
            <sz val="8"/>
            <color indexed="81"/>
            <rFont val="Tahoma"/>
            <family val="2"/>
          </rPr>
          <t>Varekreditorerne må ikke laves om da det danner grundlag for omsætningshastigheden på varekreditorer og kreditdage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6" authorId="1">
      <text>
        <r>
          <rPr>
            <b/>
            <sz val="8"/>
            <color indexed="81"/>
            <rFont val="Tahoma"/>
            <family val="2"/>
          </rPr>
          <t>Tast ikke her, det er en celle til produktionen(VUF) i en produktionsvirksomhed</t>
        </r>
      </text>
    </comment>
    <comment ref="A17" authorId="1">
      <text>
        <r>
          <rPr>
            <b/>
            <sz val="8"/>
            <color indexed="81"/>
            <rFont val="Tahoma"/>
            <family val="2"/>
          </rPr>
          <t xml:space="preserve">Tast ikke her, 
det er en celle til færdigvarerlageret i en produktionsvirksomhed
</t>
        </r>
      </text>
    </comment>
    <comment ref="A18" authorId="2">
      <text>
        <r>
          <rPr>
            <b/>
            <sz val="8"/>
            <color indexed="81"/>
            <rFont val="Tahoma"/>
            <family val="2"/>
          </rPr>
          <t xml:space="preserve">Varedebitorerne må ikke laves om da det danner grundlag for omsætningshastigheden på varedebitorer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22" authorId="1">
      <text>
        <r>
          <rPr>
            <b/>
            <sz val="16"/>
            <color indexed="81"/>
            <rFont val="Tahoma"/>
            <family val="2"/>
          </rPr>
          <t xml:space="preserve">Hvis der indtastes en kassekredit skal der også indtastes et max. Hvis intet max. er oplyst kan det sættes til saldoen på kassekreditten primo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24" authorId="3">
      <text>
        <r>
          <rPr>
            <b/>
            <sz val="8"/>
            <color indexed="8"/>
            <rFont val="Tahoma"/>
            <family val="2"/>
          </rPr>
          <t>Indtast ikke i felter markeret med fed</t>
        </r>
      </text>
    </comment>
  </commentList>
</comments>
</file>

<file path=xl/comments5.xml><?xml version="1.0" encoding="utf-8"?>
<comments xmlns="http://schemas.openxmlformats.org/spreadsheetml/2006/main">
  <authors>
    <author>Roskilde Handelsskole</author>
    <author>Brygger</author>
  </authors>
  <commentList>
    <comment ref="A1" authorId="0">
      <text>
        <r>
          <rPr>
            <b/>
            <sz val="8"/>
            <color indexed="81"/>
            <rFont val="Tahoma"/>
            <family val="2"/>
          </rPr>
          <t>Indtast et firma navn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2" authorId="1">
      <text>
        <r>
          <rPr>
            <sz val="8"/>
            <color indexed="8"/>
            <rFont val="Tahoma"/>
            <family val="2"/>
          </rPr>
          <t>Indsæt årstal. De andre årstal i opgaven justeres efter dette årstal.
Der skal ikke tastes minus foran udgifterne. 
Der må ikke indtastes i beregningscellerne som er markeret med</t>
        </r>
        <r>
          <rPr>
            <b/>
            <sz val="8"/>
            <color indexed="8"/>
            <rFont val="Tahoma"/>
            <family val="2"/>
          </rPr>
          <t xml:space="preserve"> fed</t>
        </r>
        <r>
          <rPr>
            <sz val="8"/>
            <color indexed="8"/>
            <rFont val="Tahoma"/>
            <family val="2"/>
          </rPr>
          <t xml:space="preserve"> (Dækningsbidrag, IB, osv.)</t>
        </r>
      </text>
    </comment>
    <comment ref="B20" authorId="0">
      <text>
        <r>
          <rPr>
            <b/>
            <sz val="8"/>
            <color indexed="58"/>
            <rFont val="Tahoma"/>
            <family val="2"/>
          </rPr>
          <t>Der skal ikke tastes minus foran renteudgifterne</t>
        </r>
      </text>
    </comment>
  </commentList>
</comments>
</file>

<file path=xl/comments6.xml><?xml version="1.0" encoding="utf-8"?>
<comments xmlns="http://schemas.openxmlformats.org/spreadsheetml/2006/main">
  <authors>
    <author>Jesper Brygger</author>
    <author>Brygger</author>
    <author>Roskilde Handelsskole</author>
  </authors>
  <commentList>
    <comment ref="F1" authorId="0">
      <text>
        <r>
          <rPr>
            <b/>
            <sz val="8"/>
            <color indexed="81"/>
            <rFont val="Tahoma"/>
            <family val="2"/>
          </rPr>
          <t>Du kan få vist kolonne G og H ved at markere kolonne F og I,
Venstre klikke på musen og vælge vis.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8" authorId="1">
      <text>
        <r>
          <rPr>
            <b/>
            <sz val="8"/>
            <color indexed="81"/>
            <rFont val="Tahoma"/>
            <family val="2"/>
          </rPr>
          <t>Varelageret må ikke laves om da det danner grundlag for omsætningshastigheden på varelageret</t>
        </r>
      </text>
    </comment>
    <comment ref="A9" authorId="1">
      <text>
        <r>
          <rPr>
            <b/>
            <sz val="8"/>
            <color indexed="81"/>
            <rFont val="Tahoma"/>
            <family val="2"/>
          </rPr>
          <t xml:space="preserve">Varedebitorerne må ikke laves om da det danner grundlag for omsætningshastigheden på varedebitorer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15" authorId="2">
      <text>
        <r>
          <rPr>
            <b/>
            <sz val="8"/>
            <color indexed="8"/>
            <rFont val="Tahoma"/>
            <family val="2"/>
          </rPr>
          <t>Indtast ikke i felter markeret med fed</t>
        </r>
      </text>
    </comment>
    <comment ref="D17" authorId="2">
      <text>
        <r>
          <rPr>
            <b/>
            <sz val="8"/>
            <color indexed="8"/>
            <rFont val="Tahoma"/>
            <family val="2"/>
          </rPr>
          <t>Der skal ikke indtastes beløb her
(Dette er en beregningscelle)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D19" authorId="1">
      <text>
        <r>
          <rPr>
            <b/>
            <sz val="8"/>
            <color indexed="81"/>
            <rFont val="Tahoma"/>
            <family val="2"/>
          </rPr>
          <t>Indtast her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21" authorId="1">
      <text>
        <r>
          <rPr>
            <sz val="8"/>
            <color indexed="81"/>
            <rFont val="Tahoma"/>
            <family val="2"/>
          </rPr>
          <t xml:space="preserve">Hvis langfristet gæld  ikke er udspecificeret kan den indtastes her som samlet langfristet gæld
</t>
        </r>
      </text>
    </comment>
    <comment ref="D24" authorId="1">
      <text>
        <r>
          <rPr>
            <b/>
            <sz val="8"/>
            <color indexed="81"/>
            <rFont val="Tahoma"/>
            <family val="2"/>
          </rPr>
          <t>Indtast ikke her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25" authorId="1">
      <text>
        <r>
          <rPr>
            <b/>
            <sz val="8"/>
            <color indexed="81"/>
            <rFont val="Tahoma"/>
            <family val="2"/>
          </rPr>
          <t>Hvis gælden ikke er udspecificeret kan den indtastes her som samlet kortfristet gæld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6" authorId="1">
      <text>
        <r>
          <rPr>
            <b/>
            <sz val="8"/>
            <color indexed="81"/>
            <rFont val="Tahoma"/>
            <family val="2"/>
          </rPr>
          <t>Varekreditorerne må ikke laves om da det danner grundlag for omsætningshastigheden på varekreditorer og kreditdage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Roskilde Handelsskole</author>
    <author>Brygger</author>
  </authors>
  <commentList>
    <comment ref="J25" authorId="0">
      <text>
        <r>
          <rPr>
            <sz val="12"/>
            <color indexed="8"/>
            <rFont val="Tahoma"/>
            <family val="2"/>
          </rPr>
          <t>Hvis resultatet er over 1 er der overskud.
Hvis resultatet er under 1 er der underskud. Jo større jo bedre.</t>
        </r>
      </text>
    </comment>
    <comment ref="H64" authorId="1">
      <text>
        <r>
          <rPr>
            <sz val="12"/>
            <color indexed="81"/>
            <rFont val="Tahoma"/>
            <family val="2"/>
          </rPr>
          <t>Skal helst være over 100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<sst xmlns="http://schemas.openxmlformats.org/spreadsheetml/2006/main" count="768" uniqueCount="475">
  <si>
    <t>DK</t>
  </si>
  <si>
    <t>Prisoptimering</t>
  </si>
  <si>
    <t>Ligninger for Indtægterne:</t>
  </si>
  <si>
    <t>Ligninger for omkostningerne:</t>
  </si>
  <si>
    <t>Afsætning</t>
  </si>
  <si>
    <t>P</t>
  </si>
  <si>
    <t>=</t>
  </si>
  <si>
    <t>X</t>
  </si>
  <si>
    <t>+</t>
  </si>
  <si>
    <t>FO</t>
  </si>
  <si>
    <t>VO</t>
  </si>
  <si>
    <t>Omsætning</t>
  </si>
  <si>
    <t>TO</t>
  </si>
  <si>
    <t>MR</t>
  </si>
  <si>
    <r>
      <t>MC</t>
    </r>
    <r>
      <rPr>
        <b/>
        <vertAlign val="subscript"/>
        <sz val="10"/>
        <rFont val="Arial"/>
        <family val="2"/>
      </rPr>
      <t>(1)</t>
    </r>
  </si>
  <si>
    <t xml:space="preserve">indtil </t>
  </si>
  <si>
    <r>
      <t>VO</t>
    </r>
    <r>
      <rPr>
        <b/>
        <vertAlign val="subscript"/>
        <sz val="10"/>
        <rFont val="Arial"/>
        <family val="2"/>
      </rPr>
      <t>(2)</t>
    </r>
  </si>
  <si>
    <r>
      <t>MC</t>
    </r>
    <r>
      <rPr>
        <b/>
        <vertAlign val="subscript"/>
        <sz val="10"/>
        <rFont val="Arial"/>
        <family val="2"/>
      </rPr>
      <t>(2)</t>
    </r>
  </si>
  <si>
    <r>
      <t>VO</t>
    </r>
    <r>
      <rPr>
        <b/>
        <vertAlign val="subscript"/>
        <sz val="10"/>
        <rFont val="Arial"/>
        <family val="2"/>
      </rPr>
      <t>(3)</t>
    </r>
  </si>
  <si>
    <r>
      <t>MC</t>
    </r>
    <r>
      <rPr>
        <b/>
        <vertAlign val="subscript"/>
        <sz val="10"/>
        <rFont val="Arial"/>
        <family val="2"/>
      </rPr>
      <t>(3)</t>
    </r>
  </si>
  <si>
    <t>Max.kapacitet</t>
  </si>
  <si>
    <t>Løsning</t>
  </si>
  <si>
    <t>Udregning af løsninger:</t>
  </si>
  <si>
    <t>Mængde beregnet</t>
  </si>
  <si>
    <t>Mængde max. MC</t>
  </si>
  <si>
    <t>Mængde min. MC</t>
  </si>
  <si>
    <t>Samlet mængde max.</t>
  </si>
  <si>
    <t>Optimal mængde</t>
  </si>
  <si>
    <t>Pris</t>
  </si>
  <si>
    <t>omsætning</t>
  </si>
  <si>
    <t>vo(1)</t>
  </si>
  <si>
    <t>Vo(2)</t>
  </si>
  <si>
    <t>Vo(3)</t>
  </si>
  <si>
    <t>DB</t>
  </si>
  <si>
    <t>Max DB</t>
  </si>
  <si>
    <t>Faste</t>
  </si>
  <si>
    <t>Overskud</t>
  </si>
  <si>
    <t>For at finde det optimale/maksimale Dækningsbidrag skal vi sætte MR lig med MC, derved finder vi den optimale mængde:</t>
  </si>
  <si>
    <t>indsættes i afsætningsfunktionen og man får prisen til:</t>
  </si>
  <si>
    <t>Resultatopgørelse</t>
  </si>
  <si>
    <t>*</t>
  </si>
  <si>
    <t>-VO</t>
  </si>
  <si>
    <t>Opgave 1.2</t>
  </si>
  <si>
    <t>Priselasticitet i optimum:</t>
  </si>
  <si>
    <t>Formel (nedre p-akse / øvre p-akse)*-1</t>
  </si>
  <si>
    <t>/</t>
  </si>
  <si>
    <t>Opgave 1.1</t>
  </si>
  <si>
    <t>Overskud før</t>
  </si>
  <si>
    <t>Ændring i dækninsbidraget</t>
  </si>
  <si>
    <t>Tabel løsning prisoptimering</t>
  </si>
  <si>
    <t>Mængde</t>
  </si>
  <si>
    <t xml:space="preserve">VO </t>
  </si>
  <si>
    <t>Faste omk.</t>
  </si>
  <si>
    <t>MC</t>
  </si>
  <si>
    <t>(MR-MC)</t>
  </si>
  <si>
    <t>Data til grafen</t>
  </si>
  <si>
    <t>Optimal pris</t>
  </si>
  <si>
    <t xml:space="preserve">Pris </t>
  </si>
  <si>
    <t>Dækningsbidrag</t>
  </si>
  <si>
    <t>Nyt samlet DB</t>
  </si>
  <si>
    <t>Ændring i DB</t>
  </si>
  <si>
    <t>Opgave 1.3 og 1.4</t>
  </si>
  <si>
    <t xml:space="preserve">Det er lønsomt at sælge til grossisten. </t>
  </si>
  <si>
    <t>Prisen på det oprindelige marked skal sættes op og dermed falder mængden.</t>
  </si>
  <si>
    <t>Det samlede DB er 3.860.000 større end det oprindelige.</t>
  </si>
  <si>
    <t>Værdier</t>
  </si>
  <si>
    <t>Resultat</t>
  </si>
  <si>
    <t>N</t>
  </si>
  <si>
    <t>antal terminer, f.eks år</t>
  </si>
  <si>
    <t>I%</t>
  </si>
  <si>
    <t>renten</t>
  </si>
  <si>
    <t>PV</t>
  </si>
  <si>
    <t>Present value, nutidsværdi</t>
  </si>
  <si>
    <t>PMT</t>
  </si>
  <si>
    <t>Betaling pr. termin, ydelsen</t>
  </si>
  <si>
    <t>FV</t>
  </si>
  <si>
    <t>Future value</t>
  </si>
  <si>
    <t>Skærmbillede 2:</t>
  </si>
  <si>
    <t>Skærmbillede 3:</t>
  </si>
  <si>
    <t>år</t>
  </si>
  <si>
    <t>rente</t>
  </si>
  <si>
    <t>Tid / År</t>
  </si>
  <si>
    <t>Indbetalinger</t>
  </si>
  <si>
    <t>Udbetalinger</t>
  </si>
  <si>
    <t>Net Cash-Flow</t>
  </si>
  <si>
    <r>
      <t>Diskonteringsfaktoren Rentetabel 2  (1+r)</t>
    </r>
    <r>
      <rPr>
        <b/>
        <vertAlign val="superscript"/>
        <sz val="12"/>
        <rFont val="Arial"/>
        <family val="2"/>
      </rPr>
      <t>-n</t>
    </r>
  </si>
  <si>
    <r>
      <t xml:space="preserve">Nutidsværdi </t>
    </r>
    <r>
      <rPr>
        <b/>
        <vertAlign val="superscript"/>
        <sz val="12"/>
        <rFont val="Arial"/>
        <family val="2"/>
      </rPr>
      <t xml:space="preserve"> Diskonteringsfaktoren * Net cash-flow</t>
    </r>
  </si>
  <si>
    <r>
      <t>Diskonteringsfaktoren   (1+r)</t>
    </r>
    <r>
      <rPr>
        <b/>
        <vertAlign val="superscript"/>
        <sz val="12"/>
        <rFont val="Arial"/>
        <family val="2"/>
      </rPr>
      <t xml:space="preserve">-n </t>
    </r>
    <r>
      <rPr>
        <b/>
        <sz val="12"/>
        <rFont val="Arial"/>
        <family val="2"/>
      </rPr>
      <t>ved IRR</t>
    </r>
  </si>
  <si>
    <r>
      <t>NPV omregnet til en  annuitet = ((1+r)</t>
    </r>
    <r>
      <rPr>
        <b/>
        <vertAlign val="superscript"/>
        <sz val="12"/>
        <rFont val="Arial"/>
        <family val="2"/>
      </rPr>
      <t xml:space="preserve">n </t>
    </r>
    <r>
      <rPr>
        <b/>
        <sz val="12"/>
        <rFont val="Arial"/>
        <family val="2"/>
      </rPr>
      <t>*r) / ((1+r)</t>
    </r>
    <r>
      <rPr>
        <b/>
        <vertAlign val="superscript"/>
        <sz val="12"/>
        <rFont val="Arial"/>
        <family val="2"/>
      </rPr>
      <t>n</t>
    </r>
    <r>
      <rPr>
        <b/>
        <sz val="12"/>
        <rFont val="Arial"/>
        <family val="2"/>
      </rPr>
      <t>-1)</t>
    </r>
  </si>
  <si>
    <t>NPV, nutidsværdimetoden, kapitalværdienmetoden</t>
  </si>
  <si>
    <t>Annuitetsmetoden (Det årlige resultat)/PMT</t>
  </si>
  <si>
    <t>Den interne rente (IRR)</t>
  </si>
  <si>
    <t>Tilbagebetalingstiden i år (pay -back)</t>
  </si>
  <si>
    <t>nutidsværdi</t>
  </si>
  <si>
    <t>omregnet til en annuitet</t>
  </si>
  <si>
    <t>Kommentarer:</t>
  </si>
  <si>
    <t>Opgave 2</t>
  </si>
  <si>
    <t>tid 0</t>
  </si>
  <si>
    <t>år 1</t>
  </si>
  <si>
    <t>år 2</t>
  </si>
  <si>
    <t>år 3</t>
  </si>
  <si>
    <t>år 4</t>
  </si>
  <si>
    <t>år 5</t>
  </si>
  <si>
    <t>Investering</t>
  </si>
  <si>
    <t>Efterudd.</t>
  </si>
  <si>
    <t>Opstilling</t>
  </si>
  <si>
    <t>Mer-Omsætning</t>
  </si>
  <si>
    <t>-vo</t>
  </si>
  <si>
    <t>-salgs og admomk.</t>
  </si>
  <si>
    <t>Mer-MFB</t>
  </si>
  <si>
    <t>+besparelse arb.løn</t>
  </si>
  <si>
    <t>Mer-cash flow</t>
  </si>
  <si>
    <t>Samlet cash flow</t>
  </si>
  <si>
    <t>Scrapværdi</t>
  </si>
  <si>
    <t>Mer-DB</t>
  </si>
  <si>
    <t>Klargøring må højst koste:</t>
  </si>
  <si>
    <t>2.1</t>
  </si>
  <si>
    <t>2.2</t>
  </si>
  <si>
    <t>Det må højst koste 200.000 + npv 145.335 i alt 345.335 kr.</t>
  </si>
  <si>
    <t>Maks pris opstilling og klargøring</t>
  </si>
  <si>
    <t>145.335 / 0,62092 = 234.064 så meget kan indtægten i år 5 falde med. Da dette er 40% divideres med 40 og ganges med 100 = 585.160,50 så meget kan omsætningen falde med i år 5. I ovenstående eksempel er omsætningen sat ned med beløbet og investeringen går lige i "0" / breakeven.</t>
  </si>
  <si>
    <t>2.3</t>
  </si>
  <si>
    <t>2.4</t>
  </si>
  <si>
    <t>Anælgsinvestering, risiko</t>
  </si>
  <si>
    <t xml:space="preserve">Udgifter  </t>
  </si>
  <si>
    <t>Kommentar</t>
  </si>
  <si>
    <t>i alt</t>
  </si>
  <si>
    <t>januar</t>
  </si>
  <si>
    <t>februar</t>
  </si>
  <si>
    <t>marts</t>
  </si>
  <si>
    <t>april</t>
  </si>
  <si>
    <t>maj</t>
  </si>
  <si>
    <t>juni</t>
  </si>
  <si>
    <t>juli</t>
  </si>
  <si>
    <t>august</t>
  </si>
  <si>
    <t>september</t>
  </si>
  <si>
    <t>oktober</t>
  </si>
  <si>
    <t>november</t>
  </si>
  <si>
    <t>december</t>
  </si>
  <si>
    <t>Udgifter i alt</t>
  </si>
  <si>
    <t>Indtægter:</t>
  </si>
  <si>
    <t>Indtægter i alt</t>
  </si>
  <si>
    <t>Net cash flow</t>
  </si>
  <si>
    <t>G.snit udgifter pr. md.</t>
  </si>
  <si>
    <t xml:space="preserve"> Budget for 3 kvartal 2010</t>
  </si>
  <si>
    <t>Råvarer</t>
  </si>
  <si>
    <t>Råvarer kontant</t>
  </si>
  <si>
    <t>Råvarer kredit</t>
  </si>
  <si>
    <t>arbejdsløn</t>
  </si>
  <si>
    <t>Salgsomk.</t>
  </si>
  <si>
    <t>Varesalg 50% 30 dage</t>
  </si>
  <si>
    <t>Varesalg 50% 60 dage</t>
  </si>
  <si>
    <t>kontante kap.</t>
  </si>
  <si>
    <t>Nye maskiner</t>
  </si>
  <si>
    <t>renter</t>
  </si>
  <si>
    <t>afdrag</t>
  </si>
  <si>
    <t>Bruttofortjeneste</t>
  </si>
  <si>
    <t>Salgsfremmende omk.</t>
  </si>
  <si>
    <t>Markedsføringsbidrag</t>
  </si>
  <si>
    <t>Kontantekapacitets omk.</t>
  </si>
  <si>
    <t>Lokale omk.</t>
  </si>
  <si>
    <t>Gager</t>
  </si>
  <si>
    <t>Øvrige omk.</t>
  </si>
  <si>
    <t>Indtjeningsbidrag</t>
  </si>
  <si>
    <t>Afskrivninger</t>
  </si>
  <si>
    <t>Resultat før renter</t>
  </si>
  <si>
    <t>Renteomkostninger</t>
  </si>
  <si>
    <t>Renteindtægter</t>
  </si>
  <si>
    <t>Ekstraordinære omk.</t>
  </si>
  <si>
    <t>Resultat før skat</t>
  </si>
  <si>
    <t>Skat</t>
  </si>
  <si>
    <t>Resultat fordeling</t>
  </si>
  <si>
    <t>Udbytte</t>
  </si>
  <si>
    <t>Reserver</t>
  </si>
  <si>
    <t>Ændring</t>
  </si>
  <si>
    <t>Kassekredit max.</t>
  </si>
  <si>
    <t xml:space="preserve">Beregningerne er foretaget </t>
  </si>
  <si>
    <t>Aktie emmision</t>
  </si>
  <si>
    <t>Budgetteret Balance</t>
  </si>
  <si>
    <t>Aktiver:</t>
  </si>
  <si>
    <t>Passiver:</t>
  </si>
  <si>
    <t>Anlægsaktiver:</t>
  </si>
  <si>
    <t>køb</t>
  </si>
  <si>
    <t>Afskrivning</t>
  </si>
  <si>
    <t>Egenkapital:</t>
  </si>
  <si>
    <t>Anlægsaktiver</t>
  </si>
  <si>
    <t>Grunde &amp; bygninger</t>
  </si>
  <si>
    <t>Egenkapital ultimo</t>
  </si>
  <si>
    <t>Hensættelser</t>
  </si>
  <si>
    <t>Tekniske anlæg</t>
  </si>
  <si>
    <t>Langfristet gæld:</t>
  </si>
  <si>
    <t>Nyt lån til investeringer</t>
  </si>
  <si>
    <t>Prioritetegæld</t>
  </si>
  <si>
    <t>Biler</t>
  </si>
  <si>
    <t>Realkreditinstitutter</t>
  </si>
  <si>
    <t>Anlægsaktiver i alt</t>
  </si>
  <si>
    <t>Langfristet gæld i alt</t>
  </si>
  <si>
    <t xml:space="preserve">Omsætningsaktiver: </t>
  </si>
  <si>
    <t>Kortfristet gæld:</t>
  </si>
  <si>
    <t>Varekreditorer</t>
  </si>
  <si>
    <t>Forudbetalinger</t>
  </si>
  <si>
    <t>Varedebitorer</t>
  </si>
  <si>
    <t>Anden gæld</t>
  </si>
  <si>
    <t>Periodeafg.</t>
  </si>
  <si>
    <t>-</t>
  </si>
  <si>
    <t>Værdipapirer</t>
  </si>
  <si>
    <t>Øvrig kortfristet gæld</t>
  </si>
  <si>
    <t>Andre debitorer</t>
  </si>
  <si>
    <t>Likvide midler</t>
  </si>
  <si>
    <t xml:space="preserve">Omsætningsaktiver i alt </t>
  </si>
  <si>
    <t>Kortfristet gæld i alt</t>
  </si>
  <si>
    <t>Aktiver i alt</t>
  </si>
  <si>
    <t>Passiver i alt</t>
  </si>
  <si>
    <t>Omsætningshastigheder:</t>
  </si>
  <si>
    <t>Formel:</t>
  </si>
  <si>
    <t>*Varekøb  =</t>
  </si>
  <si>
    <t xml:space="preserve">Likviditetsbudget </t>
  </si>
  <si>
    <t>Ændringer i omsætningsaktiver:</t>
  </si>
  <si>
    <t>Primo</t>
  </si>
  <si>
    <t>Ultimo</t>
  </si>
  <si>
    <t>Ændringer i kortfristet gæld:</t>
  </si>
  <si>
    <t>Driftens likviditetsvirkning</t>
  </si>
  <si>
    <t>Anlægsinvesteringer:</t>
  </si>
  <si>
    <t>Køb af anlægsaktiver</t>
  </si>
  <si>
    <t>Finansielle indbetalinger:</t>
  </si>
  <si>
    <t>Finansielle udbetalinger:</t>
  </si>
  <si>
    <t>Periodens Likviditetsforskydning</t>
  </si>
  <si>
    <t>Likvide beholdninger Primo:</t>
  </si>
  <si>
    <t>Træk på kassekredit</t>
  </si>
  <si>
    <t>likvide beholdninger</t>
  </si>
  <si>
    <t>Likvide beholdninger Ultimo</t>
  </si>
  <si>
    <t>Juli</t>
  </si>
  <si>
    <t xml:space="preserve">aug </t>
  </si>
  <si>
    <t>sept</t>
  </si>
  <si>
    <t>Arbejdsløn</t>
  </si>
  <si>
    <t>Salgsomkostninger</t>
  </si>
  <si>
    <t>Nye maskiner afskrivning</t>
  </si>
  <si>
    <t xml:space="preserve">Resultat </t>
  </si>
  <si>
    <t>Råvarelager</t>
  </si>
  <si>
    <t>Færdigvarerlager</t>
  </si>
  <si>
    <t>30/9 -sep.</t>
  </si>
  <si>
    <t>Gæld på KK primo</t>
  </si>
  <si>
    <t>Gæld på Kassekreditten Ultimo</t>
  </si>
  <si>
    <t>Resultatbudget for 3 kv 2010</t>
  </si>
  <si>
    <t>Balance poster</t>
  </si>
  <si>
    <t>Likvider primo</t>
  </si>
  <si>
    <t>Gæld KK primo</t>
  </si>
  <si>
    <t>Gæld KK ultimo</t>
  </si>
  <si>
    <t>3.4</t>
  </si>
  <si>
    <t>Likviditeten er i perioden forbedret. Den kan yderligere forbedres ved at:</t>
  </si>
  <si>
    <t>Mere kontant salg.</t>
  </si>
  <si>
    <t xml:space="preserve">Større lån ved nyinvesteringer </t>
  </si>
  <si>
    <t>Forlænge kredittiden til leverandører</t>
  </si>
  <si>
    <t>Sommer A/S</t>
  </si>
  <si>
    <t>Resultatopgørelse til analysebrug</t>
  </si>
  <si>
    <t>Årstal</t>
  </si>
  <si>
    <t xml:space="preserve">Ændring </t>
  </si>
  <si>
    <t>% ændring</t>
  </si>
  <si>
    <t>Nettoomsætning</t>
  </si>
  <si>
    <t>Råvarerforbrug</t>
  </si>
  <si>
    <t>Variable salagsomk.</t>
  </si>
  <si>
    <t>Bruttoresultat</t>
  </si>
  <si>
    <t>Markedsføringbidrag</t>
  </si>
  <si>
    <t>Lokale</t>
  </si>
  <si>
    <t>Reparation &amp; vedligehold</t>
  </si>
  <si>
    <t>Øverige omk.</t>
  </si>
  <si>
    <t>Resultat før renter (EBIT)</t>
  </si>
  <si>
    <t>Rente indtægter</t>
  </si>
  <si>
    <t>Rente omkostninger</t>
  </si>
  <si>
    <t>Resultat efter renter</t>
  </si>
  <si>
    <t>Resultat efter skat</t>
  </si>
  <si>
    <t>Yderligere oplysninger:</t>
  </si>
  <si>
    <t>Antal ansatte</t>
  </si>
  <si>
    <t>Antal aktier</t>
  </si>
  <si>
    <t>Børskurs</t>
  </si>
  <si>
    <t>Balance til analysebrug</t>
  </si>
  <si>
    <t>Balance</t>
  </si>
  <si>
    <t>%ændring</t>
  </si>
  <si>
    <t>Varelager</t>
  </si>
  <si>
    <t>Likvide</t>
  </si>
  <si>
    <t>Egenkapital</t>
  </si>
  <si>
    <t>Gæld i alt</t>
  </si>
  <si>
    <t>difference</t>
  </si>
  <si>
    <t xml:space="preserve">Regnskabsanalyse </t>
  </si>
  <si>
    <t>Rentabilitet:</t>
  </si>
  <si>
    <t>Formler</t>
  </si>
  <si>
    <t>Beregning for</t>
  </si>
  <si>
    <t>Afkastningsgrad</t>
  </si>
  <si>
    <t>*100</t>
  </si>
  <si>
    <t>Overskudsgrad</t>
  </si>
  <si>
    <t>Aktivernes omh.</t>
  </si>
  <si>
    <t>Gældsrente</t>
  </si>
  <si>
    <t>Gæld incl. Hensættelser</t>
  </si>
  <si>
    <t>Egenkapital forrentning</t>
  </si>
  <si>
    <t>før skat</t>
  </si>
  <si>
    <t>Egenkapitalen primo</t>
  </si>
  <si>
    <t>efter skat</t>
  </si>
  <si>
    <t>Indtjeningsevne:</t>
  </si>
  <si>
    <t>overskudsgrad</t>
  </si>
  <si>
    <t>Dækningsgrad</t>
  </si>
  <si>
    <t>Markdesføringsgraden</t>
  </si>
  <si>
    <t>Indtjeningsgraden</t>
  </si>
  <si>
    <t>Kapacitetsgraden</t>
  </si>
  <si>
    <t>Kapacitetsomk incl afskrivninger</t>
  </si>
  <si>
    <t>Nulpunktsomsætning</t>
  </si>
  <si>
    <t xml:space="preserve">Sikkerhedsmargin </t>
  </si>
  <si>
    <t>Omsætning - Nulpunktoms.</t>
  </si>
  <si>
    <t>Indeks:</t>
  </si>
  <si>
    <t>= 100  basisåret</t>
  </si>
  <si>
    <t>Eksempel for året</t>
  </si>
  <si>
    <t>Årets tal</t>
  </si>
  <si>
    <t>Basisårets tal</t>
  </si>
  <si>
    <t>Kapitaltilpasningen</t>
  </si>
  <si>
    <t>Varelagerets omh.</t>
  </si>
  <si>
    <t>lagerdage</t>
  </si>
  <si>
    <t>Varedebitorerne omh.</t>
  </si>
  <si>
    <t>*1,25</t>
  </si>
  <si>
    <t>Forudsætning: 100% kreditsalg</t>
  </si>
  <si>
    <t>Skylddage</t>
  </si>
  <si>
    <t>Varekreditorernes omh</t>
  </si>
  <si>
    <r>
      <t xml:space="preserve">Kreditkøb  </t>
    </r>
    <r>
      <rPr>
        <b/>
        <sz val="10"/>
        <rFont val="Arial"/>
        <family val="2"/>
      </rPr>
      <t>¤</t>
    </r>
  </si>
  <si>
    <r>
      <t>¤</t>
    </r>
    <r>
      <rPr>
        <sz val="10"/>
        <rFont val="Arial"/>
        <family val="2"/>
      </rPr>
      <t xml:space="preserve"> Kreditkøb er defineret som varforbrug + ultimo lager - primo lager</t>
    </r>
  </si>
  <si>
    <t>Det forudsættes at der ikke er lagerændringer det første år.</t>
  </si>
  <si>
    <t>kreditdage</t>
  </si>
  <si>
    <t>Likviditetsgrad II</t>
  </si>
  <si>
    <t>Oms. Aktiver ex. Varelager</t>
  </si>
  <si>
    <t>Acid test</t>
  </si>
  <si>
    <t>Kortfristet gæld</t>
  </si>
  <si>
    <t>Likviditetsgrad I</t>
  </si>
  <si>
    <t>Omsætningsaktiver</t>
  </si>
  <si>
    <t>Current ratio</t>
  </si>
  <si>
    <t>Soliditetsgrad I</t>
  </si>
  <si>
    <t>Samlet kapital</t>
  </si>
  <si>
    <t xml:space="preserve">Gearingen </t>
  </si>
  <si>
    <t>Gæld</t>
  </si>
  <si>
    <t>Rente marginalen</t>
  </si>
  <si>
    <r>
      <t xml:space="preserve">Afkastningsgrad </t>
    </r>
    <r>
      <rPr>
        <sz val="11"/>
        <rFont val="Arial"/>
        <family val="2"/>
      </rPr>
      <t>-</t>
    </r>
    <r>
      <rPr>
        <sz val="10"/>
        <rFont val="Arial"/>
        <family val="2"/>
      </rPr>
      <t>gældsrente</t>
    </r>
  </si>
  <si>
    <t>Børsrelaterede nøgletal og øvrige nøgletal:</t>
  </si>
  <si>
    <t>Resultat pr. aktie</t>
  </si>
  <si>
    <t>(EPS)</t>
  </si>
  <si>
    <t>P/E-værdi</t>
  </si>
  <si>
    <t>(Price/earnings</t>
  </si>
  <si>
    <t>Indre værdi pr. aktie</t>
  </si>
  <si>
    <t>Kurs/indre værdi</t>
  </si>
  <si>
    <t>Omsætning. Pr. beskæftiget</t>
  </si>
  <si>
    <t xml:space="preserve">Indeks:  </t>
  </si>
  <si>
    <t>= 100 ,basisår</t>
  </si>
  <si>
    <t>Kommentarer til rentabiliteten:</t>
  </si>
  <si>
    <t>Afkastningsgraden (AG):</t>
  </si>
  <si>
    <t xml:space="preserve">Afkastningsgraden ligger i </t>
  </si>
  <si>
    <t>på</t>
  </si>
  <si>
    <t xml:space="preserve">hvilket er et </t>
  </si>
  <si>
    <t xml:space="preserve">niveau sammenlignet   </t>
  </si>
  <si>
    <t xml:space="preserve">med dansk industri* som ligger på </t>
  </si>
  <si>
    <t xml:space="preserve">. Afkastningsgraden er i perioden </t>
  </si>
  <si>
    <t>med</t>
  </si>
  <si>
    <t>. Udviklingen skyldes primært</t>
  </si>
  <si>
    <t>i</t>
  </si>
  <si>
    <t>.</t>
  </si>
  <si>
    <t>(Husk sammenhængen AG=OG*AOH)</t>
  </si>
  <si>
    <t>Overskudsgraden (OG):</t>
  </si>
  <si>
    <t xml:space="preserve">Overskudsgraden er "hovednøgletal" for indtjeningsevnen. Niveauet for overskudsgraden ligger i </t>
  </si>
  <si>
    <t>dvs.</t>
  </si>
  <si>
    <t>tjener</t>
  </si>
  <si>
    <t>kr. i resultat før renter</t>
  </si>
  <si>
    <t>pr. 100 kroners salg/omsætning.</t>
  </si>
  <si>
    <t xml:space="preserve">Ved benchmarking med dansk industri*  bør overskudsgraden </t>
  </si>
  <si>
    <t>ligge på</t>
  </si>
  <si>
    <t xml:space="preserve">. Niveauet er dermed </t>
  </si>
  <si>
    <t xml:space="preserve">Udviklingen i overskudsgraden er </t>
  </si>
  <si>
    <t xml:space="preserve">med  </t>
  </si>
  <si>
    <t>Aktivernes omsætningshastighed (AOH):</t>
  </si>
  <si>
    <t xml:space="preserve">omsætter i </t>
  </si>
  <si>
    <t>sine aktiver</t>
  </si>
  <si>
    <t xml:space="preserve">gange. Niveauet bør </t>
  </si>
  <si>
    <t xml:space="preserve">ligge på </t>
  </si>
  <si>
    <t>gange ifølge dansk industri*</t>
  </si>
  <si>
    <t>. Niveauet må derfor betegnes som</t>
  </si>
  <si>
    <t>AOH har i perioden udviklet sig</t>
  </si>
  <si>
    <t>hvilket har bidraget til at</t>
  </si>
  <si>
    <t>den samlede rentabilitet (AG).</t>
  </si>
  <si>
    <t>I alt er</t>
  </si>
  <si>
    <t>i AOH på</t>
  </si>
  <si>
    <t>i perioden.</t>
  </si>
  <si>
    <t>Egenkapitalens forrentning (EKF), gældsrenten, gearing og soliditet:</t>
  </si>
  <si>
    <t>Niveauet for EKF ligger på</t>
  </si>
  <si>
    <t xml:space="preserve">sammenlignet med dansk industri* som i gennemsnit ligger på </t>
  </si>
  <si>
    <t xml:space="preserve">er dette </t>
  </si>
  <si>
    <t xml:space="preserve">Gældsrenten ligger i </t>
  </si>
  <si>
    <t xml:space="preserve">på </t>
  </si>
  <si>
    <t xml:space="preserve">hvilket er </t>
  </si>
  <si>
    <t>afkastningsgraden dvs. vi</t>
  </si>
  <si>
    <t>på fremmedkapitalen.</t>
  </si>
  <si>
    <t>Marginalrenten (AG - gældsrenten) er på ca.</t>
  </si>
  <si>
    <t xml:space="preserve">. Reglen må derfor være at jo </t>
  </si>
  <si>
    <t xml:space="preserve">gearing, jo bedre. </t>
  </si>
  <si>
    <t xml:space="preserve">har gearet deres egenkapital </t>
  </si>
  <si>
    <t xml:space="preserve">gange </t>
  </si>
  <si>
    <t xml:space="preserve">.Soliditeten er på </t>
  </si>
  <si>
    <t xml:space="preserve">. Dette ligger </t>
  </si>
  <si>
    <t>normtallet for dansk industri*</t>
  </si>
  <si>
    <t>som ligger på ca.</t>
  </si>
  <si>
    <t>. Gearingen bør derfor</t>
  </si>
  <si>
    <t xml:space="preserve">og soliditeten </t>
  </si>
  <si>
    <t>Indtjeningsevnen:</t>
  </si>
  <si>
    <t>Overskudsgraden er i perioden</t>
  </si>
  <si>
    <t>fra</t>
  </si>
  <si>
    <t xml:space="preserve">til </t>
  </si>
  <si>
    <t xml:space="preserve">Omsætningen/salget er </t>
  </si>
  <si>
    <t>er</t>
  </si>
  <si>
    <t xml:space="preserve">Dette bevirker at </t>
  </si>
  <si>
    <t xml:space="preserve">dækningsgraden </t>
  </si>
  <si>
    <t>til</t>
  </si>
  <si>
    <t xml:space="preserve">hvilket medfører at  </t>
  </si>
  <si>
    <t xml:space="preserve">de variable omkostninger påvirker indtjeningsevnen i </t>
  </si>
  <si>
    <t>retning.</t>
  </si>
  <si>
    <t>Nulpunktsomsætningen er</t>
  </si>
  <si>
    <t>og ligger nu på kr.</t>
  </si>
  <si>
    <t>. Sikkerhedsmargen er på</t>
  </si>
  <si>
    <t xml:space="preserve">dvs. hvis omsætningen falder med </t>
  </si>
  <si>
    <t xml:space="preserve">har </t>
  </si>
  <si>
    <t>"nul i overskud/resultat før renter."</t>
  </si>
  <si>
    <t>Kommentarer til de faste omkostninger:</t>
  </si>
  <si>
    <t xml:space="preserve">Markedsføringsomkostningerne  </t>
  </si>
  <si>
    <t xml:space="preserve">med </t>
  </si>
  <si>
    <t xml:space="preserve">hvilket har  </t>
  </si>
  <si>
    <t>indtjeningen.</t>
  </si>
  <si>
    <t>Kapitaltilpasningen:</t>
  </si>
  <si>
    <t xml:space="preserve">"Hovednøgletallet" for kapitaltilpasningen er AOH. AOH er i perioden </t>
  </si>
  <si>
    <t xml:space="preserve">Niveauet ligger på </t>
  </si>
  <si>
    <t>gange.</t>
  </si>
  <si>
    <t>Hvilket må betegnes som</t>
  </si>
  <si>
    <t>Varelagerets omsætningshastighed (VLOH):</t>
  </si>
  <si>
    <t>VLOH er</t>
  </si>
  <si>
    <t xml:space="preserve">fra </t>
  </si>
  <si>
    <t>gange til</t>
  </si>
  <si>
    <t xml:space="preserve">Det vil sige at varerne ligger </t>
  </si>
  <si>
    <t xml:space="preserve">tid på lager. </t>
  </si>
  <si>
    <t xml:space="preserve">Lagerdagene er </t>
  </si>
  <si>
    <t>og ligger nu på</t>
  </si>
  <si>
    <t>dage</t>
  </si>
  <si>
    <t>vareforbrug er</t>
  </si>
  <si>
    <t xml:space="preserve">samtidig er lageret blevet </t>
  </si>
  <si>
    <t>Dette har</t>
  </si>
  <si>
    <t>lageromsætningshastigheden og dermed AOH.</t>
  </si>
  <si>
    <t>Varedebitorernes omsætningshastighed (VDOH):</t>
  </si>
  <si>
    <t xml:space="preserve">Kredittiden til kunderne er </t>
  </si>
  <si>
    <t xml:space="preserve">dage til </t>
  </si>
  <si>
    <t>dage.</t>
  </si>
  <si>
    <t xml:space="preserve">Dette har </t>
  </si>
  <si>
    <t>likviditeten samt aktivernes omsætningshastighed.</t>
  </si>
  <si>
    <t>Varekreditorernes omsætningshastighed (VKOH):</t>
  </si>
  <si>
    <t xml:space="preserve">Kredittiden fra leverandørerne er </t>
  </si>
  <si>
    <t xml:space="preserve">Alt andet lige har dette medført at likviditeten og aktivernes omsætningshastighed er </t>
  </si>
  <si>
    <t>Likviditeten:</t>
  </si>
  <si>
    <t xml:space="preserve">er </t>
  </si>
  <si>
    <t>gennem perioden og ligger nu på</t>
  </si>
  <si>
    <t xml:space="preserve">. Niveauet er </t>
  </si>
  <si>
    <t>Likviditetsgraden bør ligge på ca. 100.</t>
  </si>
  <si>
    <t>Konklusionen:</t>
  </si>
  <si>
    <t xml:space="preserve">Rentabiliteten har i perioden udviklet sig </t>
  </si>
  <si>
    <t>idet AG er</t>
  </si>
  <si>
    <t xml:space="preserve">Udviklingen skyldes primært </t>
  </si>
  <si>
    <t>Niveauet for rentabiliteten er</t>
  </si>
  <si>
    <t>sammenlignet med dansk industri.*</t>
  </si>
  <si>
    <t xml:space="preserve">Niveauet for indtjeningsevnen er </t>
  </si>
  <si>
    <t>Niveauet for kapitaltilpasningen er</t>
  </si>
  <si>
    <t xml:space="preserve">Niveauet for egenkapitalens forrentning er </t>
  </si>
  <si>
    <t>penge på fremmedkapitalen, idet gældsrenten ligger</t>
  </si>
  <si>
    <t>afkastningsgraden</t>
  </si>
  <si>
    <t>* Kilde: Danmarks statistiske 10 år oversigt 2003 side 92</t>
  </si>
  <si>
    <t>Maskiner</t>
  </si>
  <si>
    <t>Inventar</t>
  </si>
  <si>
    <t>Ejendomme</t>
  </si>
  <si>
    <t>Kassekredit</t>
  </si>
</sst>
</file>

<file path=xl/styles.xml><?xml version="1.0" encoding="utf-8"?>
<styleSheet xmlns="http://schemas.openxmlformats.org/spreadsheetml/2006/main">
  <numFmts count="8">
    <numFmt numFmtId="164" formatCode="0.000"/>
    <numFmt numFmtId="165" formatCode="_(* #,##0.00_);_(* \(#,##0.00\);_(* &quot;-&quot;??_);_(@_)"/>
    <numFmt numFmtId="166" formatCode="_(* #,##0_);_(* \(#,##0\);_(* &quot;-&quot;??_);_(@_)"/>
    <numFmt numFmtId="167" formatCode="_(* #,##0.0_);_(* \(#,##0.0\);_(* &quot;-&quot;??_);_(@_)"/>
    <numFmt numFmtId="168" formatCode="0.0%"/>
    <numFmt numFmtId="169" formatCode="#,##0.00000"/>
    <numFmt numFmtId="170" formatCode="&quot;kr&quot;\ #,##0.00_);[Red]\(&quot;kr&quot;\ #,##0.00\)"/>
    <numFmt numFmtId="171" formatCode="0.0"/>
  </numFmts>
  <fonts count="36">
    <font>
      <sz val="10"/>
      <name val="Arial"/>
      <family val="2"/>
    </font>
    <font>
      <sz val="10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vertAlign val="superscript"/>
      <sz val="14"/>
      <name val="Arial"/>
      <family val="2"/>
    </font>
    <font>
      <vertAlign val="superscript"/>
      <sz val="12"/>
      <name val="Arial"/>
      <family val="2"/>
    </font>
    <font>
      <sz val="14"/>
      <name val="Arial"/>
      <family val="2"/>
    </font>
    <font>
      <vertAlign val="superscript"/>
      <sz val="10"/>
      <name val="Arial"/>
      <family val="2"/>
    </font>
    <font>
      <sz val="11"/>
      <name val="Arial"/>
      <family val="2"/>
    </font>
    <font>
      <b/>
      <vertAlign val="subscript"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20"/>
      <color indexed="81"/>
      <name val="Tahoma"/>
      <family val="2"/>
    </font>
    <font>
      <b/>
      <sz val="20"/>
      <color indexed="81"/>
      <name val="Tahoma"/>
      <family val="2"/>
    </font>
    <font>
      <sz val="8"/>
      <color indexed="81"/>
      <name val="Tahoma"/>
      <family val="2"/>
    </font>
    <font>
      <b/>
      <sz val="18"/>
      <name val="Arial"/>
      <family val="2"/>
    </font>
    <font>
      <b/>
      <vertAlign val="superscript"/>
      <sz val="12"/>
      <name val="Arial"/>
      <family val="2"/>
    </font>
    <font>
      <sz val="14"/>
      <color indexed="13"/>
      <name val="Arial"/>
      <family val="2"/>
    </font>
    <font>
      <sz val="18"/>
      <name val="Arial"/>
      <family val="2"/>
    </font>
    <font>
      <b/>
      <sz val="8"/>
      <color indexed="81"/>
      <name val="Tahoma"/>
      <family val="2"/>
    </font>
    <font>
      <b/>
      <sz val="14"/>
      <color indexed="81"/>
      <name val="Tahoma"/>
      <family val="2"/>
    </font>
    <font>
      <b/>
      <i/>
      <sz val="16"/>
      <color indexed="81"/>
      <name val="Tahoma"/>
      <family val="2"/>
    </font>
    <font>
      <b/>
      <sz val="12"/>
      <color indexed="81"/>
      <name val="Tahoma"/>
      <family val="2"/>
    </font>
    <font>
      <sz val="12"/>
      <color indexed="81"/>
      <name val="Tahoma"/>
      <family val="2"/>
    </font>
    <font>
      <b/>
      <sz val="16"/>
      <color indexed="81"/>
      <name val="Tahoma"/>
      <family val="2"/>
    </font>
    <font>
      <b/>
      <sz val="8"/>
      <color indexed="8"/>
      <name val="Tahoma"/>
      <family val="2"/>
    </font>
    <font>
      <b/>
      <sz val="13"/>
      <name val="Arial"/>
      <family val="2"/>
    </font>
    <font>
      <b/>
      <sz val="10"/>
      <color indexed="8"/>
      <name val="Arial"/>
      <family val="2"/>
    </font>
    <font>
      <sz val="8"/>
      <color indexed="8"/>
      <name val="Tahoma"/>
      <family val="2"/>
    </font>
    <font>
      <b/>
      <sz val="8"/>
      <color indexed="58"/>
      <name val="Tahoma"/>
      <family val="2"/>
    </font>
    <font>
      <sz val="12"/>
      <color indexed="8"/>
      <name val="Tahoma"/>
      <family val="2"/>
    </font>
    <font>
      <u/>
      <sz val="1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8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16">
    <xf numFmtId="0" fontId="0" fillId="0" borderId="0" xfId="0"/>
    <xf numFmtId="0" fontId="0" fillId="2" borderId="0" xfId="0" applyFill="1"/>
    <xf numFmtId="0" fontId="2" fillId="0" borderId="0" xfId="0" applyFont="1"/>
    <xf numFmtId="0" fontId="3" fillId="0" borderId="0" xfId="0" applyFont="1"/>
    <xf numFmtId="0" fontId="4" fillId="0" borderId="1" xfId="0" applyFont="1" applyBorder="1" applyAlignment="1"/>
    <xf numFmtId="0" fontId="0" fillId="0" borderId="2" xfId="0" applyBorder="1" applyAlignment="1"/>
    <xf numFmtId="0" fontId="0" fillId="0" borderId="2" xfId="0" applyBorder="1"/>
    <xf numFmtId="0" fontId="4" fillId="0" borderId="2" xfId="0" applyFont="1" applyBorder="1" applyAlignment="1"/>
    <xf numFmtId="0" fontId="0" fillId="0" borderId="3" xfId="0" applyBorder="1" applyAlignment="1"/>
    <xf numFmtId="0" fontId="4" fillId="0" borderId="4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64" fontId="0" fillId="2" borderId="5" xfId="0" applyNumberFormat="1" applyFill="1" applyBorder="1" applyAlignment="1">
      <alignment horizontal="distributed"/>
    </xf>
    <xf numFmtId="0" fontId="5" fillId="2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166" fontId="1" fillId="2" borderId="0" xfId="1" applyNumberFormat="1" applyFill="1" applyBorder="1" applyAlignment="1">
      <alignment horizontal="center" vertical="center"/>
    </xf>
    <xf numFmtId="0" fontId="0" fillId="0" borderId="0" xfId="0" applyBorder="1" applyAlignment="1"/>
    <xf numFmtId="0" fontId="0" fillId="0" borderId="6" xfId="0" applyBorder="1" applyAlignment="1"/>
    <xf numFmtId="0" fontId="1" fillId="2" borderId="0" xfId="1" applyNumberFormat="1" applyFill="1" applyBorder="1" applyAlignment="1">
      <alignment horizontal="center" vertical="center"/>
    </xf>
    <xf numFmtId="0" fontId="0" fillId="0" borderId="0" xfId="0" applyBorder="1"/>
    <xf numFmtId="0" fontId="7" fillId="0" borderId="0" xfId="0" applyFont="1" applyBorder="1"/>
    <xf numFmtId="0" fontId="0" fillId="0" borderId="6" xfId="0" applyBorder="1"/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8" fillId="0" borderId="0" xfId="0" applyFont="1" applyFill="1" applyBorder="1" applyAlignment="1">
      <alignment horizontal="center" vertical="top"/>
    </xf>
    <xf numFmtId="0" fontId="0" fillId="2" borderId="0" xfId="0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9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left" vertic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vertical="center"/>
    </xf>
    <xf numFmtId="0" fontId="0" fillId="0" borderId="0" xfId="0" applyNumberFormat="1" applyBorder="1" applyAlignment="1">
      <alignment horizontal="center"/>
    </xf>
    <xf numFmtId="0" fontId="0" fillId="0" borderId="4" xfId="0" applyBorder="1"/>
    <xf numFmtId="0" fontId="10" fillId="0" borderId="0" xfId="0" applyFont="1" applyBorder="1"/>
    <xf numFmtId="0" fontId="5" fillId="0" borderId="0" xfId="0" applyFont="1" applyBorder="1"/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top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8" fillId="0" borderId="0" xfId="0" applyFont="1" applyBorder="1" applyAlignment="1">
      <alignment horizontal="center" vertical="top"/>
    </xf>
    <xf numFmtId="166" fontId="1" fillId="0" borderId="6" xfId="1" applyNumberFormat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6" fontId="0" fillId="0" borderId="0" xfId="0" applyNumberFormat="1" applyBorder="1"/>
    <xf numFmtId="0" fontId="12" fillId="0" borderId="0" xfId="0" applyFont="1" applyBorder="1" applyAlignment="1">
      <alignment horizontal="right"/>
    </xf>
    <xf numFmtId="0" fontId="11" fillId="0" borderId="0" xfId="0" applyFont="1" applyBorder="1" applyAlignment="1">
      <alignment horizontal="left" vertical="top"/>
    </xf>
    <xf numFmtId="0" fontId="5" fillId="0" borderId="0" xfId="0" applyFont="1" applyBorder="1" applyAlignment="1">
      <alignment vertical="center"/>
    </xf>
    <xf numFmtId="0" fontId="4" fillId="0" borderId="4" xfId="0" applyFont="1" applyBorder="1"/>
    <xf numFmtId="0" fontId="4" fillId="0" borderId="0" xfId="0" applyFont="1" applyBorder="1"/>
    <xf numFmtId="0" fontId="8" fillId="0" borderId="0" xfId="0" applyFont="1" applyBorder="1" applyAlignment="1">
      <alignment horizontal="left" vertical="top"/>
    </xf>
    <xf numFmtId="0" fontId="12" fillId="0" borderId="0" xfId="0" applyFont="1" applyBorder="1"/>
    <xf numFmtId="166" fontId="1" fillId="0" borderId="6" xfId="1" applyNumberFormat="1" applyBorder="1"/>
    <xf numFmtId="0" fontId="0" fillId="0" borderId="0" xfId="0" applyNumberForma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0" borderId="5" xfId="0" applyNumberFormat="1" applyBorder="1" applyAlignment="1">
      <alignment horizontal="center"/>
    </xf>
    <xf numFmtId="0" fontId="0" fillId="0" borderId="5" xfId="0" applyBorder="1"/>
    <xf numFmtId="0" fontId="0" fillId="0" borderId="5" xfId="0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0" fontId="0" fillId="2" borderId="5" xfId="0" applyFill="1" applyBorder="1" applyAlignment="1"/>
    <xf numFmtId="0" fontId="5" fillId="0" borderId="5" xfId="0" applyFont="1" applyBorder="1" applyAlignment="1">
      <alignment horizontal="center" vertical="center"/>
    </xf>
    <xf numFmtId="0" fontId="0" fillId="0" borderId="5" xfId="0" applyNumberFormat="1" applyBorder="1" applyAlignment="1">
      <alignment horizontal="center" vertical="center"/>
    </xf>
    <xf numFmtId="0" fontId="0" fillId="0" borderId="9" xfId="0" applyBorder="1"/>
    <xf numFmtId="0" fontId="4" fillId="0" borderId="1" xfId="0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5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top"/>
    </xf>
    <xf numFmtId="0" fontId="5" fillId="0" borderId="2" xfId="0" applyFont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5" fillId="0" borderId="5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top"/>
    </xf>
    <xf numFmtId="0" fontId="0" fillId="0" borderId="5" xfId="0" applyNumberFormat="1" applyBorder="1" applyAlignment="1">
      <alignment horizontal="center" vertical="center"/>
    </xf>
    <xf numFmtId="0" fontId="0" fillId="2" borderId="10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2" borderId="2" xfId="0" applyNumberFormat="1" applyFill="1" applyBorder="1" applyAlignment="1">
      <alignment horizontal="center" vertical="center"/>
    </xf>
    <xf numFmtId="0" fontId="0" fillId="0" borderId="3" xfId="0" applyBorder="1"/>
    <xf numFmtId="49" fontId="6" fillId="0" borderId="0" xfId="0" applyNumberFormat="1" applyFont="1" applyBorder="1" applyAlignment="1">
      <alignment horizontal="center" vertical="center"/>
    </xf>
    <xf numFmtId="0" fontId="0" fillId="2" borderId="0" xfId="0" applyNumberForma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0" fillId="0" borderId="5" xfId="0" applyFill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4" fillId="0" borderId="0" xfId="0" applyFont="1" applyBorder="1" applyAlignment="1"/>
    <xf numFmtId="166" fontId="1" fillId="2" borderId="0" xfId="1" applyNumberFormat="1" applyFill="1" applyBorder="1"/>
    <xf numFmtId="0" fontId="1" fillId="0" borderId="0" xfId="0" applyFont="1" applyBorder="1"/>
    <xf numFmtId="0" fontId="4" fillId="0" borderId="8" xfId="0" applyFont="1" applyBorder="1"/>
    <xf numFmtId="49" fontId="4" fillId="0" borderId="5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166" fontId="1" fillId="0" borderId="0" xfId="1" applyNumberFormat="1" applyFill="1" applyBorder="1"/>
    <xf numFmtId="49" fontId="4" fillId="0" borderId="0" xfId="0" applyNumberFormat="1" applyFont="1" applyBorder="1" applyAlignment="1">
      <alignment horizontal="center"/>
    </xf>
    <xf numFmtId="0" fontId="0" fillId="0" borderId="0" xfId="0" applyFill="1" applyBorder="1" applyAlignment="1"/>
    <xf numFmtId="0" fontId="5" fillId="0" borderId="0" xfId="0" applyFont="1" applyBorder="1" applyAlignment="1">
      <alignment horizontal="center"/>
    </xf>
    <xf numFmtId="0" fontId="4" fillId="0" borderId="0" xfId="0" applyFont="1" applyFill="1" applyBorder="1" applyAlignment="1"/>
    <xf numFmtId="0" fontId="0" fillId="0" borderId="0" xfId="0" applyFill="1" applyBorder="1"/>
    <xf numFmtId="166" fontId="0" fillId="0" borderId="0" xfId="0" applyNumberFormat="1" applyFill="1" applyBorder="1"/>
    <xf numFmtId="0" fontId="12" fillId="0" borderId="0" xfId="0" applyFont="1" applyFill="1" applyBorder="1" applyAlignment="1">
      <alignment horizontal="right"/>
    </xf>
    <xf numFmtId="0" fontId="1" fillId="0" borderId="0" xfId="0" applyFont="1" applyFill="1" applyBorder="1"/>
    <xf numFmtId="0" fontId="4" fillId="0" borderId="0" xfId="0" applyFont="1" applyFill="1" applyBorder="1"/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6" fontId="10" fillId="0" borderId="11" xfId="1" applyNumberFormat="1" applyFont="1" applyFill="1" applyBorder="1" applyAlignment="1">
      <alignment horizontal="center"/>
    </xf>
    <xf numFmtId="166" fontId="10" fillId="0" borderId="0" xfId="1" applyNumberFormat="1" applyFont="1" applyFill="1" applyBorder="1" applyAlignment="1">
      <alignment horizontal="center"/>
    </xf>
    <xf numFmtId="0" fontId="4" fillId="0" borderId="12" xfId="0" applyFont="1" applyFill="1" applyBorder="1"/>
    <xf numFmtId="0" fontId="4" fillId="0" borderId="0" xfId="0" applyFont="1" applyFill="1" applyBorder="1" applyAlignment="1">
      <alignment horizontal="left"/>
    </xf>
    <xf numFmtId="166" fontId="0" fillId="0" borderId="12" xfId="0" applyNumberFormat="1" applyFill="1" applyBorder="1"/>
    <xf numFmtId="166" fontId="0" fillId="0" borderId="4" xfId="0" applyNumberFormat="1" applyFill="1" applyBorder="1"/>
    <xf numFmtId="166" fontId="0" fillId="0" borderId="6" xfId="0" applyNumberFormat="1" applyFill="1" applyBorder="1"/>
    <xf numFmtId="166" fontId="4" fillId="0" borderId="12" xfId="1" applyNumberFormat="1" applyFont="1" applyFill="1" applyBorder="1"/>
    <xf numFmtId="166" fontId="4" fillId="0" borderId="0" xfId="0" applyNumberFormat="1" applyFont="1" applyFill="1" applyBorder="1"/>
    <xf numFmtId="166" fontId="4" fillId="0" borderId="0" xfId="1" applyNumberFormat="1" applyFont="1" applyFill="1" applyBorder="1"/>
    <xf numFmtId="166" fontId="0" fillId="0" borderId="12" xfId="1" applyNumberFormat="1" applyFont="1" applyFill="1" applyBorder="1"/>
    <xf numFmtId="0" fontId="0" fillId="0" borderId="12" xfId="0" applyFill="1" applyBorder="1"/>
    <xf numFmtId="166" fontId="4" fillId="0" borderId="11" xfId="1" applyNumberFormat="1" applyFont="1" applyFill="1" applyBorder="1"/>
    <xf numFmtId="166" fontId="0" fillId="0" borderId="13" xfId="0" applyNumberFormat="1" applyFill="1" applyBorder="1"/>
    <xf numFmtId="0" fontId="1" fillId="0" borderId="0" xfId="0" applyFont="1"/>
    <xf numFmtId="0" fontId="7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left" vertical="center"/>
    </xf>
    <xf numFmtId="0" fontId="0" fillId="0" borderId="0" xfId="0" applyNumberForma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0" fillId="0" borderId="0" xfId="0" applyAlignment="1">
      <alignment horizontal="left"/>
    </xf>
    <xf numFmtId="0" fontId="6" fillId="0" borderId="0" xfId="0" applyFont="1" applyBorder="1" applyAlignment="1">
      <alignment horizontal="center"/>
    </xf>
    <xf numFmtId="0" fontId="4" fillId="0" borderId="14" xfId="0" applyFont="1" applyBorder="1"/>
    <xf numFmtId="0" fontId="6" fillId="0" borderId="14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2" fontId="0" fillId="0" borderId="0" xfId="0" applyNumberFormat="1"/>
    <xf numFmtId="0" fontId="6" fillId="0" borderId="14" xfId="0" applyFont="1" applyBorder="1"/>
    <xf numFmtId="0" fontId="10" fillId="0" borderId="0" xfId="0" applyFont="1"/>
    <xf numFmtId="0" fontId="5" fillId="0" borderId="0" xfId="0" applyFont="1" applyAlignment="1"/>
    <xf numFmtId="166" fontId="14" fillId="0" borderId="0" xfId="1" applyNumberFormat="1" applyFont="1"/>
    <xf numFmtId="49" fontId="10" fillId="0" borderId="0" xfId="0" applyNumberFormat="1" applyFont="1"/>
    <xf numFmtId="166" fontId="14" fillId="0" borderId="0" xfId="1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/>
    <xf numFmtId="166" fontId="14" fillId="0" borderId="15" xfId="1" applyNumberFormat="1" applyFont="1" applyBorder="1"/>
    <xf numFmtId="166" fontId="14" fillId="0" borderId="16" xfId="1" applyNumberFormat="1" applyFont="1" applyBorder="1"/>
    <xf numFmtId="166" fontId="14" fillId="0" borderId="0" xfId="1" applyNumberFormat="1" applyFont="1" applyBorder="1"/>
    <xf numFmtId="0" fontId="15" fillId="0" borderId="0" xfId="0" applyFont="1"/>
    <xf numFmtId="166" fontId="0" fillId="0" borderId="0" xfId="1" applyNumberFormat="1" applyFont="1"/>
    <xf numFmtId="2" fontId="1" fillId="0" borderId="0" xfId="2" applyNumberFormat="1"/>
    <xf numFmtId="166" fontId="14" fillId="0" borderId="0" xfId="1" applyNumberFormat="1" applyFont="1" applyAlignment="1"/>
    <xf numFmtId="0" fontId="15" fillId="0" borderId="0" xfId="0" applyFont="1" applyAlignment="1"/>
    <xf numFmtId="0" fontId="0" fillId="0" borderId="0" xfId="0" applyAlignment="1"/>
    <xf numFmtId="0" fontId="0" fillId="0" borderId="0" xfId="0" applyAlignment="1"/>
    <xf numFmtId="0" fontId="0" fillId="0" borderId="5" xfId="0" applyBorder="1" applyAlignment="1"/>
    <xf numFmtId="0" fontId="4" fillId="0" borderId="17" xfId="0" applyFont="1" applyBorder="1" applyAlignment="1"/>
    <xf numFmtId="0" fontId="4" fillId="0" borderId="18" xfId="0" applyFont="1" applyBorder="1" applyAlignment="1"/>
    <xf numFmtId="0" fontId="4" fillId="0" borderId="18" xfId="0" applyFont="1" applyBorder="1"/>
    <xf numFmtId="0" fontId="4" fillId="0" borderId="19" xfId="0" applyFont="1" applyBorder="1" applyAlignment="1"/>
    <xf numFmtId="0" fontId="4" fillId="0" borderId="20" xfId="0" applyFont="1" applyBorder="1" applyAlignment="1"/>
    <xf numFmtId="0" fontId="0" fillId="0" borderId="21" xfId="0" applyBorder="1" applyAlignment="1"/>
    <xf numFmtId="0" fontId="4" fillId="0" borderId="22" xfId="0" applyFont="1" applyBorder="1" applyAlignment="1">
      <alignment horizontal="center"/>
    </xf>
    <xf numFmtId="166" fontId="12" fillId="0" borderId="23" xfId="0" applyNumberFormat="1" applyFont="1" applyFill="1" applyBorder="1" applyAlignment="1"/>
    <xf numFmtId="0" fontId="0" fillId="0" borderId="24" xfId="0" applyBorder="1" applyAlignment="1"/>
    <xf numFmtId="165" fontId="0" fillId="0" borderId="24" xfId="0" applyNumberFormat="1" applyBorder="1" applyAlignment="1"/>
    <xf numFmtId="166" fontId="1" fillId="0" borderId="24" xfId="1" applyNumberFormat="1" applyBorder="1"/>
    <xf numFmtId="166" fontId="0" fillId="0" borderId="24" xfId="0" applyNumberFormat="1" applyBorder="1" applyAlignment="1"/>
    <xf numFmtId="166" fontId="0" fillId="0" borderId="25" xfId="0" applyNumberFormat="1" applyBorder="1" applyAlignment="1"/>
    <xf numFmtId="0" fontId="0" fillId="0" borderId="10" xfId="0" applyBorder="1" applyAlignment="1"/>
    <xf numFmtId="0" fontId="0" fillId="0" borderId="26" xfId="0" applyBorder="1" applyAlignment="1"/>
    <xf numFmtId="166" fontId="0" fillId="0" borderId="24" xfId="0" applyNumberFormat="1" applyBorder="1"/>
    <xf numFmtId="165" fontId="0" fillId="0" borderId="24" xfId="0" applyNumberFormat="1" applyBorder="1"/>
    <xf numFmtId="165" fontId="0" fillId="0" borderId="27" xfId="0" applyNumberFormat="1" applyBorder="1"/>
    <xf numFmtId="166" fontId="12" fillId="0" borderId="28" xfId="0" applyNumberFormat="1" applyFont="1" applyFill="1" applyBorder="1" applyAlignment="1"/>
    <xf numFmtId="0" fontId="0" fillId="0" borderId="29" xfId="0" applyBorder="1" applyAlignment="1"/>
    <xf numFmtId="165" fontId="0" fillId="0" borderId="29" xfId="0" applyNumberFormat="1" applyBorder="1" applyAlignment="1"/>
    <xf numFmtId="166" fontId="1" fillId="0" borderId="29" xfId="1" applyNumberFormat="1" applyBorder="1"/>
    <xf numFmtId="166" fontId="0" fillId="0" borderId="29" xfId="0" applyNumberFormat="1" applyBorder="1" applyAlignment="1"/>
    <xf numFmtId="166" fontId="0" fillId="0" borderId="30" xfId="0" applyNumberFormat="1" applyBorder="1" applyAlignment="1"/>
    <xf numFmtId="0" fontId="0" fillId="0" borderId="15" xfId="0" applyBorder="1" applyAlignment="1"/>
    <xf numFmtId="0" fontId="0" fillId="0" borderId="31" xfId="0" applyBorder="1" applyAlignment="1"/>
    <xf numFmtId="166" fontId="0" fillId="0" borderId="29" xfId="0" applyNumberFormat="1" applyBorder="1"/>
    <xf numFmtId="165" fontId="0" fillId="0" borderId="29" xfId="0" applyNumberFormat="1" applyBorder="1"/>
    <xf numFmtId="165" fontId="0" fillId="0" borderId="32" xfId="0" applyNumberFormat="1" applyBorder="1"/>
    <xf numFmtId="0" fontId="0" fillId="0" borderId="29" xfId="0" applyFill="1" applyBorder="1" applyAlignment="1"/>
    <xf numFmtId="165" fontId="0" fillId="0" borderId="29" xfId="0" applyNumberFormat="1" applyFill="1" applyBorder="1" applyAlignment="1"/>
    <xf numFmtId="166" fontId="1" fillId="0" borderId="29" xfId="1" applyNumberFormat="1" applyFill="1" applyBorder="1"/>
    <xf numFmtId="166" fontId="0" fillId="0" borderId="29" xfId="0" applyNumberFormat="1" applyFill="1" applyBorder="1" applyAlignment="1"/>
    <xf numFmtId="166" fontId="0" fillId="0" borderId="30" xfId="0" applyNumberFormat="1" applyFill="1" applyBorder="1" applyAlignment="1"/>
    <xf numFmtId="0" fontId="0" fillId="0" borderId="15" xfId="0" applyFill="1" applyBorder="1" applyAlignment="1"/>
    <xf numFmtId="166" fontId="0" fillId="0" borderId="29" xfId="0" applyNumberFormat="1" applyFill="1" applyBorder="1"/>
    <xf numFmtId="165" fontId="0" fillId="0" borderId="29" xfId="0" applyNumberFormat="1" applyFill="1" applyBorder="1"/>
    <xf numFmtId="165" fontId="0" fillId="0" borderId="32" xfId="0" applyNumberFormat="1" applyFill="1" applyBorder="1"/>
    <xf numFmtId="166" fontId="12" fillId="0" borderId="33" xfId="0" applyNumberFormat="1" applyFont="1" applyFill="1" applyBorder="1" applyAlignment="1"/>
    <xf numFmtId="0" fontId="0" fillId="0" borderId="34" xfId="0" applyBorder="1" applyAlignment="1"/>
    <xf numFmtId="165" fontId="0" fillId="0" borderId="34" xfId="0" applyNumberFormat="1" applyBorder="1" applyAlignment="1"/>
    <xf numFmtId="166" fontId="1" fillId="0" borderId="34" xfId="1" applyNumberFormat="1" applyBorder="1"/>
    <xf numFmtId="166" fontId="0" fillId="0" borderId="34" xfId="0" applyNumberFormat="1" applyBorder="1" applyAlignment="1"/>
    <xf numFmtId="166" fontId="0" fillId="0" borderId="35" xfId="0" applyNumberFormat="1" applyBorder="1" applyAlignment="1"/>
    <xf numFmtId="0" fontId="0" fillId="0" borderId="36" xfId="0" applyBorder="1" applyAlignment="1"/>
    <xf numFmtId="0" fontId="0" fillId="0" borderId="37" xfId="0" applyBorder="1" applyAlignment="1"/>
    <xf numFmtId="166" fontId="0" fillId="0" borderId="34" xfId="0" applyNumberFormat="1" applyBorder="1"/>
    <xf numFmtId="165" fontId="0" fillId="0" borderId="34" xfId="0" applyNumberFormat="1" applyBorder="1"/>
    <xf numFmtId="165" fontId="0" fillId="0" borderId="38" xfId="0" applyNumberFormat="1" applyBorder="1"/>
    <xf numFmtId="0" fontId="19" fillId="0" borderId="0" xfId="0" applyFont="1"/>
    <xf numFmtId="0" fontId="14" fillId="0" borderId="1" xfId="0" applyFont="1" applyBorder="1"/>
    <xf numFmtId="0" fontId="14" fillId="0" borderId="3" xfId="0" applyFont="1" applyBorder="1"/>
    <xf numFmtId="0" fontId="14" fillId="0" borderId="39" xfId="0" applyNumberFormat="1" applyFont="1" applyBorder="1" applyAlignment="1">
      <alignment horizontal="center"/>
    </xf>
    <xf numFmtId="0" fontId="14" fillId="0" borderId="40" xfId="0" applyNumberFormat="1" applyFont="1" applyBorder="1" applyAlignment="1">
      <alignment horizontal="center"/>
    </xf>
    <xf numFmtId="0" fontId="14" fillId="0" borderId="39" xfId="0" applyFont="1" applyBorder="1" applyAlignment="1">
      <alignment horizontal="center"/>
    </xf>
    <xf numFmtId="0" fontId="14" fillId="0" borderId="40" xfId="0" applyFont="1" applyBorder="1" applyAlignment="1">
      <alignment horizontal="center"/>
    </xf>
    <xf numFmtId="0" fontId="15" fillId="0" borderId="28" xfId="0" applyFont="1" applyBorder="1"/>
    <xf numFmtId="0" fontId="15" fillId="0" borderId="32" xfId="0" applyFont="1" applyBorder="1"/>
    <xf numFmtId="1" fontId="15" fillId="0" borderId="28" xfId="1" applyNumberFormat="1" applyFont="1" applyBorder="1"/>
    <xf numFmtId="1" fontId="15" fillId="0" borderId="32" xfId="1" applyNumberFormat="1" applyFont="1" applyBorder="1"/>
    <xf numFmtId="1" fontId="15" fillId="0" borderId="33" xfId="1" applyNumberFormat="1" applyFont="1" applyBorder="1"/>
    <xf numFmtId="1" fontId="15" fillId="0" borderId="38" xfId="1" applyNumberFormat="1" applyFont="1" applyBorder="1"/>
    <xf numFmtId="1" fontId="15" fillId="0" borderId="41" xfId="1" applyNumberFormat="1" applyFont="1" applyBorder="1"/>
    <xf numFmtId="0" fontId="15" fillId="0" borderId="42" xfId="1" applyNumberFormat="1" applyFont="1" applyBorder="1"/>
    <xf numFmtId="1" fontId="15" fillId="0" borderId="42" xfId="1" applyNumberFormat="1" applyFont="1" applyBorder="1"/>
    <xf numFmtId="0" fontId="0" fillId="0" borderId="43" xfId="0" applyBorder="1" applyAlignment="1">
      <alignment horizontal="left"/>
    </xf>
    <xf numFmtId="0" fontId="0" fillId="0" borderId="44" xfId="0" applyBorder="1" applyAlignment="1">
      <alignment horizontal="left"/>
    </xf>
    <xf numFmtId="0" fontId="0" fillId="0" borderId="28" xfId="0" applyBorder="1"/>
    <xf numFmtId="0" fontId="0" fillId="0" borderId="32" xfId="0" applyBorder="1"/>
    <xf numFmtId="1" fontId="0" fillId="0" borderId="28" xfId="0" applyNumberFormat="1" applyBorder="1"/>
    <xf numFmtId="0" fontId="15" fillId="0" borderId="41" xfId="0" applyFont="1" applyBorder="1"/>
    <xf numFmtId="0" fontId="15" fillId="0" borderId="42" xfId="0" applyFont="1" applyBorder="1"/>
    <xf numFmtId="0" fontId="0" fillId="0" borderId="33" xfId="0" applyBorder="1"/>
    <xf numFmtId="0" fontId="0" fillId="0" borderId="38" xfId="0" applyBorder="1"/>
    <xf numFmtId="0" fontId="15" fillId="0" borderId="23" xfId="0" applyFont="1" applyBorder="1"/>
    <xf numFmtId="0" fontId="15" fillId="0" borderId="27" xfId="0" applyFont="1" applyBorder="1"/>
    <xf numFmtId="0" fontId="0" fillId="0" borderId="45" xfId="0" applyBorder="1"/>
    <xf numFmtId="0" fontId="15" fillId="0" borderId="33" xfId="0" applyFont="1" applyBorder="1"/>
    <xf numFmtId="0" fontId="15" fillId="0" borderId="38" xfId="0" applyFont="1" applyBorder="1"/>
    <xf numFmtId="166" fontId="0" fillId="0" borderId="0" xfId="0" applyNumberFormat="1"/>
    <xf numFmtId="0" fontId="3" fillId="0" borderId="0" xfId="0" quotePrefix="1" applyFont="1"/>
    <xf numFmtId="165" fontId="0" fillId="0" borderId="0" xfId="1" applyFont="1"/>
    <xf numFmtId="166" fontId="5" fillId="0" borderId="0" xfId="1" applyNumberFormat="1" applyFont="1" applyAlignment="1"/>
    <xf numFmtId="166" fontId="4" fillId="0" borderId="0" xfId="1" applyNumberFormat="1" applyFont="1"/>
    <xf numFmtId="166" fontId="15" fillId="0" borderId="0" xfId="0" applyNumberFormat="1" applyFont="1"/>
    <xf numFmtId="0" fontId="6" fillId="0" borderId="0" xfId="0" applyFont="1" applyBorder="1"/>
    <xf numFmtId="0" fontId="15" fillId="0" borderId="1" xfId="0" applyFont="1" applyBorder="1"/>
    <xf numFmtId="0" fontId="5" fillId="0" borderId="2" xfId="0" applyFont="1" applyBorder="1"/>
    <xf numFmtId="0" fontId="5" fillId="0" borderId="46" xfId="0" applyFont="1" applyBorder="1"/>
    <xf numFmtId="0" fontId="5" fillId="0" borderId="4" xfId="0" applyFont="1" applyBorder="1"/>
    <xf numFmtId="2" fontId="5" fillId="3" borderId="46" xfId="0" applyNumberFormat="1" applyFont="1" applyFill="1" applyBorder="1"/>
    <xf numFmtId="2" fontId="5" fillId="4" borderId="46" xfId="0" applyNumberFormat="1" applyFont="1" applyFill="1" applyBorder="1"/>
    <xf numFmtId="9" fontId="5" fillId="3" borderId="12" xfId="2" applyFont="1" applyFill="1" applyBorder="1"/>
    <xf numFmtId="168" fontId="5" fillId="4" borderId="12" xfId="0" applyNumberFormat="1" applyFont="1" applyFill="1" applyBorder="1"/>
    <xf numFmtId="4" fontId="5" fillId="3" borderId="12" xfId="0" applyNumberFormat="1" applyFont="1" applyFill="1" applyBorder="1"/>
    <xf numFmtId="4" fontId="5" fillId="4" borderId="12" xfId="0" applyNumberFormat="1" applyFont="1" applyFill="1" applyBorder="1"/>
    <xf numFmtId="4" fontId="5" fillId="3" borderId="13" xfId="0" applyNumberFormat="1" applyFont="1" applyFill="1" applyBorder="1"/>
    <xf numFmtId="4" fontId="5" fillId="4" borderId="13" xfId="0" applyNumberFormat="1" applyFont="1" applyFill="1" applyBorder="1"/>
    <xf numFmtId="0" fontId="5" fillId="0" borderId="11" xfId="0" applyFont="1" applyBorder="1"/>
    <xf numFmtId="0" fontId="5" fillId="0" borderId="47" xfId="0" applyFont="1" applyBorder="1"/>
    <xf numFmtId="2" fontId="5" fillId="3" borderId="12" xfId="0" applyNumberFormat="1" applyFont="1" applyFill="1" applyBorder="1"/>
    <xf numFmtId="2" fontId="5" fillId="4" borderId="6" xfId="0" applyNumberFormat="1" applyFont="1" applyFill="1" applyBorder="1"/>
    <xf numFmtId="168" fontId="5" fillId="4" borderId="6" xfId="0" applyNumberFormat="1" applyFont="1" applyFill="1" applyBorder="1"/>
    <xf numFmtId="4" fontId="5" fillId="4" borderId="6" xfId="0" applyNumberFormat="1" applyFont="1" applyFill="1" applyBorder="1"/>
    <xf numFmtId="0" fontId="5" fillId="0" borderId="8" xfId="0" applyFont="1" applyBorder="1"/>
    <xf numFmtId="0" fontId="5" fillId="0" borderId="5" xfId="0" applyFont="1" applyBorder="1"/>
    <xf numFmtId="4" fontId="5" fillId="4" borderId="9" xfId="0" applyNumberFormat="1" applyFont="1" applyFill="1" applyBorder="1"/>
    <xf numFmtId="0" fontId="10" fillId="0" borderId="0" xfId="0" applyFont="1" applyFill="1" applyBorder="1"/>
    <xf numFmtId="4" fontId="10" fillId="0" borderId="0" xfId="0" applyNumberFormat="1" applyFont="1"/>
    <xf numFmtId="0" fontId="3" fillId="0" borderId="0" xfId="0" applyFont="1" applyAlignment="1"/>
    <xf numFmtId="0" fontId="14" fillId="0" borderId="0" xfId="0" applyFont="1"/>
    <xf numFmtId="0" fontId="15" fillId="5" borderId="0" xfId="0" applyFont="1" applyFill="1" applyAlignment="1">
      <alignment horizontal="left" indent="1"/>
    </xf>
    <xf numFmtId="10" fontId="15" fillId="5" borderId="0" xfId="0" applyNumberFormat="1" applyFont="1" applyFill="1" applyAlignment="1">
      <alignment horizontal="left" indent="1"/>
    </xf>
    <xf numFmtId="0" fontId="14" fillId="0" borderId="11" xfId="0" applyFont="1" applyBorder="1" applyAlignment="1">
      <alignment wrapText="1"/>
    </xf>
    <xf numFmtId="0" fontId="14" fillId="5" borderId="47" xfId="0" applyFont="1" applyFill="1" applyBorder="1"/>
    <xf numFmtId="0" fontId="14" fillId="5" borderId="11" xfId="0" applyFont="1" applyFill="1" applyBorder="1"/>
    <xf numFmtId="0" fontId="14" fillId="0" borderId="47" xfId="0" applyFont="1" applyBorder="1" applyAlignment="1">
      <alignment wrapText="1"/>
    </xf>
    <xf numFmtId="0" fontId="10" fillId="0" borderId="46" xfId="0" applyFont="1" applyBorder="1"/>
    <xf numFmtId="3" fontId="10" fillId="5" borderId="2" xfId="0" applyNumberFormat="1" applyFont="1" applyFill="1" applyBorder="1"/>
    <xf numFmtId="3" fontId="10" fillId="5" borderId="46" xfId="0" applyNumberFormat="1" applyFont="1" applyFill="1" applyBorder="1"/>
    <xf numFmtId="3" fontId="10" fillId="0" borderId="46" xfId="0" applyNumberFormat="1" applyFont="1" applyBorder="1"/>
    <xf numFmtId="169" fontId="10" fillId="0" borderId="46" xfId="0" applyNumberFormat="1" applyFont="1" applyBorder="1" applyAlignment="1">
      <alignment horizontal="right"/>
    </xf>
    <xf numFmtId="4" fontId="10" fillId="0" borderId="46" xfId="0" applyNumberFormat="1" applyFont="1" applyBorder="1"/>
    <xf numFmtId="0" fontId="10" fillId="0" borderId="12" xfId="0" applyFont="1" applyBorder="1"/>
    <xf numFmtId="3" fontId="10" fillId="5" borderId="0" xfId="0" applyNumberFormat="1" applyFont="1" applyFill="1" applyBorder="1"/>
    <xf numFmtId="3" fontId="10" fillId="5" borderId="12" xfId="0" applyNumberFormat="1" applyFont="1" applyFill="1" applyBorder="1"/>
    <xf numFmtId="3" fontId="10" fillId="0" borderId="12" xfId="0" applyNumberFormat="1" applyFont="1" applyBorder="1"/>
    <xf numFmtId="169" fontId="10" fillId="0" borderId="12" xfId="0" applyNumberFormat="1" applyFont="1" applyBorder="1" applyAlignment="1">
      <alignment horizontal="right"/>
    </xf>
    <xf numFmtId="4" fontId="10" fillId="0" borderId="12" xfId="0" applyNumberFormat="1" applyFont="1" applyBorder="1"/>
    <xf numFmtId="9" fontId="0" fillId="0" borderId="0" xfId="0" applyNumberFormat="1"/>
    <xf numFmtId="0" fontId="10" fillId="0" borderId="13" xfId="0" applyFont="1" applyBorder="1"/>
    <xf numFmtId="3" fontId="10" fillId="5" borderId="5" xfId="0" applyNumberFormat="1" applyFont="1" applyFill="1" applyBorder="1"/>
    <xf numFmtId="3" fontId="10" fillId="5" borderId="13" xfId="0" applyNumberFormat="1" applyFont="1" applyFill="1" applyBorder="1"/>
    <xf numFmtId="3" fontId="10" fillId="0" borderId="13" xfId="0" applyNumberFormat="1" applyFont="1" applyBorder="1"/>
    <xf numFmtId="169" fontId="10" fillId="0" borderId="13" xfId="0" applyNumberFormat="1" applyFont="1" applyBorder="1" applyAlignment="1">
      <alignment horizontal="right"/>
    </xf>
    <xf numFmtId="4" fontId="10" fillId="0" borderId="13" xfId="0" applyNumberFormat="1" applyFont="1" applyBorder="1"/>
    <xf numFmtId="0" fontId="10" fillId="2" borderId="8" xfId="0" applyFont="1" applyFill="1" applyBorder="1"/>
    <xf numFmtId="0" fontId="10" fillId="2" borderId="5" xfId="0" applyFont="1" applyFill="1" applyBorder="1"/>
    <xf numFmtId="4" fontId="10" fillId="2" borderId="9" xfId="0" applyNumberFormat="1" applyFont="1" applyFill="1" applyBorder="1"/>
    <xf numFmtId="40" fontId="10" fillId="0" borderId="0" xfId="0" applyNumberFormat="1" applyFont="1" applyFill="1" applyBorder="1"/>
    <xf numFmtId="40" fontId="10" fillId="2" borderId="13" xfId="0" applyNumberFormat="1" applyFont="1" applyFill="1" applyBorder="1"/>
    <xf numFmtId="0" fontId="10" fillId="2" borderId="4" xfId="0" applyFont="1" applyFill="1" applyBorder="1"/>
    <xf numFmtId="0" fontId="21" fillId="2" borderId="0" xfId="0" applyFont="1" applyFill="1" applyBorder="1"/>
    <xf numFmtId="4" fontId="10" fillId="2" borderId="6" xfId="0" applyNumberFormat="1" applyFont="1" applyFill="1" applyBorder="1"/>
    <xf numFmtId="4" fontId="10" fillId="0" borderId="0" xfId="0" applyNumberFormat="1" applyFont="1" applyFill="1" applyBorder="1"/>
    <xf numFmtId="0" fontId="10" fillId="2" borderId="48" xfId="0" applyFont="1" applyFill="1" applyBorder="1"/>
    <xf numFmtId="0" fontId="10" fillId="2" borderId="20" xfId="0" applyFont="1" applyFill="1" applyBorder="1"/>
    <xf numFmtId="10" fontId="10" fillId="2" borderId="47" xfId="0" applyNumberFormat="1" applyFont="1" applyFill="1" applyBorder="1"/>
    <xf numFmtId="10" fontId="10" fillId="0" borderId="0" xfId="0" applyNumberFormat="1" applyFont="1" applyFill="1" applyBorder="1"/>
    <xf numFmtId="2" fontId="10" fillId="2" borderId="9" xfId="0" applyNumberFormat="1" applyFont="1" applyFill="1" applyBorder="1"/>
    <xf numFmtId="2" fontId="10" fillId="0" borderId="0" xfId="0" applyNumberFormat="1" applyFont="1" applyFill="1" applyBorder="1"/>
    <xf numFmtId="0" fontId="0" fillId="0" borderId="4" xfId="0" applyFill="1" applyBorder="1"/>
    <xf numFmtId="4" fontId="0" fillId="0" borderId="0" xfId="0" applyNumberFormat="1"/>
    <xf numFmtId="170" fontId="0" fillId="0" borderId="0" xfId="0" applyNumberFormat="1"/>
    <xf numFmtId="0" fontId="10" fillId="0" borderId="0" xfId="0" applyFont="1" applyBorder="1" applyAlignment="1">
      <alignment horizontal="left" vertical="top" wrapText="1"/>
    </xf>
    <xf numFmtId="0" fontId="3" fillId="0" borderId="0" xfId="0" applyFont="1" applyAlignment="1"/>
    <xf numFmtId="0" fontId="10" fillId="0" borderId="0" xfId="0" applyFont="1" applyAlignment="1"/>
    <xf numFmtId="166" fontId="3" fillId="0" borderId="0" xfId="1" applyNumberFormat="1" applyFont="1" applyAlignment="1"/>
    <xf numFmtId="166" fontId="10" fillId="0" borderId="0" xfId="1" applyNumberFormat="1" applyFont="1" applyAlignment="1"/>
    <xf numFmtId="166" fontId="10" fillId="0" borderId="0" xfId="1" applyNumberFormat="1" applyFont="1"/>
    <xf numFmtId="166" fontId="3" fillId="0" borderId="0" xfId="1" applyNumberFormat="1" applyFont="1"/>
    <xf numFmtId="166" fontId="3" fillId="0" borderId="0" xfId="1" quotePrefix="1" applyNumberFormat="1" applyFont="1" applyAlignment="1"/>
    <xf numFmtId="4" fontId="5" fillId="0" borderId="13" xfId="0" applyNumberFormat="1" applyFont="1" applyFill="1" applyBorder="1"/>
    <xf numFmtId="4" fontId="5" fillId="0" borderId="9" xfId="0" applyNumberFormat="1" applyFont="1" applyFill="1" applyBorder="1"/>
    <xf numFmtId="0" fontId="10" fillId="0" borderId="4" xfId="0" applyFont="1" applyFill="1" applyBorder="1"/>
    <xf numFmtId="0" fontId="5" fillId="0" borderId="5" xfId="0" applyFont="1" applyBorder="1" applyAlignment="1">
      <alignment horizontal="center"/>
    </xf>
    <xf numFmtId="0" fontId="3" fillId="0" borderId="43" xfId="0" applyFont="1" applyBorder="1"/>
    <xf numFmtId="0" fontId="0" fillId="0" borderId="49" xfId="0" applyBorder="1"/>
    <xf numFmtId="0" fontId="0" fillId="0" borderId="44" xfId="0" applyBorder="1"/>
    <xf numFmtId="0" fontId="0" fillId="4" borderId="28" xfId="0" applyFill="1" applyBorder="1"/>
    <xf numFmtId="0" fontId="0" fillId="4" borderId="29" xfId="0" applyFill="1" applyBorder="1"/>
    <xf numFmtId="3" fontId="0" fillId="0" borderId="29" xfId="0" applyNumberFormat="1" applyBorder="1"/>
    <xf numFmtId="3" fontId="0" fillId="4" borderId="29" xfId="0" applyNumberFormat="1" applyFill="1" applyBorder="1"/>
    <xf numFmtId="3" fontId="0" fillId="4" borderId="32" xfId="0" applyNumberFormat="1" applyFill="1" applyBorder="1"/>
    <xf numFmtId="0" fontId="0" fillId="4" borderId="41" xfId="0" applyFill="1" applyBorder="1"/>
    <xf numFmtId="0" fontId="0" fillId="4" borderId="50" xfId="0" applyFill="1" applyBorder="1"/>
    <xf numFmtId="3" fontId="0" fillId="0" borderId="50" xfId="0" applyNumberFormat="1" applyBorder="1"/>
    <xf numFmtId="3" fontId="0" fillId="4" borderId="50" xfId="0" applyNumberFormat="1" applyFill="1" applyBorder="1"/>
    <xf numFmtId="3" fontId="0" fillId="4" borderId="42" xfId="0" applyNumberFormat="1" applyFill="1" applyBorder="1"/>
    <xf numFmtId="0" fontId="0" fillId="4" borderId="33" xfId="0" applyFill="1" applyBorder="1"/>
    <xf numFmtId="0" fontId="0" fillId="4" borderId="34" xfId="0" applyFill="1" applyBorder="1"/>
    <xf numFmtId="3" fontId="0" fillId="0" borderId="34" xfId="0" applyNumberFormat="1" applyBorder="1"/>
    <xf numFmtId="3" fontId="0" fillId="4" borderId="34" xfId="0" applyNumberFormat="1" applyFill="1" applyBorder="1"/>
    <xf numFmtId="3" fontId="0" fillId="4" borderId="38" xfId="0" applyNumberFormat="1" applyFill="1" applyBorder="1"/>
    <xf numFmtId="0" fontId="10" fillId="0" borderId="51" xfId="0" applyFont="1" applyBorder="1"/>
    <xf numFmtId="0" fontId="0" fillId="0" borderId="52" xfId="0" applyBorder="1"/>
    <xf numFmtId="3" fontId="0" fillId="0" borderId="52" xfId="0" applyNumberFormat="1" applyBorder="1"/>
    <xf numFmtId="3" fontId="0" fillId="0" borderId="52" xfId="1" applyNumberFormat="1" applyFont="1" applyBorder="1"/>
    <xf numFmtId="3" fontId="0" fillId="0" borderId="53" xfId="1" applyNumberFormat="1" applyFont="1" applyBorder="1"/>
    <xf numFmtId="0" fontId="10" fillId="0" borderId="28" xfId="0" applyFont="1" applyBorder="1"/>
    <xf numFmtId="0" fontId="0" fillId="0" borderId="29" xfId="0" applyBorder="1"/>
    <xf numFmtId="3" fontId="0" fillId="0" borderId="29" xfId="1" applyNumberFormat="1" applyFont="1" applyBorder="1"/>
    <xf numFmtId="3" fontId="0" fillId="0" borderId="32" xfId="1" applyNumberFormat="1" applyFont="1" applyBorder="1"/>
    <xf numFmtId="0" fontId="0" fillId="3" borderId="28" xfId="0" applyFill="1" applyBorder="1"/>
    <xf numFmtId="0" fontId="0" fillId="3" borderId="29" xfId="0" applyFill="1" applyBorder="1"/>
    <xf numFmtId="3" fontId="0" fillId="3" borderId="29" xfId="1" applyNumberFormat="1" applyFont="1" applyFill="1" applyBorder="1"/>
    <xf numFmtId="3" fontId="0" fillId="3" borderId="32" xfId="1" applyNumberFormat="1" applyFont="1" applyFill="1" applyBorder="1"/>
    <xf numFmtId="0" fontId="10" fillId="0" borderId="54" xfId="0" applyFont="1" applyBorder="1"/>
    <xf numFmtId="0" fontId="0" fillId="0" borderId="55" xfId="0" applyBorder="1"/>
    <xf numFmtId="3" fontId="0" fillId="0" borderId="55" xfId="0" applyNumberFormat="1" applyBorder="1"/>
    <xf numFmtId="3" fontId="0" fillId="0" borderId="56" xfId="0" applyNumberFormat="1" applyBorder="1"/>
    <xf numFmtId="0" fontId="10" fillId="0" borderId="17" xfId="0" applyFont="1" applyBorder="1"/>
    <xf numFmtId="0" fontId="0" fillId="0" borderId="18" xfId="0" applyBorder="1"/>
    <xf numFmtId="3" fontId="0" fillId="0" borderId="18" xfId="1" applyNumberFormat="1" applyFont="1" applyBorder="1"/>
    <xf numFmtId="3" fontId="0" fillId="0" borderId="22" xfId="1" applyNumberFormat="1" applyFont="1" applyBorder="1"/>
    <xf numFmtId="0" fontId="0" fillId="6" borderId="29" xfId="0" applyFill="1" applyBorder="1"/>
    <xf numFmtId="0" fontId="22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166" fontId="0" fillId="4" borderId="57" xfId="1" applyNumberFormat="1" applyFont="1" applyFill="1" applyBorder="1"/>
    <xf numFmtId="166" fontId="0" fillId="0" borderId="58" xfId="1" applyNumberFormat="1" applyFont="1" applyBorder="1"/>
    <xf numFmtId="0" fontId="4" fillId="0" borderId="59" xfId="0" applyFont="1" applyBorder="1"/>
    <xf numFmtId="166" fontId="4" fillId="0" borderId="29" xfId="1" applyNumberFormat="1" applyFont="1" applyBorder="1"/>
    <xf numFmtId="166" fontId="4" fillId="0" borderId="32" xfId="1" applyNumberFormat="1" applyFont="1" applyBorder="1"/>
    <xf numFmtId="166" fontId="0" fillId="0" borderId="29" xfId="1" applyNumberFormat="1" applyFont="1" applyBorder="1"/>
    <xf numFmtId="166" fontId="0" fillId="0" borderId="32" xfId="1" applyNumberFormat="1" applyFont="1" applyBorder="1"/>
    <xf numFmtId="166" fontId="0" fillId="4" borderId="29" xfId="1" applyNumberFormat="1" applyFont="1" applyFill="1" applyBorder="1"/>
    <xf numFmtId="0" fontId="4" fillId="0" borderId="62" xfId="0" applyFont="1" applyBorder="1"/>
    <xf numFmtId="166" fontId="0" fillId="0" borderId="63" xfId="1" applyNumberFormat="1" applyFont="1" applyBorder="1"/>
    <xf numFmtId="166" fontId="0" fillId="0" borderId="64" xfId="1" applyNumberFormat="1" applyFont="1" applyBorder="1"/>
    <xf numFmtId="0" fontId="0" fillId="4" borderId="0" xfId="0" applyFill="1"/>
    <xf numFmtId="0" fontId="0" fillId="0" borderId="15" xfId="0" applyBorder="1"/>
    <xf numFmtId="0" fontId="0" fillId="0" borderId="65" xfId="0" applyBorder="1"/>
    <xf numFmtId="166" fontId="0" fillId="4" borderId="0" xfId="1" applyNumberFormat="1" applyFont="1" applyFill="1" applyAlignment="1"/>
    <xf numFmtId="166" fontId="0" fillId="4" borderId="0" xfId="1" applyNumberFormat="1" applyFont="1" applyFill="1" applyAlignment="1">
      <alignment horizontal="center"/>
    </xf>
    <xf numFmtId="0" fontId="4" fillId="0" borderId="0" xfId="0" applyFont="1" applyAlignment="1"/>
    <xf numFmtId="0" fontId="4" fillId="0" borderId="0" xfId="0" applyFont="1" applyFill="1" applyAlignment="1"/>
    <xf numFmtId="9" fontId="4" fillId="4" borderId="0" xfId="0" applyNumberFormat="1" applyFont="1" applyFill="1" applyAlignment="1"/>
    <xf numFmtId="166" fontId="0" fillId="4" borderId="0" xfId="1" applyNumberFormat="1" applyFont="1" applyFill="1" applyAlignment="1"/>
    <xf numFmtId="0" fontId="19" fillId="0" borderId="0" xfId="0" applyFont="1" applyAlignment="1">
      <alignment horizontal="center"/>
    </xf>
    <xf numFmtId="0" fontId="0" fillId="0" borderId="39" xfId="0" applyBorder="1"/>
    <xf numFmtId="0" fontId="0" fillId="0" borderId="10" xfId="0" applyBorder="1"/>
    <xf numFmtId="0" fontId="0" fillId="0" borderId="25" xfId="0" applyBorder="1"/>
    <xf numFmtId="0" fontId="4" fillId="0" borderId="39" xfId="0" applyFont="1" applyFill="1" applyBorder="1"/>
    <xf numFmtId="166" fontId="0" fillId="0" borderId="10" xfId="1" applyNumberFormat="1" applyFont="1" applyBorder="1"/>
    <xf numFmtId="166" fontId="0" fillId="0" borderId="40" xfId="1" applyNumberFormat="1" applyFont="1" applyBorder="1"/>
    <xf numFmtId="166" fontId="0" fillId="0" borderId="57" xfId="1" applyNumberFormat="1" applyFont="1" applyBorder="1"/>
    <xf numFmtId="166" fontId="0" fillId="0" borderId="0" xfId="1" applyNumberFormat="1" applyFont="1" applyBorder="1"/>
    <xf numFmtId="0" fontId="4" fillId="0" borderId="66" xfId="0" applyFont="1" applyFill="1" applyBorder="1"/>
    <xf numFmtId="166" fontId="0" fillId="4" borderId="65" xfId="1" applyNumberFormat="1" applyFont="1" applyFill="1" applyBorder="1"/>
    <xf numFmtId="166" fontId="0" fillId="0" borderId="65" xfId="1" applyNumberFormat="1" applyFont="1" applyBorder="1"/>
    <xf numFmtId="166" fontId="0" fillId="0" borderId="67" xfId="1" applyNumberFormat="1" applyFont="1" applyBorder="1"/>
    <xf numFmtId="0" fontId="0" fillId="0" borderId="4" xfId="0" applyNumberFormat="1" applyBorder="1"/>
    <xf numFmtId="166" fontId="0" fillId="4" borderId="0" xfId="1" applyNumberFormat="1" applyFont="1" applyFill="1" applyBorder="1"/>
    <xf numFmtId="166" fontId="0" fillId="0" borderId="6" xfId="1" applyNumberFormat="1" applyFont="1" applyBorder="1"/>
    <xf numFmtId="166" fontId="0" fillId="4" borderId="6" xfId="1" applyNumberFormat="1" applyFont="1" applyFill="1" applyBorder="1"/>
    <xf numFmtId="49" fontId="0" fillId="0" borderId="59" xfId="0" applyNumberFormat="1" applyBorder="1"/>
    <xf numFmtId="166" fontId="0" fillId="0" borderId="15" xfId="1" applyNumberFormat="1" applyFont="1" applyBorder="1"/>
    <xf numFmtId="166" fontId="0" fillId="0" borderId="45" xfId="1" applyNumberFormat="1" applyFont="1" applyBorder="1"/>
    <xf numFmtId="49" fontId="0" fillId="0" borderId="4" xfId="0" applyNumberFormat="1" applyBorder="1"/>
    <xf numFmtId="0" fontId="4" fillId="0" borderId="4" xfId="0" applyFont="1" applyFill="1" applyBorder="1"/>
    <xf numFmtId="0" fontId="1" fillId="0" borderId="4" xfId="0" applyFont="1" applyFill="1" applyBorder="1"/>
    <xf numFmtId="0" fontId="4" fillId="0" borderId="59" xfId="0" applyFont="1" applyFill="1" applyBorder="1"/>
    <xf numFmtId="166" fontId="4" fillId="0" borderId="29" xfId="1" applyNumberFormat="1" applyFont="1" applyFill="1" applyBorder="1"/>
    <xf numFmtId="0" fontId="0" fillId="0" borderId="68" xfId="0" applyFill="1" applyBorder="1"/>
    <xf numFmtId="166" fontId="0" fillId="0" borderId="50" xfId="1" applyNumberFormat="1" applyFont="1" applyFill="1" applyBorder="1"/>
    <xf numFmtId="166" fontId="0" fillId="0" borderId="68" xfId="1" applyNumberFormat="1" applyFont="1" applyBorder="1" applyAlignment="1">
      <alignment horizontal="center"/>
    </xf>
    <xf numFmtId="166" fontId="0" fillId="0" borderId="69" xfId="1" applyNumberFormat="1" applyFont="1" applyBorder="1" applyAlignment="1">
      <alignment horizontal="center"/>
    </xf>
    <xf numFmtId="0" fontId="0" fillId="0" borderId="70" xfId="0" applyFill="1" applyBorder="1"/>
    <xf numFmtId="0" fontId="0" fillId="4" borderId="57" xfId="0" applyFill="1" applyBorder="1"/>
    <xf numFmtId="166" fontId="0" fillId="0" borderId="70" xfId="1" applyNumberFormat="1" applyFont="1" applyBorder="1" applyAlignment="1">
      <alignment horizontal="center"/>
    </xf>
    <xf numFmtId="166" fontId="0" fillId="0" borderId="71" xfId="1" applyNumberFormat="1" applyFont="1" applyBorder="1" applyAlignment="1">
      <alignment horizontal="center"/>
    </xf>
    <xf numFmtId="166" fontId="0" fillId="4" borderId="70" xfId="1" applyNumberFormat="1" applyFont="1" applyFill="1" applyBorder="1" applyAlignment="1">
      <alignment horizontal="center"/>
    </xf>
    <xf numFmtId="166" fontId="0" fillId="4" borderId="71" xfId="1" applyNumberFormat="1" applyFont="1" applyFill="1" applyBorder="1" applyAlignment="1">
      <alignment horizontal="center"/>
    </xf>
    <xf numFmtId="166" fontId="0" fillId="0" borderId="0" xfId="1" applyNumberFormat="1" applyFont="1" applyFill="1" applyBorder="1"/>
    <xf numFmtId="166" fontId="4" fillId="0" borderId="68" xfId="1" applyNumberFormat="1" applyFont="1" applyFill="1" applyBorder="1"/>
    <xf numFmtId="166" fontId="4" fillId="0" borderId="65" xfId="1" applyNumberFormat="1" applyFont="1" applyFill="1" applyBorder="1"/>
    <xf numFmtId="0" fontId="4" fillId="0" borderId="72" xfId="0" applyFont="1" applyFill="1" applyBorder="1"/>
    <xf numFmtId="166" fontId="0" fillId="0" borderId="7" xfId="1" applyNumberFormat="1" applyFont="1" applyBorder="1"/>
    <xf numFmtId="166" fontId="0" fillId="0" borderId="73" xfId="1" applyNumberFormat="1" applyFont="1" applyBorder="1"/>
    <xf numFmtId="0" fontId="4" fillId="0" borderId="62" xfId="0" applyFont="1" applyFill="1" applyBorder="1"/>
    <xf numFmtId="166" fontId="4" fillId="0" borderId="74" xfId="1" applyNumberFormat="1" applyFont="1" applyFill="1" applyBorder="1"/>
    <xf numFmtId="166" fontId="0" fillId="0" borderId="74" xfId="1" applyNumberFormat="1" applyFont="1" applyBorder="1" applyAlignment="1">
      <alignment horizontal="center"/>
    </xf>
    <xf numFmtId="166" fontId="0" fillId="0" borderId="75" xfId="1" applyNumberFormat="1" applyFont="1" applyBorder="1" applyAlignment="1">
      <alignment horizontal="center"/>
    </xf>
    <xf numFmtId="166" fontId="4" fillId="0" borderId="16" xfId="1" applyNumberFormat="1" applyFont="1" applyFill="1" applyBorder="1"/>
    <xf numFmtId="166" fontId="4" fillId="0" borderId="16" xfId="1" applyNumberFormat="1" applyFont="1" applyBorder="1"/>
    <xf numFmtId="166" fontId="0" fillId="0" borderId="16" xfId="1" applyNumberFormat="1" applyFont="1" applyBorder="1"/>
    <xf numFmtId="166" fontId="4" fillId="0" borderId="76" xfId="1" applyNumberFormat="1" applyFont="1" applyBorder="1"/>
    <xf numFmtId="166" fontId="0" fillId="0" borderId="0" xfId="1" applyNumberFormat="1" applyFont="1" applyBorder="1" applyAlignment="1">
      <alignment horizontal="center"/>
    </xf>
    <xf numFmtId="166" fontId="4" fillId="0" borderId="0" xfId="1" applyNumberFormat="1" applyFont="1" applyBorder="1"/>
    <xf numFmtId="0" fontId="4" fillId="0" borderId="0" xfId="0" applyFont="1" applyAlignment="1"/>
    <xf numFmtId="0" fontId="0" fillId="0" borderId="5" xfId="0" applyBorder="1" applyAlignment="1"/>
    <xf numFmtId="4" fontId="0" fillId="0" borderId="0" xfId="1" applyNumberFormat="1" applyFont="1" applyBorder="1" applyAlignment="1">
      <alignment horizontal="left"/>
    </xf>
    <xf numFmtId="165" fontId="0" fillId="0" borderId="0" xfId="0" applyNumberFormat="1"/>
    <xf numFmtId="166" fontId="0" fillId="0" borderId="5" xfId="0" applyNumberFormat="1" applyBorder="1"/>
    <xf numFmtId="0" fontId="4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3" fontId="10" fillId="0" borderId="0" xfId="1" applyNumberFormat="1" applyFont="1"/>
    <xf numFmtId="0" fontId="10" fillId="0" borderId="0" xfId="0" applyFont="1" applyAlignment="1"/>
    <xf numFmtId="49" fontId="10" fillId="0" borderId="0" xfId="0" applyNumberFormat="1" applyFont="1" applyBorder="1"/>
    <xf numFmtId="166" fontId="10" fillId="0" borderId="0" xfId="1" applyNumberFormat="1" applyFont="1" applyBorder="1"/>
    <xf numFmtId="165" fontId="0" fillId="0" borderId="57" xfId="1" applyFont="1" applyBorder="1"/>
    <xf numFmtId="166" fontId="0" fillId="0" borderId="57" xfId="1" applyNumberFormat="1" applyFont="1" applyFill="1" applyBorder="1"/>
    <xf numFmtId="166" fontId="0" fillId="0" borderId="60" xfId="1" applyNumberFormat="1" applyFont="1" applyBorder="1"/>
    <xf numFmtId="166" fontId="0" fillId="4" borderId="61" xfId="1" applyNumberFormat="1" applyFont="1" applyFill="1" applyBorder="1"/>
    <xf numFmtId="0" fontId="0" fillId="0" borderId="43" xfId="0" applyFill="1" applyBorder="1"/>
    <xf numFmtId="0" fontId="0" fillId="0" borderId="49" xfId="0" applyFill="1" applyBorder="1"/>
    <xf numFmtId="49" fontId="0" fillId="0" borderId="49" xfId="0" applyNumberFormat="1" applyFill="1" applyBorder="1" applyAlignment="1">
      <alignment wrapText="1"/>
    </xf>
    <xf numFmtId="0" fontId="0" fillId="0" borderId="49" xfId="0" applyFill="1" applyBorder="1" applyAlignment="1">
      <alignment wrapText="1"/>
    </xf>
    <xf numFmtId="166" fontId="0" fillId="0" borderId="29" xfId="1" applyNumberFormat="1" applyFont="1" applyFill="1" applyBorder="1"/>
    <xf numFmtId="3" fontId="0" fillId="0" borderId="0" xfId="0" applyNumberFormat="1"/>
    <xf numFmtId="0" fontId="0" fillId="0" borderId="0" xfId="0" quotePrefix="1"/>
    <xf numFmtId="166" fontId="3" fillId="0" borderId="15" xfId="1" applyNumberFormat="1" applyFont="1" applyBorder="1"/>
    <xf numFmtId="166" fontId="10" fillId="0" borderId="0" xfId="1" applyNumberFormat="1" applyFont="1" applyFill="1"/>
    <xf numFmtId="166" fontId="3" fillId="0" borderId="16" xfId="1" applyNumberFormat="1" applyFont="1" applyBorder="1"/>
    <xf numFmtId="0" fontId="10" fillId="0" borderId="4" xfId="0" applyFont="1" applyBorder="1"/>
    <xf numFmtId="3" fontId="0" fillId="0" borderId="6" xfId="0" applyNumberFormat="1" applyBorder="1"/>
    <xf numFmtId="0" fontId="10" fillId="0" borderId="29" xfId="0" applyFont="1" applyFill="1" applyBorder="1"/>
    <xf numFmtId="0" fontId="30" fillId="0" borderId="2" xfId="0" applyFont="1" applyFill="1" applyBorder="1"/>
    <xf numFmtId="0" fontId="3" fillId="0" borderId="2" xfId="0" applyFont="1" applyFill="1" applyBorder="1"/>
    <xf numFmtId="0" fontId="0" fillId="0" borderId="3" xfId="0" applyFill="1" applyBorder="1"/>
    <xf numFmtId="0" fontId="0" fillId="0" borderId="46" xfId="0" applyFill="1" applyBorder="1"/>
    <xf numFmtId="0" fontId="0" fillId="0" borderId="46" xfId="0" applyBorder="1"/>
    <xf numFmtId="0" fontId="4" fillId="4" borderId="8" xfId="0" applyFont="1" applyFill="1" applyBorder="1"/>
    <xf numFmtId="0" fontId="4" fillId="4" borderId="5" xfId="0" applyFont="1" applyFill="1" applyBorder="1"/>
    <xf numFmtId="0" fontId="4" fillId="4" borderId="9" xfId="0" applyFont="1" applyFill="1" applyBorder="1"/>
    <xf numFmtId="0" fontId="4" fillId="4" borderId="13" xfId="0" applyFont="1" applyFill="1" applyBorder="1" applyAlignment="1">
      <alignment horizontal="center"/>
    </xf>
    <xf numFmtId="166" fontId="0" fillId="0" borderId="12" xfId="1" applyNumberFormat="1" applyFont="1" applyBorder="1"/>
    <xf numFmtId="9" fontId="0" fillId="0" borderId="12" xfId="2" applyFont="1" applyBorder="1"/>
    <xf numFmtId="0" fontId="1" fillId="0" borderId="4" xfId="0" quotePrefix="1" applyFont="1" applyBorder="1"/>
    <xf numFmtId="0" fontId="1" fillId="0" borderId="4" xfId="0" applyFont="1" applyBorder="1"/>
    <xf numFmtId="166" fontId="0" fillId="0" borderId="24" xfId="1" applyNumberFormat="1" applyFont="1" applyBorder="1"/>
    <xf numFmtId="166" fontId="0" fillId="0" borderId="27" xfId="1" applyNumberFormat="1" applyFont="1" applyBorder="1"/>
    <xf numFmtId="166" fontId="4" fillId="0" borderId="24" xfId="1" applyNumberFormat="1" applyFont="1" applyFill="1" applyBorder="1"/>
    <xf numFmtId="166" fontId="0" fillId="0" borderId="77" xfId="1" applyNumberFormat="1" applyFont="1" applyBorder="1"/>
    <xf numFmtId="9" fontId="0" fillId="0" borderId="77" xfId="2" applyFont="1" applyBorder="1"/>
    <xf numFmtId="166" fontId="0" fillId="0" borderId="58" xfId="1" applyNumberFormat="1" applyFont="1" applyFill="1" applyBorder="1"/>
    <xf numFmtId="0" fontId="31" fillId="0" borderId="59" xfId="0" applyFont="1" applyFill="1" applyBorder="1"/>
    <xf numFmtId="166" fontId="31" fillId="0" borderId="29" xfId="1" applyNumberFormat="1" applyFont="1" applyFill="1" applyBorder="1"/>
    <xf numFmtId="166" fontId="31" fillId="0" borderId="32" xfId="1" applyNumberFormat="1" applyFont="1" applyFill="1" applyBorder="1"/>
    <xf numFmtId="0" fontId="1" fillId="0" borderId="4" xfId="0" quotePrefix="1" applyFont="1" applyFill="1" applyBorder="1"/>
    <xf numFmtId="166" fontId="4" fillId="0" borderId="32" xfId="1" applyNumberFormat="1" applyFont="1" applyFill="1" applyBorder="1"/>
    <xf numFmtId="166" fontId="4" fillId="0" borderId="15" xfId="1" applyNumberFormat="1" applyFont="1" applyFill="1" applyBorder="1"/>
    <xf numFmtId="0" fontId="0" fillId="0" borderId="58" xfId="0" applyFill="1" applyBorder="1"/>
    <xf numFmtId="166" fontId="4" fillId="0" borderId="63" xfId="0" applyNumberFormat="1" applyFont="1" applyFill="1" applyBorder="1"/>
    <xf numFmtId="166" fontId="4" fillId="0" borderId="16" xfId="0" applyNumberFormat="1" applyFont="1" applyFill="1" applyBorder="1"/>
    <xf numFmtId="166" fontId="4" fillId="0" borderId="64" xfId="0" applyNumberFormat="1" applyFont="1" applyFill="1" applyBorder="1"/>
    <xf numFmtId="166" fontId="0" fillId="0" borderId="78" xfId="1" applyNumberFormat="1" applyFont="1" applyBorder="1"/>
    <xf numFmtId="9" fontId="0" fillId="0" borderId="78" xfId="2" applyFont="1" applyBorder="1"/>
    <xf numFmtId="9" fontId="0" fillId="0" borderId="0" xfId="2" applyFont="1" applyBorder="1"/>
    <xf numFmtId="0" fontId="0" fillId="0" borderId="69" xfId="0" applyBorder="1"/>
    <xf numFmtId="166" fontId="0" fillId="0" borderId="42" xfId="1" applyNumberFormat="1" applyFont="1" applyBorder="1"/>
    <xf numFmtId="9" fontId="0" fillId="0" borderId="69" xfId="2" applyFont="1" applyBorder="1"/>
    <xf numFmtId="0" fontId="0" fillId="0" borderId="71" xfId="0" applyBorder="1"/>
    <xf numFmtId="9" fontId="0" fillId="0" borderId="71" xfId="2" applyFont="1" applyBorder="1"/>
    <xf numFmtId="0" fontId="0" fillId="0" borderId="61" xfId="0" applyFill="1" applyBorder="1"/>
    <xf numFmtId="0" fontId="0" fillId="0" borderId="7" xfId="0" applyBorder="1"/>
    <xf numFmtId="0" fontId="0" fillId="0" borderId="60" xfId="0" applyBorder="1"/>
    <xf numFmtId="9" fontId="0" fillId="0" borderId="60" xfId="2" applyFont="1" applyBorder="1"/>
    <xf numFmtId="0" fontId="3" fillId="0" borderId="48" xfId="0" applyFont="1" applyBorder="1" applyAlignment="1"/>
    <xf numFmtId="0" fontId="3" fillId="0" borderId="20" xfId="0" applyFont="1" applyBorder="1" applyAlignment="1"/>
    <xf numFmtId="0" fontId="3" fillId="0" borderId="2" xfId="0" applyFont="1" applyBorder="1"/>
    <xf numFmtId="0" fontId="0" fillId="4" borderId="48" xfId="0" applyFill="1" applyBorder="1"/>
    <xf numFmtId="0" fontId="0" fillId="4" borderId="20" xfId="0" applyFill="1" applyBorder="1"/>
    <xf numFmtId="0" fontId="0" fillId="4" borderId="18" xfId="0" applyFill="1" applyBorder="1"/>
    <xf numFmtId="0" fontId="0" fillId="4" borderId="22" xfId="0" applyFill="1" applyBorder="1"/>
    <xf numFmtId="0" fontId="0" fillId="4" borderId="11" xfId="0" applyFill="1" applyBorder="1" applyAlignment="1">
      <alignment horizontal="center"/>
    </xf>
    <xf numFmtId="0" fontId="4" fillId="0" borderId="15" xfId="0" applyFont="1" applyFill="1" applyBorder="1"/>
    <xf numFmtId="166" fontId="0" fillId="0" borderId="77" xfId="1" applyNumberFormat="1" applyFont="1" applyFill="1" applyBorder="1"/>
    <xf numFmtId="0" fontId="4" fillId="0" borderId="16" xfId="0" applyFont="1" applyFill="1" applyBorder="1"/>
    <xf numFmtId="166" fontId="4" fillId="0" borderId="63" xfId="1" applyNumberFormat="1" applyFont="1" applyFill="1" applyBorder="1"/>
    <xf numFmtId="166" fontId="4" fillId="0" borderId="64" xfId="1" applyNumberFormat="1" applyFont="1" applyFill="1" applyBorder="1"/>
    <xf numFmtId="166" fontId="0" fillId="0" borderId="78" xfId="1" applyNumberFormat="1" applyFont="1" applyFill="1" applyBorder="1"/>
    <xf numFmtId="0" fontId="4" fillId="0" borderId="10" xfId="0" applyFont="1" applyFill="1" applyBorder="1"/>
    <xf numFmtId="166" fontId="4" fillId="0" borderId="49" xfId="1" applyNumberFormat="1" applyFont="1" applyFill="1" applyBorder="1"/>
    <xf numFmtId="166" fontId="4" fillId="0" borderId="10" xfId="1" applyNumberFormat="1" applyFont="1" applyFill="1" applyBorder="1"/>
    <xf numFmtId="166" fontId="4" fillId="0" borderId="44" xfId="1" applyNumberFormat="1" applyFont="1" applyFill="1" applyBorder="1"/>
    <xf numFmtId="166" fontId="0" fillId="0" borderId="79" xfId="1" applyNumberFormat="1" applyFont="1" applyFill="1" applyBorder="1"/>
    <xf numFmtId="9" fontId="0" fillId="0" borderId="79" xfId="2" applyFont="1" applyBorder="1"/>
    <xf numFmtId="166" fontId="4" fillId="0" borderId="57" xfId="1" applyNumberFormat="1" applyFont="1" applyFill="1" applyBorder="1"/>
    <xf numFmtId="166" fontId="4" fillId="0" borderId="58" xfId="1" applyNumberFormat="1" applyFont="1" applyFill="1" applyBorder="1"/>
    <xf numFmtId="166" fontId="1" fillId="0" borderId="57" xfId="1" applyNumberFormat="1" applyFont="1" applyFill="1" applyBorder="1"/>
    <xf numFmtId="166" fontId="1" fillId="0" borderId="0" xfId="1" applyNumberFormat="1" applyFont="1" applyFill="1" applyBorder="1"/>
    <xf numFmtId="166" fontId="1" fillId="0" borderId="58" xfId="1" applyNumberFormat="1" applyFont="1" applyFill="1" applyBorder="1"/>
    <xf numFmtId="0" fontId="0" fillId="0" borderId="15" xfId="0" applyFill="1" applyBorder="1"/>
    <xf numFmtId="166" fontId="0" fillId="0" borderId="15" xfId="1" applyNumberFormat="1" applyFont="1" applyFill="1" applyBorder="1" applyAlignment="1">
      <alignment horizontal="left"/>
    </xf>
    <xf numFmtId="166" fontId="0" fillId="0" borderId="15" xfId="1" applyNumberFormat="1" applyFont="1" applyFill="1" applyBorder="1"/>
    <xf numFmtId="166" fontId="0" fillId="0" borderId="32" xfId="1" applyNumberFormat="1" applyFont="1" applyFill="1" applyBorder="1"/>
    <xf numFmtId="166" fontId="0" fillId="0" borderId="0" xfId="1" applyNumberFormat="1" applyFont="1" applyFill="1" applyBorder="1" applyAlignment="1">
      <alignment horizontal="left"/>
    </xf>
    <xf numFmtId="0" fontId="0" fillId="0" borderId="57" xfId="0" applyFill="1" applyBorder="1"/>
    <xf numFmtId="0" fontId="0" fillId="0" borderId="1" xfId="0" applyBorder="1"/>
    <xf numFmtId="0" fontId="2" fillId="0" borderId="2" xfId="0" applyFont="1" applyFill="1" applyBorder="1"/>
    <xf numFmtId="0" fontId="2" fillId="0" borderId="20" xfId="0" applyFont="1" applyFill="1" applyBorder="1" applyAlignment="1"/>
    <xf numFmtId="0" fontId="2" fillId="0" borderId="20" xfId="0" applyFont="1" applyBorder="1" applyAlignment="1"/>
    <xf numFmtId="0" fontId="2" fillId="0" borderId="47" xfId="0" applyFont="1" applyBorder="1" applyAlignment="1"/>
    <xf numFmtId="0" fontId="0" fillId="0" borderId="47" xfId="0" applyFill="1" applyBorder="1"/>
    <xf numFmtId="0" fontId="14" fillId="0" borderId="39" xfId="0" applyFont="1" applyFill="1" applyBorder="1"/>
    <xf numFmtId="0" fontId="14" fillId="0" borderId="10" xfId="0" applyFont="1" applyFill="1" applyBorder="1"/>
    <xf numFmtId="0" fontId="0" fillId="0" borderId="10" xfId="0" applyFill="1" applyBorder="1"/>
    <xf numFmtId="0" fontId="14" fillId="0" borderId="49" xfId="0" applyFont="1" applyFill="1" applyBorder="1"/>
    <xf numFmtId="0" fontId="14" fillId="0" borderId="44" xfId="0" applyFont="1" applyFill="1" applyBorder="1"/>
    <xf numFmtId="0" fontId="14" fillId="0" borderId="79" xfId="0" applyFont="1" applyFill="1" applyBorder="1"/>
    <xf numFmtId="0" fontId="14" fillId="7" borderId="4" xfId="0" applyFont="1" applyFill="1" applyBorder="1"/>
    <xf numFmtId="0" fontId="14" fillId="7" borderId="0" xfId="0" applyFont="1" applyFill="1" applyBorder="1"/>
    <xf numFmtId="0" fontId="0" fillId="7" borderId="0" xfId="0" applyFill="1" applyBorder="1" applyAlignment="1">
      <alignment horizontal="center"/>
    </xf>
    <xf numFmtId="0" fontId="0" fillId="7" borderId="0" xfId="0" applyFill="1" applyBorder="1" applyAlignment="1">
      <alignment horizontal="right"/>
    </xf>
    <xf numFmtId="0" fontId="0" fillId="7" borderId="0" xfId="0" applyFill="1" applyBorder="1" applyAlignment="1">
      <alignment horizontal="left"/>
    </xf>
    <xf numFmtId="0" fontId="0" fillId="7" borderId="57" xfId="0" applyFill="1" applyBorder="1"/>
    <xf numFmtId="0" fontId="0" fillId="7" borderId="58" xfId="0" applyFill="1" applyBorder="1"/>
    <xf numFmtId="0" fontId="0" fillId="7" borderId="12" xfId="0" applyFill="1" applyBorder="1"/>
    <xf numFmtId="0" fontId="0" fillId="0" borderId="66" xfId="0" applyBorder="1"/>
    <xf numFmtId="0" fontId="0" fillId="0" borderId="36" xfId="0" applyBorder="1" applyAlignment="1">
      <alignment horizontal="center"/>
    </xf>
    <xf numFmtId="0" fontId="0" fillId="0" borderId="36" xfId="0" applyBorder="1"/>
    <xf numFmtId="166" fontId="0" fillId="0" borderId="36" xfId="1" applyNumberFormat="1" applyFont="1" applyBorder="1" applyAlignment="1">
      <alignment horizontal="center"/>
    </xf>
    <xf numFmtId="0" fontId="0" fillId="0" borderId="36" xfId="0" applyBorder="1" applyAlignment="1">
      <alignment horizontal="left"/>
    </xf>
    <xf numFmtId="10" fontId="0" fillId="0" borderId="50" xfId="2" applyNumberFormat="1" applyFont="1" applyBorder="1"/>
    <xf numFmtId="10" fontId="0" fillId="0" borderId="42" xfId="2" applyNumberFormat="1" applyFont="1" applyBorder="1"/>
    <xf numFmtId="168" fontId="0" fillId="0" borderId="80" xfId="2" applyNumberFormat="1" applyFont="1" applyBorder="1"/>
    <xf numFmtId="0" fontId="0" fillId="0" borderId="72" xfId="0" applyBorder="1"/>
    <xf numFmtId="0" fontId="0" fillId="0" borderId="7" xfId="0" applyBorder="1" applyAlignment="1">
      <alignment horizontal="center"/>
    </xf>
    <xf numFmtId="37" fontId="0" fillId="0" borderId="10" xfId="1" applyNumberFormat="1" applyFont="1" applyBorder="1" applyAlignment="1">
      <alignment horizontal="center"/>
    </xf>
    <xf numFmtId="0" fontId="0" fillId="0" borderId="24" xfId="0" applyBorder="1"/>
    <xf numFmtId="0" fontId="0" fillId="0" borderId="27" xfId="0" applyBorder="1"/>
    <xf numFmtId="168" fontId="0" fillId="0" borderId="81" xfId="2" applyNumberFormat="1" applyFont="1" applyBorder="1"/>
    <xf numFmtId="0" fontId="0" fillId="0" borderId="65" xfId="0" applyBorder="1" applyAlignment="1">
      <alignment horizontal="center"/>
    </xf>
    <xf numFmtId="166" fontId="0" fillId="0" borderId="7" xfId="1" applyNumberFormat="1" applyFont="1" applyBorder="1" applyAlignment="1">
      <alignment horizontal="center"/>
    </xf>
    <xf numFmtId="166" fontId="0" fillId="0" borderId="36" xfId="0" applyNumberFormat="1" applyBorder="1"/>
    <xf numFmtId="2" fontId="0" fillId="0" borderId="50" xfId="0" applyNumberFormat="1" applyBorder="1"/>
    <xf numFmtId="2" fontId="0" fillId="0" borderId="42" xfId="0" applyNumberFormat="1" applyBorder="1"/>
    <xf numFmtId="37" fontId="0" fillId="0" borderId="7" xfId="0" applyNumberFormat="1" applyBorder="1"/>
    <xf numFmtId="10" fontId="0" fillId="0" borderId="57" xfId="2" applyNumberFormat="1" applyFont="1" applyBorder="1"/>
    <xf numFmtId="10" fontId="0" fillId="0" borderId="58" xfId="2" applyNumberFormat="1" applyFont="1" applyBorder="1"/>
    <xf numFmtId="0" fontId="0" fillId="0" borderId="0" xfId="0" applyBorder="1" applyAlignment="1">
      <alignment horizontal="left"/>
    </xf>
    <xf numFmtId="0" fontId="0" fillId="0" borderId="57" xfId="0" applyBorder="1"/>
    <xf numFmtId="0" fontId="0" fillId="0" borderId="58" xfId="0" applyBorder="1"/>
    <xf numFmtId="166" fontId="0" fillId="0" borderId="36" xfId="1" applyNumberFormat="1" applyFont="1" applyBorder="1" applyAlignment="1">
      <alignment horizontal="right"/>
    </xf>
    <xf numFmtId="166" fontId="0" fillId="0" borderId="36" xfId="1" applyNumberFormat="1" applyFont="1" applyBorder="1"/>
    <xf numFmtId="0" fontId="14" fillId="8" borderId="59" xfId="0" applyFont="1" applyFill="1" applyBorder="1"/>
    <xf numFmtId="0" fontId="14" fillId="8" borderId="15" xfId="0" applyFont="1" applyFill="1" applyBorder="1"/>
    <xf numFmtId="0" fontId="0" fillId="8" borderId="15" xfId="0" applyFill="1" applyBorder="1"/>
    <xf numFmtId="0" fontId="0" fillId="8" borderId="29" xfId="0" applyFill="1" applyBorder="1"/>
    <xf numFmtId="0" fontId="0" fillId="8" borderId="32" xfId="0" applyFill="1" applyBorder="1"/>
    <xf numFmtId="168" fontId="0" fillId="8" borderId="77" xfId="2" applyNumberFormat="1" applyFont="1" applyFill="1" applyBorder="1"/>
    <xf numFmtId="2" fontId="0" fillId="0" borderId="24" xfId="0" applyNumberFormat="1" applyBorder="1"/>
    <xf numFmtId="2" fontId="0" fillId="0" borderId="27" xfId="0" applyNumberFormat="1" applyBorder="1"/>
    <xf numFmtId="166" fontId="0" fillId="0" borderId="7" xfId="0" applyNumberFormat="1" applyBorder="1"/>
    <xf numFmtId="1" fontId="0" fillId="0" borderId="36" xfId="1" applyNumberFormat="1" applyFont="1" applyBorder="1" applyAlignment="1"/>
    <xf numFmtId="1" fontId="0" fillId="0" borderId="36" xfId="0" applyNumberFormat="1" applyBorder="1"/>
    <xf numFmtId="166" fontId="0" fillId="0" borderId="50" xfId="1" applyNumberFormat="1" applyFont="1" applyBorder="1"/>
    <xf numFmtId="2" fontId="0" fillId="0" borderId="7" xfId="0" applyNumberFormat="1" applyBorder="1" applyAlignment="1">
      <alignment horizontal="right"/>
    </xf>
    <xf numFmtId="1" fontId="0" fillId="0" borderId="36" xfId="0" applyNumberFormat="1" applyBorder="1" applyAlignment="1">
      <alignment horizontal="left"/>
    </xf>
    <xf numFmtId="9" fontId="0" fillId="0" borderId="50" xfId="2" applyNumberFormat="1" applyFont="1" applyBorder="1"/>
    <xf numFmtId="9" fontId="0" fillId="0" borderId="42" xfId="2" applyNumberFormat="1" applyFont="1" applyBorder="1"/>
    <xf numFmtId="0" fontId="4" fillId="0" borderId="15" xfId="0" applyFont="1" applyBorder="1"/>
    <xf numFmtId="49" fontId="4" fillId="0" borderId="15" xfId="0" applyNumberFormat="1" applyFont="1" applyBorder="1"/>
    <xf numFmtId="0" fontId="4" fillId="0" borderId="15" xfId="0" applyFont="1" applyBorder="1" applyAlignment="1">
      <alignment horizontal="left"/>
    </xf>
    <xf numFmtId="0" fontId="4" fillId="0" borderId="29" xfId="0" applyFont="1" applyBorder="1"/>
    <xf numFmtId="0" fontId="4" fillId="0" borderId="32" xfId="0" applyFont="1" applyBorder="1"/>
    <xf numFmtId="168" fontId="0" fillId="0" borderId="77" xfId="2" applyNumberFormat="1" applyFont="1" applyBorder="1"/>
    <xf numFmtId="1" fontId="0" fillId="0" borderId="50" xfId="0" applyNumberFormat="1" applyBorder="1"/>
    <xf numFmtId="1" fontId="0" fillId="0" borderId="42" xfId="0" applyNumberFormat="1" applyBorder="1"/>
    <xf numFmtId="1" fontId="0" fillId="0" borderId="24" xfId="0" applyNumberFormat="1" applyBorder="1"/>
    <xf numFmtId="1" fontId="0" fillId="0" borderId="27" xfId="0" applyNumberFormat="1" applyBorder="1"/>
    <xf numFmtId="0" fontId="0" fillId="0" borderId="59" xfId="0" applyBorder="1"/>
    <xf numFmtId="1" fontId="0" fillId="0" borderId="29" xfId="0" applyNumberFormat="1" applyBorder="1"/>
    <xf numFmtId="1" fontId="0" fillId="0" borderId="32" xfId="0" applyNumberFormat="1" applyBorder="1"/>
    <xf numFmtId="1" fontId="0" fillId="0" borderId="57" xfId="0" applyNumberFormat="1" applyBorder="1"/>
    <xf numFmtId="1" fontId="0" fillId="0" borderId="58" xfId="0" applyNumberFormat="1" applyBorder="1"/>
    <xf numFmtId="0" fontId="0" fillId="0" borderId="82" xfId="0" applyBorder="1"/>
    <xf numFmtId="1" fontId="0" fillId="0" borderId="34" xfId="0" applyNumberFormat="1" applyBorder="1"/>
    <xf numFmtId="1" fontId="0" fillId="0" borderId="38" xfId="0" applyNumberFormat="1" applyBorder="1"/>
    <xf numFmtId="168" fontId="0" fillId="0" borderId="83" xfId="2" applyNumberFormat="1" applyFont="1" applyBorder="1"/>
    <xf numFmtId="0" fontId="14" fillId="5" borderId="1" xfId="0" applyFont="1" applyFill="1" applyBorder="1"/>
    <xf numFmtId="0" fontId="14" fillId="5" borderId="2" xfId="0" applyFont="1" applyFill="1" applyBorder="1"/>
    <xf numFmtId="0" fontId="0" fillId="5" borderId="2" xfId="0" applyFill="1" applyBorder="1"/>
    <xf numFmtId="0" fontId="14" fillId="5" borderId="52" xfId="0" applyFont="1" applyFill="1" applyBorder="1"/>
    <xf numFmtId="0" fontId="14" fillId="5" borderId="53" xfId="0" applyFont="1" applyFill="1" applyBorder="1"/>
    <xf numFmtId="168" fontId="0" fillId="5" borderId="79" xfId="2" applyNumberFormat="1" applyFont="1" applyFill="1" applyBorder="1"/>
    <xf numFmtId="1" fontId="0" fillId="0" borderId="50" xfId="1" applyNumberFormat="1" applyFont="1" applyBorder="1" applyAlignment="1">
      <alignment horizontal="right"/>
    </xf>
    <xf numFmtId="1" fontId="0" fillId="0" borderId="42" xfId="1" applyNumberFormat="1" applyFont="1" applyBorder="1" applyAlignment="1">
      <alignment horizontal="right"/>
    </xf>
    <xf numFmtId="2" fontId="0" fillId="0" borderId="7" xfId="0" applyNumberFormat="1" applyBorder="1"/>
    <xf numFmtId="165" fontId="0" fillId="0" borderId="24" xfId="1" applyFont="1" applyBorder="1" applyAlignment="1">
      <alignment horizontal="left" indent="4"/>
    </xf>
    <xf numFmtId="171" fontId="0" fillId="0" borderId="57" xfId="0" applyNumberFormat="1" applyBorder="1"/>
    <xf numFmtId="171" fontId="0" fillId="0" borderId="58" xfId="0" applyNumberFormat="1" applyBorder="1"/>
    <xf numFmtId="171" fontId="0" fillId="0" borderId="24" xfId="0" applyNumberFormat="1" applyBorder="1"/>
    <xf numFmtId="171" fontId="0" fillId="0" borderId="27" xfId="0" applyNumberFormat="1" applyBorder="1"/>
    <xf numFmtId="0" fontId="0" fillId="0" borderId="66" xfId="0" applyFill="1" applyBorder="1"/>
    <xf numFmtId="166" fontId="0" fillId="0" borderId="36" xfId="0" applyNumberFormat="1" applyBorder="1" applyAlignment="1">
      <alignment horizontal="right"/>
    </xf>
    <xf numFmtId="171" fontId="0" fillId="0" borderId="50" xfId="0" applyNumberFormat="1" applyBorder="1"/>
    <xf numFmtId="171" fontId="0" fillId="0" borderId="42" xfId="0" applyNumberFormat="1" applyBorder="1"/>
    <xf numFmtId="171" fontId="0" fillId="0" borderId="7" xfId="0" applyNumberFormat="1" applyBorder="1" applyAlignment="1">
      <alignment horizontal="right"/>
    </xf>
    <xf numFmtId="0" fontId="0" fillId="0" borderId="36" xfId="0" applyBorder="1" applyAlignment="1">
      <alignment horizontal="right"/>
    </xf>
    <xf numFmtId="165" fontId="0" fillId="0" borderId="0" xfId="1" applyFont="1" applyBorder="1"/>
    <xf numFmtId="168" fontId="0" fillId="0" borderId="12" xfId="2" applyNumberFormat="1" applyFont="1" applyBorder="1"/>
    <xf numFmtId="171" fontId="0" fillId="0" borderId="7" xfId="0" applyNumberFormat="1" applyBorder="1"/>
    <xf numFmtId="0" fontId="0" fillId="0" borderId="72" xfId="0" applyFill="1" applyBorder="1"/>
    <xf numFmtId="0" fontId="0" fillId="0" borderId="36" xfId="0" applyFill="1" applyBorder="1" applyAlignment="1">
      <alignment horizontal="center"/>
    </xf>
    <xf numFmtId="167" fontId="0" fillId="0" borderId="50" xfId="1" applyNumberFormat="1" applyFont="1" applyBorder="1"/>
    <xf numFmtId="167" fontId="0" fillId="0" borderId="42" xfId="1" applyNumberFormat="1" applyFont="1" applyBorder="1"/>
    <xf numFmtId="0" fontId="0" fillId="0" borderId="37" xfId="0" applyBorder="1"/>
    <xf numFmtId="0" fontId="0" fillId="0" borderId="7" xfId="0" applyFill="1" applyBorder="1" applyAlignment="1">
      <alignment horizontal="center"/>
    </xf>
    <xf numFmtId="165" fontId="0" fillId="0" borderId="24" xfId="1" applyFont="1" applyBorder="1"/>
    <xf numFmtId="0" fontId="0" fillId="0" borderId="65" xfId="0" applyFill="1" applyBorder="1" applyAlignment="1">
      <alignment horizontal="center"/>
    </xf>
    <xf numFmtId="10" fontId="0" fillId="0" borderId="65" xfId="0" applyNumberFormat="1" applyBorder="1"/>
    <xf numFmtId="10" fontId="0" fillId="0" borderId="65" xfId="2" applyNumberFormat="1" applyFont="1" applyBorder="1"/>
    <xf numFmtId="10" fontId="0" fillId="0" borderId="50" xfId="1" applyNumberFormat="1" applyFont="1" applyBorder="1"/>
    <xf numFmtId="10" fontId="0" fillId="0" borderId="42" xfId="1" applyNumberFormat="1" applyFont="1" applyBorder="1"/>
    <xf numFmtId="0" fontId="10" fillId="9" borderId="30" xfId="0" applyFont="1" applyFill="1" applyBorder="1"/>
    <xf numFmtId="0" fontId="0" fillId="9" borderId="15" xfId="0" applyFill="1" applyBorder="1"/>
    <xf numFmtId="0" fontId="0" fillId="9" borderId="15" xfId="0" applyFill="1" applyBorder="1" applyAlignment="1">
      <alignment horizontal="center"/>
    </xf>
    <xf numFmtId="165" fontId="0" fillId="9" borderId="29" xfId="1" applyFont="1" applyFill="1" applyBorder="1"/>
    <xf numFmtId="0" fontId="0" fillId="9" borderId="29" xfId="0" applyFill="1" applyBorder="1"/>
    <xf numFmtId="0" fontId="0" fillId="9" borderId="32" xfId="0" applyFill="1" applyBorder="1"/>
    <xf numFmtId="168" fontId="0" fillId="9" borderId="28" xfId="2" applyNumberFormat="1" applyFont="1" applyFill="1" applyBorder="1"/>
    <xf numFmtId="165" fontId="0" fillId="0" borderId="50" xfId="1" applyFont="1" applyBorder="1"/>
    <xf numFmtId="165" fontId="0" fillId="0" borderId="42" xfId="1" applyFont="1" applyBorder="1"/>
    <xf numFmtId="165" fontId="0" fillId="0" borderId="50" xfId="0" applyNumberFormat="1" applyBorder="1"/>
    <xf numFmtId="165" fontId="0" fillId="0" borderId="42" xfId="0" applyNumberFormat="1" applyBorder="1"/>
    <xf numFmtId="165" fontId="0" fillId="0" borderId="7" xfId="0" applyNumberFormat="1" applyBorder="1"/>
    <xf numFmtId="165" fontId="0" fillId="0" borderId="50" xfId="1" applyNumberFormat="1" applyFont="1" applyBorder="1"/>
    <xf numFmtId="165" fontId="0" fillId="0" borderId="42" xfId="1" applyNumberFormat="1" applyFont="1" applyBorder="1"/>
    <xf numFmtId="166" fontId="0" fillId="0" borderId="36" xfId="0" applyNumberFormat="1" applyBorder="1" applyAlignment="1"/>
    <xf numFmtId="166" fontId="0" fillId="0" borderId="7" xfId="1" applyNumberFormat="1" applyFont="1" applyBorder="1" applyAlignment="1">
      <alignment horizontal="right"/>
    </xf>
    <xf numFmtId="0" fontId="4" fillId="0" borderId="66" xfId="0" applyFont="1" applyBorder="1"/>
    <xf numFmtId="0" fontId="4" fillId="0" borderId="65" xfId="0" applyFont="1" applyBorder="1"/>
    <xf numFmtId="49" fontId="4" fillId="0" borderId="65" xfId="0" applyNumberFormat="1" applyFont="1" applyBorder="1"/>
    <xf numFmtId="0" fontId="4" fillId="0" borderId="65" xfId="0" applyFont="1" applyBorder="1" applyAlignment="1">
      <alignment horizontal="left"/>
    </xf>
    <xf numFmtId="0" fontId="4" fillId="0" borderId="50" xfId="0" applyFont="1" applyBorder="1"/>
    <xf numFmtId="166" fontId="4" fillId="0" borderId="50" xfId="1" applyNumberFormat="1" applyFont="1" applyBorder="1"/>
    <xf numFmtId="166" fontId="4" fillId="0" borderId="67" xfId="1" applyNumberFormat="1" applyFont="1" applyBorder="1"/>
    <xf numFmtId="0" fontId="0" fillId="0" borderId="50" xfId="0" applyBorder="1"/>
    <xf numFmtId="0" fontId="0" fillId="0" borderId="73" xfId="0" applyBorder="1"/>
    <xf numFmtId="0" fontId="0" fillId="0" borderId="34" xfId="0" applyBorder="1"/>
    <xf numFmtId="166" fontId="0" fillId="0" borderId="34" xfId="1" applyNumberFormat="1" applyFont="1" applyBorder="1"/>
    <xf numFmtId="166" fontId="0" fillId="0" borderId="84" xfId="1" applyNumberFormat="1" applyFont="1" applyBorder="1"/>
    <xf numFmtId="0" fontId="15" fillId="0" borderId="0" xfId="0" applyFont="1" applyAlignment="1">
      <alignment horizontal="center"/>
    </xf>
    <xf numFmtId="168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left"/>
    </xf>
    <xf numFmtId="168" fontId="15" fillId="0" borderId="0" xfId="0" applyNumberFormat="1" applyFont="1" applyFill="1" applyAlignment="1">
      <alignment horizontal="center"/>
    </xf>
    <xf numFmtId="9" fontId="15" fillId="0" borderId="0" xfId="2" applyFont="1" applyAlignment="1">
      <alignment horizontal="left"/>
    </xf>
    <xf numFmtId="0" fontId="15" fillId="0" borderId="0" xfId="0" applyNumberFormat="1" applyFont="1" applyAlignment="1">
      <alignment horizontal="left"/>
    </xf>
    <xf numFmtId="168" fontId="15" fillId="0" borderId="0" xfId="0" applyNumberFormat="1" applyFont="1"/>
    <xf numFmtId="171" fontId="15" fillId="0" borderId="0" xfId="0" applyNumberFormat="1" applyFont="1"/>
    <xf numFmtId="171" fontId="15" fillId="0" borderId="0" xfId="2" applyNumberFormat="1" applyFont="1"/>
    <xf numFmtId="168" fontId="15" fillId="0" borderId="0" xfId="0" applyNumberFormat="1" applyFont="1" applyFill="1"/>
    <xf numFmtId="9" fontId="15" fillId="0" borderId="0" xfId="2" applyFont="1"/>
    <xf numFmtId="0" fontId="15" fillId="0" borderId="0" xfId="0" applyFont="1" applyAlignment="1">
      <alignment horizontal="center"/>
    </xf>
    <xf numFmtId="171" fontId="15" fillId="0" borderId="0" xfId="0" applyNumberFormat="1" applyFont="1" applyAlignment="1">
      <alignment horizontal="center"/>
    </xf>
    <xf numFmtId="168" fontId="15" fillId="0" borderId="0" xfId="0" applyNumberFormat="1" applyFont="1" applyAlignment="1"/>
    <xf numFmtId="168" fontId="15" fillId="0" borderId="0" xfId="2" applyNumberFormat="1" applyFont="1" applyFill="1" applyAlignment="1">
      <alignment horizontal="left"/>
    </xf>
    <xf numFmtId="1" fontId="15" fillId="0" borderId="0" xfId="0" applyNumberFormat="1" applyFont="1" applyAlignment="1"/>
    <xf numFmtId="9" fontId="15" fillId="0" borderId="0" xfId="0" applyNumberFormat="1" applyFont="1"/>
    <xf numFmtId="1" fontId="15" fillId="0" borderId="0" xfId="0" applyNumberFormat="1" applyFont="1"/>
    <xf numFmtId="9" fontId="15" fillId="0" borderId="0" xfId="2" applyFont="1" applyAlignment="1"/>
    <xf numFmtId="9" fontId="15" fillId="0" borderId="0" xfId="0" applyNumberFormat="1" applyFont="1" applyFill="1"/>
    <xf numFmtId="166" fontId="15" fillId="0" borderId="0" xfId="1" applyNumberFormat="1" applyFont="1"/>
    <xf numFmtId="0" fontId="15" fillId="0" borderId="7" xfId="0" applyFont="1" applyBorder="1"/>
    <xf numFmtId="0" fontId="15" fillId="0" borderId="0" xfId="0" applyFont="1" applyAlignment="1"/>
    <xf numFmtId="0" fontId="35" fillId="0" borderId="0" xfId="0" applyFont="1"/>
  </cellXfs>
  <cellStyles count="3">
    <cellStyle name="1000-sep (2 dec)" xfId="1" builtinId="3"/>
    <cellStyle name="Normal" xfId="0" builtinId="0"/>
    <cellStyle name="Pro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6.xml"/><Relationship Id="rId13" Type="http://schemas.openxmlformats.org/officeDocument/2006/relationships/worksheet" Target="worksheets/sheet11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2.xml"/><Relationship Id="rId21" Type="http://schemas.openxmlformats.org/officeDocument/2006/relationships/theme" Target="theme/theme1.xml"/><Relationship Id="rId7" Type="http://schemas.openxmlformats.org/officeDocument/2006/relationships/worksheet" Target="worksheets/sheet5.xml"/><Relationship Id="rId12" Type="http://schemas.openxmlformats.org/officeDocument/2006/relationships/worksheet" Target="worksheets/sheet10.xml"/><Relationship Id="rId17" Type="http://schemas.openxmlformats.org/officeDocument/2006/relationships/worksheet" Target="worksheets/sheet15.xml"/><Relationship Id="rId2" Type="http://schemas.openxmlformats.org/officeDocument/2006/relationships/chartsheet" Target="chartsheets/sheet1.xml"/><Relationship Id="rId16" Type="http://schemas.openxmlformats.org/officeDocument/2006/relationships/worksheet" Target="worksheets/sheet14.xml"/><Relationship Id="rId20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4.xml"/><Relationship Id="rId11" Type="http://schemas.openxmlformats.org/officeDocument/2006/relationships/worksheet" Target="worksheets/sheet9.xml"/><Relationship Id="rId24" Type="http://schemas.openxmlformats.org/officeDocument/2006/relationships/calcChain" Target="calcChain.xml"/><Relationship Id="rId5" Type="http://schemas.openxmlformats.org/officeDocument/2006/relationships/chartsheet" Target="chartsheets/sheet2.xml"/><Relationship Id="rId15" Type="http://schemas.openxmlformats.org/officeDocument/2006/relationships/worksheet" Target="worksheets/sheet13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8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3.xml"/><Relationship Id="rId9" Type="http://schemas.openxmlformats.org/officeDocument/2006/relationships/worksheet" Target="worksheets/sheet7.xml"/><Relationship Id="rId14" Type="http://schemas.openxmlformats.org/officeDocument/2006/relationships/worksheet" Target="worksheets/sheet12.xml"/><Relationship Id="rId22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a-DK"/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a-DK"/>
              <a:t>Optimal pris og mængde er der hvor MR og MC har skæringspunkt</a:t>
            </a:r>
          </a:p>
        </c:rich>
      </c:tx>
      <c:layout>
        <c:manualLayout>
          <c:xMode val="edge"/>
          <c:yMode val="edge"/>
          <c:x val="0.23640399556048841"/>
          <c:y val="1.957585644371941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8.3240843507214238E-2"/>
          <c:y val="0.12071778140293639"/>
          <c:w val="0.76026637069922309"/>
          <c:h val="0.76019575856443744"/>
        </c:manualLayout>
      </c:layout>
      <c:scatterChart>
        <c:scatterStyle val="lineMarker"/>
        <c:ser>
          <c:idx val="0"/>
          <c:order val="0"/>
          <c:tx>
            <c:strRef>
              <c:f>'Data til graf produkt 1'!$A$2</c:f>
              <c:strCache>
                <c:ptCount val="1"/>
                <c:pt idx="0">
                  <c:v>Afsætning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7"/>
            <c:spPr>
              <a:noFill/>
              <a:ln w="9525">
                <a:noFill/>
              </a:ln>
            </c:spPr>
          </c:marker>
          <c:xVal>
            <c:numRef>
              <c:f>'Data til graf produkt 1'!$B$4:$B$5</c:f>
              <c:numCache>
                <c:formatCode>0</c:formatCode>
                <c:ptCount val="2"/>
                <c:pt idx="0">
                  <c:v>0</c:v>
                </c:pt>
                <c:pt idx="1">
                  <c:v>60000</c:v>
                </c:pt>
              </c:numCache>
            </c:numRef>
          </c:xVal>
          <c:yVal>
            <c:numRef>
              <c:f>'Data til graf produkt 1'!$A$4:$A$5</c:f>
              <c:numCache>
                <c:formatCode>0</c:formatCode>
                <c:ptCount val="2"/>
                <c:pt idx="0">
                  <c:v>1500</c:v>
                </c:pt>
                <c:pt idx="1">
                  <c:v>0</c:v>
                </c:pt>
              </c:numCache>
            </c:numRef>
          </c:yVal>
        </c:ser>
        <c:ser>
          <c:idx val="1"/>
          <c:order val="1"/>
          <c:tx>
            <c:strRef>
              <c:f>'Data til graf produkt 1'!$C$2</c:f>
              <c:strCache>
                <c:ptCount val="1"/>
                <c:pt idx="0">
                  <c:v>MR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square"/>
            <c:size val="7"/>
            <c:spPr>
              <a:noFill/>
              <a:ln w="9525">
                <a:noFill/>
              </a:ln>
            </c:spPr>
          </c:marker>
          <c:xVal>
            <c:numRef>
              <c:f>'Data til graf produkt 1'!$D$4:$D$5</c:f>
              <c:numCache>
                <c:formatCode>0</c:formatCode>
                <c:ptCount val="2"/>
                <c:pt idx="0">
                  <c:v>0</c:v>
                </c:pt>
                <c:pt idx="1">
                  <c:v>30000</c:v>
                </c:pt>
              </c:numCache>
            </c:numRef>
          </c:xVal>
          <c:yVal>
            <c:numRef>
              <c:f>'Data til graf produkt 1'!$C$4:$C$5</c:f>
              <c:numCache>
                <c:formatCode>0</c:formatCode>
                <c:ptCount val="2"/>
                <c:pt idx="0">
                  <c:v>1500</c:v>
                </c:pt>
                <c:pt idx="1">
                  <c:v>0</c:v>
                </c:pt>
              </c:numCache>
            </c:numRef>
          </c:yVal>
        </c:ser>
        <c:ser>
          <c:idx val="2"/>
          <c:order val="2"/>
          <c:tx>
            <c:strRef>
              <c:f>'Data til graf produkt 1'!$E$2:$F$2</c:f>
              <c:strCache>
                <c:ptCount val="1"/>
                <c:pt idx="0">
                  <c:v>MC(1) indtil 36000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square"/>
            <c:size val="7"/>
            <c:spPr>
              <a:noFill/>
              <a:ln w="9525">
                <a:noFill/>
              </a:ln>
            </c:spPr>
          </c:marker>
          <c:xVal>
            <c:numRef>
              <c:f>'Data til graf produkt 1'!$F$4:$F$5</c:f>
              <c:numCache>
                <c:formatCode>General</c:formatCode>
                <c:ptCount val="2"/>
                <c:pt idx="0" formatCode="0">
                  <c:v>0</c:v>
                </c:pt>
                <c:pt idx="1">
                  <c:v>36000</c:v>
                </c:pt>
              </c:numCache>
            </c:numRef>
          </c:xVal>
          <c:yVal>
            <c:numRef>
              <c:f>'Data til graf produkt 1'!$E$4:$E$5</c:f>
              <c:numCache>
                <c:formatCode>0</c:formatCode>
                <c:ptCount val="2"/>
                <c:pt idx="0">
                  <c:v>380</c:v>
                </c:pt>
                <c:pt idx="1">
                  <c:v>380</c:v>
                </c:pt>
              </c:numCache>
            </c:numRef>
          </c:yVal>
        </c:ser>
        <c:ser>
          <c:idx val="3"/>
          <c:order val="3"/>
          <c:tx>
            <c:strRef>
              <c:f>'Data til graf produkt 1'!$G$2</c:f>
              <c:strCache>
                <c:ptCount val="1"/>
                <c:pt idx="0">
                  <c:v>Max.kapacitet</c:v>
                </c:pt>
              </c:strCache>
            </c:strRef>
          </c:tx>
          <c:spPr>
            <a:ln w="38100">
              <a:solidFill>
                <a:srgbClr val="00FFFF"/>
              </a:solidFill>
              <a:prstDash val="solid"/>
            </a:ln>
          </c:spPr>
          <c:marker>
            <c:symbol val="none"/>
          </c:marker>
          <c:xVal>
            <c:numRef>
              <c:f>'Data til graf produkt 1'!$H$4:$H$5</c:f>
              <c:numCache>
                <c:formatCode>0</c:formatCode>
                <c:ptCount val="2"/>
                <c:pt idx="0">
                  <c:v>36000</c:v>
                </c:pt>
                <c:pt idx="1">
                  <c:v>36000</c:v>
                </c:pt>
              </c:numCache>
            </c:numRef>
          </c:xVal>
          <c:yVal>
            <c:numRef>
              <c:f>'Data til graf produkt 1'!$G$4:$G$5</c:f>
              <c:numCache>
                <c:formatCode>0</c:formatCode>
                <c:ptCount val="2"/>
                <c:pt idx="0">
                  <c:v>1500</c:v>
                </c:pt>
                <c:pt idx="1">
                  <c:v>0</c:v>
                </c:pt>
              </c:numCache>
            </c:numRef>
          </c:yVal>
        </c:ser>
        <c:ser>
          <c:idx val="4"/>
          <c:order val="4"/>
          <c:tx>
            <c:v>Optimal pris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xVal>
            <c:numRef>
              <c:f>'Data til graf produkt 1'!$J$4:$J$5</c:f>
              <c:numCache>
                <c:formatCode>0</c:formatCode>
                <c:ptCount val="2"/>
                <c:pt idx="0">
                  <c:v>0</c:v>
                </c:pt>
                <c:pt idx="1">
                  <c:v>22400</c:v>
                </c:pt>
              </c:numCache>
            </c:numRef>
          </c:xVal>
          <c:yVal>
            <c:numRef>
              <c:f>'Data til graf produkt 1'!$I$4:$I$5</c:f>
              <c:numCache>
                <c:formatCode>0</c:formatCode>
                <c:ptCount val="2"/>
                <c:pt idx="0">
                  <c:v>940</c:v>
                </c:pt>
                <c:pt idx="1">
                  <c:v>940</c:v>
                </c:pt>
              </c:numCache>
            </c:numRef>
          </c:yVal>
        </c:ser>
        <c:ser>
          <c:idx val="5"/>
          <c:order val="5"/>
          <c:tx>
            <c:strRef>
              <c:f>'Data til graf produkt 1'!$K$2</c:f>
              <c:strCache>
                <c:ptCount val="1"/>
                <c:pt idx="0">
                  <c:v>Optimal mængde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xVal>
            <c:numRef>
              <c:f>'Data til graf produkt 1'!$L$4:$L$5</c:f>
              <c:numCache>
                <c:formatCode>0</c:formatCode>
                <c:ptCount val="2"/>
                <c:pt idx="0">
                  <c:v>22400</c:v>
                </c:pt>
                <c:pt idx="1">
                  <c:v>22400</c:v>
                </c:pt>
              </c:numCache>
            </c:numRef>
          </c:xVal>
          <c:yVal>
            <c:numRef>
              <c:f>'Data til graf produkt 1'!$K$4:$K$5</c:f>
              <c:numCache>
                <c:formatCode>0</c:formatCode>
                <c:ptCount val="2"/>
                <c:pt idx="0">
                  <c:v>0</c:v>
                </c:pt>
                <c:pt idx="1">
                  <c:v>940</c:v>
                </c:pt>
              </c:numCache>
            </c:numRef>
          </c:yVal>
        </c:ser>
        <c:ser>
          <c:idx val="6"/>
          <c:order val="6"/>
          <c:tx>
            <c:strRef>
              <c:f>'Data til graf produkt 1'!$E$6:$F$6</c:f>
              <c:strCache>
                <c:ptCount val="1"/>
                <c:pt idx="0">
                  <c:v>MC(2) indtil 0</c:v>
                </c:pt>
              </c:strCache>
            </c:strRef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xVal>
            <c:numRef>
              <c:f>'Data til graf produkt 1'!$F$8:$F$9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'Data til graf produkt 1'!$E$8:$E$9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</c:ser>
        <c:ser>
          <c:idx val="7"/>
          <c:order val="7"/>
          <c:tx>
            <c:strRef>
              <c:f>'Data til graf produkt 1'!$E$10:$F$10</c:f>
              <c:strCache>
                <c:ptCount val="1"/>
                <c:pt idx="0">
                  <c:v>MC(3) indtil 0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'Data til graf produkt 1'!$F$12:$F$13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'Data til graf produkt 1'!$E$12:$E$13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</c:ser>
        <c:ser>
          <c:idx val="8"/>
          <c:order val="8"/>
          <c:tx>
            <c:strRef>
              <c:f>'Data til graf produkt 1'!$G$6:$H$6</c:f>
              <c:strCache>
                <c:ptCount val="1"/>
                <c:pt idx="0">
                  <c:v>relation MC(1) og MC(2)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ysDash"/>
            </a:ln>
          </c:spPr>
          <c:marker>
            <c:symbol val="none"/>
          </c:marker>
          <c:xVal>
            <c:numRef>
              <c:f>'Data til graf produkt 1'!$H$8:$H$9</c:f>
              <c:numCache>
                <c:formatCode>General</c:formatCode>
                <c:ptCount val="2"/>
                <c:pt idx="0" formatCode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'Data til graf produkt 1'!$G$8:$G$9</c:f>
              <c:numCache>
                <c:formatCode>General</c:formatCode>
                <c:ptCount val="2"/>
                <c:pt idx="0" formatCode="0">
                  <c:v>0</c:v>
                </c:pt>
                <c:pt idx="1">
                  <c:v>0</c:v>
                </c:pt>
              </c:numCache>
            </c:numRef>
          </c:yVal>
        </c:ser>
        <c:ser>
          <c:idx val="9"/>
          <c:order val="9"/>
          <c:tx>
            <c:strRef>
              <c:f>'Data til graf produkt 1'!$G$10:$H$10</c:f>
              <c:strCache>
                <c:ptCount val="1"/>
                <c:pt idx="0">
                  <c:v>relation MC(2) og MC(3)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none"/>
          </c:marker>
          <c:xVal>
            <c:numRef>
              <c:f>'Data til graf produkt 1'!$H$12:$H$13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'Data til graf produkt 1'!$G$12:$G$13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</c:ser>
        <c:axId val="72565504"/>
        <c:axId val="72567424"/>
      </c:scatterChart>
      <c:valAx>
        <c:axId val="7256550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a-DK"/>
                  <a:t>Mængde</a:t>
                </a:r>
              </a:p>
            </c:rich>
          </c:tx>
          <c:layout>
            <c:manualLayout>
              <c:xMode val="edge"/>
              <c:yMode val="edge"/>
              <c:x val="0.87902330743618229"/>
              <c:y val="0.87112561174551395"/>
            </c:manualLayout>
          </c:layout>
          <c:spPr>
            <a:noFill/>
            <a:ln w="25400">
              <a:noFill/>
            </a:ln>
          </c:spPr>
        </c:title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72567424"/>
        <c:crosses val="autoZero"/>
        <c:crossBetween val="midCat"/>
      </c:valAx>
      <c:valAx>
        <c:axId val="72567424"/>
        <c:scaling>
          <c:orientation val="minMax"/>
        </c:scaling>
        <c:axPos val="l"/>
        <c:title>
          <c:tx>
            <c:rich>
              <a:bodyPr rot="-60000" vert="horz"/>
              <a:lstStyle/>
              <a:p>
                <a:pPr algn="ctr">
                  <a:defRPr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a-DK"/>
                  <a:t>Pris</a:t>
                </a:r>
              </a:p>
            </c:rich>
          </c:tx>
          <c:layout>
            <c:manualLayout>
              <c:xMode val="edge"/>
              <c:yMode val="edge"/>
              <c:x val="4.2175360710321866E-2"/>
              <c:y val="3.5889070146818927E-2"/>
            </c:manualLayout>
          </c:layout>
          <c:spPr>
            <a:noFill/>
            <a:ln w="25400">
              <a:noFill/>
            </a:ln>
          </c:spPr>
        </c:title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72565504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3129855715871281"/>
          <c:y val="0.10440456769983686"/>
          <c:w val="0.16426193118756943"/>
          <c:h val="0.5579119086460033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a-DK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a-DK"/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a-DK"/>
              <a:t>Optimal pris og mængde er der hvor MR og MC har skæringspunkt</a:t>
            </a:r>
          </a:p>
        </c:rich>
      </c:tx>
      <c:layout>
        <c:manualLayout>
          <c:xMode val="edge"/>
          <c:yMode val="edge"/>
          <c:x val="0.23640399556048844"/>
          <c:y val="1.9575856443719418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8.3240843507214252E-2"/>
          <c:y val="0.1207177814029364"/>
          <c:w val="0.76026637069922309"/>
          <c:h val="0.76019575856443766"/>
        </c:manualLayout>
      </c:layout>
      <c:scatterChart>
        <c:scatterStyle val="lineMarker"/>
        <c:ser>
          <c:idx val="0"/>
          <c:order val="0"/>
          <c:tx>
            <c:strRef>
              <c:f>'Data til graf produkt 2'!$A$2</c:f>
              <c:strCache>
                <c:ptCount val="1"/>
                <c:pt idx="0">
                  <c:v>Afsætning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7"/>
            <c:spPr>
              <a:noFill/>
              <a:ln w="9525">
                <a:noFill/>
              </a:ln>
            </c:spPr>
          </c:marker>
          <c:xVal>
            <c:numRef>
              <c:f>'Data til graf produkt 2'!$B$4:$B$5</c:f>
              <c:numCache>
                <c:formatCode>0</c:formatCode>
                <c:ptCount val="2"/>
                <c:pt idx="0">
                  <c:v>0</c:v>
                </c:pt>
                <c:pt idx="1">
                  <c:v>60000</c:v>
                </c:pt>
              </c:numCache>
            </c:numRef>
          </c:xVal>
          <c:yVal>
            <c:numRef>
              <c:f>'Data til graf produkt 2'!$A$4:$A$5</c:f>
              <c:numCache>
                <c:formatCode>0</c:formatCode>
                <c:ptCount val="2"/>
                <c:pt idx="0">
                  <c:v>1500</c:v>
                </c:pt>
                <c:pt idx="1">
                  <c:v>0</c:v>
                </c:pt>
              </c:numCache>
            </c:numRef>
          </c:yVal>
        </c:ser>
        <c:ser>
          <c:idx val="1"/>
          <c:order val="1"/>
          <c:tx>
            <c:strRef>
              <c:f>'Data til graf produkt 2'!$C$2</c:f>
              <c:strCache>
                <c:ptCount val="1"/>
                <c:pt idx="0">
                  <c:v>MR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square"/>
            <c:size val="7"/>
            <c:spPr>
              <a:noFill/>
              <a:ln w="9525">
                <a:noFill/>
              </a:ln>
            </c:spPr>
          </c:marker>
          <c:xVal>
            <c:numRef>
              <c:f>'Data til graf produkt 2'!$D$4:$D$5</c:f>
              <c:numCache>
                <c:formatCode>0</c:formatCode>
                <c:ptCount val="2"/>
                <c:pt idx="0">
                  <c:v>0</c:v>
                </c:pt>
                <c:pt idx="1">
                  <c:v>30000</c:v>
                </c:pt>
              </c:numCache>
            </c:numRef>
          </c:xVal>
          <c:yVal>
            <c:numRef>
              <c:f>'Data til graf produkt 2'!$C$4:$C$5</c:f>
              <c:numCache>
                <c:formatCode>0</c:formatCode>
                <c:ptCount val="2"/>
                <c:pt idx="0">
                  <c:v>1500</c:v>
                </c:pt>
                <c:pt idx="1">
                  <c:v>0</c:v>
                </c:pt>
              </c:numCache>
            </c:numRef>
          </c:yVal>
        </c:ser>
        <c:ser>
          <c:idx val="2"/>
          <c:order val="2"/>
          <c:tx>
            <c:strRef>
              <c:f>'Data til graf produkt 2'!$E$2:$F$2</c:f>
              <c:strCache>
                <c:ptCount val="1"/>
                <c:pt idx="0">
                  <c:v>MC(1) indtil 30000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square"/>
            <c:size val="7"/>
            <c:spPr>
              <a:noFill/>
              <a:ln w="9525">
                <a:noFill/>
              </a:ln>
            </c:spPr>
          </c:marker>
          <c:xVal>
            <c:numRef>
              <c:f>'Data til graf produkt 2'!$F$4:$F$5</c:f>
              <c:numCache>
                <c:formatCode>General</c:formatCode>
                <c:ptCount val="2"/>
                <c:pt idx="0" formatCode="0">
                  <c:v>0</c:v>
                </c:pt>
                <c:pt idx="1">
                  <c:v>30000</c:v>
                </c:pt>
              </c:numCache>
            </c:numRef>
          </c:xVal>
          <c:yVal>
            <c:numRef>
              <c:f>'Data til graf produkt 2'!$E$4:$E$5</c:f>
              <c:numCache>
                <c:formatCode>0</c:formatCode>
                <c:ptCount val="2"/>
                <c:pt idx="0">
                  <c:v>480</c:v>
                </c:pt>
                <c:pt idx="1">
                  <c:v>480</c:v>
                </c:pt>
              </c:numCache>
            </c:numRef>
          </c:yVal>
        </c:ser>
        <c:ser>
          <c:idx val="3"/>
          <c:order val="3"/>
          <c:tx>
            <c:strRef>
              <c:f>'Data til graf produkt 2'!$G$2</c:f>
              <c:strCache>
                <c:ptCount val="1"/>
                <c:pt idx="0">
                  <c:v>Max.kapacitet</c:v>
                </c:pt>
              </c:strCache>
            </c:strRef>
          </c:tx>
          <c:spPr>
            <a:ln w="38100">
              <a:solidFill>
                <a:srgbClr val="00FFFF"/>
              </a:solidFill>
              <a:prstDash val="solid"/>
            </a:ln>
          </c:spPr>
          <c:marker>
            <c:symbol val="none"/>
          </c:marker>
          <c:xVal>
            <c:numRef>
              <c:f>'Data til graf produkt 2'!$H$4:$H$5</c:f>
              <c:numCache>
                <c:formatCode>0</c:formatCode>
                <c:ptCount val="2"/>
                <c:pt idx="0">
                  <c:v>42000</c:v>
                </c:pt>
                <c:pt idx="1">
                  <c:v>42000</c:v>
                </c:pt>
              </c:numCache>
            </c:numRef>
          </c:xVal>
          <c:yVal>
            <c:numRef>
              <c:f>'Data til graf produkt 2'!$G$4:$G$5</c:f>
              <c:numCache>
                <c:formatCode>0</c:formatCode>
                <c:ptCount val="2"/>
                <c:pt idx="0">
                  <c:v>1500</c:v>
                </c:pt>
                <c:pt idx="1">
                  <c:v>0</c:v>
                </c:pt>
              </c:numCache>
            </c:numRef>
          </c:yVal>
        </c:ser>
        <c:ser>
          <c:idx val="4"/>
          <c:order val="4"/>
          <c:tx>
            <c:v>Optimal pris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xVal>
            <c:numRef>
              <c:f>'Data til graf produkt 2'!$J$4:$J$5</c:f>
              <c:numCache>
                <c:formatCode>0</c:formatCode>
                <c:ptCount val="2"/>
                <c:pt idx="0">
                  <c:v>0</c:v>
                </c:pt>
                <c:pt idx="1">
                  <c:v>20400</c:v>
                </c:pt>
              </c:numCache>
            </c:numRef>
          </c:xVal>
          <c:yVal>
            <c:numRef>
              <c:f>'Data til graf produkt 2'!$I$4:$I$5</c:f>
              <c:numCache>
                <c:formatCode>0</c:formatCode>
                <c:ptCount val="2"/>
                <c:pt idx="0">
                  <c:v>990</c:v>
                </c:pt>
                <c:pt idx="1">
                  <c:v>990</c:v>
                </c:pt>
              </c:numCache>
            </c:numRef>
          </c:yVal>
        </c:ser>
        <c:ser>
          <c:idx val="5"/>
          <c:order val="5"/>
          <c:tx>
            <c:strRef>
              <c:f>'Data til graf produkt 2'!$K$2</c:f>
              <c:strCache>
                <c:ptCount val="1"/>
                <c:pt idx="0">
                  <c:v>Optimal mængde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xVal>
            <c:numRef>
              <c:f>'Data til graf produkt 2'!$L$4:$L$5</c:f>
              <c:numCache>
                <c:formatCode>0</c:formatCode>
                <c:ptCount val="2"/>
                <c:pt idx="0">
                  <c:v>20400</c:v>
                </c:pt>
                <c:pt idx="1">
                  <c:v>20400</c:v>
                </c:pt>
              </c:numCache>
            </c:numRef>
          </c:xVal>
          <c:yVal>
            <c:numRef>
              <c:f>'Data til graf produkt 2'!$K$4:$K$5</c:f>
              <c:numCache>
                <c:formatCode>0</c:formatCode>
                <c:ptCount val="2"/>
                <c:pt idx="0">
                  <c:v>0</c:v>
                </c:pt>
                <c:pt idx="1">
                  <c:v>990</c:v>
                </c:pt>
              </c:numCache>
            </c:numRef>
          </c:yVal>
        </c:ser>
        <c:ser>
          <c:idx val="6"/>
          <c:order val="6"/>
          <c:tx>
            <c:strRef>
              <c:f>'Data til graf produkt 2'!$E$6:$F$6</c:f>
              <c:strCache>
                <c:ptCount val="1"/>
                <c:pt idx="0">
                  <c:v>MC(2) indtil 42000</c:v>
                </c:pt>
              </c:strCache>
            </c:strRef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xVal>
            <c:numRef>
              <c:f>'Data til graf produkt 2'!$F$8:$F$9</c:f>
              <c:numCache>
                <c:formatCode>General</c:formatCode>
                <c:ptCount val="2"/>
                <c:pt idx="0">
                  <c:v>30000</c:v>
                </c:pt>
                <c:pt idx="1">
                  <c:v>42000</c:v>
                </c:pt>
              </c:numCache>
            </c:numRef>
          </c:xVal>
          <c:yVal>
            <c:numRef>
              <c:f>'Data til graf produkt 2'!$E$8:$E$9</c:f>
              <c:numCache>
                <c:formatCode>General</c:formatCode>
                <c:ptCount val="2"/>
                <c:pt idx="0">
                  <c:v>380</c:v>
                </c:pt>
                <c:pt idx="1">
                  <c:v>380</c:v>
                </c:pt>
              </c:numCache>
            </c:numRef>
          </c:yVal>
        </c:ser>
        <c:ser>
          <c:idx val="7"/>
          <c:order val="7"/>
          <c:tx>
            <c:strRef>
              <c:f>'Data til graf produkt 2'!$E$10:$F$10</c:f>
              <c:strCache>
                <c:ptCount val="1"/>
                <c:pt idx="0">
                  <c:v>MC(3) indtil 0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'Data til graf produkt 2'!$F$12:$F$13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'Data til graf produkt 2'!$E$12:$E$13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</c:ser>
        <c:ser>
          <c:idx val="8"/>
          <c:order val="8"/>
          <c:tx>
            <c:strRef>
              <c:f>'Data til graf produkt 2'!$G$6:$H$6</c:f>
              <c:strCache>
                <c:ptCount val="1"/>
                <c:pt idx="0">
                  <c:v>relation MC(1) og MC(2)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ysDash"/>
            </a:ln>
          </c:spPr>
          <c:marker>
            <c:symbol val="none"/>
          </c:marker>
          <c:xVal>
            <c:numRef>
              <c:f>'Data til graf produkt 2'!$H$8:$H$9</c:f>
              <c:numCache>
                <c:formatCode>General</c:formatCode>
                <c:ptCount val="2"/>
                <c:pt idx="0" formatCode="0">
                  <c:v>30000</c:v>
                </c:pt>
                <c:pt idx="1">
                  <c:v>30000</c:v>
                </c:pt>
              </c:numCache>
            </c:numRef>
          </c:xVal>
          <c:yVal>
            <c:numRef>
              <c:f>'Data til graf produkt 2'!$G$8:$G$9</c:f>
              <c:numCache>
                <c:formatCode>General</c:formatCode>
                <c:ptCount val="2"/>
                <c:pt idx="0" formatCode="0">
                  <c:v>480</c:v>
                </c:pt>
                <c:pt idx="1">
                  <c:v>380</c:v>
                </c:pt>
              </c:numCache>
            </c:numRef>
          </c:yVal>
        </c:ser>
        <c:ser>
          <c:idx val="9"/>
          <c:order val="9"/>
          <c:tx>
            <c:strRef>
              <c:f>'Data til graf produkt 2'!$G$10:$H$10</c:f>
              <c:strCache>
                <c:ptCount val="1"/>
                <c:pt idx="0">
                  <c:v>relation MC(2) og MC(3)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none"/>
          </c:marker>
          <c:xVal>
            <c:numRef>
              <c:f>'Data til graf produkt 2'!$H$12:$H$13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'Data til graf produkt 2'!$G$12:$G$13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</c:ser>
        <c:axId val="91800704"/>
        <c:axId val="91802624"/>
      </c:scatterChart>
      <c:valAx>
        <c:axId val="9180070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a-DK"/>
                  <a:t>Mængde</a:t>
                </a:r>
              </a:p>
            </c:rich>
          </c:tx>
          <c:layout>
            <c:manualLayout>
              <c:xMode val="edge"/>
              <c:yMode val="edge"/>
              <c:x val="0.87902330743618251"/>
              <c:y val="0.87112561174551406"/>
            </c:manualLayout>
          </c:layout>
          <c:spPr>
            <a:noFill/>
            <a:ln w="25400">
              <a:noFill/>
            </a:ln>
          </c:spPr>
        </c:title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91802624"/>
        <c:crosses val="autoZero"/>
        <c:crossBetween val="midCat"/>
      </c:valAx>
      <c:valAx>
        <c:axId val="91802624"/>
        <c:scaling>
          <c:orientation val="minMax"/>
        </c:scaling>
        <c:axPos val="l"/>
        <c:title>
          <c:tx>
            <c:rich>
              <a:bodyPr rot="-60000" vert="horz"/>
              <a:lstStyle/>
              <a:p>
                <a:pPr algn="ctr">
                  <a:defRPr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a-DK"/>
                  <a:t>Pris</a:t>
                </a:r>
              </a:p>
            </c:rich>
          </c:tx>
          <c:layout>
            <c:manualLayout>
              <c:xMode val="edge"/>
              <c:yMode val="edge"/>
              <c:x val="4.2175360710321866E-2"/>
              <c:y val="3.5889070146818934E-2"/>
            </c:manualLayout>
          </c:layout>
          <c:spPr>
            <a:noFill/>
            <a:ln w="25400">
              <a:noFill/>
            </a:ln>
          </c:spPr>
        </c:title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91800704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3129855715871293"/>
          <c:y val="0.10440456769983684"/>
          <c:w val="0.16426193118756946"/>
          <c:h val="0.5579119086460034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a-DK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07" workbookViewId="0"/>
  </sheetViews>
  <pageMargins left="0.75" right="0.75" top="1" bottom="1" header="0" footer="0"/>
  <headerFooter alignWithMargins="0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07" workbookViewId="0"/>
  </sheetViews>
  <pageMargins left="0.75" right="0.75" top="1" bottom="1" header="0" footer="0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rbejde/Roskilde%20Handelsskole/Drifts&#248;konomi/Filer/MR%20=%20MC%20kn&#230;k%20i%20M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rbejde/Roskilde%20Handelsskole/Erhvervs&#248;konomi/Investeringsberegning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rbejde/Roskilde%20Handelsskole/&#216;konomisk%20styring/Filer/Regnskabsanalyse%203%20&#229;r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R=MC produkt 1"/>
      <sheetName val="Graf produkt 1"/>
      <sheetName val="Data til graf produkt 1"/>
      <sheetName val="MR=MC produkt 2"/>
      <sheetName val="Graf produkt 2"/>
      <sheetName val="Data til graf produkt 2"/>
      <sheetName val="Fælles MR og MC"/>
      <sheetName val="Graf fælles MR &amp; MC"/>
      <sheetName val="Data til fælles graf"/>
      <sheetName val="Samme pris"/>
    </sheetNames>
    <sheetDataSet>
      <sheetData sheetId="0"/>
      <sheetData sheetId="2">
        <row r="2">
          <cell r="A2" t="str">
            <v>Afsætning</v>
          </cell>
          <cell r="C2" t="str">
            <v>MR</v>
          </cell>
          <cell r="E2" t="str">
            <v>MC(1) indtil 36000</v>
          </cell>
          <cell r="G2" t="str">
            <v>Max.kapacitet</v>
          </cell>
          <cell r="K2" t="str">
            <v>Optimal mængde</v>
          </cell>
        </row>
        <row r="4">
          <cell r="A4">
            <v>1500</v>
          </cell>
          <cell r="B4">
            <v>0</v>
          </cell>
          <cell r="C4">
            <v>1500</v>
          </cell>
          <cell r="D4">
            <v>0</v>
          </cell>
          <cell r="E4">
            <v>380</v>
          </cell>
          <cell r="F4">
            <v>0</v>
          </cell>
          <cell r="G4">
            <v>1500</v>
          </cell>
          <cell r="H4">
            <v>36000</v>
          </cell>
          <cell r="I4">
            <v>940</v>
          </cell>
          <cell r="J4">
            <v>0</v>
          </cell>
          <cell r="K4">
            <v>0</v>
          </cell>
          <cell r="L4">
            <v>22400</v>
          </cell>
        </row>
        <row r="5">
          <cell r="A5">
            <v>0</v>
          </cell>
          <cell r="B5">
            <v>60000</v>
          </cell>
          <cell r="C5">
            <v>0</v>
          </cell>
          <cell r="D5">
            <v>30000</v>
          </cell>
          <cell r="E5">
            <v>380</v>
          </cell>
          <cell r="F5">
            <v>36000</v>
          </cell>
          <cell r="G5">
            <v>0</v>
          </cell>
          <cell r="H5">
            <v>36000</v>
          </cell>
          <cell r="I5">
            <v>940</v>
          </cell>
          <cell r="J5">
            <v>22400</v>
          </cell>
          <cell r="K5">
            <v>940</v>
          </cell>
          <cell r="L5">
            <v>22400</v>
          </cell>
        </row>
        <row r="6">
          <cell r="E6" t="str">
            <v>MC(2) indtil 0</v>
          </cell>
          <cell r="G6" t="str">
            <v>relation MC(1) og MC(2)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</row>
        <row r="10">
          <cell r="E10" t="str">
            <v>MC(3) indtil 0</v>
          </cell>
          <cell r="G10" t="str">
            <v>relation MC(2) og MC(3)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</row>
      </sheetData>
      <sheetData sheetId="3"/>
      <sheetData sheetId="5"/>
      <sheetData sheetId="6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ommeregneren TI-83"/>
      <sheetName val="investering 50 år"/>
      <sheetName val="Net cash-flow diagram"/>
    </sheetNames>
    <sheetDataSet>
      <sheetData sheetId="0"/>
      <sheetData sheetId="1">
        <row r="5">
          <cell r="D5" t="str">
            <v>Net Cash-Flow</v>
          </cell>
        </row>
        <row r="6">
          <cell r="A6">
            <v>0</v>
          </cell>
          <cell r="D6">
            <v>-10000000</v>
          </cell>
        </row>
        <row r="7">
          <cell r="A7">
            <v>1</v>
          </cell>
          <cell r="D7">
            <v>-1000000</v>
          </cell>
        </row>
        <row r="8">
          <cell r="A8">
            <v>2</v>
          </cell>
          <cell r="D8">
            <v>3000000</v>
          </cell>
        </row>
        <row r="9">
          <cell r="A9">
            <v>3</v>
          </cell>
          <cell r="D9">
            <v>2000000</v>
          </cell>
        </row>
        <row r="10">
          <cell r="A10">
            <v>4</v>
          </cell>
          <cell r="D10">
            <v>4000000</v>
          </cell>
        </row>
        <row r="11">
          <cell r="A11">
            <v>5</v>
          </cell>
          <cell r="D11">
            <v>9000000</v>
          </cell>
        </row>
        <row r="12">
          <cell r="A12">
            <v>6</v>
          </cell>
          <cell r="D12">
            <v>0</v>
          </cell>
        </row>
        <row r="13">
          <cell r="A13">
            <v>7</v>
          </cell>
          <cell r="D13">
            <v>0</v>
          </cell>
        </row>
        <row r="14">
          <cell r="A14">
            <v>8</v>
          </cell>
          <cell r="D14">
            <v>0</v>
          </cell>
        </row>
        <row r="15">
          <cell r="A15">
            <v>9</v>
          </cell>
          <cell r="D15">
            <v>0</v>
          </cell>
        </row>
        <row r="16">
          <cell r="A16">
            <v>10</v>
          </cell>
          <cell r="D16">
            <v>0</v>
          </cell>
        </row>
        <row r="17">
          <cell r="A17">
            <v>11</v>
          </cell>
          <cell r="D17">
            <v>0</v>
          </cell>
        </row>
        <row r="18">
          <cell r="A18">
            <v>12</v>
          </cell>
          <cell r="D18">
            <v>0</v>
          </cell>
        </row>
        <row r="19">
          <cell r="A19">
            <v>13</v>
          </cell>
          <cell r="D19">
            <v>0</v>
          </cell>
        </row>
        <row r="20">
          <cell r="A20">
            <v>14</v>
          </cell>
          <cell r="D20">
            <v>0</v>
          </cell>
        </row>
        <row r="21">
          <cell r="A21">
            <v>15</v>
          </cell>
          <cell r="D21">
            <v>0</v>
          </cell>
        </row>
        <row r="22">
          <cell r="A22">
            <v>16</v>
          </cell>
          <cell r="D22">
            <v>0</v>
          </cell>
        </row>
        <row r="23">
          <cell r="A23">
            <v>17</v>
          </cell>
          <cell r="D23">
            <v>0</v>
          </cell>
        </row>
        <row r="24">
          <cell r="A24">
            <v>18</v>
          </cell>
          <cell r="D24">
            <v>0</v>
          </cell>
        </row>
        <row r="25">
          <cell r="A25">
            <v>19</v>
          </cell>
          <cell r="D25">
            <v>0</v>
          </cell>
        </row>
        <row r="26">
          <cell r="A26">
            <v>20</v>
          </cell>
          <cell r="D26">
            <v>0</v>
          </cell>
        </row>
        <row r="27">
          <cell r="A27">
            <v>21</v>
          </cell>
          <cell r="D27">
            <v>0</v>
          </cell>
        </row>
        <row r="28">
          <cell r="A28">
            <v>22</v>
          </cell>
          <cell r="D28">
            <v>0</v>
          </cell>
        </row>
        <row r="29">
          <cell r="A29">
            <v>23</v>
          </cell>
          <cell r="D29">
            <v>0</v>
          </cell>
        </row>
        <row r="30">
          <cell r="A30">
            <v>24</v>
          </cell>
          <cell r="D30">
            <v>0</v>
          </cell>
        </row>
        <row r="31">
          <cell r="A31">
            <v>25</v>
          </cell>
          <cell r="D31">
            <v>0</v>
          </cell>
        </row>
        <row r="32">
          <cell r="A32">
            <v>26</v>
          </cell>
          <cell r="D32">
            <v>0</v>
          </cell>
        </row>
        <row r="33">
          <cell r="A33">
            <v>27</v>
          </cell>
          <cell r="D33">
            <v>0</v>
          </cell>
        </row>
        <row r="34">
          <cell r="A34">
            <v>28</v>
          </cell>
          <cell r="D34">
            <v>0</v>
          </cell>
        </row>
        <row r="35">
          <cell r="A35">
            <v>29</v>
          </cell>
          <cell r="D35">
            <v>0</v>
          </cell>
        </row>
        <row r="36">
          <cell r="A36">
            <v>30</v>
          </cell>
          <cell r="D36">
            <v>0</v>
          </cell>
        </row>
        <row r="37">
          <cell r="A37">
            <v>31</v>
          </cell>
          <cell r="D37">
            <v>0</v>
          </cell>
        </row>
        <row r="38">
          <cell r="A38">
            <v>32</v>
          </cell>
          <cell r="D38">
            <v>0</v>
          </cell>
        </row>
        <row r="39">
          <cell r="A39">
            <v>33</v>
          </cell>
          <cell r="D39">
            <v>0</v>
          </cell>
        </row>
        <row r="40">
          <cell r="A40">
            <v>34</v>
          </cell>
          <cell r="D40">
            <v>0</v>
          </cell>
        </row>
        <row r="41">
          <cell r="A41">
            <v>35</v>
          </cell>
          <cell r="D41">
            <v>0</v>
          </cell>
        </row>
        <row r="42">
          <cell r="A42">
            <v>36</v>
          </cell>
          <cell r="D42">
            <v>0</v>
          </cell>
        </row>
        <row r="43">
          <cell r="A43">
            <v>37</v>
          </cell>
          <cell r="D43">
            <v>0</v>
          </cell>
        </row>
        <row r="44">
          <cell r="A44">
            <v>38</v>
          </cell>
          <cell r="D44">
            <v>0</v>
          </cell>
        </row>
        <row r="45">
          <cell r="A45">
            <v>39</v>
          </cell>
          <cell r="D45">
            <v>0</v>
          </cell>
        </row>
        <row r="46">
          <cell r="A46">
            <v>40</v>
          </cell>
          <cell r="D46">
            <v>0</v>
          </cell>
        </row>
        <row r="47">
          <cell r="A47">
            <v>41</v>
          </cell>
          <cell r="D47">
            <v>0</v>
          </cell>
        </row>
        <row r="48">
          <cell r="A48">
            <v>42</v>
          </cell>
          <cell r="D48">
            <v>0</v>
          </cell>
        </row>
        <row r="49">
          <cell r="A49">
            <v>43</v>
          </cell>
          <cell r="D49">
            <v>0</v>
          </cell>
        </row>
        <row r="50">
          <cell r="A50">
            <v>44</v>
          </cell>
          <cell r="D50">
            <v>0</v>
          </cell>
        </row>
        <row r="51">
          <cell r="A51">
            <v>45</v>
          </cell>
          <cell r="D51">
            <v>0</v>
          </cell>
        </row>
        <row r="52">
          <cell r="A52">
            <v>46</v>
          </cell>
          <cell r="D52">
            <v>0</v>
          </cell>
        </row>
        <row r="53">
          <cell r="A53">
            <v>47</v>
          </cell>
          <cell r="D53">
            <v>0</v>
          </cell>
        </row>
        <row r="54">
          <cell r="A54">
            <v>48</v>
          </cell>
          <cell r="D54">
            <v>0</v>
          </cell>
        </row>
        <row r="55">
          <cell r="A55">
            <v>49</v>
          </cell>
          <cell r="D55">
            <v>0</v>
          </cell>
        </row>
        <row r="56">
          <cell r="A56">
            <v>50</v>
          </cell>
          <cell r="D56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sultatopgørelse til analyse"/>
      <sheetName val="Balance til analyse"/>
      <sheetName val="beregning af nøgletal"/>
      <sheetName val="Graf AG,OG,EKF,FKF"/>
      <sheetName val="Kommentarer"/>
    </sheetNames>
    <sheetDataSet>
      <sheetData sheetId="0"/>
      <sheetData sheetId="1"/>
      <sheetData sheetId="2">
        <row r="2">
          <cell r="H2">
            <v>2007</v>
          </cell>
          <cell r="I2">
            <v>2008</v>
          </cell>
          <cell r="J2">
            <v>2009</v>
          </cell>
        </row>
        <row r="4">
          <cell r="A4" t="str">
            <v>Afkastningsgrad</v>
          </cell>
          <cell r="H4">
            <v>1.3841709685184689E-2</v>
          </cell>
          <cell r="I4">
            <v>7.0642125886475893E-3</v>
          </cell>
          <cell r="J4">
            <v>5.8238739770489645E-3</v>
          </cell>
        </row>
        <row r="6">
          <cell r="A6" t="str">
            <v>Overskudsgrad</v>
          </cell>
          <cell r="H6">
            <v>7.4326750448833037E-2</v>
          </cell>
          <cell r="I6">
            <v>6.552901023890785E-2</v>
          </cell>
          <cell r="J6">
            <v>5.4485049833887043E-2</v>
          </cell>
        </row>
        <row r="10">
          <cell r="A10" t="str">
            <v>Gældsrente</v>
          </cell>
          <cell r="H10">
            <v>2.2956841138659319E-2</v>
          </cell>
          <cell r="I10">
            <v>1.0450100768828843E-2</v>
          </cell>
          <cell r="J10">
            <v>1.0921917244095898E-2</v>
          </cell>
        </row>
        <row r="12">
          <cell r="A12" t="str">
            <v>Egenkapital forrentning</v>
          </cell>
          <cell r="H12">
            <v>8.6226839681170994E-3</v>
          </cell>
          <cell r="I12">
            <v>3.7729688548676739E-3</v>
          </cell>
          <cell r="J12">
            <v>8.1001887696165436E-4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45"/>
  <sheetViews>
    <sheetView topLeftCell="A81" zoomScale="90" zoomScaleNormal="100" workbookViewId="0">
      <selection activeCell="F26" sqref="F26"/>
    </sheetView>
  </sheetViews>
  <sheetFormatPr defaultRowHeight="12.75"/>
  <cols>
    <col min="1" max="1" width="13" customWidth="1"/>
    <col min="2" max="2" width="3.140625" customWidth="1"/>
    <col min="3" max="3" width="3.28515625" customWidth="1"/>
    <col min="4" max="4" width="10.140625" customWidth="1"/>
    <col min="5" max="5" width="13" customWidth="1"/>
    <col min="6" max="6" width="3" customWidth="1"/>
    <col min="7" max="7" width="1.85546875" customWidth="1"/>
    <col min="8" max="8" width="2.7109375" customWidth="1"/>
    <col min="9" max="9" width="15.5703125" bestFit="1" customWidth="1"/>
    <col min="10" max="10" width="4.28515625" customWidth="1"/>
    <col min="11" max="11" width="6.28515625" customWidth="1"/>
    <col min="12" max="12" width="3" customWidth="1"/>
    <col min="13" max="13" width="21.140625" bestFit="1" customWidth="1"/>
    <col min="14" max="14" width="8.42578125" customWidth="1"/>
    <col min="15" max="15" width="3.28515625" customWidth="1"/>
    <col min="16" max="16" width="2.140625" customWidth="1"/>
    <col min="17" max="17" width="3.85546875" customWidth="1"/>
    <col min="18" max="18" width="7.7109375" customWidth="1"/>
    <col min="19" max="19" width="3.140625" customWidth="1"/>
    <col min="20" max="20" width="2.42578125" customWidth="1"/>
    <col min="21" max="21" width="11.28515625" bestFit="1" customWidth="1"/>
    <col min="22" max="22" width="11.28515625" customWidth="1"/>
  </cols>
  <sheetData>
    <row r="1" spans="1:21" ht="27" thickBot="1">
      <c r="A1" s="1" t="s">
        <v>0</v>
      </c>
      <c r="H1" s="2" t="s">
        <v>1</v>
      </c>
      <c r="I1" s="3"/>
    </row>
    <row r="2" spans="1:21">
      <c r="A2" s="4" t="s">
        <v>2</v>
      </c>
      <c r="B2" s="5"/>
      <c r="C2" s="5"/>
      <c r="D2" s="5"/>
      <c r="E2" s="5"/>
      <c r="F2" s="5"/>
      <c r="G2" s="5"/>
      <c r="H2" s="5"/>
      <c r="I2" s="5"/>
      <c r="J2" s="6"/>
      <c r="K2" s="4" t="s">
        <v>3</v>
      </c>
      <c r="L2" s="7"/>
      <c r="M2" s="5"/>
      <c r="N2" s="5"/>
      <c r="O2" s="5"/>
      <c r="P2" s="5"/>
      <c r="Q2" s="5"/>
      <c r="R2" s="5"/>
      <c r="S2" s="5"/>
      <c r="T2" s="5"/>
      <c r="U2" s="8"/>
    </row>
    <row r="3" spans="1:21" ht="13.5" thickBot="1">
      <c r="A3" s="9" t="s">
        <v>4</v>
      </c>
      <c r="B3" s="10" t="s">
        <v>5</v>
      </c>
      <c r="C3" s="11" t="s">
        <v>6</v>
      </c>
      <c r="D3" s="11"/>
      <c r="E3" s="12">
        <v>-2.5000000000000001E-2</v>
      </c>
      <c r="F3" s="13" t="s">
        <v>7</v>
      </c>
      <c r="G3" s="14"/>
      <c r="H3" s="13" t="s">
        <v>8</v>
      </c>
      <c r="I3" s="15">
        <v>1500</v>
      </c>
      <c r="J3" s="16"/>
      <c r="K3" s="9" t="s">
        <v>9</v>
      </c>
      <c r="L3" s="17" t="s">
        <v>6</v>
      </c>
      <c r="M3" s="18">
        <v>0</v>
      </c>
      <c r="N3" s="18"/>
      <c r="O3" s="19"/>
      <c r="P3" s="19"/>
      <c r="Q3" s="19"/>
      <c r="R3" s="19"/>
      <c r="S3" s="19"/>
      <c r="T3" s="19"/>
      <c r="U3" s="20"/>
    </row>
    <row r="4" spans="1:21">
      <c r="A4" s="9"/>
      <c r="B4" s="10"/>
      <c r="C4" s="11"/>
      <c r="D4" s="11"/>
      <c r="E4" s="21">
        <v>1</v>
      </c>
      <c r="F4" s="13"/>
      <c r="G4" s="14"/>
      <c r="H4" s="13"/>
      <c r="I4" s="15"/>
      <c r="J4" s="16"/>
      <c r="K4" s="9"/>
      <c r="L4" s="17"/>
      <c r="M4" s="18"/>
      <c r="N4" s="18"/>
      <c r="O4" s="22"/>
      <c r="P4" s="22"/>
      <c r="Q4" s="23"/>
      <c r="R4" s="22"/>
      <c r="S4" s="22"/>
      <c r="T4" s="22"/>
      <c r="U4" s="24"/>
    </row>
    <row r="5" spans="1:21" ht="14.25" customHeight="1">
      <c r="A5" s="25"/>
      <c r="B5" s="26"/>
      <c r="C5" s="26"/>
      <c r="D5" s="26"/>
      <c r="E5" s="26"/>
      <c r="F5" s="26"/>
      <c r="G5" s="26"/>
      <c r="H5" s="26"/>
      <c r="I5" s="26"/>
      <c r="J5" s="26"/>
      <c r="K5" s="9" t="s">
        <v>10</v>
      </c>
      <c r="L5" s="17" t="s">
        <v>6</v>
      </c>
      <c r="M5" s="17"/>
      <c r="N5" s="27">
        <v>0</v>
      </c>
      <c r="O5" s="11" t="str">
        <f>F3</f>
        <v>X</v>
      </c>
      <c r="P5" s="28">
        <v>2</v>
      </c>
      <c r="Q5" s="11" t="s">
        <v>8</v>
      </c>
      <c r="R5" s="29">
        <v>380</v>
      </c>
      <c r="S5" s="11" t="str">
        <f>O5</f>
        <v>X</v>
      </c>
      <c r="T5" s="22"/>
      <c r="U5" s="24"/>
    </row>
    <row r="6" spans="1:21" ht="13.5" customHeight="1" thickBot="1">
      <c r="A6" s="9" t="s">
        <v>11</v>
      </c>
      <c r="B6" s="30"/>
      <c r="C6" s="31" t="s">
        <v>6</v>
      </c>
      <c r="D6" s="31"/>
      <c r="E6" s="32">
        <f>E3</f>
        <v>-2.5000000000000001E-2</v>
      </c>
      <c r="F6" s="31" t="str">
        <f>F3</f>
        <v>X</v>
      </c>
      <c r="G6" s="33">
        <v>2</v>
      </c>
      <c r="H6" s="31" t="s">
        <v>8</v>
      </c>
      <c r="I6" s="10">
        <f>I3</f>
        <v>1500</v>
      </c>
      <c r="J6" s="34" t="str">
        <f>F3</f>
        <v>X</v>
      </c>
      <c r="K6" s="9"/>
      <c r="L6" s="17"/>
      <c r="M6" s="17"/>
      <c r="N6" s="35">
        <v>1</v>
      </c>
      <c r="O6" s="11"/>
      <c r="P6" s="28"/>
      <c r="Q6" s="11"/>
      <c r="R6" s="36"/>
      <c r="S6" s="11"/>
      <c r="T6" s="22"/>
      <c r="U6" s="24"/>
    </row>
    <row r="7" spans="1:21" ht="20.25">
      <c r="A7" s="9"/>
      <c r="B7" s="30"/>
      <c r="C7" s="31"/>
      <c r="D7" s="31"/>
      <c r="E7" s="37">
        <f>E4</f>
        <v>1</v>
      </c>
      <c r="F7" s="31"/>
      <c r="G7" s="33"/>
      <c r="H7" s="31"/>
      <c r="I7" s="10"/>
      <c r="J7" s="34"/>
      <c r="K7" s="38"/>
      <c r="L7" s="22"/>
      <c r="M7" s="22"/>
      <c r="N7" s="22"/>
      <c r="O7" s="22"/>
      <c r="P7" s="39"/>
      <c r="Q7" s="40"/>
      <c r="R7" s="22"/>
      <c r="S7" s="22"/>
      <c r="T7" s="22"/>
      <c r="U7" s="24"/>
    </row>
    <row r="8" spans="1:21" ht="20.25">
      <c r="A8" s="41"/>
      <c r="B8" s="42"/>
      <c r="C8" s="43"/>
      <c r="D8" s="43"/>
      <c r="E8" s="37"/>
      <c r="F8" s="43"/>
      <c r="G8" s="44"/>
      <c r="H8" s="43"/>
      <c r="I8" s="45"/>
      <c r="J8" s="46"/>
      <c r="K8" s="9" t="s">
        <v>12</v>
      </c>
      <c r="L8" s="17" t="s">
        <v>6</v>
      </c>
      <c r="M8" s="17"/>
      <c r="N8" s="47">
        <f t="shared" ref="N8:S8" si="0">N5</f>
        <v>0</v>
      </c>
      <c r="O8" s="31" t="str">
        <f t="shared" si="0"/>
        <v>X</v>
      </c>
      <c r="P8" s="48">
        <f t="shared" si="0"/>
        <v>2</v>
      </c>
      <c r="Q8" s="31" t="str">
        <f t="shared" si="0"/>
        <v>+</v>
      </c>
      <c r="R8" s="10">
        <f t="shared" si="0"/>
        <v>380</v>
      </c>
      <c r="S8" s="31" t="str">
        <f t="shared" si="0"/>
        <v>X</v>
      </c>
      <c r="T8" s="31" t="s">
        <v>8</v>
      </c>
      <c r="U8" s="49">
        <f>M3</f>
        <v>0</v>
      </c>
    </row>
    <row r="9" spans="1:21" ht="20.25">
      <c r="A9" s="50"/>
      <c r="B9" s="51"/>
      <c r="C9" s="47"/>
      <c r="D9" s="47"/>
      <c r="E9" s="52"/>
      <c r="F9" s="53"/>
      <c r="G9" s="54"/>
      <c r="H9" s="55"/>
      <c r="I9" s="22"/>
      <c r="J9" s="22"/>
      <c r="K9" s="9"/>
      <c r="L9" s="17"/>
      <c r="M9" s="17"/>
      <c r="N9" s="47">
        <f>N6</f>
        <v>1</v>
      </c>
      <c r="O9" s="31"/>
      <c r="P9" s="48"/>
      <c r="Q9" s="31"/>
      <c r="R9" s="10"/>
      <c r="S9" s="31"/>
      <c r="T9" s="31"/>
      <c r="U9" s="49"/>
    </row>
    <row r="10" spans="1:21" ht="21">
      <c r="A10" s="50"/>
      <c r="B10" s="51"/>
      <c r="C10" s="47"/>
      <c r="D10" s="47"/>
      <c r="E10" s="52"/>
      <c r="F10" s="53"/>
      <c r="G10" s="54"/>
      <c r="H10" s="55"/>
      <c r="I10" s="22"/>
      <c r="J10" s="22"/>
      <c r="K10" s="56"/>
      <c r="L10" s="57"/>
      <c r="M10" s="22"/>
      <c r="N10" s="22"/>
      <c r="O10" s="43"/>
      <c r="P10" s="58"/>
      <c r="Q10" s="40"/>
      <c r="R10" s="22"/>
      <c r="S10" s="59"/>
      <c r="T10" s="23"/>
      <c r="U10" s="60"/>
    </row>
    <row r="11" spans="1:21" ht="13.5" thickBot="1">
      <c r="A11" s="9" t="s">
        <v>13</v>
      </c>
      <c r="B11" s="30"/>
      <c r="C11" s="31" t="s">
        <v>6</v>
      </c>
      <c r="D11" s="31"/>
      <c r="E11" s="32">
        <f>E6*2</f>
        <v>-0.05</v>
      </c>
      <c r="F11" s="31" t="str">
        <f>F6</f>
        <v>X</v>
      </c>
      <c r="G11" s="22"/>
      <c r="H11" s="31" t="s">
        <v>8</v>
      </c>
      <c r="I11" s="10">
        <f>I6</f>
        <v>1500</v>
      </c>
      <c r="J11" s="10"/>
      <c r="K11" s="9" t="s">
        <v>14</v>
      </c>
      <c r="L11" s="17" t="s">
        <v>6</v>
      </c>
      <c r="M11" s="17"/>
      <c r="N11" s="47">
        <f>N5*P8</f>
        <v>0</v>
      </c>
      <c r="O11" s="31" t="str">
        <f>O8</f>
        <v>X</v>
      </c>
      <c r="P11" s="22"/>
      <c r="Q11" s="31" t="str">
        <f>Q8</f>
        <v>+</v>
      </c>
      <c r="R11" s="61">
        <f>R5</f>
        <v>380</v>
      </c>
      <c r="S11" s="22"/>
      <c r="T11" s="22"/>
      <c r="U11" s="24"/>
    </row>
    <row r="12" spans="1:21" ht="13.5" thickBot="1">
      <c r="A12" s="62"/>
      <c r="B12" s="63"/>
      <c r="C12" s="64"/>
      <c r="D12" s="64"/>
      <c r="E12" s="65">
        <f>E4</f>
        <v>1</v>
      </c>
      <c r="F12" s="64"/>
      <c r="G12" s="66"/>
      <c r="H12" s="64"/>
      <c r="I12" s="67"/>
      <c r="J12" s="67"/>
      <c r="K12" s="9"/>
      <c r="L12" s="17"/>
      <c r="M12" s="17"/>
      <c r="N12" s="47">
        <f>N9</f>
        <v>1</v>
      </c>
      <c r="O12" s="31"/>
      <c r="P12" s="22"/>
      <c r="Q12" s="31"/>
      <c r="R12" s="61"/>
      <c r="S12" s="22"/>
      <c r="T12" s="22"/>
      <c r="U12" s="24"/>
    </row>
    <row r="13" spans="1:21" ht="21.75" customHeight="1" thickBot="1">
      <c r="A13" s="42"/>
      <c r="B13" s="42"/>
      <c r="C13" s="43"/>
      <c r="D13" s="43"/>
      <c r="E13" s="37"/>
      <c r="F13" s="43"/>
      <c r="G13" s="22"/>
      <c r="H13" s="43"/>
      <c r="I13" s="45"/>
      <c r="J13" s="45"/>
      <c r="K13" s="68" t="s">
        <v>15</v>
      </c>
      <c r="L13" s="69" t="s">
        <v>6</v>
      </c>
      <c r="M13" s="69"/>
      <c r="N13" s="70">
        <v>36000</v>
      </c>
      <c r="O13" s="70"/>
      <c r="P13" s="70"/>
      <c r="Q13" s="71" t="str">
        <f>O11</f>
        <v>X</v>
      </c>
      <c r="R13" s="72"/>
      <c r="S13" s="66"/>
      <c r="T13" s="66"/>
      <c r="U13" s="73"/>
    </row>
    <row r="14" spans="1:21" ht="14.25" customHeight="1">
      <c r="A14" s="42"/>
      <c r="B14" s="42"/>
      <c r="C14" s="43"/>
      <c r="D14" s="43"/>
      <c r="E14" s="37"/>
      <c r="F14" s="43"/>
      <c r="G14" s="22"/>
      <c r="H14" s="43"/>
      <c r="I14" s="45"/>
      <c r="J14" s="45"/>
      <c r="K14" s="74" t="s">
        <v>16</v>
      </c>
      <c r="L14" s="75" t="s">
        <v>6</v>
      </c>
      <c r="M14" s="75"/>
      <c r="N14" s="76">
        <f>N16*0.5</f>
        <v>0</v>
      </c>
      <c r="O14" s="77" t="str">
        <f>O16</f>
        <v>X</v>
      </c>
      <c r="P14" s="78">
        <f>P5</f>
        <v>2</v>
      </c>
      <c r="Q14" s="79" t="s">
        <v>8</v>
      </c>
      <c r="R14" s="80">
        <f>R16</f>
        <v>0</v>
      </c>
      <c r="S14" s="79" t="str">
        <f>O14</f>
        <v>X</v>
      </c>
      <c r="T14" s="22"/>
      <c r="U14" s="24"/>
    </row>
    <row r="15" spans="1:21" ht="14.25" customHeight="1" thickBot="1">
      <c r="A15" s="42"/>
      <c r="B15" s="42"/>
      <c r="C15" s="43"/>
      <c r="D15" s="43"/>
      <c r="E15" s="37"/>
      <c r="F15" s="43"/>
      <c r="G15" s="22"/>
      <c r="H15" s="43"/>
      <c r="I15" s="45"/>
      <c r="J15" s="45"/>
      <c r="K15" s="62"/>
      <c r="L15" s="69"/>
      <c r="M15" s="69"/>
      <c r="N15" s="81">
        <f>N17</f>
        <v>1</v>
      </c>
      <c r="O15" s="82"/>
      <c r="P15" s="83"/>
      <c r="Q15" s="64"/>
      <c r="R15" s="84"/>
      <c r="S15" s="64"/>
      <c r="T15" s="22"/>
      <c r="U15" s="24"/>
    </row>
    <row r="16" spans="1:21" ht="13.5" customHeight="1">
      <c r="A16" s="42"/>
      <c r="B16" s="42"/>
      <c r="C16" s="43"/>
      <c r="D16" s="43"/>
      <c r="E16" s="37"/>
      <c r="F16" s="43"/>
      <c r="G16" s="22"/>
      <c r="H16" s="43"/>
      <c r="I16" s="45"/>
      <c r="J16" s="45"/>
      <c r="K16" s="74" t="s">
        <v>17</v>
      </c>
      <c r="L16" s="75" t="str">
        <f>L13</f>
        <v>=</v>
      </c>
      <c r="M16" s="75"/>
      <c r="N16" s="85">
        <v>0</v>
      </c>
      <c r="O16" s="79" t="str">
        <f>O11</f>
        <v>X</v>
      </c>
      <c r="P16" s="86"/>
      <c r="Q16" s="79" t="str">
        <f>Q11</f>
        <v>+</v>
      </c>
      <c r="R16" s="87">
        <v>0</v>
      </c>
      <c r="S16" s="6"/>
      <c r="T16" s="6"/>
      <c r="U16" s="88"/>
    </row>
    <row r="17" spans="1:21" ht="14.25" customHeight="1">
      <c r="A17" s="42"/>
      <c r="B17" s="42"/>
      <c r="C17" s="43"/>
      <c r="D17" s="43"/>
      <c r="E17" s="37"/>
      <c r="F17" s="43"/>
      <c r="G17" s="22"/>
      <c r="H17" s="43"/>
      <c r="I17" s="45"/>
      <c r="J17" s="45"/>
      <c r="K17" s="9"/>
      <c r="L17" s="89"/>
      <c r="M17" s="89"/>
      <c r="N17" s="35">
        <v>1</v>
      </c>
      <c r="O17" s="31"/>
      <c r="P17" s="16"/>
      <c r="Q17" s="31"/>
      <c r="R17" s="90"/>
      <c r="S17" s="22"/>
      <c r="T17" s="22"/>
      <c r="U17" s="24"/>
    </row>
    <row r="18" spans="1:21" ht="21.75" customHeight="1" thickBot="1">
      <c r="A18" s="42"/>
      <c r="B18" s="42"/>
      <c r="C18" s="43"/>
      <c r="D18" s="43"/>
      <c r="E18" s="37"/>
      <c r="F18" s="43"/>
      <c r="G18" s="22"/>
      <c r="H18" s="43"/>
      <c r="I18" s="45"/>
      <c r="J18" s="45"/>
      <c r="K18" s="68" t="s">
        <v>15</v>
      </c>
      <c r="L18" s="69" t="str">
        <f>L16</f>
        <v>=</v>
      </c>
      <c r="M18" s="91"/>
      <c r="N18" s="70">
        <v>0</v>
      </c>
      <c r="O18" s="70"/>
      <c r="P18" s="70"/>
      <c r="Q18" s="71" t="str">
        <f>Q13</f>
        <v>X</v>
      </c>
      <c r="R18" s="72"/>
      <c r="S18" s="66"/>
      <c r="T18" s="66"/>
      <c r="U18" s="73"/>
    </row>
    <row r="19" spans="1:21" ht="15" customHeight="1">
      <c r="A19" s="42"/>
      <c r="B19" s="42"/>
      <c r="C19" s="43"/>
      <c r="D19" s="43"/>
      <c r="E19" s="37"/>
      <c r="F19" s="43"/>
      <c r="G19" s="22"/>
      <c r="H19" s="43"/>
      <c r="I19" s="45"/>
      <c r="J19" s="45"/>
      <c r="K19" s="74" t="s">
        <v>18</v>
      </c>
      <c r="L19" s="75" t="s">
        <v>6</v>
      </c>
      <c r="M19" s="75"/>
      <c r="N19" s="76">
        <f>N21*0.5</f>
        <v>0</v>
      </c>
      <c r="O19" s="77" t="str">
        <f>O16</f>
        <v>X</v>
      </c>
      <c r="P19" s="78">
        <f>P14</f>
        <v>2</v>
      </c>
      <c r="Q19" s="79" t="s">
        <v>8</v>
      </c>
      <c r="R19" s="80">
        <f>R21</f>
        <v>0</v>
      </c>
      <c r="S19" s="79" t="str">
        <f>S14</f>
        <v>X</v>
      </c>
      <c r="T19" s="22"/>
      <c r="U19" s="24"/>
    </row>
    <row r="20" spans="1:21" ht="14.25" customHeight="1" thickBot="1">
      <c r="A20" s="42"/>
      <c r="B20" s="42"/>
      <c r="C20" s="43"/>
      <c r="D20" s="43"/>
      <c r="E20" s="37"/>
      <c r="F20" s="43"/>
      <c r="G20" s="22"/>
      <c r="H20" s="43"/>
      <c r="I20" s="45"/>
      <c r="J20" s="45"/>
      <c r="K20" s="62"/>
      <c r="L20" s="69"/>
      <c r="M20" s="69"/>
      <c r="N20" s="92">
        <f>N22</f>
        <v>100</v>
      </c>
      <c r="O20" s="82"/>
      <c r="P20" s="83"/>
      <c r="Q20" s="64"/>
      <c r="R20" s="84"/>
      <c r="S20" s="64"/>
      <c r="T20" s="22"/>
      <c r="U20" s="24"/>
    </row>
    <row r="21" spans="1:21" ht="15.75" customHeight="1">
      <c r="A21" s="42"/>
      <c r="B21" s="42"/>
      <c r="C21" s="43"/>
      <c r="D21" s="43"/>
      <c r="E21" s="37"/>
      <c r="F21" s="43"/>
      <c r="G21" s="22"/>
      <c r="H21" s="43"/>
      <c r="I21" s="45"/>
      <c r="J21" s="45"/>
      <c r="K21" s="74" t="s">
        <v>19</v>
      </c>
      <c r="L21" s="75" t="str">
        <f>L16</f>
        <v>=</v>
      </c>
      <c r="M21" s="93"/>
      <c r="N21" s="85">
        <v>0</v>
      </c>
      <c r="O21" s="79" t="str">
        <f>O16</f>
        <v>X</v>
      </c>
      <c r="P21" s="6"/>
      <c r="Q21" s="79" t="str">
        <f>Q16</f>
        <v>+</v>
      </c>
      <c r="R21" s="87">
        <v>0</v>
      </c>
      <c r="S21" s="6"/>
      <c r="T21" s="6"/>
      <c r="U21" s="88"/>
    </row>
    <row r="22" spans="1:21" ht="14.25" customHeight="1">
      <c r="A22" s="42"/>
      <c r="B22" s="42"/>
      <c r="C22" s="43"/>
      <c r="D22" s="43"/>
      <c r="E22" s="37"/>
      <c r="F22" s="43"/>
      <c r="G22" s="22"/>
      <c r="H22" s="43"/>
      <c r="I22" s="45"/>
      <c r="J22" s="45"/>
      <c r="K22" s="9"/>
      <c r="L22" s="17"/>
      <c r="M22" s="17"/>
      <c r="N22" s="35">
        <v>100</v>
      </c>
      <c r="O22" s="31"/>
      <c r="P22" s="22"/>
      <c r="Q22" s="31"/>
      <c r="R22" s="90"/>
      <c r="S22" s="22"/>
      <c r="T22" s="22"/>
      <c r="U22" s="24"/>
    </row>
    <row r="23" spans="1:21" ht="19.5" customHeight="1" thickBot="1">
      <c r="A23" s="94" t="s">
        <v>20</v>
      </c>
      <c r="B23" s="19"/>
      <c r="C23" s="22" t="str">
        <f>C6</f>
        <v>=</v>
      </c>
      <c r="D23" s="95">
        <v>36000</v>
      </c>
      <c r="E23" s="52"/>
      <c r="F23" s="53"/>
      <c r="G23" s="22"/>
      <c r="H23" s="96"/>
      <c r="I23" s="22"/>
      <c r="J23" s="22"/>
      <c r="K23" s="97" t="s">
        <v>15</v>
      </c>
      <c r="L23" s="98" t="str">
        <f>L21</f>
        <v>=</v>
      </c>
      <c r="M23" s="99"/>
      <c r="N23" s="70">
        <v>0</v>
      </c>
      <c r="O23" s="70"/>
      <c r="P23" s="70"/>
      <c r="Q23" s="100" t="str">
        <f>Q18</f>
        <v>X</v>
      </c>
      <c r="R23" s="66"/>
      <c r="S23" s="66"/>
      <c r="T23" s="66"/>
      <c r="U23" s="73"/>
    </row>
    <row r="24" spans="1:21" ht="19.5" customHeight="1">
      <c r="A24" s="94"/>
      <c r="B24" s="19"/>
      <c r="C24" s="22"/>
      <c r="D24" s="101"/>
      <c r="E24" s="52"/>
      <c r="F24" s="53"/>
      <c r="G24" s="22"/>
      <c r="H24" s="96"/>
      <c r="I24" s="22"/>
      <c r="J24" s="22"/>
      <c r="K24" s="57"/>
      <c r="L24" s="102"/>
      <c r="M24" s="51"/>
      <c r="N24" s="103"/>
      <c r="O24" s="103"/>
      <c r="P24" s="103"/>
      <c r="Q24" s="104"/>
      <c r="R24" s="22"/>
      <c r="S24" s="22"/>
      <c r="T24" s="22"/>
      <c r="U24" s="22"/>
    </row>
    <row r="25" spans="1:21" ht="19.5" customHeight="1">
      <c r="A25" s="94"/>
      <c r="B25" s="19"/>
      <c r="C25" s="22"/>
      <c r="D25" s="101"/>
      <c r="E25" s="52"/>
      <c r="F25" s="53"/>
      <c r="G25" s="22"/>
      <c r="H25" s="96"/>
      <c r="I25" s="22"/>
      <c r="J25" s="22"/>
      <c r="K25" s="57"/>
      <c r="L25" s="102"/>
      <c r="M25" s="51"/>
      <c r="N25" s="103"/>
      <c r="O25" s="103"/>
      <c r="P25" s="103"/>
      <c r="Q25" s="104"/>
      <c r="R25" s="22"/>
      <c r="S25" s="22"/>
      <c r="T25" s="22"/>
      <c r="U25" s="22"/>
    </row>
    <row r="26" spans="1:21" ht="19.5" customHeight="1">
      <c r="A26" s="94"/>
      <c r="B26" s="19"/>
      <c r="C26" s="22"/>
      <c r="D26" s="101"/>
      <c r="E26" s="52"/>
      <c r="F26" s="53"/>
      <c r="G26" s="22"/>
      <c r="H26" s="96"/>
      <c r="I26" s="22"/>
      <c r="J26" s="22"/>
      <c r="K26" s="57"/>
      <c r="L26" s="102"/>
      <c r="M26" s="51"/>
      <c r="N26" s="103"/>
      <c r="O26" s="103"/>
      <c r="P26" s="103"/>
      <c r="Q26" s="104"/>
      <c r="R26" s="22"/>
      <c r="S26" s="22"/>
      <c r="T26" s="22"/>
      <c r="U26" s="22"/>
    </row>
    <row r="27" spans="1:21" ht="19.5" customHeight="1">
      <c r="A27" s="94"/>
      <c r="B27" s="19"/>
      <c r="C27" s="22"/>
      <c r="D27" s="101"/>
      <c r="E27" s="52"/>
      <c r="F27" s="53"/>
      <c r="G27" s="22"/>
      <c r="H27" s="96"/>
      <c r="I27" s="22"/>
      <c r="J27" s="22"/>
      <c r="K27" s="57"/>
      <c r="L27" s="102"/>
      <c r="M27" s="51"/>
      <c r="N27" s="103"/>
      <c r="O27" s="103"/>
      <c r="P27" s="103"/>
      <c r="Q27" s="104"/>
      <c r="R27" s="22"/>
      <c r="S27" s="22"/>
      <c r="T27" s="22"/>
      <c r="U27" s="22"/>
    </row>
    <row r="28" spans="1:21" ht="19.5" customHeight="1">
      <c r="A28" s="94"/>
      <c r="B28" s="19"/>
      <c r="C28" s="22"/>
      <c r="D28" s="101"/>
      <c r="E28" s="52"/>
      <c r="F28" s="53"/>
      <c r="G28" s="22"/>
      <c r="H28" s="96"/>
      <c r="I28" s="22"/>
      <c r="J28" s="22"/>
      <c r="K28" s="57"/>
      <c r="L28" s="102"/>
      <c r="M28" s="51"/>
      <c r="N28" s="103"/>
      <c r="O28" s="103"/>
      <c r="P28" s="103"/>
      <c r="Q28" s="104"/>
      <c r="R28" s="22"/>
      <c r="S28" s="22"/>
      <c r="T28" s="22"/>
      <c r="U28" s="22"/>
    </row>
    <row r="29" spans="1:21" ht="19.5" customHeight="1">
      <c r="A29" s="94"/>
      <c r="B29" s="19"/>
      <c r="C29" s="22"/>
      <c r="D29" s="101"/>
      <c r="E29" s="52"/>
      <c r="F29" s="53"/>
      <c r="G29" s="22"/>
      <c r="H29" s="96"/>
      <c r="I29" s="22"/>
      <c r="J29" s="22"/>
      <c r="K29" s="57"/>
      <c r="L29" s="102"/>
      <c r="M29" s="51"/>
      <c r="N29" s="103"/>
      <c r="O29" s="103"/>
      <c r="P29" s="103"/>
      <c r="Q29" s="104"/>
      <c r="R29" s="22"/>
      <c r="S29" s="22"/>
      <c r="T29" s="22"/>
      <c r="U29" s="22"/>
    </row>
    <row r="30" spans="1:21" ht="19.5" customHeight="1">
      <c r="A30" s="94"/>
      <c r="B30" s="19"/>
      <c r="C30" s="22"/>
      <c r="D30" s="101"/>
      <c r="E30" s="52"/>
      <c r="F30" s="53"/>
      <c r="G30" s="22"/>
      <c r="H30" s="96"/>
      <c r="I30" s="22"/>
      <c r="J30" s="22"/>
      <c r="K30" s="57"/>
      <c r="L30" s="102"/>
      <c r="M30" s="51"/>
      <c r="N30" s="103"/>
      <c r="O30" s="103"/>
      <c r="P30" s="103"/>
      <c r="Q30" s="104"/>
      <c r="R30" s="22"/>
      <c r="S30" s="22"/>
      <c r="T30" s="22"/>
      <c r="U30" s="22"/>
    </row>
    <row r="31" spans="1:21" ht="19.5" customHeight="1">
      <c r="A31" s="94"/>
      <c r="B31" s="19"/>
      <c r="C31" s="22"/>
      <c r="D31" s="101"/>
      <c r="E31" s="52"/>
      <c r="F31" s="53"/>
      <c r="G31" s="22"/>
      <c r="H31" s="96"/>
      <c r="I31" s="22"/>
      <c r="J31" s="22"/>
      <c r="K31" s="57"/>
      <c r="L31" s="102"/>
      <c r="M31" s="51"/>
      <c r="N31" s="103"/>
      <c r="O31" s="103"/>
      <c r="P31" s="103"/>
      <c r="Q31" s="104"/>
      <c r="R31" s="22"/>
      <c r="S31" s="22"/>
      <c r="T31" s="22"/>
      <c r="U31" s="22"/>
    </row>
    <row r="32" spans="1:21" ht="19.5" customHeight="1">
      <c r="A32" s="94"/>
      <c r="B32" s="19"/>
      <c r="C32" s="22"/>
      <c r="D32" s="101"/>
      <c r="E32" s="52"/>
      <c r="F32" s="53"/>
      <c r="G32" s="22"/>
      <c r="H32" s="96"/>
      <c r="I32" s="22"/>
      <c r="J32" s="22"/>
      <c r="K32" s="57"/>
      <c r="L32" s="102"/>
      <c r="M32" s="51"/>
      <c r="N32" s="103"/>
      <c r="O32" s="103"/>
      <c r="P32" s="103"/>
      <c r="Q32" s="104"/>
      <c r="R32" s="22"/>
      <c r="S32" s="22"/>
      <c r="T32" s="22"/>
      <c r="U32" s="22"/>
    </row>
    <row r="33" spans="1:21" ht="19.5" customHeight="1">
      <c r="A33" s="94"/>
      <c r="B33" s="19"/>
      <c r="C33" s="22"/>
      <c r="D33" s="101"/>
      <c r="E33" s="52"/>
      <c r="F33" s="53"/>
      <c r="G33" s="22"/>
      <c r="H33" s="96"/>
      <c r="I33" s="22"/>
      <c r="J33" s="22"/>
      <c r="K33" s="57"/>
      <c r="L33" s="102"/>
      <c r="M33" s="51"/>
      <c r="N33" s="103"/>
      <c r="O33" s="103"/>
      <c r="P33" s="103"/>
      <c r="Q33" s="104"/>
      <c r="R33" s="22"/>
      <c r="S33" s="22"/>
      <c r="T33" s="22"/>
      <c r="U33" s="22"/>
    </row>
    <row r="34" spans="1:21" ht="19.5" customHeight="1" thickBot="1">
      <c r="A34" s="105"/>
      <c r="B34" s="103"/>
      <c r="C34" s="106"/>
      <c r="D34" s="101"/>
      <c r="E34" s="107"/>
      <c r="F34" s="108"/>
      <c r="G34" s="106"/>
      <c r="H34" s="109"/>
      <c r="I34" s="106"/>
      <c r="J34" s="106"/>
      <c r="K34" s="110"/>
      <c r="L34" s="111"/>
      <c r="M34" s="112"/>
      <c r="N34" s="103"/>
      <c r="O34" s="103"/>
      <c r="P34" s="103"/>
      <c r="Q34" s="104"/>
      <c r="R34" s="22"/>
      <c r="S34" s="22"/>
      <c r="T34" s="22"/>
      <c r="U34" s="22"/>
    </row>
    <row r="35" spans="1:21" ht="19.5" customHeight="1" thickBot="1">
      <c r="A35" s="105" t="s">
        <v>21</v>
      </c>
      <c r="B35" s="103"/>
      <c r="C35" s="106"/>
      <c r="D35" s="101"/>
      <c r="E35" s="113" t="str">
        <f>IF(E47=E48,"Ja","Nej")</f>
        <v>Ja</v>
      </c>
      <c r="F35" s="114"/>
      <c r="G35" s="114"/>
      <c r="H35" s="114"/>
      <c r="I35" s="113" t="str">
        <f>IF(I47=I48,"Ja","Nej")</f>
        <v>Nej</v>
      </c>
      <c r="J35" s="114"/>
      <c r="K35" s="114"/>
      <c r="L35" s="114"/>
      <c r="M35" s="113" t="str">
        <f>IF(M47=M48,"Ja","Nej")</f>
        <v>Nej</v>
      </c>
      <c r="N35" s="103"/>
      <c r="O35" s="103"/>
      <c r="P35" s="103"/>
      <c r="Q35" s="104"/>
      <c r="R35" s="22"/>
      <c r="S35" s="22"/>
      <c r="T35" s="22"/>
      <c r="U35" s="22"/>
    </row>
    <row r="36" spans="1:21" ht="19.5" customHeight="1">
      <c r="A36" s="105" t="s">
        <v>22</v>
      </c>
      <c r="B36" s="103"/>
      <c r="C36" s="106"/>
      <c r="D36" s="101"/>
      <c r="E36" s="115" t="str">
        <f>CONCATENATE("MR=",K11)</f>
        <v>MR=MC(1)</v>
      </c>
      <c r="F36" s="110"/>
      <c r="G36" s="110"/>
      <c r="H36" s="110"/>
      <c r="I36" s="115" t="str">
        <f>CONCATENATE("MR=",K16)</f>
        <v>MR=MC(2)</v>
      </c>
      <c r="J36" s="110"/>
      <c r="K36" s="110"/>
      <c r="L36" s="110"/>
      <c r="M36" s="115" t="str">
        <f>CONCATENATE("MR=",K21)</f>
        <v>MR=MC(3)</v>
      </c>
      <c r="N36" s="103"/>
      <c r="O36" s="103"/>
      <c r="P36" s="103"/>
      <c r="Q36" s="104"/>
      <c r="R36" s="22"/>
      <c r="S36" s="22"/>
      <c r="T36" s="22"/>
      <c r="U36" s="22"/>
    </row>
    <row r="37" spans="1:21" ht="19.5" customHeight="1">
      <c r="A37" s="116" t="s">
        <v>23</v>
      </c>
      <c r="B37" s="116"/>
      <c r="C37" s="116"/>
      <c r="D37" s="116"/>
      <c r="E37" s="117">
        <f>IF($E$3=0,(IF(N5=0,N13,($I$11-R$11)/(($E$11/$E$12*-1)+(N$11/N$12)))),($I$11-R11)/(($E$11/$E$12*-1)+(N$11/N$12)))</f>
        <v>22400</v>
      </c>
      <c r="F37" s="118"/>
      <c r="G37" s="107"/>
      <c r="H37" s="119"/>
      <c r="I37" s="117">
        <f>IF($E$3=0,(IF($N$16=0,$N$18,($I$11-$R16)/(($E$11/$E$12*-1)+($N16/$N17)))),($I$11-$R16)/(($E$11/$E$12*-1)+($N16/$N17)))</f>
        <v>30000</v>
      </c>
      <c r="J37" s="118"/>
      <c r="K37" s="107"/>
      <c r="L37" s="119"/>
      <c r="M37" s="117">
        <f>IF($E$3=0,(IF($N$21=0,$N$23,($I$11-$R21)/(($E$11/$E$12*-1)+($N21/$N22)))),($I$11-$R21)/(($E$11/$E$12*-1)+($N21/$N22)))</f>
        <v>30000</v>
      </c>
      <c r="N37" s="103"/>
      <c r="O37" s="103"/>
      <c r="P37" s="103"/>
      <c r="Q37" s="104"/>
      <c r="R37" s="22"/>
      <c r="S37" s="22"/>
      <c r="T37" s="22"/>
      <c r="U37" s="22"/>
    </row>
    <row r="38" spans="1:21" ht="19.5" customHeight="1">
      <c r="A38" s="105" t="s">
        <v>24</v>
      </c>
      <c r="B38" s="103"/>
      <c r="C38" s="106"/>
      <c r="D38" s="101"/>
      <c r="E38" s="117">
        <f>N13</f>
        <v>36000</v>
      </c>
      <c r="F38" s="108"/>
      <c r="G38" s="106"/>
      <c r="H38" s="109"/>
      <c r="I38" s="117">
        <f>N18</f>
        <v>0</v>
      </c>
      <c r="J38" s="107"/>
      <c r="K38" s="107"/>
      <c r="L38" s="107"/>
      <c r="M38" s="117">
        <f>N23</f>
        <v>0</v>
      </c>
      <c r="N38" s="103"/>
      <c r="O38" s="103"/>
      <c r="P38" s="103"/>
      <c r="Q38" s="104"/>
      <c r="R38" s="22"/>
      <c r="S38" s="22"/>
      <c r="T38" s="22"/>
      <c r="U38" s="22"/>
    </row>
    <row r="39" spans="1:21" ht="19.5" customHeight="1">
      <c r="A39" s="105" t="s">
        <v>25</v>
      </c>
      <c r="B39" s="103"/>
      <c r="C39" s="106"/>
      <c r="D39" s="101"/>
      <c r="E39" s="117">
        <v>0</v>
      </c>
      <c r="F39" s="108"/>
      <c r="G39" s="106"/>
      <c r="H39" s="109"/>
      <c r="I39" s="117">
        <f>N13</f>
        <v>36000</v>
      </c>
      <c r="J39" s="107"/>
      <c r="K39" s="107"/>
      <c r="L39" s="107"/>
      <c r="M39" s="117">
        <f>N18</f>
        <v>0</v>
      </c>
      <c r="N39" s="103"/>
      <c r="O39" s="103"/>
      <c r="P39" s="103"/>
      <c r="Q39" s="104"/>
      <c r="R39" s="22"/>
      <c r="S39" s="22"/>
      <c r="T39" s="22"/>
      <c r="U39" s="22"/>
    </row>
    <row r="40" spans="1:21" ht="19.5" customHeight="1">
      <c r="A40" s="105" t="s">
        <v>26</v>
      </c>
      <c r="B40" s="103"/>
      <c r="C40" s="106"/>
      <c r="D40" s="101"/>
      <c r="E40" s="117">
        <f>D23</f>
        <v>36000</v>
      </c>
      <c r="F40" s="108"/>
      <c r="G40" s="106"/>
      <c r="H40" s="109"/>
      <c r="I40" s="117">
        <f>D23</f>
        <v>36000</v>
      </c>
      <c r="J40" s="107"/>
      <c r="K40" s="107"/>
      <c r="L40" s="107"/>
      <c r="M40" s="117">
        <f>D23</f>
        <v>36000</v>
      </c>
      <c r="N40" s="103"/>
      <c r="O40" s="103"/>
      <c r="P40" s="103"/>
      <c r="Q40" s="104"/>
      <c r="R40" s="22"/>
      <c r="S40" s="22"/>
      <c r="T40" s="22"/>
      <c r="U40" s="22"/>
    </row>
    <row r="41" spans="1:21" ht="19.5" customHeight="1">
      <c r="A41" s="105" t="s">
        <v>27</v>
      </c>
      <c r="B41" s="103"/>
      <c r="C41" s="106"/>
      <c r="D41" s="101"/>
      <c r="E41" s="117">
        <f>IF(IF(E37&lt;E38,IF(E40&gt;E37&gt;E39,E37),IF(E37&lt;E39,0,MIN(E38,E40)))&gt;E40,E40,IF(E37&lt;E38,IF(E40&gt;E37&gt;E39,E37),IF(E37&lt;E39,0,MIN(E38,E40))))</f>
        <v>22400</v>
      </c>
      <c r="F41" s="118"/>
      <c r="G41" s="107"/>
      <c r="H41" s="119"/>
      <c r="I41" s="117">
        <f>IF(IF(I37&lt;I38,IF(I40&gt;I37&gt;I39,I37),IF(I37&lt;I39,0,MIN(I38,I40)))&gt;I40,I40,IF(I37&lt;I38,IF(I40&gt;I37&gt;I39,I37),IF(I37&lt;I39,0,MIN(I38,I40))))</f>
        <v>0</v>
      </c>
      <c r="J41" s="118"/>
      <c r="K41" s="107"/>
      <c r="L41" s="119"/>
      <c r="M41" s="117">
        <f>IF(IF(IF(M37&lt;M38,IF(M40&gt;M37&gt;M39,M37),IF(M37&lt;M39,0,MIN(M38,M40)))&lt;M39,M39,IF(M37&lt;M38,IF(M40&gt;M37&gt;M39,M37),IF(M37&lt;M39,0,MIN(M38,M40))))&gt;M40,M40,IF(IF(M37&lt;M38,IF(M40&gt;M37&gt;M39,M37),IF(M37&lt;M39,0,MIN(M38,M40)))&lt;M39,M39,IF(M37&lt;M38,IF(M40&gt;M37&gt;M39,M37),IF(M37&lt;M39,0,MIN(M38,M40)))))</f>
        <v>0</v>
      </c>
      <c r="N41" s="103"/>
      <c r="O41" s="103"/>
      <c r="P41" s="103"/>
      <c r="Q41" s="104"/>
      <c r="R41" s="22"/>
      <c r="S41" s="22"/>
      <c r="T41" s="22"/>
      <c r="U41" s="22"/>
    </row>
    <row r="42" spans="1:21" ht="19.5" customHeight="1">
      <c r="A42" s="105" t="s">
        <v>28</v>
      </c>
      <c r="B42" s="103"/>
      <c r="C42" s="106"/>
      <c r="D42" s="101"/>
      <c r="E42" s="117">
        <f>E41*($E$3/$E$4)+$I$3</f>
        <v>940</v>
      </c>
      <c r="F42" s="108"/>
      <c r="G42" s="106"/>
      <c r="H42" s="109"/>
      <c r="I42" s="117">
        <f>I41*($E$3/$E$4)+$I$3</f>
        <v>1500</v>
      </c>
      <c r="J42" s="107"/>
      <c r="K42" s="107"/>
      <c r="L42" s="107"/>
      <c r="M42" s="117">
        <f>IF(M41=0,0,M41*($E$3/$E$4)+$I$3)</f>
        <v>0</v>
      </c>
      <c r="N42" s="103"/>
      <c r="O42" s="103"/>
      <c r="P42" s="103"/>
      <c r="Q42" s="104"/>
      <c r="R42" s="22"/>
      <c r="S42" s="22"/>
      <c r="T42" s="22"/>
      <c r="U42" s="22"/>
    </row>
    <row r="43" spans="1:21" ht="19.5" customHeight="1">
      <c r="A43" s="105" t="s">
        <v>29</v>
      </c>
      <c r="B43" s="103"/>
      <c r="C43" s="106"/>
      <c r="D43" s="101"/>
      <c r="E43" s="120">
        <f>E41*E42</f>
        <v>21056000</v>
      </c>
      <c r="F43" s="121"/>
      <c r="G43" s="121"/>
      <c r="H43" s="121"/>
      <c r="I43" s="120">
        <f>I41*I42</f>
        <v>0</v>
      </c>
      <c r="J43" s="122"/>
      <c r="K43" s="122"/>
      <c r="L43" s="122"/>
      <c r="M43" s="120">
        <f>M41*M42</f>
        <v>0</v>
      </c>
      <c r="N43" s="103"/>
      <c r="O43" s="103"/>
      <c r="P43" s="103"/>
      <c r="Q43" s="104"/>
      <c r="R43" s="22"/>
      <c r="S43" s="22"/>
      <c r="T43" s="22"/>
      <c r="U43" s="22"/>
    </row>
    <row r="44" spans="1:21" ht="19.5" customHeight="1">
      <c r="A44" s="105" t="s">
        <v>30</v>
      </c>
      <c r="B44" s="103"/>
      <c r="C44" s="106"/>
      <c r="D44" s="101"/>
      <c r="E44" s="123">
        <f>POWER(E41,$P$5)*$N$5/$N$6+($R$5*E41)</f>
        <v>8512000</v>
      </c>
      <c r="F44" s="108"/>
      <c r="G44" s="106"/>
      <c r="H44" s="109"/>
      <c r="I44" s="123">
        <f>IF(D23&gt;N13,POWER($N$13,$P$5)*$N$5/$N$6+($R$5*$N$13),POWER(D23,$P$5)*$N$5/$N$6+($R$5*D23))</f>
        <v>13680000</v>
      </c>
      <c r="J44" s="106"/>
      <c r="K44" s="110"/>
      <c r="L44" s="111"/>
      <c r="M44" s="123">
        <f>IF(N18=0,0,POWER($N$13,$P$5)*$N$5/$N$6+($R$5*$N$13))</f>
        <v>0</v>
      </c>
      <c r="N44" s="103"/>
      <c r="O44" s="103"/>
      <c r="P44" s="103"/>
      <c r="Q44" s="104"/>
      <c r="R44" s="22"/>
      <c r="S44" s="22"/>
      <c r="T44" s="22"/>
      <c r="U44" s="22"/>
    </row>
    <row r="45" spans="1:21" ht="19.5" customHeight="1">
      <c r="A45" s="105" t="s">
        <v>31</v>
      </c>
      <c r="B45" s="103"/>
      <c r="C45" s="106"/>
      <c r="D45" s="101"/>
      <c r="E45" s="123"/>
      <c r="F45" s="108"/>
      <c r="G45" s="106"/>
      <c r="H45" s="109"/>
      <c r="I45" s="123">
        <f>IF(((POWER($I$41,$P$14)*($N$14/$N$15)+($R$14*$I$41)))-((POWER(($N$13),$P$14)*$N$14)/$N$15+($R$14*($N$13)))&lt;0,0,((POWER($I$41,$P$14)*($N$14/$N$15)+($R$14*$I$41)))-((POWER(($N$13),$P$14)*$N$14)/$N$15+($R$14*($N$13))))</f>
        <v>0</v>
      </c>
      <c r="J45" s="106"/>
      <c r="K45" s="110"/>
      <c r="L45" s="111"/>
      <c r="M45" s="123">
        <f>IF(((POWER(N18,$P$14)*($N$14/$N$15)+($R$14*N18)))-((POWER(($N$13),$P$14)*$N$14)/$N$15+($R$14*($N$13)))&lt;0,0,((POWER(N18,$P$14)*($N$14/$N$15)+($R$14*N18)))-((POWER(($N$13),$P$14)*$N$14)/$N$15+($R$14*($N$13))))</f>
        <v>0</v>
      </c>
      <c r="N45" s="103"/>
      <c r="O45" s="103"/>
      <c r="P45" s="103"/>
      <c r="Q45" s="104"/>
      <c r="R45" s="22"/>
      <c r="S45" s="22"/>
      <c r="T45" s="22"/>
      <c r="U45" s="22"/>
    </row>
    <row r="46" spans="1:21" ht="19.5" customHeight="1" thickBot="1">
      <c r="A46" s="105" t="s">
        <v>32</v>
      </c>
      <c r="B46" s="103"/>
      <c r="C46" s="106"/>
      <c r="D46" s="101"/>
      <c r="E46" s="123"/>
      <c r="F46" s="108"/>
      <c r="G46" s="106"/>
      <c r="H46" s="109"/>
      <c r="I46" s="124"/>
      <c r="J46" s="106"/>
      <c r="K46" s="110"/>
      <c r="L46" s="111"/>
      <c r="M46" s="123">
        <f>(POWER(M41,$P$19)*($N$19/$N$20)+($R$19*M41)-(POWER(($N$18),$P$19)*($N$19/$N$20)+($R$19*($N$18))))</f>
        <v>0</v>
      </c>
      <c r="N46" s="103"/>
      <c r="O46" s="103"/>
      <c r="P46" s="103"/>
      <c r="Q46" s="104"/>
      <c r="R46" s="22"/>
      <c r="S46" s="22"/>
      <c r="T46" s="22"/>
      <c r="U46" s="22"/>
    </row>
    <row r="47" spans="1:21" ht="19.5" customHeight="1" thickBot="1">
      <c r="A47" s="105" t="s">
        <v>33</v>
      </c>
      <c r="B47" s="103"/>
      <c r="C47" s="106"/>
      <c r="D47" s="101"/>
      <c r="E47" s="125">
        <f>E43-E44-E45-E46</f>
        <v>12544000</v>
      </c>
      <c r="F47" s="122"/>
      <c r="G47" s="122"/>
      <c r="H47" s="122"/>
      <c r="I47" s="125">
        <f>I43-I44-I45-I46</f>
        <v>-13680000</v>
      </c>
      <c r="J47" s="122"/>
      <c r="K47" s="122"/>
      <c r="L47" s="122"/>
      <c r="M47" s="125">
        <f>M43-M44-M45-M46</f>
        <v>0</v>
      </c>
      <c r="N47" s="103"/>
      <c r="O47" s="103"/>
      <c r="P47" s="103"/>
      <c r="Q47" s="104"/>
      <c r="R47" s="22"/>
      <c r="S47" s="22"/>
      <c r="T47" s="22"/>
      <c r="U47" s="22"/>
    </row>
    <row r="48" spans="1:21" ht="19.5" hidden="1" customHeight="1">
      <c r="A48" s="105" t="s">
        <v>34</v>
      </c>
      <c r="B48" s="103"/>
      <c r="C48" s="106"/>
      <c r="D48" s="101"/>
      <c r="E48" s="117">
        <f>MAX($E$47,$I$47,$M$47)</f>
        <v>12544000</v>
      </c>
      <c r="F48" s="107"/>
      <c r="G48" s="107"/>
      <c r="H48" s="107"/>
      <c r="I48" s="117">
        <f>MAX($E$47,$I$47,$M$47)</f>
        <v>12544000</v>
      </c>
      <c r="J48" s="107"/>
      <c r="K48" s="107"/>
      <c r="L48" s="107"/>
      <c r="M48" s="117">
        <f>MAX($E$47,$I$47,$M$47)</f>
        <v>12544000</v>
      </c>
      <c r="N48" s="103"/>
      <c r="O48" s="103"/>
      <c r="P48" s="103"/>
      <c r="Q48" s="104"/>
      <c r="R48" s="22"/>
      <c r="S48" s="22"/>
      <c r="T48" s="22"/>
      <c r="U48" s="22"/>
    </row>
    <row r="49" spans="1:21" ht="19.5" customHeight="1">
      <c r="A49" s="105" t="s">
        <v>35</v>
      </c>
      <c r="B49" s="103"/>
      <c r="C49" s="106"/>
      <c r="D49" s="101"/>
      <c r="E49" s="117">
        <f>$M$3</f>
        <v>0</v>
      </c>
      <c r="F49" s="107"/>
      <c r="G49" s="107"/>
      <c r="H49" s="107"/>
      <c r="I49" s="117">
        <f>$M$3</f>
        <v>0</v>
      </c>
      <c r="J49" s="107"/>
      <c r="K49" s="107"/>
      <c r="L49" s="107"/>
      <c r="M49" s="117">
        <f>$M$3</f>
        <v>0</v>
      </c>
      <c r="N49" s="103"/>
      <c r="O49" s="103"/>
      <c r="P49" s="103"/>
      <c r="Q49" s="104"/>
      <c r="R49" s="22"/>
      <c r="S49" s="22"/>
      <c r="T49" s="22"/>
      <c r="U49" s="22"/>
    </row>
    <row r="50" spans="1:21" ht="19.5" customHeight="1" thickBot="1">
      <c r="A50" s="105" t="s">
        <v>36</v>
      </c>
      <c r="B50" s="103"/>
      <c r="C50" s="106"/>
      <c r="D50" s="101"/>
      <c r="E50" s="126">
        <f>E47-E49</f>
        <v>12544000</v>
      </c>
      <c r="F50" s="107"/>
      <c r="G50" s="107"/>
      <c r="H50" s="107"/>
      <c r="I50" s="126">
        <f>I47-I49</f>
        <v>-13680000</v>
      </c>
      <c r="J50" s="107"/>
      <c r="K50" s="107"/>
      <c r="L50" s="107"/>
      <c r="M50" s="126">
        <f>M47-M49</f>
        <v>0</v>
      </c>
      <c r="N50" s="103"/>
      <c r="O50" s="103"/>
      <c r="P50" s="103"/>
      <c r="Q50" s="104"/>
      <c r="R50" s="22"/>
      <c r="S50" s="22"/>
      <c r="T50" s="22"/>
      <c r="U50" s="22"/>
    </row>
    <row r="51" spans="1:21">
      <c r="H51" s="127"/>
      <c r="Q51" s="128"/>
    </row>
    <row r="52" spans="1:21">
      <c r="H52" s="127"/>
      <c r="Q52" s="128"/>
    </row>
    <row r="53" spans="1:21">
      <c r="H53" s="127"/>
      <c r="Q53" s="128"/>
    </row>
    <row r="54" spans="1:21">
      <c r="H54" s="127"/>
      <c r="Q54" s="128"/>
    </row>
    <row r="55" spans="1:21">
      <c r="H55" s="127"/>
      <c r="Q55" s="128"/>
    </row>
    <row r="56" spans="1:21">
      <c r="H56" s="127"/>
      <c r="Q56" s="128"/>
    </row>
    <row r="57" spans="1:21">
      <c r="H57" s="127"/>
      <c r="Q57" s="128"/>
    </row>
    <row r="58" spans="1:21">
      <c r="H58" s="127"/>
      <c r="Q58" s="128"/>
    </row>
    <row r="59" spans="1:21">
      <c r="H59" s="127"/>
      <c r="Q59" s="128"/>
    </row>
    <row r="60" spans="1:21">
      <c r="H60" s="127"/>
      <c r="Q60" s="128"/>
    </row>
    <row r="61" spans="1:21">
      <c r="H61" s="127"/>
      <c r="Q61" s="128"/>
    </row>
    <row r="62" spans="1:21">
      <c r="H62" s="127"/>
      <c r="Q62" s="128"/>
    </row>
    <row r="63" spans="1:21">
      <c r="H63" s="127"/>
      <c r="Q63" s="128"/>
    </row>
    <row r="64" spans="1:21">
      <c r="H64" s="127"/>
      <c r="Q64" s="128"/>
    </row>
    <row r="65" spans="1:18">
      <c r="H65" s="127"/>
      <c r="Q65" s="128"/>
    </row>
    <row r="66" spans="1:18">
      <c r="H66" s="127"/>
      <c r="Q66" s="128"/>
    </row>
    <row r="67" spans="1:18">
      <c r="H67" s="127"/>
      <c r="Q67" s="128"/>
    </row>
    <row r="68" spans="1:18">
      <c r="H68" s="127"/>
      <c r="Q68" s="128"/>
    </row>
    <row r="69" spans="1:18">
      <c r="H69" s="127"/>
      <c r="Q69" s="128"/>
    </row>
    <row r="70" spans="1:18">
      <c r="H70" s="127"/>
      <c r="Q70" s="128"/>
    </row>
    <row r="71" spans="1:18">
      <c r="H71" s="127"/>
      <c r="Q71" s="128"/>
    </row>
    <row r="72" spans="1:18">
      <c r="H72" s="127"/>
      <c r="Q72" s="128"/>
    </row>
    <row r="73" spans="1:18">
      <c r="A73" t="s">
        <v>37</v>
      </c>
      <c r="H73" s="127"/>
      <c r="Q73" s="128"/>
    </row>
    <row r="74" spans="1:18">
      <c r="H74" s="127"/>
      <c r="Q74" s="128"/>
    </row>
    <row r="75" spans="1:18" ht="18">
      <c r="H75" s="127"/>
      <c r="I75" s="129" t="s">
        <v>13</v>
      </c>
      <c r="J75" s="130" t="s">
        <v>6</v>
      </c>
      <c r="K75" s="131" t="str">
        <f>IF($E$48=$E$47,"MC(1)",IF($I$48=$I$47,"MC(2)",IF($M$48=$M$47,"MC(3)")))</f>
        <v>MC(1)</v>
      </c>
      <c r="L75" s="131"/>
      <c r="Q75" s="128"/>
    </row>
    <row r="76" spans="1:18" ht="18" customHeight="1" thickBot="1">
      <c r="D76" s="132"/>
      <c r="E76" s="32">
        <f>E11</f>
        <v>-0.05</v>
      </c>
      <c r="F76" s="133" t="str">
        <f>F11</f>
        <v>X</v>
      </c>
      <c r="G76" s="134"/>
      <c r="H76" s="133" t="str">
        <f>H11</f>
        <v>+</v>
      </c>
      <c r="I76" s="135">
        <f>I11</f>
        <v>1500</v>
      </c>
      <c r="J76" s="133" t="str">
        <f>J75</f>
        <v>=</v>
      </c>
      <c r="K76" s="136"/>
      <c r="L76" s="136"/>
      <c r="M76" s="66">
        <f>IF($K$75=$K$11,N11,IF($K$75=$K$16,N16,IF($K$75=$K$21,N21)))</f>
        <v>0</v>
      </c>
      <c r="N76" s="137" t="str">
        <f>O11</f>
        <v>X</v>
      </c>
      <c r="O76" s="133" t="str">
        <f>Q11</f>
        <v>+</v>
      </c>
      <c r="P76" s="135">
        <f>IF(K75=K11,R11,IF(K16=K75,R16,IF(K21=K75,R21)))</f>
        <v>380</v>
      </c>
      <c r="Q76" s="135"/>
      <c r="R76" s="135"/>
    </row>
    <row r="77" spans="1:18" ht="18" customHeight="1">
      <c r="E77" s="138">
        <f>E12</f>
        <v>1</v>
      </c>
      <c r="F77" s="133"/>
      <c r="G77" s="134"/>
      <c r="H77" s="133"/>
      <c r="I77" s="135"/>
      <c r="J77" s="133"/>
      <c r="K77" s="136"/>
      <c r="L77" s="136"/>
      <c r="M77" s="22">
        <f>IF($K$75=$K$11,N12,IF($K$75=$K$16,N17,IF($K$75=$K$21,N22)))</f>
        <v>1</v>
      </c>
      <c r="N77" s="137"/>
      <c r="O77" s="133"/>
      <c r="P77" s="135"/>
      <c r="Q77" s="135"/>
      <c r="R77" s="135"/>
    </row>
    <row r="78" spans="1:18">
      <c r="H78" s="127"/>
      <c r="J78" s="132"/>
      <c r="Q78" s="128"/>
    </row>
    <row r="79" spans="1:18" ht="20.25">
      <c r="H79" s="127"/>
      <c r="I79" s="132">
        <f>I76-P76</f>
        <v>1120</v>
      </c>
      <c r="J79" s="139" t="str">
        <f>J76</f>
        <v>=</v>
      </c>
      <c r="M79">
        <f>-1*(E76/E77)+(M76/M77)</f>
        <v>0.05</v>
      </c>
      <c r="N79" s="140" t="str">
        <f>N76</f>
        <v>X</v>
      </c>
      <c r="Q79" s="128"/>
    </row>
    <row r="80" spans="1:18">
      <c r="H80" s="127"/>
    </row>
    <row r="81" spans="1:17" ht="20.25">
      <c r="A81" s="141" t="str">
        <f>IF(I81&gt;I82,"Da løsningen overstiger max. mængde er den ugyldig"," ")</f>
        <v xml:space="preserve"> </v>
      </c>
      <c r="B81" s="141"/>
      <c r="C81" s="141"/>
      <c r="D81" s="141"/>
      <c r="E81" s="141"/>
      <c r="F81" s="141"/>
      <c r="G81" s="141"/>
      <c r="H81" s="141"/>
      <c r="I81">
        <f>IF(M79=0,"Kan ikke løses",I79/M79)</f>
        <v>22400</v>
      </c>
      <c r="J81" s="104" t="str">
        <f>J79</f>
        <v>=</v>
      </c>
      <c r="K81" s="142" t="str">
        <f>O5</f>
        <v>X</v>
      </c>
      <c r="L81" s="57"/>
      <c r="N81" s="57"/>
      <c r="O81" s="57"/>
      <c r="Q81" s="128"/>
    </row>
    <row r="82" spans="1:17" ht="21" thickBot="1">
      <c r="H82" s="127"/>
      <c r="I82" s="143">
        <f>IF($E$48=$E$47,$E$41,IF($I$48=$I$47,$I$41,IF($M$48=$M$47,$M$41)))</f>
        <v>22400</v>
      </c>
      <c r="J82" s="144" t="str">
        <f>J81</f>
        <v>=</v>
      </c>
      <c r="K82" s="144" t="str">
        <f>O8</f>
        <v>X</v>
      </c>
      <c r="L82" s="143"/>
      <c r="Q82" s="128"/>
    </row>
    <row r="83" spans="1:17" ht="13.5" thickTop="1">
      <c r="H83" s="127"/>
      <c r="I83" s="57"/>
      <c r="J83" s="51"/>
      <c r="K83" s="51"/>
      <c r="L83" s="57"/>
      <c r="Q83" s="128"/>
    </row>
    <row r="84" spans="1:17" ht="20.25">
      <c r="A84">
        <f>I82</f>
        <v>22400</v>
      </c>
      <c r="B84" s="140" t="str">
        <f>J81</f>
        <v>=</v>
      </c>
      <c r="C84" s="140" t="str">
        <f>K81</f>
        <v>X</v>
      </c>
      <c r="D84" t="s">
        <v>38</v>
      </c>
      <c r="H84" s="127"/>
    </row>
    <row r="85" spans="1:17" ht="12.75" customHeight="1">
      <c r="B85" s="140"/>
      <c r="C85" s="140"/>
      <c r="H85" s="127"/>
    </row>
    <row r="86" spans="1:17" ht="21" thickBot="1">
      <c r="B86" s="145"/>
      <c r="C86" s="133" t="str">
        <f>B3</f>
        <v>P</v>
      </c>
      <c r="D86" s="133" t="str">
        <f>C3</f>
        <v>=</v>
      </c>
      <c r="E86" s="32">
        <f>E3</f>
        <v>-2.5000000000000001E-2</v>
      </c>
      <c r="F86" s="133" t="str">
        <f>F3</f>
        <v>X</v>
      </c>
      <c r="G86" s="146"/>
      <c r="H86" s="133" t="str">
        <f>H3</f>
        <v>+</v>
      </c>
      <c r="I86" s="135">
        <f>I3</f>
        <v>1500</v>
      </c>
    </row>
    <row r="87" spans="1:17" ht="17.25" customHeight="1">
      <c r="B87" s="145"/>
      <c r="C87" s="133"/>
      <c r="D87" s="133"/>
      <c r="E87" s="138">
        <f>E4</f>
        <v>1</v>
      </c>
      <c r="F87" s="133"/>
      <c r="G87" s="146"/>
      <c r="H87" s="133"/>
      <c r="I87" s="135"/>
    </row>
    <row r="88" spans="1:17" ht="20.25">
      <c r="C88" s="140" t="str">
        <f>C86</f>
        <v>P</v>
      </c>
      <c r="D88" s="139" t="str">
        <f>D86</f>
        <v>=</v>
      </c>
      <c r="E88" s="147">
        <f>I82*(E86/E87)</f>
        <v>-560</v>
      </c>
      <c r="H88" s="140" t="str">
        <f>H86</f>
        <v>+</v>
      </c>
      <c r="I88" s="132">
        <f>I86</f>
        <v>1500</v>
      </c>
    </row>
    <row r="89" spans="1:17" ht="21" thickBot="1">
      <c r="C89" s="148" t="str">
        <f>C88</f>
        <v>P</v>
      </c>
      <c r="D89" s="144" t="str">
        <f>D88</f>
        <v>=</v>
      </c>
      <c r="E89" s="143">
        <f>I88+E88</f>
        <v>940</v>
      </c>
    </row>
    <row r="90" spans="1:17" ht="13.5" thickTop="1"/>
    <row r="91" spans="1:17" ht="20.25">
      <c r="A91" s="145" t="s">
        <v>39</v>
      </c>
      <c r="B91" s="145"/>
      <c r="C91" s="145"/>
      <c r="D91" s="145"/>
      <c r="E91" s="145"/>
      <c r="F91" s="145"/>
      <c r="G91" s="145"/>
      <c r="H91" s="145"/>
      <c r="I91" s="145"/>
      <c r="J91" s="145"/>
      <c r="K91" s="145"/>
      <c r="L91" s="145"/>
      <c r="M91" s="145"/>
    </row>
    <row r="92" spans="1:17" ht="20.25">
      <c r="A92" s="149" t="s">
        <v>11</v>
      </c>
      <c r="B92" s="149"/>
      <c r="C92" s="149"/>
      <c r="D92" s="149"/>
      <c r="E92">
        <f>E89</f>
        <v>940</v>
      </c>
      <c r="G92" s="150" t="s">
        <v>40</v>
      </c>
      <c r="I92">
        <f>I82</f>
        <v>22400</v>
      </c>
      <c r="M92" s="151">
        <f>E92*I92</f>
        <v>21056000</v>
      </c>
    </row>
    <row r="93" spans="1:17" ht="18">
      <c r="A93" s="152" t="s">
        <v>41</v>
      </c>
      <c r="B93" s="149"/>
      <c r="C93" s="149"/>
      <c r="D93" s="149"/>
      <c r="M93" s="153">
        <f>IF($E$48=$E$47,E44,IF($I$48=$I$47,(I44+I45),IF($M$48=$M$47,(M44+M45+M46))))</f>
        <v>8512000</v>
      </c>
      <c r="N93" s="154"/>
    </row>
    <row r="94" spans="1:17" ht="18">
      <c r="A94" s="3" t="s">
        <v>33</v>
      </c>
      <c r="B94" s="3"/>
      <c r="C94" s="3"/>
      <c r="D94" s="3"/>
      <c r="E94" s="155"/>
      <c r="F94" s="155"/>
      <c r="G94" s="155"/>
      <c r="H94" s="155"/>
      <c r="I94" s="155"/>
      <c r="J94" s="155"/>
      <c r="K94" s="155"/>
      <c r="L94" s="155"/>
      <c r="M94" s="156">
        <f>M92-M93</f>
        <v>12544000</v>
      </c>
    </row>
    <row r="95" spans="1:17" ht="18">
      <c r="A95" s="149" t="s">
        <v>35</v>
      </c>
      <c r="B95" s="149"/>
      <c r="C95" s="149"/>
      <c r="D95" s="149"/>
      <c r="M95" s="151">
        <f>M3</f>
        <v>0</v>
      </c>
    </row>
    <row r="96" spans="1:17" ht="18.75" thickBot="1">
      <c r="A96" s="149" t="s">
        <v>36</v>
      </c>
      <c r="B96" s="149"/>
      <c r="C96" s="149"/>
      <c r="D96" s="149"/>
      <c r="M96" s="157">
        <f>M94-M95</f>
        <v>12544000</v>
      </c>
    </row>
    <row r="97" spans="1:22" ht="18.75" thickTop="1">
      <c r="A97" s="149"/>
      <c r="B97" s="149"/>
      <c r="C97" s="149"/>
      <c r="D97" s="149"/>
      <c r="M97" s="158"/>
    </row>
    <row r="98" spans="1:22" ht="18">
      <c r="A98" s="149" t="s">
        <v>42</v>
      </c>
      <c r="B98" s="149"/>
      <c r="C98" s="149"/>
      <c r="D98" s="149"/>
      <c r="M98" s="158"/>
    </row>
    <row r="99" spans="1:22" ht="18" hidden="1">
      <c r="A99" s="149"/>
      <c r="B99" s="149"/>
      <c r="C99" s="149"/>
      <c r="D99" s="149"/>
      <c r="M99" s="158"/>
    </row>
    <row r="100" spans="1:22" ht="18" hidden="1">
      <c r="A100" s="149"/>
      <c r="B100" s="149"/>
      <c r="C100" s="149"/>
      <c r="D100" s="149"/>
      <c r="M100" s="158"/>
    </row>
    <row r="101" spans="1:22" ht="18" hidden="1">
      <c r="A101" s="149"/>
      <c r="B101" s="149"/>
      <c r="C101" s="149"/>
      <c r="D101" s="149"/>
      <c r="M101" s="158"/>
    </row>
    <row r="102" spans="1:22" ht="18" hidden="1">
      <c r="A102" s="149"/>
      <c r="B102" s="149"/>
      <c r="C102" s="149"/>
      <c r="D102" s="149"/>
      <c r="M102" s="158"/>
    </row>
    <row r="103" spans="1:22" hidden="1"/>
    <row r="104" spans="1:22" ht="15">
      <c r="A104" s="159" t="s">
        <v>43</v>
      </c>
      <c r="B104" s="159"/>
      <c r="C104" s="159"/>
      <c r="D104" s="159"/>
      <c r="E104" s="159"/>
    </row>
    <row r="105" spans="1:22" ht="15">
      <c r="A105" s="159" t="s">
        <v>44</v>
      </c>
      <c r="B105" s="159"/>
      <c r="C105" s="159"/>
      <c r="D105" s="159"/>
      <c r="E105" s="159"/>
      <c r="I105">
        <f>E89</f>
        <v>940</v>
      </c>
      <c r="J105" t="s">
        <v>45</v>
      </c>
      <c r="K105" s="160">
        <f>I3-E89</f>
        <v>560</v>
      </c>
      <c r="M105" s="161">
        <f>I105/K105*-1</f>
        <v>-1.6785714285714286</v>
      </c>
    </row>
    <row r="106" spans="1:22" ht="15">
      <c r="A106" s="159" t="str">
        <f>IF(M105&gt;-1,"Uelastisk","Elastisk")</f>
        <v>Elastisk</v>
      </c>
      <c r="B106" s="159"/>
      <c r="C106" s="159"/>
      <c r="D106" s="159"/>
      <c r="E106" s="159"/>
    </row>
    <row r="107" spans="1:22" ht="15">
      <c r="A107" s="159"/>
      <c r="B107" s="159"/>
      <c r="C107" s="159"/>
      <c r="D107" s="159"/>
      <c r="E107" s="159"/>
    </row>
    <row r="108" spans="1:22" ht="18">
      <c r="A108" s="149" t="s">
        <v>46</v>
      </c>
      <c r="B108" s="159"/>
      <c r="C108" s="159"/>
      <c r="D108" s="159"/>
      <c r="E108" s="159"/>
    </row>
    <row r="109" spans="1:22" ht="15.75">
      <c r="A109" s="151" t="s">
        <v>47</v>
      </c>
      <c r="B109" s="151"/>
      <c r="C109" s="151"/>
      <c r="D109" s="151"/>
      <c r="E109" s="151">
        <f>960-380</f>
        <v>580</v>
      </c>
      <c r="F109" s="151"/>
      <c r="G109" s="151" t="s">
        <v>40</v>
      </c>
      <c r="H109" s="151"/>
      <c r="I109" s="151">
        <f>(1500-960)/0.025</f>
        <v>21600</v>
      </c>
      <c r="J109" s="151"/>
      <c r="K109" s="151"/>
      <c r="L109" s="151"/>
      <c r="M109" s="151">
        <f>I109*E109</f>
        <v>12528000</v>
      </c>
    </row>
    <row r="110" spans="1:22" ht="15.75">
      <c r="A110" s="151"/>
      <c r="B110" s="151"/>
      <c r="C110" s="151"/>
      <c r="D110" s="151"/>
      <c r="E110" s="151"/>
      <c r="F110" s="151"/>
      <c r="G110" s="151"/>
      <c r="H110" s="151"/>
      <c r="I110" s="151"/>
      <c r="J110" s="151"/>
      <c r="K110" s="151"/>
      <c r="L110" s="151"/>
      <c r="M110" s="151"/>
    </row>
    <row r="111" spans="1:22" ht="16.5" thickBot="1">
      <c r="A111" s="162" t="s">
        <v>48</v>
      </c>
      <c r="B111" s="162"/>
      <c r="C111" s="162"/>
      <c r="D111" s="162"/>
      <c r="E111" s="151"/>
      <c r="F111" s="151"/>
      <c r="G111" s="151"/>
      <c r="H111" s="151"/>
      <c r="I111" s="151"/>
      <c r="J111" s="151"/>
      <c r="K111" s="151"/>
      <c r="L111" s="151"/>
      <c r="M111" s="157">
        <f>M96-M109</f>
        <v>16000</v>
      </c>
    </row>
    <row r="112" spans="1:22" ht="15.75" thickTop="1">
      <c r="A112" s="163"/>
      <c r="B112" s="163"/>
      <c r="C112" s="163"/>
      <c r="D112" s="163"/>
      <c r="E112" s="159"/>
      <c r="F112" s="159"/>
      <c r="G112" s="159"/>
      <c r="H112" s="159"/>
      <c r="I112" s="159"/>
      <c r="J112" s="159"/>
      <c r="K112" s="159"/>
      <c r="L112" s="159"/>
      <c r="M112" s="159"/>
      <c r="V112" s="155"/>
    </row>
    <row r="113" spans="1:22" ht="15">
      <c r="A113" s="159"/>
      <c r="B113" s="159"/>
      <c r="C113" s="159"/>
      <c r="D113" s="159"/>
      <c r="E113" s="159"/>
      <c r="F113" s="159"/>
      <c r="G113" s="159"/>
      <c r="H113" s="159"/>
      <c r="I113" s="159"/>
      <c r="J113" s="159"/>
      <c r="K113" s="159"/>
      <c r="L113" s="159"/>
      <c r="M113" s="159"/>
    </row>
    <row r="114" spans="1:22" ht="15">
      <c r="A114" s="159"/>
      <c r="B114" s="159"/>
      <c r="C114" s="159"/>
      <c r="D114" s="159"/>
      <c r="E114" s="159"/>
      <c r="F114" s="159"/>
      <c r="G114" s="159"/>
      <c r="H114" s="159"/>
      <c r="I114" s="159"/>
      <c r="J114" s="159"/>
      <c r="K114" s="159"/>
      <c r="L114" s="159"/>
      <c r="M114" s="159"/>
    </row>
    <row r="122" spans="1:22">
      <c r="A122" s="164"/>
      <c r="B122" s="164"/>
      <c r="C122" s="164"/>
      <c r="D122" s="164"/>
      <c r="F122" s="164"/>
      <c r="G122" s="164"/>
      <c r="H122" s="164"/>
      <c r="I122" s="164"/>
      <c r="J122" s="164"/>
      <c r="K122" s="164"/>
      <c r="L122" s="165"/>
      <c r="N122" s="164"/>
      <c r="O122" s="164"/>
      <c r="P122" s="164"/>
      <c r="Q122" s="164"/>
      <c r="R122" s="164"/>
      <c r="S122" s="164"/>
      <c r="T122" s="164"/>
    </row>
    <row r="123" spans="1:22">
      <c r="A123" s="164"/>
      <c r="B123" s="164"/>
      <c r="C123" s="164"/>
      <c r="D123" s="164"/>
      <c r="F123" s="164"/>
      <c r="G123" s="164"/>
      <c r="H123" s="164"/>
      <c r="I123" s="164"/>
      <c r="J123" s="165"/>
      <c r="K123" s="165"/>
      <c r="L123" s="165"/>
      <c r="N123" s="164"/>
      <c r="O123" s="164"/>
      <c r="P123" s="164"/>
      <c r="Q123" s="164"/>
      <c r="R123" s="164"/>
      <c r="S123" s="164"/>
      <c r="T123" s="164"/>
    </row>
    <row r="124" spans="1:22" ht="27" hidden="1" thickBot="1">
      <c r="A124" s="164"/>
      <c r="B124" s="164"/>
      <c r="C124" s="164"/>
      <c r="D124" s="164"/>
      <c r="F124" s="2" t="s">
        <v>49</v>
      </c>
      <c r="G124" s="165"/>
      <c r="H124" s="165"/>
      <c r="I124" s="165"/>
      <c r="J124" s="166"/>
      <c r="K124" s="166"/>
      <c r="L124" s="166"/>
      <c r="N124" s="166"/>
      <c r="O124" s="166"/>
      <c r="P124" s="166"/>
      <c r="Q124" s="166"/>
      <c r="R124" s="164"/>
      <c r="S124" s="164"/>
      <c r="T124" s="164"/>
    </row>
    <row r="125" spans="1:22" ht="13.5" hidden="1" thickBot="1">
      <c r="A125" s="167" t="s">
        <v>50</v>
      </c>
      <c r="B125" s="168"/>
      <c r="C125" s="168" t="s">
        <v>28</v>
      </c>
      <c r="D125" s="168"/>
      <c r="E125" s="169" t="s">
        <v>29</v>
      </c>
      <c r="F125" s="168" t="s">
        <v>51</v>
      </c>
      <c r="G125" s="168"/>
      <c r="H125" s="168"/>
      <c r="I125" s="168"/>
      <c r="J125" s="170" t="s">
        <v>33</v>
      </c>
      <c r="K125" s="171"/>
      <c r="L125" s="172"/>
      <c r="M125" s="169" t="s">
        <v>52</v>
      </c>
      <c r="N125" s="168" t="s">
        <v>36</v>
      </c>
      <c r="O125" s="168"/>
      <c r="P125" s="168"/>
      <c r="Q125" s="168"/>
      <c r="R125" s="168" t="s">
        <v>13</v>
      </c>
      <c r="S125" s="168"/>
      <c r="T125" s="168"/>
      <c r="U125" s="169" t="s">
        <v>53</v>
      </c>
      <c r="V125" s="173" t="s">
        <v>54</v>
      </c>
    </row>
    <row r="126" spans="1:22" ht="14.25" hidden="1">
      <c r="A126" s="174">
        <f>$A$129*-60%+$A$129</f>
        <v>8960</v>
      </c>
      <c r="B126" s="175"/>
      <c r="C126" s="176">
        <f t="shared" ref="C126:C133" si="1">A126*($E$86/$E$87)+$I$86</f>
        <v>1276</v>
      </c>
      <c r="D126" s="176"/>
      <c r="E126" s="177">
        <f t="shared" ref="E126:E133" si="2">C126*A126</f>
        <v>11432960</v>
      </c>
      <c r="F126" s="178">
        <f t="shared" ref="F126:F133" si="3">(POWER(A126,$P$5))*($N$5/$N$6)+($R$5*A126)</f>
        <v>3404800</v>
      </c>
      <c r="G126" s="175"/>
      <c r="H126" s="175"/>
      <c r="I126" s="175"/>
      <c r="J126" s="179">
        <f t="shared" ref="J126:J133" si="4">E126-F126</f>
        <v>8028160</v>
      </c>
      <c r="K126" s="180"/>
      <c r="L126" s="181"/>
      <c r="M126" s="182">
        <f t="shared" ref="M126:M133" si="5">$M$3</f>
        <v>0</v>
      </c>
      <c r="N126" s="178">
        <f t="shared" ref="N126:N133" si="6">J126-M126</f>
        <v>8028160</v>
      </c>
      <c r="O126" s="175"/>
      <c r="P126" s="175"/>
      <c r="Q126" s="175"/>
      <c r="R126" s="176">
        <f t="shared" ref="R126:R133" si="7">$I$11+($E$11/$E$12)*A126</f>
        <v>1052</v>
      </c>
      <c r="S126" s="176"/>
      <c r="T126" s="176"/>
      <c r="U126" s="183">
        <f t="shared" ref="U126:U133" si="8">$R$11+($N$11/$N$12)*A126</f>
        <v>380</v>
      </c>
      <c r="V126" s="184">
        <f t="shared" ref="V126:V133" si="9">R126-U126</f>
        <v>672</v>
      </c>
    </row>
    <row r="127" spans="1:22" ht="14.25" hidden="1">
      <c r="A127" s="185">
        <f>$A$129*-40%+$A$129</f>
        <v>13440</v>
      </c>
      <c r="B127" s="186"/>
      <c r="C127" s="187">
        <f t="shared" si="1"/>
        <v>1164</v>
      </c>
      <c r="D127" s="187"/>
      <c r="E127" s="188">
        <f t="shared" si="2"/>
        <v>15644160</v>
      </c>
      <c r="F127" s="189">
        <f t="shared" si="3"/>
        <v>5107200</v>
      </c>
      <c r="G127" s="186"/>
      <c r="H127" s="186"/>
      <c r="I127" s="186"/>
      <c r="J127" s="190">
        <f t="shared" si="4"/>
        <v>10536960</v>
      </c>
      <c r="K127" s="191"/>
      <c r="L127" s="192"/>
      <c r="M127" s="193">
        <f t="shared" si="5"/>
        <v>0</v>
      </c>
      <c r="N127" s="189">
        <f t="shared" si="6"/>
        <v>10536960</v>
      </c>
      <c r="O127" s="186"/>
      <c r="P127" s="186"/>
      <c r="Q127" s="186"/>
      <c r="R127" s="187">
        <f t="shared" si="7"/>
        <v>828</v>
      </c>
      <c r="S127" s="187"/>
      <c r="T127" s="187"/>
      <c r="U127" s="194">
        <f t="shared" si="8"/>
        <v>380</v>
      </c>
      <c r="V127" s="195">
        <f t="shared" si="9"/>
        <v>448</v>
      </c>
    </row>
    <row r="128" spans="1:22" ht="14.25" hidden="1">
      <c r="A128" s="185">
        <f>$A$129*-20%+$A$129</f>
        <v>17920</v>
      </c>
      <c r="B128" s="186"/>
      <c r="C128" s="187">
        <f t="shared" si="1"/>
        <v>1052</v>
      </c>
      <c r="D128" s="187"/>
      <c r="E128" s="188">
        <f t="shared" si="2"/>
        <v>18851840</v>
      </c>
      <c r="F128" s="189">
        <f t="shared" si="3"/>
        <v>6809600</v>
      </c>
      <c r="G128" s="186"/>
      <c r="H128" s="186"/>
      <c r="I128" s="186"/>
      <c r="J128" s="190">
        <f t="shared" si="4"/>
        <v>12042240</v>
      </c>
      <c r="K128" s="191"/>
      <c r="L128" s="192"/>
      <c r="M128" s="193">
        <f t="shared" si="5"/>
        <v>0</v>
      </c>
      <c r="N128" s="189">
        <f t="shared" si="6"/>
        <v>12042240</v>
      </c>
      <c r="O128" s="186"/>
      <c r="P128" s="186"/>
      <c r="Q128" s="186"/>
      <c r="R128" s="187">
        <f t="shared" si="7"/>
        <v>604</v>
      </c>
      <c r="S128" s="187"/>
      <c r="T128" s="187"/>
      <c r="U128" s="194">
        <f t="shared" si="8"/>
        <v>380</v>
      </c>
      <c r="V128" s="195">
        <f t="shared" si="9"/>
        <v>224</v>
      </c>
    </row>
    <row r="129" spans="1:22" ht="14.25" hidden="1">
      <c r="A129" s="185">
        <f>I82</f>
        <v>22400</v>
      </c>
      <c r="B129" s="196"/>
      <c r="C129" s="197">
        <f t="shared" si="1"/>
        <v>940</v>
      </c>
      <c r="D129" s="197"/>
      <c r="E129" s="198">
        <f t="shared" si="2"/>
        <v>21056000</v>
      </c>
      <c r="F129" s="199">
        <f t="shared" si="3"/>
        <v>8512000</v>
      </c>
      <c r="G129" s="196"/>
      <c r="H129" s="196"/>
      <c r="I129" s="196"/>
      <c r="J129" s="200">
        <f t="shared" si="4"/>
        <v>12544000</v>
      </c>
      <c r="K129" s="201"/>
      <c r="L129" s="192"/>
      <c r="M129" s="202">
        <f t="shared" si="5"/>
        <v>0</v>
      </c>
      <c r="N129" s="199">
        <f t="shared" si="6"/>
        <v>12544000</v>
      </c>
      <c r="O129" s="196"/>
      <c r="P129" s="196"/>
      <c r="Q129" s="196"/>
      <c r="R129" s="197">
        <f t="shared" si="7"/>
        <v>380</v>
      </c>
      <c r="S129" s="197"/>
      <c r="T129" s="197"/>
      <c r="U129" s="203">
        <f t="shared" si="8"/>
        <v>380</v>
      </c>
      <c r="V129" s="204">
        <f t="shared" si="9"/>
        <v>0</v>
      </c>
    </row>
    <row r="130" spans="1:22" ht="14.25" hidden="1">
      <c r="A130" s="185">
        <f>$A$129*20%+$A$129</f>
        <v>26880</v>
      </c>
      <c r="B130" s="186"/>
      <c r="C130" s="187">
        <f t="shared" si="1"/>
        <v>828</v>
      </c>
      <c r="D130" s="187"/>
      <c r="E130" s="188">
        <f t="shared" si="2"/>
        <v>22256640</v>
      </c>
      <c r="F130" s="189">
        <f t="shared" si="3"/>
        <v>10214400</v>
      </c>
      <c r="G130" s="186"/>
      <c r="H130" s="186"/>
      <c r="I130" s="186"/>
      <c r="J130" s="190">
        <f t="shared" si="4"/>
        <v>12042240</v>
      </c>
      <c r="K130" s="191"/>
      <c r="L130" s="192"/>
      <c r="M130" s="193">
        <f t="shared" si="5"/>
        <v>0</v>
      </c>
      <c r="N130" s="189">
        <f t="shared" si="6"/>
        <v>12042240</v>
      </c>
      <c r="O130" s="186"/>
      <c r="P130" s="186"/>
      <c r="Q130" s="186"/>
      <c r="R130" s="187">
        <f t="shared" si="7"/>
        <v>156</v>
      </c>
      <c r="S130" s="187"/>
      <c r="T130" s="187"/>
      <c r="U130" s="194">
        <f t="shared" si="8"/>
        <v>380</v>
      </c>
      <c r="V130" s="195">
        <f t="shared" si="9"/>
        <v>-224</v>
      </c>
    </row>
    <row r="131" spans="1:22" ht="14.25" hidden="1">
      <c r="A131" s="185">
        <f>$A$129*40%+$A$129</f>
        <v>31360</v>
      </c>
      <c r="B131" s="186"/>
      <c r="C131" s="187">
        <f t="shared" si="1"/>
        <v>716</v>
      </c>
      <c r="D131" s="187"/>
      <c r="E131" s="188">
        <f t="shared" si="2"/>
        <v>22453760</v>
      </c>
      <c r="F131" s="189">
        <f t="shared" si="3"/>
        <v>11916800</v>
      </c>
      <c r="G131" s="186"/>
      <c r="H131" s="186"/>
      <c r="I131" s="186"/>
      <c r="J131" s="190">
        <f t="shared" si="4"/>
        <v>10536960</v>
      </c>
      <c r="K131" s="191"/>
      <c r="L131" s="192"/>
      <c r="M131" s="193">
        <f t="shared" si="5"/>
        <v>0</v>
      </c>
      <c r="N131" s="189">
        <f t="shared" si="6"/>
        <v>10536960</v>
      </c>
      <c r="O131" s="186"/>
      <c r="P131" s="186"/>
      <c r="Q131" s="186"/>
      <c r="R131" s="187">
        <f t="shared" si="7"/>
        <v>-68</v>
      </c>
      <c r="S131" s="187"/>
      <c r="T131" s="187"/>
      <c r="U131" s="194">
        <f t="shared" si="8"/>
        <v>380</v>
      </c>
      <c r="V131" s="195">
        <f t="shared" si="9"/>
        <v>-448</v>
      </c>
    </row>
    <row r="132" spans="1:22" ht="14.25" hidden="1">
      <c r="A132" s="185">
        <f>$A$129*60%+$A$129</f>
        <v>35840</v>
      </c>
      <c r="B132" s="186"/>
      <c r="C132" s="187">
        <f t="shared" si="1"/>
        <v>604</v>
      </c>
      <c r="D132" s="187"/>
      <c r="E132" s="188">
        <f t="shared" si="2"/>
        <v>21647360</v>
      </c>
      <c r="F132" s="189">
        <f t="shared" si="3"/>
        <v>13619200</v>
      </c>
      <c r="G132" s="186"/>
      <c r="H132" s="186"/>
      <c r="I132" s="186"/>
      <c r="J132" s="190">
        <f t="shared" si="4"/>
        <v>8028160</v>
      </c>
      <c r="K132" s="191"/>
      <c r="L132" s="192"/>
      <c r="M132" s="193">
        <f t="shared" si="5"/>
        <v>0</v>
      </c>
      <c r="N132" s="189">
        <f t="shared" si="6"/>
        <v>8028160</v>
      </c>
      <c r="O132" s="186"/>
      <c r="P132" s="186"/>
      <c r="Q132" s="186"/>
      <c r="R132" s="187">
        <f t="shared" si="7"/>
        <v>-292</v>
      </c>
      <c r="S132" s="187"/>
      <c r="T132" s="187"/>
      <c r="U132" s="194">
        <f t="shared" si="8"/>
        <v>380</v>
      </c>
      <c r="V132" s="195">
        <f t="shared" si="9"/>
        <v>-672</v>
      </c>
    </row>
    <row r="133" spans="1:22" ht="15" hidden="1" thickBot="1">
      <c r="A133" s="205">
        <f>$A$129*80%+$A$129</f>
        <v>40320</v>
      </c>
      <c r="B133" s="206"/>
      <c r="C133" s="207">
        <f t="shared" si="1"/>
        <v>492</v>
      </c>
      <c r="D133" s="207"/>
      <c r="E133" s="208">
        <f t="shared" si="2"/>
        <v>19837440</v>
      </c>
      <c r="F133" s="209">
        <f t="shared" si="3"/>
        <v>15321600</v>
      </c>
      <c r="G133" s="206"/>
      <c r="H133" s="206"/>
      <c r="I133" s="206"/>
      <c r="J133" s="210">
        <f t="shared" si="4"/>
        <v>4515840</v>
      </c>
      <c r="K133" s="211"/>
      <c r="L133" s="212"/>
      <c r="M133" s="213">
        <f t="shared" si="5"/>
        <v>0</v>
      </c>
      <c r="N133" s="209">
        <f t="shared" si="6"/>
        <v>4515840</v>
      </c>
      <c r="O133" s="206"/>
      <c r="P133" s="206"/>
      <c r="Q133" s="206"/>
      <c r="R133" s="207">
        <f t="shared" si="7"/>
        <v>-516</v>
      </c>
      <c r="S133" s="207"/>
      <c r="T133" s="207"/>
      <c r="U133" s="214">
        <f t="shared" si="8"/>
        <v>380</v>
      </c>
      <c r="V133" s="215">
        <f t="shared" si="9"/>
        <v>-896</v>
      </c>
    </row>
    <row r="134" spans="1:22" hidden="1">
      <c r="A134" s="164"/>
      <c r="B134" s="164"/>
      <c r="C134" s="164"/>
      <c r="D134" s="164"/>
      <c r="F134" s="164"/>
      <c r="G134" s="164"/>
      <c r="H134" s="164"/>
      <c r="I134" s="164"/>
      <c r="J134" s="136"/>
      <c r="K134" s="136"/>
      <c r="L134" s="136"/>
      <c r="N134" s="164"/>
      <c r="O134" s="164"/>
      <c r="P134" s="164"/>
      <c r="Q134" s="164"/>
      <c r="R134" s="164"/>
      <c r="S134" s="164"/>
      <c r="T134" s="164"/>
    </row>
    <row r="135" spans="1:22" hidden="1">
      <c r="A135" s="164"/>
      <c r="B135" s="164"/>
      <c r="C135" s="164"/>
      <c r="D135" s="164"/>
      <c r="F135" s="164"/>
      <c r="G135" s="164"/>
      <c r="H135" s="164"/>
      <c r="I135" s="164"/>
      <c r="J135" s="136"/>
      <c r="K135" s="136"/>
      <c r="L135" s="136"/>
      <c r="N135" s="164"/>
      <c r="O135" s="164"/>
      <c r="P135" s="164"/>
      <c r="Q135" s="164"/>
      <c r="R135" s="164"/>
      <c r="S135" s="164"/>
      <c r="T135" s="164"/>
    </row>
    <row r="136" spans="1:22">
      <c r="A136" s="164"/>
      <c r="B136" s="164"/>
      <c r="C136" s="164"/>
      <c r="D136" s="164"/>
      <c r="F136" s="164"/>
      <c r="G136" s="164"/>
      <c r="H136" s="164"/>
      <c r="I136" s="164"/>
      <c r="J136" s="136"/>
      <c r="K136" s="136"/>
      <c r="L136" s="136"/>
      <c r="N136" s="164"/>
      <c r="O136" s="164"/>
      <c r="P136" s="164"/>
      <c r="Q136" s="164"/>
      <c r="R136" s="164"/>
      <c r="S136" s="164"/>
      <c r="T136" s="164"/>
    </row>
    <row r="137" spans="1:22">
      <c r="A137" s="164"/>
      <c r="B137" s="164"/>
      <c r="C137" s="164"/>
      <c r="D137" s="164"/>
      <c r="F137" s="164"/>
      <c r="G137" s="164"/>
      <c r="H137" s="164"/>
      <c r="I137" s="164"/>
      <c r="J137" s="136"/>
      <c r="K137" s="136"/>
      <c r="L137" s="136"/>
      <c r="N137" s="164"/>
      <c r="O137" s="164"/>
      <c r="P137" s="164"/>
      <c r="Q137" s="164"/>
      <c r="R137" s="164"/>
      <c r="S137" s="164"/>
      <c r="T137" s="164"/>
    </row>
    <row r="138" spans="1:22">
      <c r="A138" s="164"/>
      <c r="B138" s="164"/>
      <c r="C138" s="164"/>
      <c r="D138" s="164"/>
      <c r="F138" s="164"/>
      <c r="G138" s="164"/>
      <c r="H138" s="164"/>
      <c r="I138" s="164"/>
      <c r="J138" s="164"/>
      <c r="K138" s="164"/>
      <c r="L138" s="165"/>
      <c r="N138" s="164"/>
      <c r="O138" s="164"/>
      <c r="P138" s="164"/>
      <c r="Q138" s="164"/>
      <c r="R138" s="164"/>
      <c r="S138" s="164"/>
      <c r="T138" s="164"/>
    </row>
    <row r="139" spans="1:22">
      <c r="A139" s="164"/>
      <c r="B139" s="164"/>
      <c r="C139" s="164"/>
      <c r="D139" s="164"/>
      <c r="F139" s="164"/>
      <c r="G139" s="164"/>
      <c r="H139" s="164"/>
      <c r="I139" s="164"/>
      <c r="J139" s="164"/>
      <c r="K139" s="164"/>
      <c r="L139" s="165"/>
      <c r="N139" s="164"/>
      <c r="O139" s="164"/>
      <c r="P139" s="164"/>
      <c r="Q139" s="164"/>
      <c r="R139" s="164"/>
      <c r="S139" s="164"/>
      <c r="T139" s="164"/>
    </row>
    <row r="140" spans="1:22">
      <c r="A140" s="164"/>
      <c r="B140" s="164"/>
      <c r="C140" s="164"/>
      <c r="D140" s="164"/>
      <c r="F140" s="164"/>
      <c r="G140" s="164"/>
      <c r="H140" s="164"/>
      <c r="I140" s="164"/>
      <c r="J140" s="164"/>
      <c r="K140" s="164"/>
      <c r="L140" s="165"/>
      <c r="N140" s="164"/>
      <c r="O140" s="164"/>
      <c r="P140" s="164"/>
      <c r="Q140" s="164"/>
      <c r="R140" s="164"/>
      <c r="S140" s="164"/>
      <c r="T140" s="164"/>
    </row>
    <row r="141" spans="1:22">
      <c r="A141" s="164"/>
      <c r="B141" s="164"/>
      <c r="C141" s="164"/>
      <c r="D141" s="164"/>
      <c r="F141" s="164"/>
      <c r="G141" s="164"/>
      <c r="H141" s="164"/>
      <c r="I141" s="164"/>
      <c r="J141" s="164"/>
      <c r="K141" s="164"/>
      <c r="L141" s="165"/>
      <c r="N141" s="164"/>
      <c r="O141" s="164"/>
      <c r="P141" s="164"/>
      <c r="Q141" s="164"/>
      <c r="R141" s="164"/>
      <c r="S141" s="164"/>
      <c r="T141" s="164"/>
    </row>
    <row r="142" spans="1:22">
      <c r="A142" s="164"/>
      <c r="B142" s="164"/>
      <c r="C142" s="164"/>
      <c r="D142" s="164"/>
      <c r="F142" s="164"/>
      <c r="G142" s="164"/>
      <c r="H142" s="164"/>
      <c r="I142" s="164"/>
      <c r="J142" s="164"/>
      <c r="K142" s="164"/>
      <c r="L142" s="165"/>
      <c r="N142" s="164"/>
      <c r="O142" s="164"/>
      <c r="P142" s="164"/>
      <c r="Q142" s="164"/>
      <c r="R142" s="164"/>
      <c r="S142" s="164"/>
      <c r="T142" s="164"/>
    </row>
    <row r="143" spans="1:22">
      <c r="A143" s="164"/>
      <c r="B143" s="164"/>
      <c r="C143" s="164"/>
      <c r="D143" s="164"/>
      <c r="F143" s="164"/>
      <c r="G143" s="164"/>
      <c r="H143" s="164"/>
      <c r="I143" s="164"/>
      <c r="J143" s="164"/>
      <c r="K143" s="164"/>
      <c r="L143" s="165"/>
      <c r="N143" s="164"/>
      <c r="O143" s="164"/>
      <c r="P143" s="164"/>
      <c r="Q143" s="164"/>
      <c r="R143" s="164"/>
      <c r="S143" s="164"/>
      <c r="T143" s="164"/>
    </row>
    <row r="144" spans="1:22">
      <c r="A144" s="164"/>
      <c r="B144" s="164"/>
      <c r="C144" s="164"/>
      <c r="D144" s="164"/>
      <c r="F144" s="164"/>
      <c r="G144" s="164"/>
      <c r="H144" s="164"/>
      <c r="I144" s="164"/>
      <c r="J144" s="164"/>
      <c r="K144" s="164"/>
      <c r="L144" s="165"/>
      <c r="N144" s="164"/>
      <c r="O144" s="164"/>
      <c r="P144" s="164"/>
      <c r="Q144" s="164"/>
      <c r="R144" s="164"/>
      <c r="S144" s="164"/>
      <c r="T144" s="164"/>
    </row>
    <row r="145" spans="1:20">
      <c r="A145" s="164"/>
      <c r="B145" s="164"/>
      <c r="C145" s="164"/>
      <c r="D145" s="164"/>
      <c r="F145" s="164"/>
      <c r="G145" s="164"/>
      <c r="H145" s="164"/>
      <c r="I145" s="164"/>
      <c r="J145" s="164"/>
      <c r="K145" s="164"/>
      <c r="L145" s="165"/>
      <c r="N145" s="164"/>
      <c r="O145" s="164"/>
      <c r="P145" s="164"/>
      <c r="Q145" s="164"/>
      <c r="R145" s="164"/>
      <c r="S145" s="164"/>
      <c r="T145" s="164"/>
    </row>
  </sheetData>
  <mergeCells count="235">
    <mergeCell ref="A145:B145"/>
    <mergeCell ref="C145:D145"/>
    <mergeCell ref="F145:I145"/>
    <mergeCell ref="J145:K145"/>
    <mergeCell ref="N145:Q145"/>
    <mergeCell ref="R145:T145"/>
    <mergeCell ref="A144:B144"/>
    <mergeCell ref="C144:D144"/>
    <mergeCell ref="F144:I144"/>
    <mergeCell ref="J144:K144"/>
    <mergeCell ref="N144:Q144"/>
    <mergeCell ref="R144:T144"/>
    <mergeCell ref="A143:B143"/>
    <mergeCell ref="C143:D143"/>
    <mergeCell ref="F143:I143"/>
    <mergeCell ref="J143:K143"/>
    <mergeCell ref="N143:Q143"/>
    <mergeCell ref="R143:T143"/>
    <mergeCell ref="A142:B142"/>
    <mergeCell ref="C142:D142"/>
    <mergeCell ref="F142:I142"/>
    <mergeCell ref="J142:K142"/>
    <mergeCell ref="N142:Q142"/>
    <mergeCell ref="R142:T142"/>
    <mergeCell ref="A141:B141"/>
    <mergeCell ref="C141:D141"/>
    <mergeCell ref="F141:I141"/>
    <mergeCell ref="J141:K141"/>
    <mergeCell ref="N141:Q141"/>
    <mergeCell ref="R141:T141"/>
    <mergeCell ref="A140:B140"/>
    <mergeCell ref="C140:D140"/>
    <mergeCell ref="F140:I140"/>
    <mergeCell ref="J140:K140"/>
    <mergeCell ref="N140:Q140"/>
    <mergeCell ref="R140:T140"/>
    <mergeCell ref="A139:B139"/>
    <mergeCell ref="C139:D139"/>
    <mergeCell ref="F139:I139"/>
    <mergeCell ref="J139:K139"/>
    <mergeCell ref="N139:Q139"/>
    <mergeCell ref="R139:T139"/>
    <mergeCell ref="A138:B138"/>
    <mergeCell ref="C138:D138"/>
    <mergeCell ref="F138:I138"/>
    <mergeCell ref="J138:K138"/>
    <mergeCell ref="N138:Q138"/>
    <mergeCell ref="R138:T138"/>
    <mergeCell ref="A137:B137"/>
    <mergeCell ref="C137:D137"/>
    <mergeCell ref="F137:I137"/>
    <mergeCell ref="J137:L137"/>
    <mergeCell ref="N137:Q137"/>
    <mergeCell ref="R137:T137"/>
    <mergeCell ref="A136:B136"/>
    <mergeCell ref="C136:D136"/>
    <mergeCell ref="F136:I136"/>
    <mergeCell ref="J136:L136"/>
    <mergeCell ref="N136:Q136"/>
    <mergeCell ref="R136:T136"/>
    <mergeCell ref="A135:B135"/>
    <mergeCell ref="C135:D135"/>
    <mergeCell ref="F135:I135"/>
    <mergeCell ref="J135:L135"/>
    <mergeCell ref="N135:Q135"/>
    <mergeCell ref="R135:T135"/>
    <mergeCell ref="A134:B134"/>
    <mergeCell ref="C134:D134"/>
    <mergeCell ref="F134:I134"/>
    <mergeCell ref="J134:L134"/>
    <mergeCell ref="N134:Q134"/>
    <mergeCell ref="R134:T134"/>
    <mergeCell ref="A133:B133"/>
    <mergeCell ref="C133:D133"/>
    <mergeCell ref="F133:I133"/>
    <mergeCell ref="J133:L133"/>
    <mergeCell ref="N133:Q133"/>
    <mergeCell ref="R133:T133"/>
    <mergeCell ref="A132:B132"/>
    <mergeCell ref="C132:D132"/>
    <mergeCell ref="F132:I132"/>
    <mergeCell ref="J132:L132"/>
    <mergeCell ref="N132:Q132"/>
    <mergeCell ref="R132:T132"/>
    <mergeCell ref="A131:B131"/>
    <mergeCell ref="C131:D131"/>
    <mergeCell ref="F131:I131"/>
    <mergeCell ref="J131:L131"/>
    <mergeCell ref="N131:Q131"/>
    <mergeCell ref="R131:T131"/>
    <mergeCell ref="A130:B130"/>
    <mergeCell ref="C130:D130"/>
    <mergeCell ref="F130:I130"/>
    <mergeCell ref="J130:L130"/>
    <mergeCell ref="N130:Q130"/>
    <mergeCell ref="R130:T130"/>
    <mergeCell ref="A129:B129"/>
    <mergeCell ref="C129:D129"/>
    <mergeCell ref="F129:I129"/>
    <mergeCell ref="J129:L129"/>
    <mergeCell ref="N129:Q129"/>
    <mergeCell ref="R129:T129"/>
    <mergeCell ref="A128:B128"/>
    <mergeCell ref="C128:D128"/>
    <mergeCell ref="F128:I128"/>
    <mergeCell ref="J128:L128"/>
    <mergeCell ref="N128:Q128"/>
    <mergeCell ref="R128:T128"/>
    <mergeCell ref="A127:B127"/>
    <mergeCell ref="C127:D127"/>
    <mergeCell ref="F127:I127"/>
    <mergeCell ref="J127:L127"/>
    <mergeCell ref="N127:Q127"/>
    <mergeCell ref="R127:T127"/>
    <mergeCell ref="A126:B126"/>
    <mergeCell ref="C126:D126"/>
    <mergeCell ref="F126:I126"/>
    <mergeCell ref="J126:L126"/>
    <mergeCell ref="N126:Q126"/>
    <mergeCell ref="R126:T126"/>
    <mergeCell ref="A124:B124"/>
    <mergeCell ref="C124:D124"/>
    <mergeCell ref="R124:T124"/>
    <mergeCell ref="A125:B125"/>
    <mergeCell ref="C125:D125"/>
    <mergeCell ref="F125:I125"/>
    <mergeCell ref="J125:L125"/>
    <mergeCell ref="N125:Q125"/>
    <mergeCell ref="R125:T125"/>
    <mergeCell ref="N122:Q122"/>
    <mergeCell ref="R122:T122"/>
    <mergeCell ref="A123:B123"/>
    <mergeCell ref="C123:D123"/>
    <mergeCell ref="F123:I123"/>
    <mergeCell ref="N123:Q123"/>
    <mergeCell ref="R123:T123"/>
    <mergeCell ref="I86:I87"/>
    <mergeCell ref="A91:M91"/>
    <mergeCell ref="A112:B112"/>
    <mergeCell ref="C112:D112"/>
    <mergeCell ref="A122:B122"/>
    <mergeCell ref="C122:D122"/>
    <mergeCell ref="F122:I122"/>
    <mergeCell ref="J122:K122"/>
    <mergeCell ref="N76:N77"/>
    <mergeCell ref="O76:O77"/>
    <mergeCell ref="P76:R77"/>
    <mergeCell ref="K77:L77"/>
    <mergeCell ref="A81:H81"/>
    <mergeCell ref="B86:B87"/>
    <mergeCell ref="C86:C87"/>
    <mergeCell ref="D86:D87"/>
    <mergeCell ref="F86:F87"/>
    <mergeCell ref="H86:H87"/>
    <mergeCell ref="L23:M23"/>
    <mergeCell ref="A37:D37"/>
    <mergeCell ref="K75:L75"/>
    <mergeCell ref="F76:F77"/>
    <mergeCell ref="H76:H77"/>
    <mergeCell ref="I76:I77"/>
    <mergeCell ref="J76:J77"/>
    <mergeCell ref="K76:L76"/>
    <mergeCell ref="R19:R20"/>
    <mergeCell ref="S19:S20"/>
    <mergeCell ref="K21:K22"/>
    <mergeCell ref="L21:M22"/>
    <mergeCell ref="O21:O22"/>
    <mergeCell ref="Q21:Q22"/>
    <mergeCell ref="R21:R22"/>
    <mergeCell ref="L18:M18"/>
    <mergeCell ref="K19:K20"/>
    <mergeCell ref="L19:M20"/>
    <mergeCell ref="O19:O20"/>
    <mergeCell ref="P19:P20"/>
    <mergeCell ref="Q19:Q20"/>
    <mergeCell ref="S14:S15"/>
    <mergeCell ref="K16:K17"/>
    <mergeCell ref="L16:M17"/>
    <mergeCell ref="O16:O17"/>
    <mergeCell ref="P16:P17"/>
    <mergeCell ref="Q16:Q17"/>
    <mergeCell ref="R16:R17"/>
    <mergeCell ref="O11:O12"/>
    <mergeCell ref="Q11:Q12"/>
    <mergeCell ref="R11:R12"/>
    <mergeCell ref="L13:M13"/>
    <mergeCell ref="K14:K15"/>
    <mergeCell ref="L14:M15"/>
    <mergeCell ref="O14:O15"/>
    <mergeCell ref="P14:P15"/>
    <mergeCell ref="Q14:Q15"/>
    <mergeCell ref="R14:R15"/>
    <mergeCell ref="S8:S9"/>
    <mergeCell ref="T8:T9"/>
    <mergeCell ref="U8:U9"/>
    <mergeCell ref="A11:B12"/>
    <mergeCell ref="C11:D12"/>
    <mergeCell ref="F11:F12"/>
    <mergeCell ref="H11:H12"/>
    <mergeCell ref="I11:J12"/>
    <mergeCell ref="K11:K12"/>
    <mergeCell ref="L11:M12"/>
    <mergeCell ref="K8:K9"/>
    <mergeCell ref="L8:M9"/>
    <mergeCell ref="O8:O9"/>
    <mergeCell ref="P8:P9"/>
    <mergeCell ref="Q8:Q9"/>
    <mergeCell ref="R8:R9"/>
    <mergeCell ref="O5:O6"/>
    <mergeCell ref="P5:P6"/>
    <mergeCell ref="Q5:Q6"/>
    <mergeCell ref="S5:S6"/>
    <mergeCell ref="A6:B7"/>
    <mergeCell ref="C6:D7"/>
    <mergeCell ref="F6:F7"/>
    <mergeCell ref="G6:G7"/>
    <mergeCell ref="H6:H7"/>
    <mergeCell ref="I6:I7"/>
    <mergeCell ref="K3:K4"/>
    <mergeCell ref="L3:L4"/>
    <mergeCell ref="M3:N4"/>
    <mergeCell ref="A5:J5"/>
    <mergeCell ref="K5:K6"/>
    <mergeCell ref="L5:M6"/>
    <mergeCell ref="J6:J7"/>
    <mergeCell ref="A2:I2"/>
    <mergeCell ref="K2:U2"/>
    <mergeCell ref="A3:A4"/>
    <mergeCell ref="B3:B4"/>
    <mergeCell ref="C3:D4"/>
    <mergeCell ref="F3:F4"/>
    <mergeCell ref="G3:G4"/>
    <mergeCell ref="H3:H4"/>
    <mergeCell ref="I3:I4"/>
    <mergeCell ref="J3:J4"/>
  </mergeCells>
  <pageMargins left="0.39370078740157483" right="0.39370078740157483" top="0.39370078740157483" bottom="0.39370078740157483" header="0" footer="0"/>
  <pageSetup paperSize="9" scale="95" orientation="landscape" horizontalDpi="300" verticalDpi="300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47"/>
  <sheetViews>
    <sheetView workbookViewId="0">
      <selection activeCell="B11" sqref="B11"/>
    </sheetView>
  </sheetViews>
  <sheetFormatPr defaultRowHeight="12.75"/>
  <cols>
    <col min="1" max="1" width="22.7109375" customWidth="1"/>
    <col min="2" max="2" width="11.28515625" customWidth="1"/>
    <col min="3" max="3" width="10.42578125" customWidth="1"/>
    <col min="4" max="4" width="9.85546875" customWidth="1"/>
    <col min="5" max="5" width="11.5703125" customWidth="1"/>
    <col min="6" max="6" width="21.7109375" customWidth="1"/>
    <col min="7" max="7" width="14.5703125" customWidth="1"/>
    <col min="9" max="9" width="13.140625" customWidth="1"/>
  </cols>
  <sheetData>
    <row r="1" spans="1:9" ht="23.25">
      <c r="A1" s="395" t="s">
        <v>178</v>
      </c>
      <c r="B1" s="164"/>
      <c r="C1" s="164"/>
      <c r="D1" s="164"/>
      <c r="E1" s="164"/>
      <c r="F1" s="164"/>
      <c r="G1" s="164"/>
      <c r="H1" s="164"/>
      <c r="I1" s="164"/>
    </row>
    <row r="2" spans="1:9" ht="13.5" thickBot="1">
      <c r="A2" t="s">
        <v>179</v>
      </c>
      <c r="B2" t="str">
        <f>CONCATENATE("1/6-",Resultatbudget!B2)</f>
        <v>1/6-Juli</v>
      </c>
      <c r="E2" s="468" t="s">
        <v>240</v>
      </c>
      <c r="F2" t="s">
        <v>180</v>
      </c>
      <c r="G2" t="str">
        <f>B2</f>
        <v>1/6-Juli</v>
      </c>
      <c r="H2" t="s">
        <v>174</v>
      </c>
      <c r="I2" t="str">
        <f>E2</f>
        <v>30/9 -sep.</v>
      </c>
    </row>
    <row r="3" spans="1:9">
      <c r="A3" s="396" t="s">
        <v>181</v>
      </c>
      <c r="B3" s="334"/>
      <c r="C3" s="334" t="s">
        <v>182</v>
      </c>
      <c r="D3" s="397" t="s">
        <v>183</v>
      </c>
      <c r="E3" s="398"/>
      <c r="F3" s="399" t="s">
        <v>184</v>
      </c>
      <c r="G3" s="400"/>
      <c r="H3" s="400"/>
      <c r="I3" s="401"/>
    </row>
    <row r="4" spans="1:9">
      <c r="A4" s="38" t="s">
        <v>185</v>
      </c>
      <c r="B4" s="375">
        <v>22000</v>
      </c>
      <c r="C4" s="375">
        <v>1800</v>
      </c>
      <c r="D4" s="402">
        <f>Resultatbudget!E18</f>
        <v>1350</v>
      </c>
      <c r="E4" s="403">
        <f>B4+C4-D4</f>
        <v>22450</v>
      </c>
      <c r="F4" s="404" t="str">
        <f>IF(Resultatbudget!B32&gt;0,"Aktiekapital","Primo")</f>
        <v>Primo</v>
      </c>
      <c r="G4" s="405">
        <v>11500</v>
      </c>
      <c r="H4" s="406">
        <f>Resultatbudget!C40</f>
        <v>0</v>
      </c>
      <c r="I4" s="407">
        <f>IF(F4="Aktiekapital",G4+H4,G7)</f>
        <v>11500</v>
      </c>
    </row>
    <row r="5" spans="1:9">
      <c r="A5" s="318" t="s">
        <v>186</v>
      </c>
      <c r="B5" s="375">
        <v>0</v>
      </c>
      <c r="C5" s="375">
        <v>0</v>
      </c>
      <c r="D5" s="402">
        <f>Resultatbudget!E19</f>
        <v>75</v>
      </c>
      <c r="E5" s="403">
        <f>B5+C5</f>
        <v>0</v>
      </c>
      <c r="F5" s="408" t="str">
        <f>IF(Resultatbudget!B32&gt;0,Resultatbudget!A31,"åretsresultat")</f>
        <v>åretsresultat</v>
      </c>
      <c r="G5" s="409">
        <v>0</v>
      </c>
      <c r="H5" s="403">
        <f>IF(F4="Aktiekapital",Resultatbudget!E31,0)</f>
        <v>0</v>
      </c>
      <c r="I5" s="410">
        <f>IF(F4="aktiekapital",G5+H5,Resultatbudget!E27)</f>
        <v>1765</v>
      </c>
    </row>
    <row r="6" spans="1:9">
      <c r="A6" s="318"/>
      <c r="B6" s="375">
        <v>0</v>
      </c>
      <c r="C6" s="375">
        <v>0</v>
      </c>
      <c r="D6" s="402"/>
      <c r="E6" s="403">
        <f t="shared" ref="E6:E12" si="0">B6+C6</f>
        <v>0</v>
      </c>
      <c r="F6" s="408" t="str">
        <f>IF(F4="Aktiekapital","-","Privatforbrug")</f>
        <v>Privatforbrug</v>
      </c>
      <c r="G6" s="409">
        <v>0</v>
      </c>
      <c r="H6" s="403"/>
      <c r="I6" s="411">
        <v>0</v>
      </c>
    </row>
    <row r="7" spans="1:9">
      <c r="A7" s="318"/>
      <c r="B7" s="375">
        <v>0</v>
      </c>
      <c r="C7" s="375">
        <v>0</v>
      </c>
      <c r="D7" s="402"/>
      <c r="E7" s="403">
        <f t="shared" si="0"/>
        <v>0</v>
      </c>
      <c r="F7" s="412" t="s">
        <v>187</v>
      </c>
      <c r="G7" s="413">
        <f>G4+G5-G6</f>
        <v>11500</v>
      </c>
      <c r="H7" s="413">
        <f>H4+H5-H6</f>
        <v>0</v>
      </c>
      <c r="I7" s="414">
        <f>I4+I5-I6</f>
        <v>13265</v>
      </c>
    </row>
    <row r="8" spans="1:9">
      <c r="A8" s="318"/>
      <c r="B8" s="375">
        <v>0</v>
      </c>
      <c r="C8" s="375">
        <v>0</v>
      </c>
      <c r="D8" s="402"/>
      <c r="E8" s="403">
        <f t="shared" si="0"/>
        <v>0</v>
      </c>
      <c r="F8" s="415" t="s">
        <v>188</v>
      </c>
      <c r="G8" s="403"/>
      <c r="H8" s="403"/>
      <c r="I8" s="410">
        <f>G8+H8</f>
        <v>0</v>
      </c>
    </row>
    <row r="9" spans="1:9">
      <c r="A9" s="318" t="s">
        <v>189</v>
      </c>
      <c r="B9" s="375">
        <v>0</v>
      </c>
      <c r="C9" s="375">
        <v>0</v>
      </c>
      <c r="D9" s="402"/>
      <c r="E9" s="403">
        <f t="shared" si="0"/>
        <v>0</v>
      </c>
      <c r="F9" s="416" t="s">
        <v>190</v>
      </c>
      <c r="G9" s="403"/>
      <c r="H9" s="403"/>
      <c r="I9" s="410">
        <f>G9+H9</f>
        <v>0</v>
      </c>
    </row>
    <row r="10" spans="1:9">
      <c r="A10" s="318"/>
      <c r="B10" s="375">
        <v>0</v>
      </c>
      <c r="C10" s="375">
        <v>0</v>
      </c>
      <c r="D10" s="402"/>
      <c r="E10" s="403">
        <f t="shared" si="0"/>
        <v>0</v>
      </c>
      <c r="F10" s="417" t="s">
        <v>191</v>
      </c>
      <c r="G10" s="403"/>
      <c r="H10" s="409">
        <v>900</v>
      </c>
      <c r="I10" s="410">
        <f>G10+H10</f>
        <v>900</v>
      </c>
    </row>
    <row r="11" spans="1:9">
      <c r="A11" s="318"/>
      <c r="B11" s="375">
        <v>0</v>
      </c>
      <c r="C11" s="375">
        <v>0</v>
      </c>
      <c r="D11" s="402"/>
      <c r="E11" s="403">
        <f t="shared" si="0"/>
        <v>0</v>
      </c>
      <c r="F11" s="417" t="s">
        <v>192</v>
      </c>
      <c r="G11" s="409">
        <v>13400</v>
      </c>
      <c r="H11" s="409">
        <v>-250</v>
      </c>
      <c r="I11" s="410">
        <f>G11+H11</f>
        <v>13150</v>
      </c>
    </row>
    <row r="12" spans="1:9">
      <c r="A12" s="318" t="s">
        <v>193</v>
      </c>
      <c r="B12" s="375">
        <v>0</v>
      </c>
      <c r="C12" s="375">
        <v>0</v>
      </c>
      <c r="D12" s="402"/>
      <c r="E12" s="403">
        <f t="shared" si="0"/>
        <v>0</v>
      </c>
      <c r="F12" s="318" t="s">
        <v>194</v>
      </c>
      <c r="G12" s="409"/>
      <c r="H12" s="409"/>
      <c r="I12" s="410">
        <f>G12+H12</f>
        <v>0</v>
      </c>
    </row>
    <row r="13" spans="1:9">
      <c r="A13" s="418" t="s">
        <v>195</v>
      </c>
      <c r="B13" s="419">
        <f>SUM(B4:B12)</f>
        <v>22000</v>
      </c>
      <c r="C13" s="380">
        <f>SUM(C4:C12)</f>
        <v>1800</v>
      </c>
      <c r="D13" s="380">
        <f>SUM(D4:D12)</f>
        <v>1425</v>
      </c>
      <c r="E13" s="413">
        <f>B13+C13-D13</f>
        <v>22375</v>
      </c>
      <c r="F13" s="418" t="s">
        <v>196</v>
      </c>
      <c r="G13" s="413">
        <f>SUM(G8:G12)</f>
        <v>13400</v>
      </c>
      <c r="H13" s="413">
        <f>SUM(H8:H12)</f>
        <v>650</v>
      </c>
      <c r="I13" s="414">
        <f>SUM(I8:I12)</f>
        <v>14050</v>
      </c>
    </row>
    <row r="14" spans="1:9">
      <c r="A14" s="420" t="s">
        <v>197</v>
      </c>
      <c r="B14" s="421"/>
      <c r="C14" s="422" t="s">
        <v>174</v>
      </c>
      <c r="D14" s="423"/>
      <c r="E14" s="403"/>
      <c r="F14" s="417" t="s">
        <v>198</v>
      </c>
      <c r="G14" s="403"/>
      <c r="H14" s="403"/>
      <c r="I14" s="410">
        <f t="shared" ref="I14:I19" si="1">G14+H14</f>
        <v>0</v>
      </c>
    </row>
    <row r="15" spans="1:9">
      <c r="A15" s="424" t="s">
        <v>238</v>
      </c>
      <c r="B15" s="375">
        <v>5200</v>
      </c>
      <c r="C15" s="422"/>
      <c r="D15" s="423"/>
      <c r="E15" s="403">
        <v>5200</v>
      </c>
      <c r="F15" s="318" t="s">
        <v>199</v>
      </c>
      <c r="G15" s="409">
        <v>4176</v>
      </c>
      <c r="H15" s="403"/>
      <c r="I15" s="410">
        <f>'Likvidietetsbudget cash flow'!P4</f>
        <v>3912</v>
      </c>
    </row>
    <row r="16" spans="1:9">
      <c r="A16" s="424" t="s">
        <v>239</v>
      </c>
      <c r="B16" s="425">
        <v>2800</v>
      </c>
      <c r="C16" s="426"/>
      <c r="D16" s="427"/>
      <c r="E16" s="403">
        <v>2800</v>
      </c>
      <c r="F16" s="318" t="s">
        <v>194</v>
      </c>
      <c r="G16" s="409">
        <v>0</v>
      </c>
      <c r="H16" s="409"/>
      <c r="I16" s="410">
        <f t="shared" si="1"/>
        <v>0</v>
      </c>
    </row>
    <row r="17" spans="1:9">
      <c r="A17" s="424" t="str">
        <f>IF(Resultatbudget!A5="Råvarer","Færdigvarer","-")</f>
        <v>-</v>
      </c>
      <c r="B17" s="425">
        <v>0</v>
      </c>
      <c r="C17" s="426"/>
      <c r="D17" s="427"/>
      <c r="E17" s="403">
        <f>IF(Resultatbudget!B6=0,0,I34)</f>
        <v>0</v>
      </c>
      <c r="F17" s="318" t="s">
        <v>200</v>
      </c>
      <c r="G17" s="409">
        <v>0</v>
      </c>
      <c r="H17" s="409"/>
      <c r="I17" s="410">
        <f t="shared" si="1"/>
        <v>0</v>
      </c>
    </row>
    <row r="18" spans="1:9">
      <c r="A18" s="424" t="s">
        <v>201</v>
      </c>
      <c r="B18" s="375">
        <v>9400</v>
      </c>
      <c r="C18" s="426"/>
      <c r="D18" s="427"/>
      <c r="E18" s="403">
        <v>7750</v>
      </c>
      <c r="F18" s="318" t="s">
        <v>202</v>
      </c>
      <c r="G18" s="409">
        <v>2450</v>
      </c>
      <c r="H18" s="409"/>
      <c r="I18" s="410">
        <f t="shared" si="1"/>
        <v>2450</v>
      </c>
    </row>
    <row r="19" spans="1:9">
      <c r="A19" s="424" t="s">
        <v>203</v>
      </c>
      <c r="B19" s="375">
        <v>0</v>
      </c>
      <c r="C19" s="428">
        <v>0</v>
      </c>
      <c r="D19" s="429"/>
      <c r="E19" s="403">
        <f>B19+C19</f>
        <v>0</v>
      </c>
      <c r="F19" s="318" t="s">
        <v>204</v>
      </c>
      <c r="G19" s="409">
        <v>0</v>
      </c>
      <c r="H19" s="409">
        <v>0</v>
      </c>
      <c r="I19" s="410">
        <f t="shared" si="1"/>
        <v>0</v>
      </c>
    </row>
    <row r="20" spans="1:9">
      <c r="A20" s="424" t="s">
        <v>205</v>
      </c>
      <c r="B20" s="375">
        <v>0</v>
      </c>
      <c r="C20" s="428">
        <v>0</v>
      </c>
      <c r="D20" s="429"/>
      <c r="E20" s="403">
        <f>B20+C20</f>
        <v>0</v>
      </c>
      <c r="F20" s="38" t="s">
        <v>206</v>
      </c>
      <c r="G20" s="409">
        <v>0</v>
      </c>
      <c r="H20" s="409">
        <v>0</v>
      </c>
      <c r="I20" s="410">
        <f>G20+H20</f>
        <v>0</v>
      </c>
    </row>
    <row r="21" spans="1:9">
      <c r="A21" s="424" t="s">
        <v>207</v>
      </c>
      <c r="B21" s="375">
        <v>0</v>
      </c>
      <c r="C21" s="428">
        <v>0</v>
      </c>
      <c r="D21" s="429"/>
      <c r="E21" s="403">
        <f>B21+C21</f>
        <v>0</v>
      </c>
      <c r="F21" s="417" t="str">
        <f>IF(Resultatbudget!E30&gt;0,"Udbytte","-")</f>
        <v>-</v>
      </c>
      <c r="G21" s="430">
        <f>Resultatbudget!B30</f>
        <v>0</v>
      </c>
      <c r="H21" s="403"/>
      <c r="I21" s="410">
        <f>Resultatbudget!E30</f>
        <v>0</v>
      </c>
    </row>
    <row r="22" spans="1:9">
      <c r="A22" s="424" t="s">
        <v>208</v>
      </c>
      <c r="B22" s="375">
        <v>30</v>
      </c>
      <c r="C22" s="426"/>
      <c r="D22" s="427"/>
      <c r="E22" s="403">
        <v>0</v>
      </c>
      <c r="F22" s="38" t="str">
        <f>(IF(Resultatbudget!B36&gt;0,"Kassekredit","-"))</f>
        <v>Kassekredit</v>
      </c>
      <c r="G22" s="409">
        <v>7904</v>
      </c>
      <c r="H22" s="403">
        <f>IF(Likviditetsbudget!F40&lt;0,Likviditetsbudget!F40*-1+Resultatbudget!E36-Balance!G22,0)</f>
        <v>0</v>
      </c>
      <c r="I22" s="410">
        <f>Likviditetsbudget!F42</f>
        <v>4448</v>
      </c>
    </row>
    <row r="23" spans="1:9">
      <c r="A23" s="404" t="s">
        <v>209</v>
      </c>
      <c r="B23" s="431">
        <f>SUM(B15:B22)</f>
        <v>17430</v>
      </c>
      <c r="C23" s="422"/>
      <c r="D23" s="423"/>
      <c r="E23" s="432">
        <f>SUM(E15:E22)</f>
        <v>15750</v>
      </c>
      <c r="F23" s="433" t="s">
        <v>210</v>
      </c>
      <c r="G23" s="434">
        <f>SUM(G14:G22)</f>
        <v>14530</v>
      </c>
      <c r="H23" s="434">
        <f>SUM(H14:H22)</f>
        <v>0</v>
      </c>
      <c r="I23" s="435">
        <f>SUM(I14:I22)</f>
        <v>10810</v>
      </c>
    </row>
    <row r="24" spans="1:9" ht="13.5" thickBot="1">
      <c r="A24" s="436" t="s">
        <v>211</v>
      </c>
      <c r="B24" s="437">
        <f>SUM(B13:B22)</f>
        <v>39430</v>
      </c>
      <c r="C24" s="438"/>
      <c r="D24" s="439"/>
      <c r="E24" s="440">
        <f>SUM(E23+E13)</f>
        <v>38125</v>
      </c>
      <c r="F24" s="436" t="s">
        <v>212</v>
      </c>
      <c r="G24" s="441">
        <f>SUM(G23+G13+G7)</f>
        <v>39430</v>
      </c>
      <c r="H24" s="442"/>
      <c r="I24" s="443">
        <f>SUM(I23+I13+I7)</f>
        <v>38125</v>
      </c>
    </row>
    <row r="25" spans="1:9" ht="13.5" thickTop="1">
      <c r="A25" s="110"/>
      <c r="B25" s="122"/>
      <c r="C25" s="444"/>
      <c r="D25" s="444"/>
      <c r="E25" s="122"/>
      <c r="F25" s="110"/>
      <c r="G25" s="445"/>
      <c r="H25" s="403"/>
      <c r="I25" s="445"/>
    </row>
    <row r="26" spans="1:9" hidden="1">
      <c r="A26" s="155" t="s">
        <v>213</v>
      </c>
      <c r="B26" s="446" t="s">
        <v>214</v>
      </c>
      <c r="C26" s="446"/>
      <c r="E26" t="str">
        <f>Resultatbudget!B2</f>
        <v>Juli</v>
      </c>
      <c r="H26" t="e">
        <f>E26+1</f>
        <v>#VALUE!</v>
      </c>
    </row>
    <row r="27" spans="1:9" ht="13.5" hidden="1" thickBot="1">
      <c r="B27" s="447" t="str">
        <f>Resultatbudget!A5</f>
        <v>Arbejdsløn</v>
      </c>
      <c r="C27" s="447"/>
      <c r="E27" s="66">
        <f>Resultatbudget!B5</f>
        <v>1450</v>
      </c>
      <c r="F27" s="448" t="str">
        <f>CONCATENATE("=",ROUND((E27/E28),2),"  ", "gange")</f>
        <v>=0,28  gange</v>
      </c>
      <c r="H27" s="66">
        <f>Resultatbudget!E5</f>
        <v>4075</v>
      </c>
      <c r="I27" s="449">
        <f>H27/H28</f>
        <v>14613.793103448275</v>
      </c>
    </row>
    <row r="28" spans="1:9" hidden="1">
      <c r="A28" s="155" t="str">
        <f>A15</f>
        <v>Råvarelager</v>
      </c>
      <c r="B28" s="164" t="str">
        <f>A28</f>
        <v>Råvarelager</v>
      </c>
      <c r="C28" s="164"/>
      <c r="E28" s="246">
        <f>B15</f>
        <v>5200</v>
      </c>
      <c r="F28" s="448"/>
      <c r="H28" s="449">
        <f>E27/E28</f>
        <v>0.27884615384615385</v>
      </c>
      <c r="I28" s="449"/>
    </row>
    <row r="29" spans="1:9" hidden="1">
      <c r="F29" s="448"/>
      <c r="I29" s="449"/>
    </row>
    <row r="30" spans="1:9" ht="13.5" hidden="1" thickBot="1">
      <c r="A30" s="155" t="str">
        <f>A16</f>
        <v>Færdigvarerlager</v>
      </c>
      <c r="B30" s="447" t="str">
        <f>IF(Resultatbudget!B6=0,"-",B31)</f>
        <v>-</v>
      </c>
      <c r="C30" s="447"/>
      <c r="E30" s="66" t="str">
        <f>IF(Resultatbudget!B6=0,"-",E31)</f>
        <v>-</v>
      </c>
      <c r="F30" s="448" t="str">
        <f>IF(Resultatbudget!B6=0,"-",F31)</f>
        <v>-</v>
      </c>
      <c r="H30" s="66" t="str">
        <f>IF(Resultatbudget!B6=0,"-",Resultatbudget!E5+Resultatbudget!E6)</f>
        <v>-</v>
      </c>
      <c r="I30" s="449" t="str">
        <f>IF(Resultatbudget!B6=0,"-",H31/H32)</f>
        <v>-</v>
      </c>
    </row>
    <row r="31" spans="1:9" ht="13.5" hidden="1" thickBot="1">
      <c r="A31" t="str">
        <f>A16</f>
        <v>Færdigvarerlager</v>
      </c>
      <c r="B31" s="447" t="str">
        <f>CONCATENATE(Resultatbudget!A5,"+",Resultatbudget!A6)</f>
        <v>Arbejdsløn+-</v>
      </c>
      <c r="C31" s="447"/>
      <c r="E31" s="66">
        <f>Resultatbudget!B5+Resultatbudget!B6</f>
        <v>1450</v>
      </c>
      <c r="F31" s="448" t="e">
        <f>CONCATENATE("=", ROUND((E31/E32),2), "gange")</f>
        <v>#VALUE!</v>
      </c>
      <c r="H31">
        <f>Resultatbudget!E5+Resultatbudget!E6</f>
        <v>4075</v>
      </c>
      <c r="I31" s="449" t="e">
        <f>H31/H32</f>
        <v>#VALUE!</v>
      </c>
    </row>
    <row r="32" spans="1:9" hidden="1">
      <c r="B32" s="164" t="str">
        <f>A16</f>
        <v>Færdigvarerlager</v>
      </c>
      <c r="C32" s="164"/>
      <c r="E32" t="str">
        <f>IF(Resultatbudget!B6=0,"-",B16)</f>
        <v>-</v>
      </c>
      <c r="F32" s="448"/>
      <c r="H32" t="str">
        <f>IF(Resultatbudget!B6=0,"-",E31/E32)</f>
        <v>-</v>
      </c>
      <c r="I32" s="449"/>
    </row>
    <row r="33" spans="1:9" hidden="1">
      <c r="F33" s="448"/>
      <c r="I33" s="449"/>
    </row>
    <row r="34" spans="1:9" ht="13.5" hidden="1" thickBot="1">
      <c r="A34" s="155" t="str">
        <f>A17</f>
        <v>-</v>
      </c>
      <c r="B34" s="447" t="str">
        <f>IF(Resultatbudget!B6=0,"-",B35)</f>
        <v>-</v>
      </c>
      <c r="C34" s="447"/>
      <c r="E34" s="66" t="str">
        <f>IF(Resultatbudget!B6=0,"-",Resultatbudget!B5+Resultatbudget!B6)</f>
        <v>-</v>
      </c>
      <c r="F34" s="448" t="str">
        <f>IF(E34="-","-",F35)</f>
        <v>-</v>
      </c>
      <c r="H34" s="66" t="str">
        <f>IF(Resultatbudget!B6=0,"-",Resultatbudget!E5+Resultatbudget!E6)</f>
        <v>-</v>
      </c>
      <c r="I34" s="449" t="str">
        <f>IF(E36="-","-",H35/H36)</f>
        <v>-</v>
      </c>
    </row>
    <row r="35" spans="1:9" ht="13.5" hidden="1" thickBot="1">
      <c r="A35" t="str">
        <f>A17</f>
        <v>-</v>
      </c>
      <c r="B35" s="447" t="str">
        <f>CONCATENATE(Resultatbudget!A5,"+",Resultatbudget!A6)</f>
        <v>Arbejdsløn+-</v>
      </c>
      <c r="C35" s="447"/>
      <c r="E35">
        <f>E31</f>
        <v>1450</v>
      </c>
      <c r="F35" s="448" t="e">
        <f>CONCATENATE("=", ROUND((E35/E36),2), "gange")</f>
        <v>#VALUE!</v>
      </c>
      <c r="H35">
        <f>Resultatbudget!E5+Resultatbudget!E6</f>
        <v>4075</v>
      </c>
      <c r="I35" s="449" t="e">
        <f>H35/H36</f>
        <v>#VALUE!</v>
      </c>
    </row>
    <row r="36" spans="1:9" hidden="1">
      <c r="B36" s="164" t="str">
        <f>IF(Resultatbudget!B6=0,"-",A35)</f>
        <v>-</v>
      </c>
      <c r="C36" s="164"/>
      <c r="E36" t="str">
        <f>IF(B17=0,"-",B17)</f>
        <v>-</v>
      </c>
      <c r="H36" t="str">
        <f>IF(E36="-","-",E35/E36)</f>
        <v>-</v>
      </c>
    </row>
    <row r="37" spans="1:9" hidden="1">
      <c r="B37" s="22"/>
      <c r="C37" s="22"/>
      <c r="D37" s="22"/>
      <c r="E37" s="22"/>
      <c r="H37" s="22"/>
    </row>
    <row r="38" spans="1:9" ht="13.5" hidden="1" thickBot="1">
      <c r="A38" s="155" t="str">
        <f>A18</f>
        <v>Varedebitorer</v>
      </c>
      <c r="B38" s="447" t="str">
        <f>IF(Resultatbudget!B38="incl. Moms",CONCATENATE(Resultatbudget!A3," * ", (1+Resultatbudget!C38)),CONCATENATE(Resultatbudget!A3,"   ",    "excl. moms"))</f>
        <v>Omsætning   excl. moms</v>
      </c>
      <c r="C38" s="447"/>
      <c r="E38" s="66">
        <f>IF(Resultatbudget!B38="incl. moms",Resultatbudget!B3*(1+Resultatbudget!C38),Resultatbudget!B3)</f>
        <v>5800</v>
      </c>
      <c r="F38" s="246" t="str">
        <f>CONCATENATE(ROUND((E38/E39),2),"  ","gange")</f>
        <v>0,62  gange</v>
      </c>
      <c r="H38" s="66">
        <f>IF(Resultatbudget!B38="incl. moms",Resultatbudget!E3*1.25,Resultatbudget!E3)</f>
        <v>16300</v>
      </c>
      <c r="I38" s="449">
        <f>H38/H39</f>
        <v>26417.241379310344</v>
      </c>
    </row>
    <row r="39" spans="1:9" hidden="1">
      <c r="B39" s="164" t="str">
        <f>A18</f>
        <v>Varedebitorer</v>
      </c>
      <c r="C39" s="164"/>
      <c r="E39" s="246">
        <f>B18</f>
        <v>9400</v>
      </c>
      <c r="F39" s="246"/>
      <c r="H39" s="449">
        <f>E38/E39</f>
        <v>0.61702127659574468</v>
      </c>
      <c r="I39" s="449"/>
    </row>
    <row r="40" spans="1:9" hidden="1">
      <c r="B40" s="22"/>
      <c r="C40" s="22"/>
      <c r="E40" s="22"/>
      <c r="F40" s="246"/>
      <c r="I40" s="449"/>
    </row>
    <row r="41" spans="1:9" ht="13.5" hidden="1" thickBot="1">
      <c r="A41" s="155" t="str">
        <f>F15</f>
        <v>Varekreditorer</v>
      </c>
      <c r="B41" s="447" t="str">
        <f>IF(Resultatbudget!B38="excl. moms","Varekøb excl.. moms",CONCATENATE("Varekøb"," * ",(1+Resultatbudget!C38)))</f>
        <v>Varekøb excl.. moms</v>
      </c>
      <c r="C41" s="447"/>
      <c r="E41" s="450">
        <f>IF(Resultatbudget!B38="excl. Moms",E45,E45*(1+Resultatbudget!C38))</f>
        <v>1450</v>
      </c>
      <c r="F41" s="246" t="str">
        <f>CONCATENATE(ROUND((E41/E42),2),"  ","gange")</f>
        <v>0,35  gange</v>
      </c>
      <c r="H41" s="66">
        <f>IF(Resultatbudget!B38="excl. Moms",E46,E46*1.25)</f>
        <v>4075</v>
      </c>
      <c r="I41" s="449">
        <f>H41/H42</f>
        <v>11736</v>
      </c>
    </row>
    <row r="42" spans="1:9" hidden="1">
      <c r="B42" s="164" t="str">
        <f>F15</f>
        <v>Varekreditorer</v>
      </c>
      <c r="C42" s="164"/>
      <c r="E42" s="246">
        <f>G15</f>
        <v>4176</v>
      </c>
      <c r="H42" s="248">
        <f>E41/E42</f>
        <v>0.34722222222222221</v>
      </c>
    </row>
    <row r="43" spans="1:9" hidden="1"/>
    <row r="44" spans="1:9" hidden="1">
      <c r="A44" s="451" t="s">
        <v>215</v>
      </c>
      <c r="B44" s="155" t="str">
        <f>Resultatbudget!A5</f>
        <v>Arbejdsløn</v>
      </c>
      <c r="C44" s="155" t="str">
        <f>CONCATENATE("+","  ",A15,"  ","ultimo","  "," - ",A15,"  ","primo")</f>
        <v>+  Råvarelager  ultimo   - Råvarelager  primo</v>
      </c>
      <c r="D44" s="155"/>
      <c r="E44" s="155"/>
      <c r="F44" s="155"/>
    </row>
    <row r="45" spans="1:9" hidden="1">
      <c r="A45" s="132" t="str">
        <f>CONCATENATE("Varekøb"," ",Resultatbudget!B2)</f>
        <v>Varekøb Juli</v>
      </c>
      <c r="B45">
        <f>Resultatbudget!B5</f>
        <v>1450</v>
      </c>
      <c r="C45" t="str">
        <f>CONCATENATE("+","  ",B15)</f>
        <v>+  5200</v>
      </c>
      <c r="D45" t="str">
        <f>CONCATENATE("-","  ",B15)</f>
        <v>-  5200</v>
      </c>
      <c r="E45" s="246">
        <f>B45+B15-B15</f>
        <v>1450</v>
      </c>
      <c r="F45" t="str">
        <f>CONCATENATE("Det forudsættes at der ikke er lagerændringer fra primo"," ",Resultatbudget!B2," ","til ultimo"," ",Resultatbudget!B2)</f>
        <v>Det forudsættes at der ikke er lagerændringer fra primo Juli til ultimo Juli</v>
      </c>
    </row>
    <row r="46" spans="1:9" hidden="1">
      <c r="A46" s="132" t="e">
        <f>CONCATENATE("Varekøb"," ",Resultatbudget!B2+1)</f>
        <v>#VALUE!</v>
      </c>
      <c r="B46" s="160">
        <f>Resultatbudget!E5</f>
        <v>4075</v>
      </c>
      <c r="C46" t="str">
        <f>CONCATENATE("+","  ",E15)</f>
        <v>+  5200</v>
      </c>
      <c r="D46" t="str">
        <f>CONCATENATE("-","  ",B15)</f>
        <v>-  5200</v>
      </c>
      <c r="E46" s="246">
        <f>B46+E15-B15</f>
        <v>4075</v>
      </c>
    </row>
    <row r="47" spans="1:9" hidden="1"/>
  </sheetData>
  <mergeCells count="25">
    <mergeCell ref="B42:C42"/>
    <mergeCell ref="B34:C34"/>
    <mergeCell ref="B35:C35"/>
    <mergeCell ref="B36:C36"/>
    <mergeCell ref="B38:C38"/>
    <mergeCell ref="B39:C39"/>
    <mergeCell ref="B41:C41"/>
    <mergeCell ref="B26:C26"/>
    <mergeCell ref="B27:C27"/>
    <mergeCell ref="B28:C28"/>
    <mergeCell ref="B30:C30"/>
    <mergeCell ref="B31:C31"/>
    <mergeCell ref="B32:C32"/>
    <mergeCell ref="C19:D19"/>
    <mergeCell ref="C20:D20"/>
    <mergeCell ref="C21:D21"/>
    <mergeCell ref="C22:D22"/>
    <mergeCell ref="C23:D23"/>
    <mergeCell ref="C24:D24"/>
    <mergeCell ref="A1:I1"/>
    <mergeCell ref="C14:D14"/>
    <mergeCell ref="C15:D15"/>
    <mergeCell ref="C16:D16"/>
    <mergeCell ref="C17:D17"/>
    <mergeCell ref="C18:D18"/>
  </mergeCells>
  <pageMargins left="0.78740157480314965" right="0.78740157480314965" top="0.19685039370078741" bottom="0.39370078740157483" header="0" footer="0"/>
  <pageSetup paperSize="9" scale="95" orientation="landscape" horizontalDpi="300" verticalDpi="300" r:id="rId1"/>
  <headerFooter alignWithMargins="0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65"/>
  <sheetViews>
    <sheetView topLeftCell="A2" workbookViewId="0">
      <selection activeCell="D49" sqref="D49"/>
    </sheetView>
  </sheetViews>
  <sheetFormatPr defaultRowHeight="12.75"/>
  <cols>
    <col min="1" max="1" width="11.85546875" bestFit="1" customWidth="1"/>
    <col min="2" max="2" width="18.85546875" customWidth="1"/>
    <col min="3" max="3" width="15.28515625" customWidth="1"/>
    <col min="4" max="4" width="16" customWidth="1"/>
    <col min="5" max="5" width="14.42578125" customWidth="1"/>
    <col min="6" max="6" width="15.7109375" customWidth="1"/>
  </cols>
  <sheetData>
    <row r="1" spans="1:6" ht="23.25">
      <c r="A1" s="395" t="s">
        <v>216</v>
      </c>
      <c r="B1" s="452"/>
      <c r="C1" s="452"/>
      <c r="D1" s="452"/>
      <c r="E1" s="452"/>
      <c r="F1" s="452"/>
    </row>
    <row r="2" spans="1:6" ht="18">
      <c r="A2" s="3" t="s">
        <v>163</v>
      </c>
      <c r="B2" s="3"/>
      <c r="C2" s="3"/>
      <c r="D2" s="3"/>
      <c r="E2" s="3"/>
      <c r="F2" s="327">
        <f>Resultatbudget!E17</f>
        <v>3520</v>
      </c>
    </row>
    <row r="3" spans="1:6" ht="18">
      <c r="A3" s="149" t="s">
        <v>217</v>
      </c>
      <c r="B3" s="149"/>
      <c r="C3" s="149"/>
      <c r="D3" s="453" t="s">
        <v>218</v>
      </c>
      <c r="E3" s="453" t="s">
        <v>219</v>
      </c>
      <c r="F3" s="326"/>
    </row>
    <row r="4" spans="1:6" ht="18">
      <c r="A4" s="455" t="str">
        <f>Balance!A15</f>
        <v>Råvarelager</v>
      </c>
      <c r="B4" s="455"/>
      <c r="C4" s="149"/>
      <c r="D4" s="454">
        <f>Balance!B15</f>
        <v>5200</v>
      </c>
      <c r="E4" s="454">
        <f>Balance!E15</f>
        <v>5200</v>
      </c>
      <c r="F4" s="326">
        <f t="shared" ref="F4:F10" si="0">D4-E4</f>
        <v>0</v>
      </c>
    </row>
    <row r="5" spans="1:6" ht="18">
      <c r="A5" s="455" t="str">
        <f>Balance!A16</f>
        <v>Færdigvarerlager</v>
      </c>
      <c r="B5" s="455"/>
      <c r="C5" s="149"/>
      <c r="D5" s="454">
        <f>Balance!B16</f>
        <v>2800</v>
      </c>
      <c r="E5" s="454">
        <f>Balance!E16</f>
        <v>2800</v>
      </c>
      <c r="F5" s="326">
        <f t="shared" si="0"/>
        <v>0</v>
      </c>
    </row>
    <row r="6" spans="1:6" ht="18" hidden="1">
      <c r="A6" s="455" t="str">
        <f>Balance!A17</f>
        <v>-</v>
      </c>
      <c r="B6" s="455"/>
      <c r="C6" s="149"/>
      <c r="D6" s="454">
        <f>Balance!B17</f>
        <v>0</v>
      </c>
      <c r="E6" s="454">
        <f>Balance!E17</f>
        <v>0</v>
      </c>
      <c r="F6" s="326">
        <f t="shared" si="0"/>
        <v>0</v>
      </c>
    </row>
    <row r="7" spans="1:6" ht="18">
      <c r="A7" s="455" t="str">
        <f>Balance!A18</f>
        <v>Varedebitorer</v>
      </c>
      <c r="B7" s="455"/>
      <c r="C7" s="149"/>
      <c r="D7" s="454">
        <f>Balance!B18</f>
        <v>9400</v>
      </c>
      <c r="E7" s="454">
        <f>Balance!E18</f>
        <v>7750</v>
      </c>
      <c r="F7" s="326">
        <f t="shared" si="0"/>
        <v>1650</v>
      </c>
    </row>
    <row r="8" spans="1:6" ht="18" hidden="1">
      <c r="A8" s="455" t="str">
        <f>Balance!A19</f>
        <v>Periodeafg.</v>
      </c>
      <c r="B8" s="455"/>
      <c r="C8" s="149"/>
      <c r="D8" s="454">
        <f>Balance!B19</f>
        <v>0</v>
      </c>
      <c r="E8" s="454">
        <f>Balance!E19</f>
        <v>0</v>
      </c>
      <c r="F8" s="326">
        <f t="shared" si="0"/>
        <v>0</v>
      </c>
    </row>
    <row r="9" spans="1:6" ht="18" hidden="1">
      <c r="A9" s="455" t="str">
        <f>Balance!A20</f>
        <v>Værdipapirer</v>
      </c>
      <c r="B9" s="455"/>
      <c r="C9" s="149"/>
      <c r="D9" s="454">
        <f>Balance!B20</f>
        <v>0</v>
      </c>
      <c r="E9" s="454">
        <f>Balance!E20</f>
        <v>0</v>
      </c>
      <c r="F9" s="326">
        <f t="shared" si="0"/>
        <v>0</v>
      </c>
    </row>
    <row r="10" spans="1:6" ht="18" hidden="1">
      <c r="A10" s="455" t="str">
        <f>Balance!A21</f>
        <v>Andre debitorer</v>
      </c>
      <c r="B10" s="455"/>
      <c r="C10" s="149"/>
      <c r="D10" s="454">
        <f>Balance!B21</f>
        <v>0</v>
      </c>
      <c r="E10" s="454">
        <f>Balance!E21</f>
        <v>0</v>
      </c>
      <c r="F10" s="326">
        <f t="shared" si="0"/>
        <v>0</v>
      </c>
    </row>
    <row r="11" spans="1:6" ht="18">
      <c r="A11" s="149" t="s">
        <v>220</v>
      </c>
      <c r="B11" s="149"/>
      <c r="C11" s="149"/>
      <c r="D11" s="454"/>
      <c r="E11" s="454"/>
      <c r="F11" s="326"/>
    </row>
    <row r="12" spans="1:6" ht="18">
      <c r="A12" s="455" t="str">
        <f>Balance!F15</f>
        <v>Varekreditorer</v>
      </c>
      <c r="B12" s="455"/>
      <c r="C12" s="149"/>
      <c r="D12" s="454">
        <f>Balance!G15</f>
        <v>4176</v>
      </c>
      <c r="E12" s="454">
        <f>Balance!I15</f>
        <v>3912</v>
      </c>
      <c r="F12" s="326">
        <f t="shared" ref="F12:F17" si="1">E12-D12</f>
        <v>-264</v>
      </c>
    </row>
    <row r="13" spans="1:6" ht="18" hidden="1">
      <c r="A13" s="455" t="str">
        <f>Balance!F16</f>
        <v>Realkreditinstitutter</v>
      </c>
      <c r="B13" s="455"/>
      <c r="C13" s="149"/>
      <c r="D13" s="454">
        <f>Balance!G16</f>
        <v>0</v>
      </c>
      <c r="E13" s="454">
        <f>Balance!I16</f>
        <v>0</v>
      </c>
      <c r="F13" s="326">
        <f t="shared" si="1"/>
        <v>0</v>
      </c>
    </row>
    <row r="14" spans="1:6" ht="18" hidden="1">
      <c r="A14" s="455" t="str">
        <f>Balance!F17</f>
        <v>Forudbetalinger</v>
      </c>
      <c r="B14" s="455"/>
      <c r="C14" s="149"/>
      <c r="D14" s="454">
        <f>Balance!G17</f>
        <v>0</v>
      </c>
      <c r="E14" s="454">
        <f>Balance!I17</f>
        <v>0</v>
      </c>
      <c r="F14" s="326">
        <f t="shared" si="1"/>
        <v>0</v>
      </c>
    </row>
    <row r="15" spans="1:6" ht="18">
      <c r="A15" s="455" t="str">
        <f>Balance!F18</f>
        <v>Anden gæld</v>
      </c>
      <c r="B15" s="455"/>
      <c r="C15" s="149"/>
      <c r="D15" s="454">
        <f>Balance!G18</f>
        <v>2450</v>
      </c>
      <c r="E15" s="454">
        <f>Balance!I18</f>
        <v>2450</v>
      </c>
      <c r="F15" s="326">
        <f t="shared" si="1"/>
        <v>0</v>
      </c>
    </row>
    <row r="16" spans="1:6" ht="18" hidden="1">
      <c r="A16" s="455" t="str">
        <f>Balance!F19</f>
        <v>-</v>
      </c>
      <c r="B16" s="455"/>
      <c r="C16" s="149"/>
      <c r="D16" s="454">
        <f>Balance!G19</f>
        <v>0</v>
      </c>
      <c r="E16" s="454">
        <f>Balance!I19</f>
        <v>0</v>
      </c>
      <c r="F16" s="326">
        <f t="shared" si="1"/>
        <v>0</v>
      </c>
    </row>
    <row r="17" spans="1:6" ht="18" hidden="1">
      <c r="A17" s="455" t="str">
        <f>Balance!F20</f>
        <v>Øvrig kortfristet gæld</v>
      </c>
      <c r="B17" s="455"/>
      <c r="C17" s="149"/>
      <c r="D17" s="454">
        <f>Balance!G20</f>
        <v>0</v>
      </c>
      <c r="E17" s="454">
        <f>Balance!I20</f>
        <v>0</v>
      </c>
      <c r="F17" s="326">
        <f t="shared" si="1"/>
        <v>0</v>
      </c>
    </row>
    <row r="18" spans="1:6" ht="18">
      <c r="A18" s="323" t="str">
        <f>Resultatbudget!A21</f>
        <v>Renteomkostninger</v>
      </c>
      <c r="B18" s="323"/>
      <c r="C18" s="149"/>
      <c r="D18" s="454"/>
      <c r="E18" s="454"/>
      <c r="F18" s="326">
        <f>Resultatbudget!E21*-1</f>
        <v>-330</v>
      </c>
    </row>
    <row r="19" spans="1:6" ht="18" hidden="1">
      <c r="A19" s="323" t="str">
        <f>Resultatbudget!A22</f>
        <v>Renteindtægter</v>
      </c>
      <c r="B19" s="323"/>
      <c r="C19" s="149"/>
      <c r="D19" s="454"/>
      <c r="E19" s="454"/>
      <c r="F19" s="326">
        <f>Resultatbudget!E22</f>
        <v>0</v>
      </c>
    </row>
    <row r="20" spans="1:6" ht="18">
      <c r="A20" s="3" t="s">
        <v>221</v>
      </c>
      <c r="B20" s="3"/>
      <c r="C20" s="3"/>
      <c r="D20" s="3"/>
      <c r="E20" s="3"/>
      <c r="F20" s="469">
        <f>SUM(F2:F19)</f>
        <v>4576</v>
      </c>
    </row>
    <row r="21" spans="1:6" ht="18">
      <c r="A21" s="149" t="s">
        <v>222</v>
      </c>
      <c r="B21" s="149"/>
      <c r="C21" s="149"/>
      <c r="D21" s="149"/>
      <c r="E21" s="149"/>
      <c r="F21" s="326"/>
    </row>
    <row r="22" spans="1:6" ht="18">
      <c r="A22" s="149" t="s">
        <v>223</v>
      </c>
      <c r="B22" s="149"/>
      <c r="C22" s="149"/>
      <c r="D22" s="149"/>
      <c r="E22" s="149"/>
      <c r="F22" s="326">
        <f>Balance!C13*-1</f>
        <v>-1800</v>
      </c>
    </row>
    <row r="23" spans="1:6" ht="18">
      <c r="A23" s="3" t="s">
        <v>224</v>
      </c>
      <c r="B23" s="149"/>
      <c r="C23" s="149"/>
      <c r="D23" s="149"/>
      <c r="E23" s="149"/>
      <c r="F23" s="326"/>
    </row>
    <row r="24" spans="1:6" ht="18">
      <c r="A24" s="149" t="str">
        <f>Balance!F10</f>
        <v>Nyt lån til investeringer</v>
      </c>
      <c r="B24" s="149"/>
      <c r="C24" s="149"/>
      <c r="D24" s="149"/>
      <c r="E24" s="149"/>
      <c r="F24" s="326">
        <f>Balance!H10</f>
        <v>900</v>
      </c>
    </row>
    <row r="25" spans="1:6" ht="18" hidden="1">
      <c r="A25" s="149" t="str">
        <f>Resultatbudget!A40</f>
        <v>Aktie emmision</v>
      </c>
      <c r="B25" s="149"/>
      <c r="C25" s="149"/>
      <c r="D25" s="149"/>
      <c r="E25" s="149"/>
      <c r="F25" s="326">
        <f>Resultatbudget!C40</f>
        <v>0</v>
      </c>
    </row>
    <row r="26" spans="1:6" ht="18">
      <c r="A26" s="3" t="s">
        <v>225</v>
      </c>
      <c r="B26" s="149"/>
      <c r="C26" s="149"/>
      <c r="D26" s="149"/>
      <c r="E26" s="149"/>
      <c r="F26" s="326"/>
    </row>
    <row r="27" spans="1:6" ht="18">
      <c r="A27" s="455" t="str">
        <f>Balance!F11</f>
        <v>Prioritetegæld</v>
      </c>
      <c r="B27" s="455"/>
      <c r="C27" s="149"/>
      <c r="D27" s="149"/>
      <c r="E27" s="149"/>
      <c r="F27" s="326">
        <f>Balance!H11</f>
        <v>-250</v>
      </c>
    </row>
    <row r="28" spans="1:6" ht="18" hidden="1">
      <c r="A28" s="455" t="str">
        <f>Balance!F12</f>
        <v>Realkreditinstitutter</v>
      </c>
      <c r="B28" s="455"/>
      <c r="C28" s="149"/>
      <c r="D28" s="149"/>
      <c r="E28" s="149"/>
      <c r="F28" s="326">
        <f>Balance!H12</f>
        <v>0</v>
      </c>
    </row>
    <row r="29" spans="1:6" ht="18" hidden="1">
      <c r="A29" s="149" t="str">
        <f>Balance!F6</f>
        <v>Privatforbrug</v>
      </c>
      <c r="B29" s="149"/>
      <c r="C29" s="149"/>
      <c r="D29" s="149"/>
      <c r="E29" s="149"/>
      <c r="F29" s="326">
        <f>(Balance!I6)*-1</f>
        <v>0</v>
      </c>
    </row>
    <row r="30" spans="1:6" ht="18" hidden="1">
      <c r="A30" s="149" t="str">
        <f>IF(Resultatbudget!B30&gt;0,A47,"-")</f>
        <v>-</v>
      </c>
      <c r="B30" s="149"/>
      <c r="C30" s="149"/>
      <c r="D30" s="149"/>
      <c r="E30" s="149"/>
      <c r="F30" s="326">
        <f>Balance!G21*-1</f>
        <v>0</v>
      </c>
    </row>
    <row r="31" spans="1:6" ht="18" hidden="1">
      <c r="A31" s="149" t="str">
        <f>Resultatbudget!A26</f>
        <v>Skat</v>
      </c>
      <c r="B31" s="149"/>
      <c r="C31" s="149"/>
      <c r="D31" s="149"/>
      <c r="E31" s="149"/>
      <c r="F31" s="326">
        <f>Resultatbudget!E26*-1</f>
        <v>0</v>
      </c>
    </row>
    <row r="32" spans="1:6" ht="18" hidden="1">
      <c r="A32" s="149" t="str">
        <f>IF(Resultatbudget!C36&gt;0,"Ændring af kassekredit max.","-")</f>
        <v>-</v>
      </c>
      <c r="B32" s="149"/>
      <c r="C32" s="149"/>
      <c r="D32" s="149"/>
      <c r="E32" s="149"/>
      <c r="F32" s="470">
        <f>Resultatbudget!C36</f>
        <v>0</v>
      </c>
    </row>
    <row r="33" spans="1:6" ht="18">
      <c r="A33" s="3" t="s">
        <v>226</v>
      </c>
      <c r="B33" s="3"/>
      <c r="C33" s="3"/>
      <c r="D33" s="3"/>
      <c r="E33" s="3"/>
      <c r="F33" s="469">
        <f>SUM(F20:F32)</f>
        <v>3426</v>
      </c>
    </row>
    <row r="34" spans="1:6" ht="18" hidden="1">
      <c r="A34" s="149" t="s">
        <v>227</v>
      </c>
      <c r="B34" s="149"/>
      <c r="C34" s="149"/>
      <c r="D34" s="149"/>
      <c r="E34" s="149"/>
      <c r="F34" s="326"/>
    </row>
    <row r="35" spans="1:6" ht="18" hidden="1">
      <c r="A35" s="149" t="s">
        <v>175</v>
      </c>
      <c r="B35" s="149"/>
      <c r="C35" s="149">
        <v>2000</v>
      </c>
      <c r="D35" s="149"/>
      <c r="E35" s="149"/>
      <c r="F35" s="326"/>
    </row>
    <row r="36" spans="1:6" ht="18" hidden="1">
      <c r="A36" s="149" t="s">
        <v>228</v>
      </c>
      <c r="B36" s="149"/>
      <c r="C36" s="149">
        <v>1500</v>
      </c>
      <c r="D36" s="149"/>
      <c r="E36" s="149"/>
      <c r="F36" s="326"/>
    </row>
    <row r="37" spans="1:6" ht="18" hidden="1">
      <c r="A37" s="149"/>
      <c r="B37" s="149"/>
      <c r="C37" s="149" t="str">
        <f>IF(Resultatbudget!$B$36&gt;0,"Gæld Primo","")</f>
        <v>Gæld Primo</v>
      </c>
      <c r="D37" s="149" t="str">
        <f>IF(Resultatbudget!$B$36&gt;0,"Max. Primo","")</f>
        <v>Max. Primo</v>
      </c>
      <c r="E37" s="149"/>
      <c r="F37" s="326"/>
    </row>
    <row r="38" spans="1:6" ht="18" hidden="1">
      <c r="A38" s="149" t="str">
        <f>IF(Resultatbudget!B36&gt;0,"Kassekredit disponibel","-")</f>
        <v>Kassekredit disponibel</v>
      </c>
      <c r="B38" s="149"/>
      <c r="C38" s="149">
        <f>IF(Resultatbudget!B36&gt;0,Resultatbudget!B36,"")</f>
        <v>10000</v>
      </c>
      <c r="D38" s="149">
        <f>IF(Resultatbudget!B36&gt;0,Balance!G22,"")</f>
        <v>7904</v>
      </c>
      <c r="E38" s="149"/>
      <c r="F38" s="326">
        <f>IF(Resultatbudget!B36&gt;0,C38-D38,0)</f>
        <v>2096</v>
      </c>
    </row>
    <row r="39" spans="1:6" ht="18">
      <c r="A39" s="152" t="s">
        <v>229</v>
      </c>
      <c r="B39" s="149"/>
      <c r="C39" s="149"/>
      <c r="D39" s="149"/>
      <c r="E39" s="149"/>
      <c r="F39" s="326">
        <f>Balance!B22</f>
        <v>30</v>
      </c>
    </row>
    <row r="40" spans="1:6" ht="18.75" thickBot="1">
      <c r="A40" s="3" t="s">
        <v>230</v>
      </c>
      <c r="B40" s="3"/>
      <c r="C40" s="3"/>
      <c r="D40" s="3"/>
      <c r="E40" s="3"/>
      <c r="F40" s="471">
        <f>F33+F39</f>
        <v>3456</v>
      </c>
    </row>
    <row r="41" spans="1:6" ht="18.75" thickTop="1">
      <c r="A41" s="149" t="s">
        <v>241</v>
      </c>
      <c r="B41" s="149"/>
      <c r="C41" s="149"/>
      <c r="D41" s="149"/>
      <c r="E41" s="149"/>
      <c r="F41" s="326">
        <f>Balance!G22</f>
        <v>7904</v>
      </c>
    </row>
    <row r="42" spans="1:6" ht="18">
      <c r="A42" s="149" t="s">
        <v>242</v>
      </c>
      <c r="F42" s="326">
        <f>F41-F40</f>
        <v>4448</v>
      </c>
    </row>
    <row r="43" spans="1:6">
      <c r="F43" s="160"/>
    </row>
    <row r="44" spans="1:6">
      <c r="A44" t="s">
        <v>248</v>
      </c>
    </row>
    <row r="45" spans="1:6">
      <c r="A45" t="s">
        <v>249</v>
      </c>
    </row>
    <row r="46" spans="1:6">
      <c r="A46" t="s">
        <v>252</v>
      </c>
    </row>
    <row r="47" spans="1:6" ht="18" hidden="1">
      <c r="A47" s="149" t="str">
        <f>(CONCATENATE("Udbytte udbetales 100% fra år;""",Resultatbudget!B2))</f>
        <v>Udbytte udbetales 100% fra år;"Juli</v>
      </c>
    </row>
    <row r="48" spans="1:6">
      <c r="A48" t="s">
        <v>250</v>
      </c>
    </row>
    <row r="49" spans="1:4">
      <c r="A49" s="22" t="s">
        <v>251</v>
      </c>
      <c r="B49" s="22"/>
      <c r="C49" s="22"/>
      <c r="D49" s="22"/>
    </row>
    <row r="50" spans="1:4">
      <c r="A50" s="22"/>
      <c r="B50" s="22"/>
      <c r="C50" s="22"/>
      <c r="D50" s="22"/>
    </row>
    <row r="51" spans="1:4">
      <c r="A51" s="22"/>
      <c r="B51" s="22"/>
      <c r="C51" s="22"/>
      <c r="D51" s="22"/>
    </row>
    <row r="52" spans="1:4" ht="18">
      <c r="A52" s="39"/>
      <c r="B52" s="39"/>
      <c r="C52" s="39"/>
      <c r="D52" s="22"/>
    </row>
    <row r="53" spans="1:4" ht="18">
      <c r="A53" s="456"/>
      <c r="B53" s="39"/>
      <c r="C53" s="457"/>
      <c r="D53" s="22"/>
    </row>
    <row r="54" spans="1:4" ht="18">
      <c r="A54" s="456"/>
      <c r="B54" s="39"/>
      <c r="C54" s="457"/>
      <c r="D54" s="22"/>
    </row>
    <row r="55" spans="1:4" ht="18">
      <c r="A55" s="456"/>
      <c r="B55" s="39"/>
      <c r="C55" s="457"/>
      <c r="D55" s="22"/>
    </row>
    <row r="56" spans="1:4" ht="18">
      <c r="A56" s="456"/>
      <c r="B56" s="39"/>
      <c r="C56" s="457"/>
      <c r="D56" s="22"/>
    </row>
    <row r="57" spans="1:4" ht="18">
      <c r="A57" s="39"/>
      <c r="B57" s="39"/>
      <c r="C57" s="457"/>
      <c r="D57" s="22"/>
    </row>
    <row r="58" spans="1:4">
      <c r="A58" s="22"/>
      <c r="B58" s="22"/>
      <c r="C58" s="22"/>
      <c r="D58" s="22"/>
    </row>
    <row r="59" spans="1:4">
      <c r="A59" s="22"/>
      <c r="B59" s="22"/>
      <c r="C59" s="22"/>
      <c r="D59" s="22"/>
    </row>
    <row r="60" spans="1:4">
      <c r="A60" s="22"/>
      <c r="B60" s="22"/>
      <c r="C60" s="22"/>
      <c r="D60" s="22"/>
    </row>
    <row r="61" spans="1:4">
      <c r="A61" s="22"/>
      <c r="B61" s="22"/>
      <c r="C61" s="22"/>
      <c r="D61" s="22"/>
    </row>
    <row r="62" spans="1:4">
      <c r="A62" s="22"/>
      <c r="B62" s="22"/>
      <c r="C62" s="22"/>
      <c r="D62" s="22"/>
    </row>
    <row r="63" spans="1:4">
      <c r="A63" s="22"/>
      <c r="B63" s="22"/>
      <c r="C63" s="22"/>
      <c r="D63" s="22"/>
    </row>
    <row r="64" spans="1:4">
      <c r="A64" s="22"/>
      <c r="B64" s="22"/>
      <c r="C64" s="22"/>
      <c r="D64" s="22"/>
    </row>
    <row r="65" spans="1:4">
      <c r="A65" s="22"/>
      <c r="B65" s="22"/>
      <c r="C65" s="22"/>
      <c r="D65" s="22"/>
    </row>
  </sheetData>
  <mergeCells count="16">
    <mergeCell ref="A16:B16"/>
    <mergeCell ref="A17:B17"/>
    <mergeCell ref="A27:B27"/>
    <mergeCell ref="A28:B28"/>
    <mergeCell ref="A9:B9"/>
    <mergeCell ref="A10:B10"/>
    <mergeCell ref="A12:B12"/>
    <mergeCell ref="A13:B13"/>
    <mergeCell ref="A14:B14"/>
    <mergeCell ref="A15:B15"/>
    <mergeCell ref="A1:F1"/>
    <mergeCell ref="A4:B4"/>
    <mergeCell ref="A5:B5"/>
    <mergeCell ref="A6:B6"/>
    <mergeCell ref="A7:B7"/>
    <mergeCell ref="A8:B8"/>
  </mergeCells>
  <pageMargins left="0.59055118110236227" right="0.59055118110236227" top="0.59055118110236227" bottom="0.39370078740157483" header="0" footer="0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45"/>
  <sheetViews>
    <sheetView tabSelected="1" workbookViewId="0">
      <selection activeCell="B38" sqref="B38"/>
    </sheetView>
  </sheetViews>
  <sheetFormatPr defaultRowHeight="12.75"/>
  <cols>
    <col min="1" max="1" width="23.5703125" bestFit="1" customWidth="1"/>
    <col min="2" max="2" width="15.140625" customWidth="1"/>
    <col min="3" max="3" width="14.5703125" customWidth="1"/>
    <col min="4" max="5" width="14.42578125" customWidth="1"/>
    <col min="6" max="6" width="10.28515625" customWidth="1"/>
    <col min="7" max="7" width="16.42578125" bestFit="1" customWidth="1"/>
  </cols>
  <sheetData>
    <row r="1" spans="1:6" ht="18">
      <c r="A1" s="217" t="s">
        <v>253</v>
      </c>
      <c r="B1" s="475" t="s">
        <v>254</v>
      </c>
      <c r="C1" s="476"/>
      <c r="D1" s="477"/>
      <c r="E1" s="478"/>
      <c r="F1" s="479"/>
    </row>
    <row r="2" spans="1:6" ht="13.5" thickBot="1">
      <c r="A2" s="480" t="s">
        <v>255</v>
      </c>
      <c r="B2" s="481">
        <v>2007</v>
      </c>
      <c r="C2" s="481">
        <f>B2+1</f>
        <v>2008</v>
      </c>
      <c r="D2" s="482">
        <f>C2+1</f>
        <v>2009</v>
      </c>
      <c r="E2" s="483" t="s">
        <v>256</v>
      </c>
      <c r="F2" s="483" t="s">
        <v>257</v>
      </c>
    </row>
    <row r="3" spans="1:6">
      <c r="A3" s="38" t="s">
        <v>258</v>
      </c>
      <c r="B3" s="402">
        <v>55700</v>
      </c>
      <c r="C3" s="403">
        <v>58600</v>
      </c>
      <c r="D3" s="376">
        <v>60200</v>
      </c>
      <c r="E3" s="484">
        <f>D3-B3</f>
        <v>4500</v>
      </c>
      <c r="F3" s="485">
        <f>E3/B3</f>
        <v>8.0789946140035901E-2</v>
      </c>
    </row>
    <row r="4" spans="1:6">
      <c r="A4" s="486" t="s">
        <v>259</v>
      </c>
      <c r="B4" s="402">
        <v>16650</v>
      </c>
      <c r="C4" s="403">
        <v>17580</v>
      </c>
      <c r="D4" s="376">
        <v>18160</v>
      </c>
      <c r="E4" s="484"/>
      <c r="F4" s="485"/>
    </row>
    <row r="5" spans="1:6">
      <c r="A5" s="487" t="s">
        <v>234</v>
      </c>
      <c r="B5" s="402">
        <v>14925</v>
      </c>
      <c r="C5" s="403">
        <v>15250</v>
      </c>
      <c r="D5" s="376">
        <v>15050</v>
      </c>
      <c r="E5" s="484"/>
      <c r="F5" s="485"/>
    </row>
    <row r="6" spans="1:6">
      <c r="A6" s="487" t="s">
        <v>260</v>
      </c>
      <c r="B6" s="488">
        <v>2685</v>
      </c>
      <c r="C6" s="434">
        <v>2880</v>
      </c>
      <c r="D6" s="489">
        <v>3010</v>
      </c>
      <c r="E6" s="484">
        <f t="shared" ref="E6:E29" si="0">D6-B6</f>
        <v>325</v>
      </c>
      <c r="F6" s="485">
        <f t="shared" ref="F6:F29" si="1">E6/B6</f>
        <v>0.12104283054003724</v>
      </c>
    </row>
    <row r="7" spans="1:6">
      <c r="A7" s="418" t="s">
        <v>261</v>
      </c>
      <c r="B7" s="490">
        <f>B3-B4-B5-B6</f>
        <v>21440</v>
      </c>
      <c r="C7" s="490">
        <f t="shared" ref="C7:D7" si="2">C3-C4-C5-C6</f>
        <v>22890</v>
      </c>
      <c r="D7" s="490">
        <f t="shared" si="2"/>
        <v>23980</v>
      </c>
      <c r="E7" s="491">
        <f t="shared" si="0"/>
        <v>2540</v>
      </c>
      <c r="F7" s="492">
        <f t="shared" si="1"/>
        <v>0.11847014925373134</v>
      </c>
    </row>
    <row r="8" spans="1:6">
      <c r="A8" s="318" t="s">
        <v>235</v>
      </c>
      <c r="B8" s="459">
        <v>3200</v>
      </c>
      <c r="C8" s="430">
        <v>3500</v>
      </c>
      <c r="D8" s="493">
        <v>3800</v>
      </c>
      <c r="E8" s="491">
        <f t="shared" si="0"/>
        <v>600</v>
      </c>
      <c r="F8" s="492">
        <f t="shared" si="1"/>
        <v>0.1875</v>
      </c>
    </row>
    <row r="9" spans="1:6">
      <c r="A9" s="494" t="s">
        <v>262</v>
      </c>
      <c r="B9" s="495">
        <f>B7-B8</f>
        <v>18240</v>
      </c>
      <c r="C9" s="495">
        <f>C7-C8</f>
        <v>19390</v>
      </c>
      <c r="D9" s="496">
        <f>D7-D8</f>
        <v>20180</v>
      </c>
      <c r="E9" s="491">
        <f t="shared" si="0"/>
        <v>1940</v>
      </c>
      <c r="F9" s="492">
        <f t="shared" si="1"/>
        <v>0.10635964912280702</v>
      </c>
    </row>
    <row r="10" spans="1:6">
      <c r="A10" s="417" t="s">
        <v>263</v>
      </c>
      <c r="B10" s="459">
        <v>1250</v>
      </c>
      <c r="C10" s="430">
        <v>1300</v>
      </c>
      <c r="D10" s="493">
        <v>1400</v>
      </c>
      <c r="E10" s="484">
        <f t="shared" si="0"/>
        <v>150</v>
      </c>
      <c r="F10" s="485">
        <f t="shared" si="1"/>
        <v>0.12</v>
      </c>
    </row>
    <row r="11" spans="1:6">
      <c r="A11" s="417" t="s">
        <v>264</v>
      </c>
      <c r="B11" s="459">
        <v>1350</v>
      </c>
      <c r="C11" s="430">
        <v>1250</v>
      </c>
      <c r="D11" s="493">
        <v>1100</v>
      </c>
      <c r="E11" s="484">
        <f t="shared" si="0"/>
        <v>-250</v>
      </c>
      <c r="F11" s="485">
        <f t="shared" si="1"/>
        <v>-0.18518518518518517</v>
      </c>
    </row>
    <row r="12" spans="1:6">
      <c r="A12" s="497" t="s">
        <v>161</v>
      </c>
      <c r="B12" s="459">
        <v>6200</v>
      </c>
      <c r="C12" s="430">
        <v>6800</v>
      </c>
      <c r="D12" s="493">
        <v>7500</v>
      </c>
      <c r="E12" s="484">
        <f t="shared" si="0"/>
        <v>1300</v>
      </c>
      <c r="F12" s="485">
        <f t="shared" si="1"/>
        <v>0.20967741935483872</v>
      </c>
    </row>
    <row r="13" spans="1:6">
      <c r="A13" s="497" t="s">
        <v>265</v>
      </c>
      <c r="B13" s="459">
        <v>1300</v>
      </c>
      <c r="C13" s="430">
        <v>1400</v>
      </c>
      <c r="D13" s="493">
        <v>1500</v>
      </c>
      <c r="E13" s="484">
        <f t="shared" si="0"/>
        <v>200</v>
      </c>
      <c r="F13" s="485">
        <f t="shared" si="1"/>
        <v>0.15384615384615385</v>
      </c>
    </row>
    <row r="14" spans="1:6" hidden="1">
      <c r="A14" s="318" t="s">
        <v>204</v>
      </c>
      <c r="B14" s="459">
        <v>0</v>
      </c>
      <c r="C14" s="430">
        <v>0</v>
      </c>
      <c r="D14" s="493">
        <v>0</v>
      </c>
      <c r="E14" s="484">
        <f t="shared" si="0"/>
        <v>0</v>
      </c>
      <c r="F14" s="485" t="e">
        <f t="shared" si="1"/>
        <v>#DIV/0!</v>
      </c>
    </row>
    <row r="15" spans="1:6" hidden="1">
      <c r="A15" s="318" t="s">
        <v>204</v>
      </c>
      <c r="B15" s="459">
        <v>0</v>
      </c>
      <c r="C15" s="430">
        <v>0</v>
      </c>
      <c r="D15" s="493">
        <v>0</v>
      </c>
      <c r="E15" s="484">
        <f t="shared" si="0"/>
        <v>0</v>
      </c>
      <c r="F15" s="485" t="e">
        <f t="shared" si="1"/>
        <v>#DIV/0!</v>
      </c>
    </row>
    <row r="16" spans="1:6">
      <c r="A16" s="418" t="s">
        <v>163</v>
      </c>
      <c r="B16" s="419">
        <f>B9-B10-B11-B12-B13-B14-B15</f>
        <v>8140</v>
      </c>
      <c r="C16" s="419">
        <f>C9-C10-C11-C12-C13-C14-C15</f>
        <v>8640</v>
      </c>
      <c r="D16" s="498">
        <f>D9-D10-D11-D12-D13-D14-D15</f>
        <v>8680</v>
      </c>
      <c r="E16" s="491">
        <f t="shared" si="0"/>
        <v>540</v>
      </c>
      <c r="F16" s="492">
        <f t="shared" si="1"/>
        <v>6.6339066339066333E-2</v>
      </c>
    </row>
    <row r="17" spans="1:6">
      <c r="A17" s="318" t="s">
        <v>164</v>
      </c>
      <c r="B17" s="459">
        <v>4000</v>
      </c>
      <c r="C17" s="430">
        <v>4800</v>
      </c>
      <c r="D17" s="493">
        <v>5400</v>
      </c>
      <c r="E17" s="491">
        <f t="shared" si="0"/>
        <v>1400</v>
      </c>
      <c r="F17" s="492">
        <f t="shared" si="1"/>
        <v>0.35</v>
      </c>
    </row>
    <row r="18" spans="1:6">
      <c r="A18" s="418" t="s">
        <v>266</v>
      </c>
      <c r="B18" s="419">
        <f>B16-B17</f>
        <v>4140</v>
      </c>
      <c r="C18" s="499">
        <f>C16-C17</f>
        <v>3840</v>
      </c>
      <c r="D18" s="498">
        <f>D16-D17</f>
        <v>3280</v>
      </c>
      <c r="E18" s="491">
        <f t="shared" si="0"/>
        <v>-860</v>
      </c>
      <c r="F18" s="492">
        <f t="shared" si="1"/>
        <v>-0.20772946859903382</v>
      </c>
    </row>
    <row r="19" spans="1:6" hidden="1">
      <c r="A19" s="318" t="s">
        <v>267</v>
      </c>
      <c r="B19" s="459">
        <v>0</v>
      </c>
      <c r="C19" s="430">
        <v>0</v>
      </c>
      <c r="D19" s="493">
        <v>0</v>
      </c>
      <c r="E19" s="484">
        <f t="shared" si="0"/>
        <v>0</v>
      </c>
      <c r="F19" s="485" t="e">
        <f t="shared" si="1"/>
        <v>#DIV/0!</v>
      </c>
    </row>
    <row r="20" spans="1:6">
      <c r="A20" s="318" t="s">
        <v>268</v>
      </c>
      <c r="B20" s="459">
        <v>2500</v>
      </c>
      <c r="C20" s="430">
        <v>2800</v>
      </c>
      <c r="D20" s="493">
        <v>3050</v>
      </c>
      <c r="E20" s="484">
        <f t="shared" si="0"/>
        <v>550</v>
      </c>
      <c r="F20" s="485">
        <f t="shared" si="1"/>
        <v>0.22</v>
      </c>
    </row>
    <row r="21" spans="1:6">
      <c r="A21" s="418" t="s">
        <v>269</v>
      </c>
      <c r="B21" s="419">
        <f>B18-B20+B19</f>
        <v>1640</v>
      </c>
      <c r="C21" s="499">
        <f>C18-C20+C19</f>
        <v>1040</v>
      </c>
      <c r="D21" s="498">
        <f>D18-D20+D19</f>
        <v>230</v>
      </c>
      <c r="E21" s="491">
        <f t="shared" si="0"/>
        <v>-1410</v>
      </c>
      <c r="F21" s="492">
        <f t="shared" si="1"/>
        <v>-0.8597560975609756</v>
      </c>
    </row>
    <row r="22" spans="1:6" hidden="1">
      <c r="A22" s="318" t="s">
        <v>168</v>
      </c>
      <c r="B22" s="459"/>
      <c r="C22" s="106"/>
      <c r="D22" s="500"/>
      <c r="E22" s="484">
        <f t="shared" si="0"/>
        <v>0</v>
      </c>
      <c r="F22" s="485" t="e">
        <f t="shared" si="1"/>
        <v>#DIV/0!</v>
      </c>
    </row>
    <row r="23" spans="1:6">
      <c r="A23" s="318" t="s">
        <v>170</v>
      </c>
      <c r="B23" s="459">
        <v>410</v>
      </c>
      <c r="C23" s="430">
        <v>260</v>
      </c>
      <c r="D23" s="493">
        <v>58</v>
      </c>
      <c r="E23" s="484">
        <f t="shared" si="0"/>
        <v>-352</v>
      </c>
      <c r="F23" s="485">
        <f t="shared" si="1"/>
        <v>-0.85853658536585364</v>
      </c>
    </row>
    <row r="24" spans="1:6" ht="13.5" thickBot="1">
      <c r="A24" s="436" t="s">
        <v>270</v>
      </c>
      <c r="B24" s="501">
        <f>B21-B22-B23</f>
        <v>1230</v>
      </c>
      <c r="C24" s="502">
        <f>C21-C22-C23</f>
        <v>780</v>
      </c>
      <c r="D24" s="503">
        <f>D21-D22-D23</f>
        <v>172</v>
      </c>
      <c r="E24" s="504">
        <f t="shared" si="0"/>
        <v>-1058</v>
      </c>
      <c r="F24" s="505">
        <f t="shared" si="1"/>
        <v>-0.86016260162601621</v>
      </c>
    </row>
    <row r="25" spans="1:6" ht="13.5" thickTop="1">
      <c r="A25" s="106"/>
      <c r="B25" s="106"/>
      <c r="C25" s="106"/>
      <c r="D25" s="106"/>
      <c r="E25" s="403">
        <f t="shared" si="0"/>
        <v>0</v>
      </c>
      <c r="F25" s="506"/>
    </row>
    <row r="26" spans="1:6" hidden="1">
      <c r="A26" s="110" t="s">
        <v>271</v>
      </c>
      <c r="B26" s="106"/>
      <c r="C26" s="106"/>
      <c r="D26" s="106"/>
      <c r="E26" s="403">
        <f t="shared" si="0"/>
        <v>0</v>
      </c>
      <c r="F26" s="506"/>
    </row>
    <row r="27" spans="1:6" hidden="1">
      <c r="A27" s="420" t="s">
        <v>272</v>
      </c>
      <c r="B27" s="388">
        <v>0</v>
      </c>
      <c r="C27" s="388">
        <v>0</v>
      </c>
      <c r="D27" s="507">
        <v>0</v>
      </c>
      <c r="E27" s="508">
        <v>0</v>
      </c>
      <c r="F27" s="509" t="e">
        <f t="shared" si="1"/>
        <v>#DIV/0!</v>
      </c>
    </row>
    <row r="28" spans="1:6" hidden="1">
      <c r="A28" s="424" t="s">
        <v>273</v>
      </c>
      <c r="B28" s="22">
        <v>0</v>
      </c>
      <c r="C28" s="22">
        <v>0</v>
      </c>
      <c r="D28" s="510">
        <v>0</v>
      </c>
      <c r="E28" s="376">
        <f t="shared" si="0"/>
        <v>0</v>
      </c>
      <c r="F28" s="511" t="e">
        <f t="shared" si="1"/>
        <v>#DIV/0!</v>
      </c>
    </row>
    <row r="29" spans="1:6" hidden="1">
      <c r="A29" s="512" t="s">
        <v>274</v>
      </c>
      <c r="B29" s="513">
        <v>0</v>
      </c>
      <c r="C29" s="513">
        <v>0</v>
      </c>
      <c r="D29" s="514">
        <v>0</v>
      </c>
      <c r="E29" s="489">
        <f t="shared" si="0"/>
        <v>0</v>
      </c>
      <c r="F29" s="515" t="e">
        <f t="shared" si="1"/>
        <v>#DIV/0!</v>
      </c>
    </row>
    <row r="45" hidden="1"/>
  </sheetData>
  <pageMargins left="0.78740157480314965" right="0.27559055118110237" top="0.59055118110236227" bottom="0.59055118110236227" header="0.51181102362204722" footer="0.51181102362204722"/>
  <pageSetup paperSize="9" scale="140" orientation="landscape" horizontalDpi="300" verticalDpi="300" r:id="rId1"/>
  <headerFooter alignWithMargins="0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36"/>
  <sheetViews>
    <sheetView workbookViewId="0">
      <selection activeCell="E46" sqref="E46"/>
    </sheetView>
  </sheetViews>
  <sheetFormatPr defaultRowHeight="12.75"/>
  <cols>
    <col min="3" max="3" width="5.85546875" customWidth="1"/>
    <col min="4" max="4" width="10.28515625" bestFit="1" customWidth="1"/>
    <col min="5" max="5" width="11.28515625" customWidth="1"/>
    <col min="6" max="6" width="11.28515625" bestFit="1" customWidth="1"/>
    <col min="7" max="7" width="11.7109375" hidden="1" customWidth="1"/>
    <col min="8" max="8" width="9.5703125" hidden="1" customWidth="1"/>
  </cols>
  <sheetData>
    <row r="1" spans="1:8" ht="18.75" thickBot="1">
      <c r="A1" s="516" t="str">
        <f>'Resultatopgørelse til analyse'!A1</f>
        <v>Sommer A/S</v>
      </c>
      <c r="B1" s="517"/>
      <c r="C1" s="518" t="s">
        <v>275</v>
      </c>
      <c r="D1" s="6"/>
      <c r="E1" s="6"/>
      <c r="F1" s="88"/>
      <c r="G1" s="479"/>
      <c r="H1" s="479"/>
    </row>
    <row r="2" spans="1:8" ht="13.5" thickBot="1">
      <c r="A2" s="519" t="s">
        <v>276</v>
      </c>
      <c r="B2" s="520"/>
      <c r="C2" s="520"/>
      <c r="D2" s="521">
        <f>'Resultatopgørelse til analyse'!B2</f>
        <v>2007</v>
      </c>
      <c r="E2" s="521">
        <f>'Resultatopgørelse til analyse'!C2</f>
        <v>2008</v>
      </c>
      <c r="F2" s="522">
        <f>'Resultatopgørelse til analyse'!D2</f>
        <v>2009</v>
      </c>
      <c r="G2" s="523" t="str">
        <f>'Resultatopgørelse til analyse'!E2</f>
        <v xml:space="preserve">Ændring </v>
      </c>
      <c r="H2" s="523" t="s">
        <v>277</v>
      </c>
    </row>
    <row r="3" spans="1:8">
      <c r="A3" s="318" t="s">
        <v>473</v>
      </c>
      <c r="B3" s="106"/>
      <c r="C3" s="106"/>
      <c r="D3" s="459">
        <v>0</v>
      </c>
      <c r="E3" s="430">
        <v>0</v>
      </c>
      <c r="F3" s="493">
        <v>10000</v>
      </c>
      <c r="G3" s="123">
        <f>F3-D3</f>
        <v>10000</v>
      </c>
      <c r="H3" s="485" t="e">
        <f>G3/D3</f>
        <v>#DIV/0!</v>
      </c>
    </row>
    <row r="4" spans="1:8">
      <c r="A4" s="318" t="s">
        <v>471</v>
      </c>
      <c r="B4" s="106"/>
      <c r="C4" s="106"/>
      <c r="D4" s="459">
        <v>0</v>
      </c>
      <c r="E4" s="430">
        <v>0</v>
      </c>
      <c r="F4" s="493">
        <v>8000</v>
      </c>
      <c r="G4" s="123">
        <f t="shared" ref="G4:G35" si="0">F4-D4</f>
        <v>8000</v>
      </c>
      <c r="H4" s="485" t="e">
        <f t="shared" ref="H4:H35" si="1">G4/D4</f>
        <v>#DIV/0!</v>
      </c>
    </row>
    <row r="5" spans="1:8">
      <c r="A5" s="318" t="s">
        <v>472</v>
      </c>
      <c r="B5" s="106"/>
      <c r="C5" s="106"/>
      <c r="D5" s="459">
        <v>0</v>
      </c>
      <c r="E5" s="430">
        <v>0</v>
      </c>
      <c r="F5" s="493">
        <v>4000</v>
      </c>
      <c r="G5" s="123">
        <f t="shared" si="0"/>
        <v>4000</v>
      </c>
      <c r="H5" s="485" t="e">
        <f t="shared" si="1"/>
        <v>#DIV/0!</v>
      </c>
    </row>
    <row r="6" spans="1:8">
      <c r="A6" s="418" t="s">
        <v>195</v>
      </c>
      <c r="B6" s="524"/>
      <c r="C6" s="524"/>
      <c r="D6" s="419">
        <f>SUM(D3:D5)</f>
        <v>0</v>
      </c>
      <c r="E6" s="499">
        <f>SUM(E3:E5)</f>
        <v>0</v>
      </c>
      <c r="F6" s="498">
        <f>SUM(F3:F5)</f>
        <v>22000</v>
      </c>
      <c r="G6" s="525">
        <f t="shared" si="0"/>
        <v>22000</v>
      </c>
      <c r="H6" s="492" t="e">
        <f t="shared" si="1"/>
        <v>#DIV/0!</v>
      </c>
    </row>
    <row r="7" spans="1:8">
      <c r="A7" s="318" t="s">
        <v>197</v>
      </c>
      <c r="B7" s="106"/>
      <c r="C7" s="106"/>
      <c r="D7" s="459">
        <v>0</v>
      </c>
      <c r="E7" s="430">
        <v>0</v>
      </c>
      <c r="F7" s="493">
        <v>0</v>
      </c>
      <c r="G7" s="123">
        <f t="shared" si="0"/>
        <v>0</v>
      </c>
      <c r="H7" s="485" t="e">
        <f t="shared" si="1"/>
        <v>#DIV/0!</v>
      </c>
    </row>
    <row r="8" spans="1:8">
      <c r="A8" s="318" t="s">
        <v>278</v>
      </c>
      <c r="B8" s="106"/>
      <c r="C8" s="430"/>
      <c r="D8" s="459">
        <v>0</v>
      </c>
      <c r="E8" s="430">
        <v>0</v>
      </c>
      <c r="F8" s="493">
        <f>5200+2800</f>
        <v>8000</v>
      </c>
      <c r="G8" s="123">
        <f t="shared" si="0"/>
        <v>8000</v>
      </c>
      <c r="H8" s="485" t="e">
        <f t="shared" si="1"/>
        <v>#DIV/0!</v>
      </c>
    </row>
    <row r="9" spans="1:8">
      <c r="A9" s="318" t="s">
        <v>201</v>
      </c>
      <c r="B9" s="106"/>
      <c r="C9" s="106"/>
      <c r="D9" s="459">
        <v>0</v>
      </c>
      <c r="E9" s="430">
        <v>0</v>
      </c>
      <c r="F9" s="493">
        <v>9400</v>
      </c>
      <c r="G9" s="123">
        <f t="shared" si="0"/>
        <v>9400</v>
      </c>
      <c r="H9" s="485" t="e">
        <f t="shared" si="1"/>
        <v>#DIV/0!</v>
      </c>
    </row>
    <row r="10" spans="1:8" hidden="1">
      <c r="A10" s="318" t="s">
        <v>203</v>
      </c>
      <c r="B10" s="106"/>
      <c r="C10" s="106"/>
      <c r="D10" s="459">
        <v>0</v>
      </c>
      <c r="E10" s="430">
        <v>0</v>
      </c>
      <c r="F10" s="493">
        <v>0</v>
      </c>
      <c r="G10" s="123">
        <f t="shared" si="0"/>
        <v>0</v>
      </c>
      <c r="H10" s="485" t="e">
        <f t="shared" si="1"/>
        <v>#DIV/0!</v>
      </c>
    </row>
    <row r="11" spans="1:8" hidden="1">
      <c r="A11" s="318" t="s">
        <v>205</v>
      </c>
      <c r="B11" s="106"/>
      <c r="C11" s="106"/>
      <c r="D11" s="459">
        <v>0</v>
      </c>
      <c r="E11" s="430">
        <v>0</v>
      </c>
      <c r="F11" s="493">
        <v>0</v>
      </c>
      <c r="G11" s="123">
        <f t="shared" si="0"/>
        <v>0</v>
      </c>
      <c r="H11" s="485" t="e">
        <f t="shared" si="1"/>
        <v>#DIV/0!</v>
      </c>
    </row>
    <row r="12" spans="1:8" hidden="1">
      <c r="A12" s="318" t="s">
        <v>204</v>
      </c>
      <c r="B12" s="106"/>
      <c r="C12" s="106"/>
      <c r="D12" s="459">
        <v>0</v>
      </c>
      <c r="E12" s="430">
        <v>0</v>
      </c>
      <c r="F12" s="493">
        <v>0</v>
      </c>
      <c r="G12" s="123">
        <f t="shared" si="0"/>
        <v>0</v>
      </c>
      <c r="H12" s="485" t="e">
        <f t="shared" si="1"/>
        <v>#DIV/0!</v>
      </c>
    </row>
    <row r="13" spans="1:8">
      <c r="A13" s="318" t="s">
        <v>279</v>
      </c>
      <c r="B13" s="106"/>
      <c r="C13" s="106"/>
      <c r="D13" s="459">
        <v>0</v>
      </c>
      <c r="E13" s="430">
        <v>0</v>
      </c>
      <c r="F13" s="493">
        <v>30</v>
      </c>
      <c r="G13" s="123">
        <f t="shared" si="0"/>
        <v>30</v>
      </c>
      <c r="H13" s="485" t="e">
        <f t="shared" si="1"/>
        <v>#DIV/0!</v>
      </c>
    </row>
    <row r="14" spans="1:8">
      <c r="A14" s="418" t="s">
        <v>209</v>
      </c>
      <c r="B14" s="524"/>
      <c r="C14" s="524"/>
      <c r="D14" s="419">
        <f>SUM(D7:D13)</f>
        <v>0</v>
      </c>
      <c r="E14" s="499">
        <f>SUM(E7:E13)</f>
        <v>0</v>
      </c>
      <c r="F14" s="498">
        <f>SUM(F7:F13)</f>
        <v>17430</v>
      </c>
      <c r="G14" s="525">
        <f t="shared" si="0"/>
        <v>17430</v>
      </c>
      <c r="H14" s="492" t="e">
        <f t="shared" si="1"/>
        <v>#DIV/0!</v>
      </c>
    </row>
    <row r="15" spans="1:8" ht="13.5" thickBot="1">
      <c r="A15" s="436" t="s">
        <v>211</v>
      </c>
      <c r="B15" s="526"/>
      <c r="C15" s="526"/>
      <c r="D15" s="527">
        <f>SUM(D6:D13)</f>
        <v>0</v>
      </c>
      <c r="E15" s="440">
        <f>SUM(E6:E13)</f>
        <v>0</v>
      </c>
      <c r="F15" s="528">
        <f>SUM(F6:F13)</f>
        <v>39430</v>
      </c>
      <c r="G15" s="529">
        <f t="shared" si="0"/>
        <v>39430</v>
      </c>
      <c r="H15" s="505" t="e">
        <f t="shared" si="1"/>
        <v>#DIV/0!</v>
      </c>
    </row>
    <row r="16" spans="1:8" ht="14.25" thickTop="1" thickBot="1">
      <c r="A16" s="110"/>
      <c r="B16" s="110"/>
      <c r="C16" s="110"/>
      <c r="D16" s="122"/>
      <c r="E16" s="122"/>
      <c r="F16" s="122"/>
      <c r="G16" s="430"/>
      <c r="H16" s="506"/>
    </row>
    <row r="17" spans="1:8">
      <c r="A17" s="399" t="s">
        <v>280</v>
      </c>
      <c r="B17" s="530"/>
      <c r="C17" s="530"/>
      <c r="D17" s="531">
        <f>D33</f>
        <v>0</v>
      </c>
      <c r="E17" s="532">
        <f>E33</f>
        <v>0</v>
      </c>
      <c r="F17" s="533">
        <f>F33</f>
        <v>11500</v>
      </c>
      <c r="G17" s="534">
        <f t="shared" si="0"/>
        <v>11500</v>
      </c>
      <c r="H17" s="535" t="e">
        <f t="shared" si="1"/>
        <v>#DIV/0!</v>
      </c>
    </row>
    <row r="18" spans="1:8" hidden="1">
      <c r="A18" s="416"/>
      <c r="B18" s="110"/>
      <c r="C18" s="110"/>
      <c r="D18" s="536"/>
      <c r="E18" s="122"/>
      <c r="F18" s="537"/>
      <c r="G18" s="123">
        <f t="shared" si="0"/>
        <v>0</v>
      </c>
      <c r="H18" s="485" t="e">
        <f t="shared" si="1"/>
        <v>#DIV/0!</v>
      </c>
    </row>
    <row r="19" spans="1:8" hidden="1">
      <c r="A19" s="416" t="s">
        <v>188</v>
      </c>
      <c r="B19" s="110"/>
      <c r="C19" s="110"/>
      <c r="D19" s="459">
        <v>0</v>
      </c>
      <c r="E19" s="430">
        <v>0</v>
      </c>
      <c r="F19" s="493">
        <v>0</v>
      </c>
      <c r="G19" s="123">
        <f t="shared" si="0"/>
        <v>0</v>
      </c>
      <c r="H19" s="485" t="e">
        <f t="shared" si="1"/>
        <v>#DIV/0!</v>
      </c>
    </row>
    <row r="20" spans="1:8" hidden="1">
      <c r="A20" s="416"/>
      <c r="B20" s="110"/>
      <c r="C20" s="110"/>
      <c r="D20" s="536"/>
      <c r="E20" s="122"/>
      <c r="F20" s="537"/>
      <c r="G20" s="123">
        <f t="shared" si="0"/>
        <v>0</v>
      </c>
      <c r="H20" s="485" t="e">
        <f t="shared" si="1"/>
        <v>#DIV/0!</v>
      </c>
    </row>
    <row r="21" spans="1:8">
      <c r="A21" s="417" t="s">
        <v>190</v>
      </c>
      <c r="B21" s="110"/>
      <c r="C21" s="110"/>
      <c r="D21" s="538">
        <v>0</v>
      </c>
      <c r="E21" s="539">
        <v>0</v>
      </c>
      <c r="F21" s="540">
        <v>13400</v>
      </c>
      <c r="G21" s="123">
        <f t="shared" si="0"/>
        <v>13400</v>
      </c>
      <c r="H21" s="485" t="e">
        <f t="shared" si="1"/>
        <v>#DIV/0!</v>
      </c>
    </row>
    <row r="22" spans="1:8" hidden="1">
      <c r="A22" s="417" t="s">
        <v>204</v>
      </c>
      <c r="B22" s="110"/>
      <c r="C22" s="110"/>
      <c r="D22" s="538">
        <v>0</v>
      </c>
      <c r="E22" s="539">
        <v>0</v>
      </c>
      <c r="F22" s="540">
        <v>0</v>
      </c>
      <c r="G22" s="123">
        <f t="shared" si="0"/>
        <v>0</v>
      </c>
      <c r="H22" s="485" t="e">
        <f t="shared" si="1"/>
        <v>#DIV/0!</v>
      </c>
    </row>
    <row r="23" spans="1:8" hidden="1">
      <c r="A23" s="318" t="s">
        <v>194</v>
      </c>
      <c r="B23" s="106"/>
      <c r="C23" s="430"/>
      <c r="D23" s="538">
        <v>0</v>
      </c>
      <c r="E23" s="539">
        <v>0</v>
      </c>
      <c r="F23" s="540">
        <v>0</v>
      </c>
      <c r="G23" s="123">
        <f t="shared" si="0"/>
        <v>0</v>
      </c>
      <c r="H23" s="485" t="e">
        <f t="shared" si="1"/>
        <v>#DIV/0!</v>
      </c>
    </row>
    <row r="24" spans="1:8">
      <c r="A24" s="418" t="s">
        <v>196</v>
      </c>
      <c r="B24" s="541"/>
      <c r="C24" s="542"/>
      <c r="D24" s="466">
        <f>SUM(D21:D23)</f>
        <v>0</v>
      </c>
      <c r="E24" s="543">
        <f>SUM(E21:E23)</f>
        <v>0</v>
      </c>
      <c r="F24" s="544">
        <f>SUM(F21:F23)</f>
        <v>13400</v>
      </c>
      <c r="G24" s="525">
        <f t="shared" si="0"/>
        <v>13400</v>
      </c>
      <c r="H24" s="492" t="e">
        <f t="shared" si="1"/>
        <v>#DIV/0!</v>
      </c>
    </row>
    <row r="25" spans="1:8">
      <c r="A25" s="417" t="s">
        <v>198</v>
      </c>
      <c r="B25" s="110"/>
      <c r="C25" s="545"/>
      <c r="D25" s="459">
        <v>0</v>
      </c>
      <c r="E25" s="430">
        <v>0</v>
      </c>
      <c r="F25" s="493">
        <v>0</v>
      </c>
      <c r="G25" s="123">
        <f t="shared" si="0"/>
        <v>0</v>
      </c>
      <c r="H25" s="485" t="e">
        <f t="shared" si="1"/>
        <v>#DIV/0!</v>
      </c>
    </row>
    <row r="26" spans="1:8">
      <c r="A26" s="318" t="s">
        <v>199</v>
      </c>
      <c r="B26" s="106"/>
      <c r="C26" s="106"/>
      <c r="D26" s="459">
        <v>0</v>
      </c>
      <c r="E26" s="430">
        <v>0</v>
      </c>
      <c r="F26" s="493">
        <v>4176</v>
      </c>
      <c r="G26" s="123">
        <f t="shared" si="0"/>
        <v>4176</v>
      </c>
      <c r="H26" s="485" t="e">
        <f t="shared" si="1"/>
        <v>#DIV/0!</v>
      </c>
    </row>
    <row r="27" spans="1:8" hidden="1">
      <c r="A27" s="318" t="s">
        <v>194</v>
      </c>
      <c r="B27" s="106"/>
      <c r="C27" s="106"/>
      <c r="D27" s="459">
        <v>0</v>
      </c>
      <c r="E27" s="430">
        <v>0</v>
      </c>
      <c r="F27" s="493">
        <v>0</v>
      </c>
      <c r="G27" s="123">
        <f t="shared" si="0"/>
        <v>0</v>
      </c>
      <c r="H27" s="485" t="e">
        <f t="shared" si="1"/>
        <v>#DIV/0!</v>
      </c>
    </row>
    <row r="28" spans="1:8">
      <c r="A28" s="318" t="s">
        <v>474</v>
      </c>
      <c r="B28" s="106"/>
      <c r="C28" s="106"/>
      <c r="D28" s="459">
        <v>0</v>
      </c>
      <c r="E28" s="430">
        <v>0</v>
      </c>
      <c r="F28" s="493">
        <v>7904</v>
      </c>
      <c r="G28" s="123">
        <f t="shared" si="0"/>
        <v>7904</v>
      </c>
      <c r="H28" s="485" t="e">
        <f t="shared" si="1"/>
        <v>#DIV/0!</v>
      </c>
    </row>
    <row r="29" spans="1:8">
      <c r="A29" s="318" t="s">
        <v>202</v>
      </c>
      <c r="B29" s="106"/>
      <c r="C29" s="106"/>
      <c r="D29" s="459">
        <v>0</v>
      </c>
      <c r="E29" s="430">
        <v>0</v>
      </c>
      <c r="F29" s="493">
        <v>2450</v>
      </c>
      <c r="G29" s="123">
        <f t="shared" si="0"/>
        <v>2450</v>
      </c>
      <c r="H29" s="485" t="e">
        <f t="shared" si="1"/>
        <v>#DIV/0!</v>
      </c>
    </row>
    <row r="30" spans="1:8" ht="12.75" hidden="1" customHeight="1">
      <c r="A30" s="318" t="s">
        <v>172</v>
      </c>
      <c r="B30" s="106"/>
      <c r="C30" s="106"/>
      <c r="D30" s="459">
        <v>0</v>
      </c>
      <c r="E30" s="430">
        <v>0</v>
      </c>
      <c r="F30" s="493">
        <v>0</v>
      </c>
      <c r="G30" s="123">
        <f t="shared" si="0"/>
        <v>0</v>
      </c>
      <c r="H30" s="485" t="e">
        <f t="shared" si="1"/>
        <v>#DIV/0!</v>
      </c>
    </row>
    <row r="31" spans="1:8">
      <c r="A31" s="418" t="s">
        <v>210</v>
      </c>
      <c r="B31" s="524"/>
      <c r="C31" s="524"/>
      <c r="D31" s="419">
        <f>SUM(D25:D30)</f>
        <v>0</v>
      </c>
      <c r="E31" s="499">
        <f>SUM(E25:E30)</f>
        <v>0</v>
      </c>
      <c r="F31" s="498">
        <f>SUM(F25:F30)</f>
        <v>14530</v>
      </c>
      <c r="G31" s="525">
        <f t="shared" si="0"/>
        <v>14530</v>
      </c>
      <c r="H31" s="492" t="e">
        <f t="shared" si="1"/>
        <v>#DIV/0!</v>
      </c>
    </row>
    <row r="32" spans="1:8">
      <c r="A32" s="416" t="s">
        <v>281</v>
      </c>
      <c r="B32" s="110"/>
      <c r="C32" s="110"/>
      <c r="D32" s="536">
        <f>D31+D24+D19</f>
        <v>0</v>
      </c>
      <c r="E32" s="122">
        <f>E31+E24+E19</f>
        <v>0</v>
      </c>
      <c r="F32" s="537">
        <f>F31+F24+F19</f>
        <v>27930</v>
      </c>
      <c r="G32" s="525">
        <f t="shared" si="0"/>
        <v>27930</v>
      </c>
      <c r="H32" s="492" t="e">
        <f t="shared" si="1"/>
        <v>#DIV/0!</v>
      </c>
    </row>
    <row r="33" spans="1:8" hidden="1">
      <c r="A33" s="318" t="s">
        <v>282</v>
      </c>
      <c r="B33" s="106"/>
      <c r="C33" s="106"/>
      <c r="D33" s="459">
        <f>D15-D32</f>
        <v>0</v>
      </c>
      <c r="E33" s="430">
        <f>E15-E32</f>
        <v>0</v>
      </c>
      <c r="F33" s="493">
        <f>F15-F32</f>
        <v>11500</v>
      </c>
      <c r="G33" s="525">
        <f t="shared" si="0"/>
        <v>11500</v>
      </c>
      <c r="H33" s="492" t="e">
        <f t="shared" si="1"/>
        <v>#DIV/0!</v>
      </c>
    </row>
    <row r="34" spans="1:8" hidden="1">
      <c r="A34" s="318"/>
      <c r="B34" s="106"/>
      <c r="C34" s="106"/>
      <c r="D34" s="546"/>
      <c r="E34" s="106"/>
      <c r="F34" s="500"/>
      <c r="G34" s="525">
        <f t="shared" si="0"/>
        <v>0</v>
      </c>
      <c r="H34" s="492" t="e">
        <f t="shared" si="1"/>
        <v>#DIV/0!</v>
      </c>
    </row>
    <row r="35" spans="1:8" ht="13.5" thickBot="1">
      <c r="A35" s="436" t="s">
        <v>212</v>
      </c>
      <c r="B35" s="526"/>
      <c r="C35" s="526"/>
      <c r="D35" s="501">
        <f>D32+D17</f>
        <v>0</v>
      </c>
      <c r="E35" s="502">
        <f>E32+E17</f>
        <v>0</v>
      </c>
      <c r="F35" s="503">
        <f>F32+F17</f>
        <v>39430</v>
      </c>
      <c r="G35" s="529">
        <f t="shared" si="0"/>
        <v>39430</v>
      </c>
      <c r="H35" s="505" t="e">
        <f t="shared" si="1"/>
        <v>#DIV/0!</v>
      </c>
    </row>
    <row r="36" spans="1:8" ht="13.5" thickTop="1"/>
  </sheetData>
  <mergeCells count="1">
    <mergeCell ref="A1:B1"/>
  </mergeCells>
  <pageMargins left="0.59055118110236227" right="0.39370078740157483" top="0.98425196850393704" bottom="0.98425196850393704" header="0" footer="0"/>
  <pageSetup paperSize="9" scale="120" orientation="portrait" horizontalDpi="300" verticalDpi="300" r:id="rId1"/>
  <headerFooter alignWithMargins="0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304"/>
  <sheetViews>
    <sheetView zoomScale="75" zoomScaleNormal="75" workbookViewId="0">
      <selection activeCell="C34" sqref="C34"/>
    </sheetView>
  </sheetViews>
  <sheetFormatPr defaultRowHeight="12.75"/>
  <cols>
    <col min="2" max="2" width="15.140625" customWidth="1"/>
    <col min="3" max="3" width="27.28515625" customWidth="1"/>
    <col min="4" max="4" width="6.28515625" customWidth="1"/>
    <col min="5" max="5" width="3.7109375" customWidth="1"/>
    <col min="6" max="6" width="17.140625" hidden="1" customWidth="1"/>
    <col min="7" max="7" width="10.28515625" hidden="1" customWidth="1"/>
    <col min="8" max="8" width="13.7109375" hidden="1" customWidth="1"/>
    <col min="9" max="9" width="12.28515625" hidden="1" customWidth="1"/>
    <col min="10" max="10" width="35.140625" customWidth="1"/>
    <col min="11" max="11" width="13" hidden="1" customWidth="1"/>
  </cols>
  <sheetData>
    <row r="1" spans="1:11" ht="27" thickBot="1">
      <c r="A1" s="547"/>
      <c r="B1" s="6"/>
      <c r="C1" s="548" t="s">
        <v>283</v>
      </c>
      <c r="D1" s="6"/>
      <c r="E1" s="6"/>
      <c r="F1" s="549" t="str">
        <f>'Resultatopgørelse til analyse'!A1</f>
        <v>Sommer A/S</v>
      </c>
      <c r="G1" s="550"/>
      <c r="H1" s="550"/>
      <c r="I1" s="550"/>
      <c r="J1" s="551"/>
      <c r="K1" s="552"/>
    </row>
    <row r="2" spans="1:11" ht="15.75">
      <c r="A2" s="553"/>
      <c r="B2" s="554"/>
      <c r="C2" s="555"/>
      <c r="D2" s="555"/>
      <c r="E2" s="555"/>
      <c r="F2" s="555"/>
      <c r="G2" s="555"/>
      <c r="H2" s="556">
        <f>'Resultatopgørelse til analyse'!B2</f>
        <v>2007</v>
      </c>
      <c r="I2" s="556">
        <f>'Resultatopgørelse til analyse'!C2</f>
        <v>2008</v>
      </c>
      <c r="J2" s="557">
        <f>'Resultatopgørelse til analyse'!D2</f>
        <v>2009</v>
      </c>
      <c r="K2" s="558" t="s">
        <v>257</v>
      </c>
    </row>
    <row r="3" spans="1:11" ht="15.75">
      <c r="A3" s="559" t="s">
        <v>284</v>
      </c>
      <c r="B3" s="560"/>
      <c r="C3" s="561" t="s">
        <v>285</v>
      </c>
      <c r="D3" s="561"/>
      <c r="E3" s="561"/>
      <c r="F3" s="562" t="s">
        <v>286</v>
      </c>
      <c r="G3" s="563">
        <f>H2</f>
        <v>2007</v>
      </c>
      <c r="H3" s="564"/>
      <c r="I3" s="564"/>
      <c r="J3" s="565"/>
      <c r="K3" s="566"/>
    </row>
    <row r="4" spans="1:11" ht="13.5" thickBot="1">
      <c r="A4" s="567" t="s">
        <v>287</v>
      </c>
      <c r="B4" s="388"/>
      <c r="C4" s="568" t="str">
        <f>'Resultatopgørelse til analyse'!A18</f>
        <v>Resultat før renter (EBIT)</v>
      </c>
      <c r="D4" s="569" t="s">
        <v>288</v>
      </c>
      <c r="E4" s="388"/>
      <c r="F4" s="570">
        <f>'Resultatopgørelse til analyse'!B18</f>
        <v>4140</v>
      </c>
      <c r="G4" s="571" t="s">
        <v>288</v>
      </c>
      <c r="H4" s="572" t="e">
        <f>'Resultatopgørelse til analyse'!B18/'Balance til analyse'!D15</f>
        <v>#DIV/0!</v>
      </c>
      <c r="I4" s="572" t="e">
        <f>'Resultatopgørelse til analyse'!C18/'Balance til analyse'!E15</f>
        <v>#DIV/0!</v>
      </c>
      <c r="J4" s="573">
        <f>'Resultatopgørelse til analyse'!D18/'Balance til analyse'!F15</f>
        <v>8.3185391833629219E-2</v>
      </c>
      <c r="K4" s="574" t="e">
        <f>(J4-H4)/H4</f>
        <v>#DIV/0!</v>
      </c>
    </row>
    <row r="5" spans="1:11">
      <c r="A5" s="575"/>
      <c r="B5" s="513"/>
      <c r="C5" s="576" t="str">
        <f>'Balance til analyse'!A15</f>
        <v>Aktiver i alt</v>
      </c>
      <c r="D5" s="576"/>
      <c r="E5" s="576"/>
      <c r="F5" s="577">
        <f>'Balance til analyse'!D35</f>
        <v>0</v>
      </c>
      <c r="G5" s="577"/>
      <c r="H5" s="578"/>
      <c r="I5" s="578"/>
      <c r="J5" s="579"/>
      <c r="K5" s="580"/>
    </row>
    <row r="6" spans="1:11" ht="15.75" customHeight="1" thickBot="1">
      <c r="A6" s="567" t="s">
        <v>289</v>
      </c>
      <c r="B6" s="388"/>
      <c r="C6" s="568" t="str">
        <f>C4</f>
        <v>Resultat før renter (EBIT)</v>
      </c>
      <c r="D6" s="571" t="str">
        <f>D4</f>
        <v>*100</v>
      </c>
      <c r="E6" s="581"/>
      <c r="F6" s="570">
        <f>F4</f>
        <v>4140</v>
      </c>
      <c r="G6" s="571" t="s">
        <v>288</v>
      </c>
      <c r="H6" s="572">
        <f>'Resultatopgørelse til analyse'!B18/'Resultatopgørelse til analyse'!B3</f>
        <v>7.4326750448833037E-2</v>
      </c>
      <c r="I6" s="572">
        <f>'Resultatopgørelse til analyse'!C18/'Resultatopgørelse til analyse'!C3</f>
        <v>6.552901023890785E-2</v>
      </c>
      <c r="J6" s="573">
        <f>'Resultatopgørelse til analyse'!D18/'Resultatopgørelse til analyse'!D3</f>
        <v>5.4485049833887043E-2</v>
      </c>
      <c r="K6" s="574">
        <f t="shared" ref="K6:K68" si="0">(J6-H6)/H6</f>
        <v>-0.26695234885325891</v>
      </c>
    </row>
    <row r="7" spans="1:11">
      <c r="A7" s="575"/>
      <c r="B7" s="513"/>
      <c r="C7" s="576" t="str">
        <f>'Resultatopgørelse til analyse'!A3</f>
        <v>Nettoomsætning</v>
      </c>
      <c r="D7" s="576"/>
      <c r="E7" s="576"/>
      <c r="F7" s="582">
        <f>'Resultatopgørelse til analyse'!B3</f>
        <v>55700</v>
      </c>
      <c r="G7" s="576"/>
      <c r="H7" s="578"/>
      <c r="I7" s="578"/>
      <c r="J7" s="579"/>
      <c r="K7" s="580"/>
    </row>
    <row r="8" spans="1:11" ht="13.5" thickBot="1">
      <c r="A8" s="567" t="s">
        <v>290</v>
      </c>
      <c r="B8" s="388"/>
      <c r="C8" s="568" t="str">
        <f>C7</f>
        <v>Nettoomsætning</v>
      </c>
      <c r="D8" s="568"/>
      <c r="E8" s="581"/>
      <c r="F8" s="583">
        <f>F7</f>
        <v>55700</v>
      </c>
      <c r="G8" s="569"/>
      <c r="H8" s="584" t="e">
        <f>'Resultatopgørelse til analyse'!B3/'Balance til analyse'!D15</f>
        <v>#DIV/0!</v>
      </c>
      <c r="I8" s="584" t="e">
        <f>'Resultatopgørelse til analyse'!C3/'Balance til analyse'!E15</f>
        <v>#DIV/0!</v>
      </c>
      <c r="J8" s="585">
        <f>'Resultatopgørelse til analyse'!D3/'Balance til analyse'!F15</f>
        <v>1.5267562769464875</v>
      </c>
      <c r="K8" s="574" t="e">
        <f t="shared" si="0"/>
        <v>#DIV/0!</v>
      </c>
    </row>
    <row r="9" spans="1:11">
      <c r="A9" s="575"/>
      <c r="B9" s="513"/>
      <c r="C9" s="576" t="str">
        <f>C5</f>
        <v>Aktiver i alt</v>
      </c>
      <c r="D9" s="576"/>
      <c r="E9" s="576"/>
      <c r="F9" s="586">
        <f>F5</f>
        <v>0</v>
      </c>
      <c r="G9" s="513"/>
      <c r="H9" s="578"/>
      <c r="I9" s="578"/>
      <c r="J9" s="579"/>
      <c r="K9" s="580"/>
    </row>
    <row r="10" spans="1:11" ht="13.5" thickBot="1">
      <c r="A10" s="38" t="s">
        <v>291</v>
      </c>
      <c r="B10" s="22"/>
      <c r="C10" s="568" t="str">
        <f>'Resultatopgørelse til analyse'!A20</f>
        <v>Rente omkostninger</v>
      </c>
      <c r="D10" s="569" t="str">
        <f>D6</f>
        <v>*100</v>
      </c>
      <c r="E10" s="22"/>
      <c r="F10" s="66">
        <f>'Resultatopgørelse til analyse'!B20</f>
        <v>2500</v>
      </c>
      <c r="G10" s="66" t="str">
        <f>G6</f>
        <v>*100</v>
      </c>
      <c r="H10" s="587" t="e">
        <f>('Resultatopgørelse til analyse'!B20/('Balance til analyse'!D32))</f>
        <v>#DIV/0!</v>
      </c>
      <c r="I10" s="587" t="e">
        <f>('Resultatopgørelse til analyse'!C20/('Balance til analyse'!E32))</f>
        <v>#DIV/0!</v>
      </c>
      <c r="J10" s="588">
        <f>('Resultatopgørelse til analyse'!D20/('Balance til analyse'!F32))</f>
        <v>0.10920157536698891</v>
      </c>
      <c r="K10" s="574" t="e">
        <f t="shared" si="0"/>
        <v>#DIV/0!</v>
      </c>
    </row>
    <row r="11" spans="1:11">
      <c r="A11" s="38"/>
      <c r="B11" s="22"/>
      <c r="C11" s="47" t="s">
        <v>292</v>
      </c>
      <c r="D11" s="47"/>
      <c r="E11" s="47"/>
      <c r="F11" s="22">
        <f>'Balance til analyse'!D32</f>
        <v>0</v>
      </c>
      <c r="G11" s="589"/>
      <c r="H11" s="590"/>
      <c r="I11" s="590"/>
      <c r="J11" s="591"/>
      <c r="K11" s="580"/>
    </row>
    <row r="12" spans="1:11" ht="13.5" thickBot="1">
      <c r="A12" s="567" t="s">
        <v>293</v>
      </c>
      <c r="B12" s="388"/>
      <c r="C12" s="568" t="str">
        <f>'Resultatopgørelse til analyse'!A21</f>
        <v>Resultat efter renter</v>
      </c>
      <c r="D12" s="571" t="str">
        <f>D10</f>
        <v>*100</v>
      </c>
      <c r="E12" s="581"/>
      <c r="F12" s="592">
        <f>'Resultatopgørelse til analyse'!B21</f>
        <v>1640</v>
      </c>
      <c r="G12" s="569" t="s">
        <v>288</v>
      </c>
      <c r="H12" s="572" t="e">
        <f>'Resultatopgørelse til analyse'!B21/'Balance til analyse'!D17</f>
        <v>#DIV/0!</v>
      </c>
      <c r="I12" s="572" t="e">
        <f>'Resultatopgørelse til analyse'!C21/'Balance til analyse'!E17</f>
        <v>#DIV/0!</v>
      </c>
      <c r="J12" s="573">
        <f>'Resultatopgørelse til analyse'!D21/'Balance til analyse'!F17</f>
        <v>0.02</v>
      </c>
      <c r="K12" s="574" t="e">
        <f t="shared" si="0"/>
        <v>#DIV/0!</v>
      </c>
    </row>
    <row r="13" spans="1:11">
      <c r="A13" s="575" t="s">
        <v>294</v>
      </c>
      <c r="B13" s="513"/>
      <c r="C13" s="576" t="s">
        <v>295</v>
      </c>
      <c r="D13" s="576"/>
      <c r="E13" s="576"/>
      <c r="F13" s="434">
        <f>'Balance til analyse'!D17</f>
        <v>0</v>
      </c>
      <c r="G13" s="513"/>
      <c r="H13" s="578"/>
      <c r="I13" s="578"/>
      <c r="J13" s="579"/>
      <c r="K13" s="580"/>
    </row>
    <row r="14" spans="1:11" ht="13.5" thickBot="1">
      <c r="A14" s="567" t="str">
        <f>A12</f>
        <v>Egenkapital forrentning</v>
      </c>
      <c r="B14" s="388"/>
      <c r="C14" s="568" t="str">
        <f>'Resultatopgørelse til analyse'!A24</f>
        <v>Resultat efter skat</v>
      </c>
      <c r="D14" s="571" t="str">
        <f>D12</f>
        <v>*100</v>
      </c>
      <c r="E14" s="581"/>
      <c r="F14" s="593">
        <f>'Resultatopgørelse til analyse'!B24</f>
        <v>1230</v>
      </c>
      <c r="G14" s="569" t="str">
        <f>G12</f>
        <v>*100</v>
      </c>
      <c r="H14" s="572" t="e">
        <f>'Resultatopgørelse til analyse'!B24/'Balance til analyse'!D17</f>
        <v>#DIV/0!</v>
      </c>
      <c r="I14" s="572" t="e">
        <f>'Resultatopgørelse til analyse'!C24/'Balance til analyse'!E17</f>
        <v>#DIV/0!</v>
      </c>
      <c r="J14" s="573">
        <f>'Resultatopgørelse til analyse'!D24/'Balance til analyse'!F17</f>
        <v>1.4956521739130434E-2</v>
      </c>
      <c r="K14" s="574" t="e">
        <f t="shared" si="0"/>
        <v>#DIV/0!</v>
      </c>
    </row>
    <row r="15" spans="1:11">
      <c r="A15" s="575" t="s">
        <v>296</v>
      </c>
      <c r="B15" s="513"/>
      <c r="C15" s="576" t="str">
        <f>C13</f>
        <v>Egenkapitalen primo</v>
      </c>
      <c r="D15" s="576"/>
      <c r="E15" s="576"/>
      <c r="F15" s="434">
        <f>F13</f>
        <v>0</v>
      </c>
      <c r="G15" s="513"/>
      <c r="H15" s="578"/>
      <c r="I15" s="578"/>
      <c r="J15" s="579"/>
      <c r="K15" s="580"/>
    </row>
    <row r="16" spans="1:11" ht="15.75">
      <c r="A16" s="594" t="s">
        <v>297</v>
      </c>
      <c r="B16" s="595"/>
      <c r="C16" s="596"/>
      <c r="D16" s="596"/>
      <c r="E16" s="596"/>
      <c r="F16" s="596"/>
      <c r="G16" s="596"/>
      <c r="H16" s="597"/>
      <c r="I16" s="597"/>
      <c r="J16" s="598"/>
      <c r="K16" s="599"/>
    </row>
    <row r="17" spans="1:11" ht="13.5" thickBot="1">
      <c r="A17" s="38" t="s">
        <v>298</v>
      </c>
      <c r="B17" s="22"/>
      <c r="C17" s="32" t="str">
        <f>C6</f>
        <v>Resultat før renter (EBIT)</v>
      </c>
      <c r="D17" s="66"/>
      <c r="E17" s="22"/>
      <c r="F17" s="66">
        <f>F6</f>
        <v>4140</v>
      </c>
      <c r="G17" s="66" t="str">
        <f>G6</f>
        <v>*100</v>
      </c>
      <c r="H17" s="587">
        <f>H6</f>
        <v>7.4326750448833037E-2</v>
      </c>
      <c r="I17" s="587">
        <f>I6</f>
        <v>6.552901023890785E-2</v>
      </c>
      <c r="J17" s="588">
        <f>J6</f>
        <v>5.4485049833887043E-2</v>
      </c>
      <c r="K17" s="574">
        <f t="shared" si="0"/>
        <v>-0.26695234885325891</v>
      </c>
    </row>
    <row r="18" spans="1:11">
      <c r="A18" s="575"/>
      <c r="B18" s="513"/>
      <c r="C18" s="576" t="str">
        <f>C7</f>
        <v>Nettoomsætning</v>
      </c>
      <c r="D18" s="47"/>
      <c r="E18" s="47"/>
      <c r="F18" s="513">
        <f>F7</f>
        <v>55700</v>
      </c>
      <c r="G18" s="513"/>
      <c r="H18" s="600"/>
      <c r="I18" s="600"/>
      <c r="J18" s="601"/>
      <c r="K18" s="580"/>
    </row>
    <row r="19" spans="1:11" ht="13.5" thickBot="1">
      <c r="A19" s="567" t="s">
        <v>299</v>
      </c>
      <c r="B19" s="388"/>
      <c r="C19" s="568" t="str">
        <f>'Resultatopgørelse til analyse'!A7</f>
        <v>Bruttoresultat</v>
      </c>
      <c r="D19" s="66" t="str">
        <f>D14</f>
        <v>*100</v>
      </c>
      <c r="E19" s="22"/>
      <c r="F19" s="593">
        <f>'Resultatopgørelse til analyse'!B7</f>
        <v>21440</v>
      </c>
      <c r="G19" s="569" t="s">
        <v>288</v>
      </c>
      <c r="H19" s="572">
        <f>'Resultatopgørelse til analyse'!B7/'Resultatopgørelse til analyse'!B3</f>
        <v>0.38491921005385998</v>
      </c>
      <c r="I19" s="572">
        <f>'Resultatopgørelse til analyse'!C7/'Resultatopgørelse til analyse'!C3</f>
        <v>0.39061433447098975</v>
      </c>
      <c r="J19" s="573">
        <f>'Resultatopgørelse til analyse'!D7/'Resultatopgørelse til analyse'!D3</f>
        <v>0.3983388704318937</v>
      </c>
      <c r="K19" s="574">
        <f t="shared" si="0"/>
        <v>3.486357663509692E-2</v>
      </c>
    </row>
    <row r="20" spans="1:11">
      <c r="A20" s="575"/>
      <c r="B20" s="513"/>
      <c r="C20" s="576" t="str">
        <f>C18</f>
        <v>Nettoomsætning</v>
      </c>
      <c r="D20" s="576"/>
      <c r="E20" s="576"/>
      <c r="F20" s="602">
        <f>F7</f>
        <v>55700</v>
      </c>
      <c r="G20" s="513"/>
      <c r="H20" s="600"/>
      <c r="I20" s="600"/>
      <c r="J20" s="601"/>
      <c r="K20" s="580"/>
    </row>
    <row r="21" spans="1:11" ht="13.5" thickBot="1">
      <c r="A21" s="567" t="s">
        <v>300</v>
      </c>
      <c r="B21" s="388"/>
      <c r="C21" s="568" t="str">
        <f>'Resultatopgørelse til analyse'!A9</f>
        <v>Markedsføringbidrag</v>
      </c>
      <c r="D21" s="569" t="str">
        <f>D19</f>
        <v>*100</v>
      </c>
      <c r="E21" s="388"/>
      <c r="F21" s="593">
        <f>'Resultatopgørelse til analyse'!B9</f>
        <v>18240</v>
      </c>
      <c r="G21" s="603" t="str">
        <f>G19</f>
        <v>*100</v>
      </c>
      <c r="H21" s="572">
        <f>'Resultatopgørelse til analyse'!B9/'Resultatopgørelse til analyse'!B3</f>
        <v>0.32746858168761223</v>
      </c>
      <c r="I21" s="572">
        <f>'Resultatopgørelse til analyse'!C9/'Resultatopgørelse til analyse'!C3</f>
        <v>0.33088737201365187</v>
      </c>
      <c r="J21" s="573">
        <f>'Resultatopgørelse til analyse'!D9/'Resultatopgørelse til analyse'!D3</f>
        <v>0.33521594684385381</v>
      </c>
      <c r="K21" s="574">
        <f t="shared" si="0"/>
        <v>2.3658346447514036E-2</v>
      </c>
    </row>
    <row r="22" spans="1:11">
      <c r="A22" s="575"/>
      <c r="B22" s="513"/>
      <c r="C22" s="576" t="str">
        <f>C20</f>
        <v>Nettoomsætning</v>
      </c>
      <c r="D22" s="513"/>
      <c r="E22" s="513"/>
      <c r="F22" s="434">
        <f>'Resultatopgørelse til analyse'!B3</f>
        <v>55700</v>
      </c>
      <c r="G22" s="513"/>
      <c r="H22" s="600"/>
      <c r="I22" s="600"/>
      <c r="J22" s="601"/>
      <c r="K22" s="580"/>
    </row>
    <row r="23" spans="1:11" ht="13.5" thickBot="1">
      <c r="A23" s="567" t="s">
        <v>301</v>
      </c>
      <c r="B23" s="388"/>
      <c r="C23" s="568" t="str">
        <f>'Resultatopgørelse til analyse'!A16</f>
        <v>Indtjeningsbidrag</v>
      </c>
      <c r="D23" s="569" t="str">
        <f>D21</f>
        <v>*100</v>
      </c>
      <c r="E23" s="388"/>
      <c r="F23" s="593">
        <f>'Resultatopgørelse til analyse'!B16</f>
        <v>8140</v>
      </c>
      <c r="G23" s="604" t="str">
        <f>G21</f>
        <v>*100</v>
      </c>
      <c r="H23" s="572">
        <f>'Resultatopgørelse til analyse'!B16/'Resultatopgørelse til analyse'!B3</f>
        <v>0.14614003590664273</v>
      </c>
      <c r="I23" s="572">
        <f>'Resultatopgørelse til analyse'!C16/'Resultatopgørelse til analyse'!C3</f>
        <v>0.14744027303754267</v>
      </c>
      <c r="J23" s="573">
        <f>'Resultatopgørelse til analyse'!D16/'Resultatopgørelse til analyse'!D3</f>
        <v>0.14418604651162792</v>
      </c>
      <c r="K23" s="574">
        <f t="shared" si="0"/>
        <v>-1.3370664533455189E-2</v>
      </c>
    </row>
    <row r="24" spans="1:11">
      <c r="A24" s="575"/>
      <c r="B24" s="513"/>
      <c r="C24" s="576" t="str">
        <f>C22</f>
        <v>Nettoomsætning</v>
      </c>
      <c r="D24" s="513"/>
      <c r="E24" s="513"/>
      <c r="F24" s="602">
        <f>F22</f>
        <v>55700</v>
      </c>
      <c r="G24" s="513"/>
      <c r="H24" s="600"/>
      <c r="I24" s="600"/>
      <c r="J24" s="601"/>
      <c r="K24" s="580"/>
    </row>
    <row r="25" spans="1:11" ht="13.5" thickBot="1">
      <c r="A25" s="567" t="s">
        <v>302</v>
      </c>
      <c r="B25" s="388"/>
      <c r="C25" s="568" t="str">
        <f>C19</f>
        <v>Bruttoresultat</v>
      </c>
      <c r="D25" s="569" t="str">
        <f>D23</f>
        <v>*100</v>
      </c>
      <c r="E25" s="388"/>
      <c r="F25" s="593">
        <f>'Resultatopgørelse til analyse'!B7</f>
        <v>21440</v>
      </c>
      <c r="G25" s="604"/>
      <c r="H25" s="584">
        <f>'Resultatopgørelse til analyse'!B7/('Resultatopgørelse til analyse'!B8+'Resultatopgørelse til analyse'!B10+'Resultatopgørelse til analyse'!B11+'Resultatopgørelse til analyse'!B12+'Resultatopgørelse til analyse'!B13+'Resultatopgørelse til analyse'!B14+'Resultatopgørelse til analyse'!B15+'Resultatopgørelse til analyse'!B17)</f>
        <v>1.2393063583815029</v>
      </c>
      <c r="I25" s="584">
        <f>'Resultatopgørelse til analyse'!C7/('Resultatopgørelse til analyse'!C8+'Resultatopgørelse til analyse'!C10+'Resultatopgørelse til analyse'!C11+'Resultatopgørelse til analyse'!C12+'Resultatopgørelse til analyse'!C13+'Resultatopgørelse til analyse'!C14+'Resultatopgørelse til analyse'!C15+'Resultatopgørelse til analyse'!C17)</f>
        <v>1.2015748031496063</v>
      </c>
      <c r="J25" s="585">
        <f>'Resultatopgørelse til analyse'!D7/('Resultatopgørelse til analyse'!D8+'Resultatopgørelse til analyse'!D10+'Resultatopgørelse til analyse'!D11+'Resultatopgørelse til analyse'!D12+'Resultatopgørelse til analyse'!D13+'Resultatopgørelse til analyse'!D14+'Resultatopgørelse til analyse'!D15+'Resultatopgørelse til analyse'!D17)</f>
        <v>1.1584541062801932</v>
      </c>
      <c r="K25" s="574">
        <f t="shared" si="0"/>
        <v>-6.523992357055311E-2</v>
      </c>
    </row>
    <row r="26" spans="1:11">
      <c r="A26" s="575"/>
      <c r="B26" s="513"/>
      <c r="C26" s="513" t="s">
        <v>303</v>
      </c>
      <c r="D26" s="513"/>
      <c r="E26" s="513"/>
      <c r="F26" s="434">
        <f>'Resultatopgørelse til analyse'!B8+'Resultatopgørelse til analyse'!B10+'Resultatopgørelse til analyse'!B11+'Resultatopgørelse til analyse'!B12+'Resultatopgørelse til analyse'!B13+'Resultatopgørelse til analyse'!B14+'Resultatopgørelse til analyse'!B15+'Resultatopgørelse til analyse'!B17</f>
        <v>17300</v>
      </c>
      <c r="G26" s="513"/>
      <c r="H26" s="600"/>
      <c r="I26" s="600"/>
      <c r="J26" s="601"/>
      <c r="K26" s="580"/>
    </row>
    <row r="27" spans="1:11" ht="13.5" thickBot="1">
      <c r="A27" s="567" t="s">
        <v>304</v>
      </c>
      <c r="B27" s="388"/>
      <c r="C27" s="569" t="str">
        <f>C26</f>
        <v>Kapacitetsomk incl afskrivninger</v>
      </c>
      <c r="D27" s="569" t="str">
        <f>D25</f>
        <v>*100</v>
      </c>
      <c r="E27" s="388"/>
      <c r="F27" s="583">
        <f>F26</f>
        <v>17300</v>
      </c>
      <c r="G27" s="604" t="str">
        <f>G23</f>
        <v>*100</v>
      </c>
      <c r="H27" s="605">
        <f>('Resultatopgørelse til analyse'!B8+'Resultatopgørelse til analyse'!B10+'Resultatopgørelse til analyse'!B11+'Resultatopgørelse til analyse'!B12+'Resultatopgørelse til analyse'!B13+'Resultatopgørelse til analyse'!B14+'Resultatopgørelse til analyse'!B15+'Resultatopgørelse til analyse'!B17)/'beregning af nøgletal'!H19</f>
        <v>44944.496268656716</v>
      </c>
      <c r="I27" s="605">
        <f>('Resultatopgørelse til analyse'!C8+'Resultatopgørelse til analyse'!C10+'Resultatopgørelse til analyse'!C11+'Resultatopgørelse til analyse'!C12+'Resultatopgørelse til analyse'!C13+'Resultatopgørelse til analyse'!C14+'Resultatopgørelse til analyse'!C15+'Resultatopgørelse til analyse'!C17)/'beregning af nøgletal'!I19</f>
        <v>48769.33158584535</v>
      </c>
      <c r="J27" s="508">
        <f>('Resultatopgørelse til analyse'!D8+'Resultatopgørelse til analyse'!D10+'Resultatopgørelse til analyse'!D11+'Resultatopgørelse til analyse'!D12+'Resultatopgørelse til analyse'!D13+'Resultatopgørelse til analyse'!D14+'Resultatopgørelse til analyse'!D15+'Resultatopgørelse til analyse'!D17)/'beregning af nøgletal'!J19</f>
        <v>51965.804837364471</v>
      </c>
      <c r="K27" s="574">
        <f t="shared" si="0"/>
        <v>0.15622176576944433</v>
      </c>
    </row>
    <row r="28" spans="1:11">
      <c r="A28" s="575"/>
      <c r="B28" s="513"/>
      <c r="C28" s="576" t="str">
        <f>A19</f>
        <v>Dækningsgrad</v>
      </c>
      <c r="D28" s="513"/>
      <c r="E28" s="513"/>
      <c r="F28" s="606">
        <f>H19*100</f>
        <v>38.491921005385997</v>
      </c>
      <c r="G28" s="513"/>
      <c r="H28" s="600"/>
      <c r="I28" s="600"/>
      <c r="J28" s="601"/>
      <c r="K28" s="580"/>
    </row>
    <row r="29" spans="1:11" ht="13.5" thickBot="1">
      <c r="A29" s="567" t="s">
        <v>305</v>
      </c>
      <c r="B29" s="388"/>
      <c r="C29" s="569" t="s">
        <v>306</v>
      </c>
      <c r="D29" s="569" t="str">
        <f>D27</f>
        <v>*100</v>
      </c>
      <c r="E29" s="388"/>
      <c r="F29" s="583">
        <f>F24</f>
        <v>55700</v>
      </c>
      <c r="G29" s="607">
        <f>H27*-1</f>
        <v>-44944.496268656716</v>
      </c>
      <c r="H29" s="608">
        <f>('Resultatopgørelse til analyse'!B3-'beregning af nøgletal'!H27)/'Resultatopgørelse til analyse'!B3</f>
        <v>0.19309701492537315</v>
      </c>
      <c r="I29" s="608">
        <f>('Resultatopgørelse til analyse'!C3-'beregning af nøgletal'!I27)/'Resultatopgørelse til analyse'!C3</f>
        <v>0.16775884665792917</v>
      </c>
      <c r="J29" s="609">
        <f>('Resultatopgørelse til analyse'!D3-'beregning af nøgletal'!J27)/'Resultatopgørelse til analyse'!D3</f>
        <v>0.13678065054211844</v>
      </c>
      <c r="K29" s="574">
        <f t="shared" si="0"/>
        <v>-0.29164803197511618</v>
      </c>
    </row>
    <row r="30" spans="1:11">
      <c r="A30" s="575"/>
      <c r="B30" s="513"/>
      <c r="C30" s="576" t="str">
        <f>C24</f>
        <v>Nettoomsætning</v>
      </c>
      <c r="D30" s="513"/>
      <c r="E30" s="513"/>
      <c r="F30" s="602">
        <f>F24</f>
        <v>55700</v>
      </c>
      <c r="G30" s="513"/>
      <c r="H30" s="600"/>
      <c r="I30" s="600"/>
      <c r="J30" s="601"/>
      <c r="K30" s="580"/>
    </row>
    <row r="31" spans="1:11">
      <c r="A31" s="377" t="s">
        <v>307</v>
      </c>
      <c r="B31" s="610">
        <f>H2</f>
        <v>2007</v>
      </c>
      <c r="C31" s="611" t="s">
        <v>308</v>
      </c>
      <c r="D31" s="611"/>
      <c r="E31" s="611"/>
      <c r="F31" s="610" t="s">
        <v>309</v>
      </c>
      <c r="G31" s="612">
        <f>J2</f>
        <v>2009</v>
      </c>
      <c r="H31" s="613"/>
      <c r="I31" s="613"/>
      <c r="J31" s="614"/>
      <c r="K31" s="615"/>
    </row>
    <row r="32" spans="1:11" ht="13.5" thickBot="1">
      <c r="A32" s="567" t="str">
        <f>'Resultatopgørelse til analyse'!A3</f>
        <v>Nettoomsætning</v>
      </c>
      <c r="B32" s="388"/>
      <c r="C32" s="568" t="s">
        <v>310</v>
      </c>
      <c r="D32" s="569" t="s">
        <v>288</v>
      </c>
      <c r="E32" s="388"/>
      <c r="F32" s="583">
        <f>'Resultatopgørelse til analyse'!D3</f>
        <v>60200</v>
      </c>
      <c r="G32" s="604" t="str">
        <f>G27</f>
        <v>*100</v>
      </c>
      <c r="H32" s="616">
        <f>'Resultatopgørelse til analyse'!B3*100/'Resultatopgørelse til analyse'!$B$3</f>
        <v>100</v>
      </c>
      <c r="I32" s="616">
        <f>'Resultatopgørelse til analyse'!C3*100/'Resultatopgørelse til analyse'!$B$3</f>
        <v>105.2064631956912</v>
      </c>
      <c r="J32" s="617">
        <f>'Resultatopgørelse til analyse'!D3*100/'Resultatopgørelse til analyse'!$B$3</f>
        <v>108.07899461400359</v>
      </c>
      <c r="K32" s="574">
        <f t="shared" si="0"/>
        <v>8.0789946140035915E-2</v>
      </c>
    </row>
    <row r="33" spans="1:11">
      <c r="A33" s="575"/>
      <c r="B33" s="513"/>
      <c r="C33" s="576" t="s">
        <v>311</v>
      </c>
      <c r="D33" s="513"/>
      <c r="E33" s="513"/>
      <c r="F33" s="602">
        <f>F29</f>
        <v>55700</v>
      </c>
      <c r="G33" s="513"/>
      <c r="H33" s="618"/>
      <c r="I33" s="618"/>
      <c r="J33" s="619"/>
      <c r="K33" s="580"/>
    </row>
    <row r="34" spans="1:11">
      <c r="A34" s="620" t="str">
        <f>'Resultatopgørelse til analyse'!A6</f>
        <v>Variable salagsomk.</v>
      </c>
      <c r="B34" s="387"/>
      <c r="C34" s="387"/>
      <c r="D34" s="387"/>
      <c r="E34" s="387"/>
      <c r="F34" s="387"/>
      <c r="G34" s="387"/>
      <c r="H34" s="621">
        <f>'Resultatopgørelse til analyse'!B6*100/'Resultatopgørelse til analyse'!$B$6</f>
        <v>100</v>
      </c>
      <c r="I34" s="621">
        <f>'Resultatopgørelse til analyse'!C6*100/'Resultatopgørelse til analyse'!$B$6</f>
        <v>107.26256983240224</v>
      </c>
      <c r="J34" s="622">
        <f>'Resultatopgørelse til analyse'!D6*100/'Resultatopgørelse til analyse'!$B$6</f>
        <v>112.10428305400373</v>
      </c>
      <c r="K34" s="615">
        <f t="shared" si="0"/>
        <v>0.1210428305400373</v>
      </c>
    </row>
    <row r="35" spans="1:11">
      <c r="A35" s="620" t="str">
        <f>'Resultatopgørelse til analyse'!A8</f>
        <v>Salgsomkostninger</v>
      </c>
      <c r="B35" s="387"/>
      <c r="C35" s="387"/>
      <c r="D35" s="387"/>
      <c r="E35" s="387"/>
      <c r="F35" s="387"/>
      <c r="G35" s="387"/>
      <c r="H35" s="621">
        <f>'Resultatopgørelse til analyse'!B8*100/'Resultatopgørelse til analyse'!B8</f>
        <v>100</v>
      </c>
      <c r="I35" s="621">
        <f>'Resultatopgørelse til analyse'!C8*100/'Resultatopgørelse til analyse'!$B$8</f>
        <v>109.375</v>
      </c>
      <c r="J35" s="622">
        <f>'Resultatopgørelse til analyse'!D8*100/'Resultatopgørelse til analyse'!$B$8</f>
        <v>118.75</v>
      </c>
      <c r="K35" s="615">
        <f t="shared" si="0"/>
        <v>0.1875</v>
      </c>
    </row>
    <row r="36" spans="1:11">
      <c r="A36" s="620" t="str">
        <f>'Resultatopgørelse til analyse'!A10</f>
        <v>Lokale</v>
      </c>
      <c r="B36" s="387"/>
      <c r="C36" s="387"/>
      <c r="D36" s="387"/>
      <c r="E36" s="387"/>
      <c r="F36" s="387"/>
      <c r="G36" s="387"/>
      <c r="H36" s="621">
        <f>'Resultatopgørelse til analyse'!B10*100/'Resultatopgørelse til analyse'!$B$10</f>
        <v>100</v>
      </c>
      <c r="I36" s="621">
        <f>'Resultatopgørelse til analyse'!C10*100/'Resultatopgørelse til analyse'!$B$10</f>
        <v>104</v>
      </c>
      <c r="J36" s="622">
        <f>'Resultatopgørelse til analyse'!D10*100/'Resultatopgørelse til analyse'!$B$10</f>
        <v>112</v>
      </c>
      <c r="K36" s="615">
        <f t="shared" si="0"/>
        <v>0.12</v>
      </c>
    </row>
    <row r="37" spans="1:11">
      <c r="A37" s="620" t="str">
        <f>'Resultatopgørelse til analyse'!A11</f>
        <v>Reparation &amp; vedligehold</v>
      </c>
      <c r="B37" s="387"/>
      <c r="C37" s="387"/>
      <c r="D37" s="387"/>
      <c r="E37" s="387"/>
      <c r="F37" s="387"/>
      <c r="G37" s="387"/>
      <c r="H37" s="621">
        <f>'Resultatopgørelse til analyse'!B11*100/'Resultatopgørelse til analyse'!$B$11</f>
        <v>100</v>
      </c>
      <c r="I37" s="621">
        <f>'Resultatopgørelse til analyse'!C11*100/'Resultatopgørelse til analyse'!$B$11</f>
        <v>92.592592592592595</v>
      </c>
      <c r="J37" s="622">
        <f>'Resultatopgørelse til analyse'!D11*100/'Resultatopgørelse til analyse'!$B$11</f>
        <v>81.481481481481481</v>
      </c>
      <c r="K37" s="615">
        <f t="shared" si="0"/>
        <v>-0.1851851851851852</v>
      </c>
    </row>
    <row r="38" spans="1:11">
      <c r="A38" s="620" t="str">
        <f>'Resultatopgørelse til analyse'!A12</f>
        <v>Gager</v>
      </c>
      <c r="B38" s="387"/>
      <c r="C38" s="387"/>
      <c r="D38" s="387"/>
      <c r="E38" s="387"/>
      <c r="F38" s="387"/>
      <c r="G38" s="387"/>
      <c r="H38" s="621">
        <f>'Resultatopgørelse til analyse'!B12*100/'Resultatopgørelse til analyse'!$B$12</f>
        <v>100</v>
      </c>
      <c r="I38" s="621">
        <f>'Resultatopgørelse til analyse'!C12*100/'Resultatopgørelse til analyse'!$B$12</f>
        <v>109.6774193548387</v>
      </c>
      <c r="J38" s="622">
        <f>'Resultatopgørelse til analyse'!D12*100/'Resultatopgørelse til analyse'!$B$12</f>
        <v>120.96774193548387</v>
      </c>
      <c r="K38" s="615">
        <f t="shared" si="0"/>
        <v>0.20967741935483872</v>
      </c>
    </row>
    <row r="39" spans="1:11">
      <c r="A39" s="620" t="str">
        <f>'Resultatopgørelse til analyse'!A13</f>
        <v>Øverige omk.</v>
      </c>
      <c r="B39" s="387"/>
      <c r="C39" s="387"/>
      <c r="D39" s="387"/>
      <c r="E39" s="387"/>
      <c r="F39" s="387"/>
      <c r="G39" s="387"/>
      <c r="H39" s="621">
        <f>'Resultatopgørelse til analyse'!B13*100/'Resultatopgørelse til analyse'!$B$13</f>
        <v>100</v>
      </c>
      <c r="I39" s="621">
        <f>'Resultatopgørelse til analyse'!C13*100/'Resultatopgørelse til analyse'!$B$13</f>
        <v>107.69230769230769</v>
      </c>
      <c r="J39" s="622">
        <f>'Resultatopgørelse til analyse'!D13*100/'Resultatopgørelse til analyse'!$B$13</f>
        <v>115.38461538461539</v>
      </c>
      <c r="K39" s="615">
        <f t="shared" si="0"/>
        <v>0.15384615384615385</v>
      </c>
    </row>
    <row r="40" spans="1:11" hidden="1">
      <c r="A40" s="620" t="str">
        <f>'Resultatopgørelse til analyse'!A14</f>
        <v>-</v>
      </c>
      <c r="B40" s="387"/>
      <c r="C40" s="387"/>
      <c r="D40" s="387"/>
      <c r="E40" s="387"/>
      <c r="F40" s="387"/>
      <c r="G40" s="387"/>
      <c r="H40" s="621" t="e">
        <f>'Resultatopgørelse til analyse'!B14*100/'Resultatopgørelse til analyse'!$B$14</f>
        <v>#DIV/0!</v>
      </c>
      <c r="I40" s="621" t="e">
        <f>'Resultatopgørelse til analyse'!C14*100/'Resultatopgørelse til analyse'!$B$14</f>
        <v>#DIV/0!</v>
      </c>
      <c r="J40" s="622" t="e">
        <f>'Resultatopgørelse til analyse'!D14*100/'Resultatopgørelse til analyse'!$B$14</f>
        <v>#DIV/0!</v>
      </c>
      <c r="K40" s="615" t="e">
        <f t="shared" si="0"/>
        <v>#DIV/0!</v>
      </c>
    </row>
    <row r="41" spans="1:11">
      <c r="A41" s="620" t="str">
        <f>'Resultatopgørelse til analyse'!A17</f>
        <v>Afskrivninger</v>
      </c>
      <c r="B41" s="387"/>
      <c r="C41" s="387"/>
      <c r="D41" s="387"/>
      <c r="E41" s="387"/>
      <c r="F41" s="387"/>
      <c r="G41" s="387"/>
      <c r="H41" s="621">
        <f>'Resultatopgørelse til analyse'!B17*100/'Resultatopgørelse til analyse'!$B$17</f>
        <v>100</v>
      </c>
      <c r="I41" s="621">
        <f>'Resultatopgørelse til analyse'!C17*100/'Resultatopgørelse til analyse'!$B$17</f>
        <v>120</v>
      </c>
      <c r="J41" s="622">
        <f>'Resultatopgørelse til analyse'!D17*100/'Resultatopgørelse til analyse'!$B$17</f>
        <v>135</v>
      </c>
      <c r="K41" s="615">
        <f t="shared" si="0"/>
        <v>0.35</v>
      </c>
    </row>
    <row r="42" spans="1:11" hidden="1">
      <c r="A42" s="38" t="str">
        <f>'Resultatopgørelse til analyse'!A19</f>
        <v>Rente indtægter</v>
      </c>
      <c r="B42" s="22"/>
      <c r="C42" s="22"/>
      <c r="D42" s="22"/>
      <c r="E42" s="22"/>
      <c r="F42" s="22"/>
      <c r="G42" s="22"/>
      <c r="H42" s="621">
        <f>'Resultatopgørelse til analyse'!B16*100/'Resultatopgørelse til analyse'!B16</f>
        <v>100</v>
      </c>
      <c r="I42" s="623" t="e">
        <f>'Resultatopgørelse til analyse'!C19*100/'Resultatopgørelse til analyse'!$B$19</f>
        <v>#DIV/0!</v>
      </c>
      <c r="J42" s="624" t="e">
        <f>'Resultatopgørelse til analyse'!D19*100/'Resultatopgørelse til analyse'!$B$19</f>
        <v>#DIV/0!</v>
      </c>
      <c r="K42" s="615" t="e">
        <f t="shared" si="0"/>
        <v>#DIV/0!</v>
      </c>
    </row>
    <row r="43" spans="1:11" ht="13.5" thickBot="1">
      <c r="A43" s="620" t="str">
        <f>'Resultatopgørelse til analyse'!A20</f>
        <v>Rente omkostninger</v>
      </c>
      <c r="B43" s="387"/>
      <c r="C43" s="387"/>
      <c r="D43" s="387"/>
      <c r="E43" s="387"/>
      <c r="F43" s="387"/>
      <c r="G43" s="387"/>
      <c r="H43" s="621">
        <f>'Resultatopgørelse til analyse'!B20*100/'Resultatopgørelse til analyse'!$B$20</f>
        <v>100</v>
      </c>
      <c r="I43" s="621">
        <f>'Resultatopgørelse til analyse'!C20*100/'Resultatopgørelse til analyse'!$B$20</f>
        <v>112</v>
      </c>
      <c r="J43" s="622">
        <f>'Resultatopgørelse til analyse'!D20*100/'Resultatopgørelse til analyse'!$B$20</f>
        <v>122</v>
      </c>
      <c r="K43" s="615">
        <f t="shared" si="0"/>
        <v>0.22</v>
      </c>
    </row>
    <row r="44" spans="1:11" hidden="1">
      <c r="A44" s="620" t="str">
        <f>'Resultatopgørelse til analyse'!A22</f>
        <v>Ekstraordinære omk.</v>
      </c>
      <c r="B44" s="387"/>
      <c r="C44" s="387"/>
      <c r="D44" s="387"/>
      <c r="E44" s="387"/>
      <c r="F44" s="387"/>
      <c r="G44" s="387"/>
      <c r="H44" s="621" t="e">
        <f>'Resultatopgørelse til analyse'!B22*100/'Resultatopgørelse til analyse'!$B22</f>
        <v>#DIV/0!</v>
      </c>
      <c r="I44" s="621" t="e">
        <f>'Resultatopgørelse til analyse'!C22*100/'Resultatopgørelse til analyse'!$B$22</f>
        <v>#DIV/0!</v>
      </c>
      <c r="J44" s="622" t="e">
        <f>'Resultatopgørelse til analyse'!D22*100/'Resultatopgørelse til analyse'!$B$22</f>
        <v>#DIV/0!</v>
      </c>
      <c r="K44" s="615" t="e">
        <f t="shared" si="0"/>
        <v>#DIV/0!</v>
      </c>
    </row>
    <row r="45" spans="1:11" hidden="1">
      <c r="A45" s="38" t="str">
        <f>'Resultatopgørelse til analyse'!A23</f>
        <v>Skat</v>
      </c>
      <c r="B45" s="22"/>
      <c r="C45" s="22"/>
      <c r="D45" s="22"/>
      <c r="E45" s="22"/>
      <c r="F45" s="22"/>
      <c r="G45" s="22"/>
      <c r="H45" s="623">
        <f>'Resultatopgørelse til analyse'!B23*100/'Resultatopgørelse til analyse'!$B$23</f>
        <v>100</v>
      </c>
      <c r="I45" s="623">
        <f>'Resultatopgørelse til analyse'!C23*100/'Resultatopgørelse til analyse'!$B$23</f>
        <v>63.414634146341463</v>
      </c>
      <c r="J45" s="624">
        <f>'Resultatopgørelse til analyse'!D23*100/'Resultatopgørelse til analyse'!$B$23</f>
        <v>14.146341463414634</v>
      </c>
      <c r="K45" s="615">
        <f t="shared" si="0"/>
        <v>-0.85853658536585375</v>
      </c>
    </row>
    <row r="46" spans="1:11" ht="13.5" hidden="1" thickBot="1">
      <c r="A46" s="625" t="str">
        <f>'Resultatopgørelse til analyse'!A24</f>
        <v>Resultat efter skat</v>
      </c>
      <c r="B46" s="569"/>
      <c r="C46" s="569"/>
      <c r="D46" s="569"/>
      <c r="E46" s="569"/>
      <c r="F46" s="569"/>
      <c r="G46" s="569"/>
      <c r="H46" s="626">
        <f>'Resultatopgørelse til analyse'!B24*100/'Resultatopgørelse til analyse'!$B$24</f>
        <v>100</v>
      </c>
      <c r="I46" s="626">
        <f>'Resultatopgørelse til analyse'!C24*100/'Resultatopgørelse til analyse'!$B$24</f>
        <v>63.414634146341463</v>
      </c>
      <c r="J46" s="627">
        <f>'Resultatopgørelse til analyse'!D24*100/'Resultatopgørelse til analyse'!$B$24</f>
        <v>13.983739837398375</v>
      </c>
      <c r="K46" s="628">
        <f t="shared" si="0"/>
        <v>-0.86016260162601621</v>
      </c>
    </row>
    <row r="47" spans="1:11" ht="15.75">
      <c r="A47" s="629" t="s">
        <v>312</v>
      </c>
      <c r="B47" s="630"/>
      <c r="C47" s="631"/>
      <c r="D47" s="631"/>
      <c r="E47" s="631"/>
      <c r="F47" s="631"/>
      <c r="G47" s="631"/>
      <c r="H47" s="632">
        <f>H2</f>
        <v>2007</v>
      </c>
      <c r="I47" s="632">
        <f>I2</f>
        <v>2008</v>
      </c>
      <c r="J47" s="633">
        <f>J2</f>
        <v>2009</v>
      </c>
      <c r="K47" s="634"/>
    </row>
    <row r="48" spans="1:11" ht="13.5" thickBot="1">
      <c r="A48" s="567" t="s">
        <v>290</v>
      </c>
      <c r="B48" s="388"/>
      <c r="C48" s="568" t="str">
        <f>C8</f>
        <v>Nettoomsætning</v>
      </c>
      <c r="D48" s="568"/>
      <c r="E48" s="581"/>
      <c r="F48" s="583">
        <f>F82</f>
        <v>55700</v>
      </c>
      <c r="G48" s="569"/>
      <c r="H48" s="584" t="e">
        <f>'Resultatopgørelse til analyse'!B3/'Balance til analyse'!D15</f>
        <v>#DIV/0!</v>
      </c>
      <c r="I48" s="584" t="e">
        <f>'Resultatopgørelse til analyse'!C3/'Balance til analyse'!E15</f>
        <v>#DIV/0!</v>
      </c>
      <c r="J48" s="585">
        <f>'Resultatopgørelse til analyse'!D3/'Balance til analyse'!F15</f>
        <v>1.5267562769464875</v>
      </c>
      <c r="K48" s="574" t="e">
        <f t="shared" si="0"/>
        <v>#DIV/0!</v>
      </c>
    </row>
    <row r="49" spans="1:11">
      <c r="A49" s="575"/>
      <c r="B49" s="513"/>
      <c r="C49" s="576" t="str">
        <f>C9</f>
        <v>Aktiver i alt</v>
      </c>
      <c r="D49" s="576"/>
      <c r="E49" s="576"/>
      <c r="F49" s="586">
        <f>F9</f>
        <v>0</v>
      </c>
      <c r="G49" s="513"/>
      <c r="H49" s="578"/>
      <c r="I49" s="578"/>
      <c r="J49" s="579"/>
      <c r="K49" s="580"/>
    </row>
    <row r="50" spans="1:11" ht="13.5" thickBot="1">
      <c r="A50" s="567" t="s">
        <v>313</v>
      </c>
      <c r="B50" s="388"/>
      <c r="C50" s="568" t="str">
        <f>'Resultatopgørelse til analyse'!A6</f>
        <v>Variable salagsomk.</v>
      </c>
      <c r="D50" s="569"/>
      <c r="E50" s="388"/>
      <c r="F50" s="593">
        <f>'Resultatopgørelse til analyse'!B6</f>
        <v>2685</v>
      </c>
      <c r="G50" s="569"/>
      <c r="H50" s="584" t="e">
        <f>'Resultatopgørelse til analyse'!B6/'Balance til analyse'!D8</f>
        <v>#DIV/0!</v>
      </c>
      <c r="I50" s="584" t="e">
        <f>'Resultatopgørelse til analyse'!C6/'Balance til analyse'!E8</f>
        <v>#DIV/0!</v>
      </c>
      <c r="J50" s="585">
        <f>'Resultatopgørelse til analyse'!D6/'Balance til analyse'!F8</f>
        <v>0.37624999999999997</v>
      </c>
      <c r="K50" s="574" t="e">
        <f t="shared" si="0"/>
        <v>#DIV/0!</v>
      </c>
    </row>
    <row r="51" spans="1:11">
      <c r="A51" s="575"/>
      <c r="B51" s="513"/>
      <c r="C51" s="576" t="str">
        <f>'Balance til analyse'!A8</f>
        <v>Varelager</v>
      </c>
      <c r="D51" s="513"/>
      <c r="E51" s="513"/>
      <c r="F51" s="434">
        <f>'Balance til analyse'!D8</f>
        <v>0</v>
      </c>
      <c r="G51" s="513"/>
      <c r="H51" s="600"/>
      <c r="I51" s="600"/>
      <c r="J51" s="601"/>
      <c r="K51" s="580"/>
    </row>
    <row r="52" spans="1:11" ht="13.5" thickBot="1">
      <c r="A52" s="567" t="s">
        <v>314</v>
      </c>
      <c r="B52" s="388"/>
      <c r="C52" s="568">
        <v>360</v>
      </c>
      <c r="D52" s="569"/>
      <c r="E52" s="388"/>
      <c r="F52" s="593">
        <v>360</v>
      </c>
      <c r="G52" s="569"/>
      <c r="H52" s="635" t="e">
        <f>$F$52/H50</f>
        <v>#DIV/0!</v>
      </c>
      <c r="I52" s="635" t="e">
        <f>$F$52/I50</f>
        <v>#DIV/0!</v>
      </c>
      <c r="J52" s="636">
        <f>$F$52/J50</f>
        <v>956.81063122923592</v>
      </c>
      <c r="K52" s="574" t="e">
        <f t="shared" si="0"/>
        <v>#DIV/0!</v>
      </c>
    </row>
    <row r="53" spans="1:11">
      <c r="A53" s="575"/>
      <c r="B53" s="513"/>
      <c r="C53" s="576" t="str">
        <f>A50</f>
        <v>Varelagerets omh.</v>
      </c>
      <c r="D53" s="513"/>
      <c r="E53" s="513"/>
      <c r="F53" s="637" t="e">
        <f>H50</f>
        <v>#DIV/0!</v>
      </c>
      <c r="G53" s="513"/>
      <c r="H53" s="638"/>
      <c r="I53" s="618"/>
      <c r="J53" s="619"/>
      <c r="K53" s="580"/>
    </row>
    <row r="54" spans="1:11" ht="13.5" thickBot="1">
      <c r="A54" s="38" t="s">
        <v>315</v>
      </c>
      <c r="B54" s="22"/>
      <c r="C54" s="32" t="str">
        <f>'Resultatopgørelse til analyse'!A3</f>
        <v>Nettoomsætning</v>
      </c>
      <c r="D54" s="66" t="s">
        <v>316</v>
      </c>
      <c r="E54" s="22"/>
      <c r="F54" s="450">
        <f>F82</f>
        <v>55700</v>
      </c>
      <c r="G54" s="66">
        <v>1.25</v>
      </c>
      <c r="H54" s="639" t="e">
        <f>'Resultatopgørelse til analyse'!B3*1.25/'Balance til analyse'!D9</f>
        <v>#DIV/0!</v>
      </c>
      <c r="I54" s="639" t="e">
        <f>'Resultatopgørelse til analyse'!C3*1.25/'Balance til analyse'!E9</f>
        <v>#DIV/0!</v>
      </c>
      <c r="J54" s="640">
        <f>'Resultatopgørelse til analyse'!D3*1.25/'Balance til analyse'!F9</f>
        <v>8.0053191489361701</v>
      </c>
      <c r="K54" s="574" t="e">
        <f t="shared" si="0"/>
        <v>#DIV/0!</v>
      </c>
    </row>
    <row r="55" spans="1:11">
      <c r="A55" s="575" t="s">
        <v>317</v>
      </c>
      <c r="B55" s="513"/>
      <c r="C55" s="576" t="str">
        <f>'Balance til analyse'!A9</f>
        <v>Varedebitorer</v>
      </c>
      <c r="D55" s="513"/>
      <c r="E55" s="513"/>
      <c r="F55" s="434">
        <f>'Balance til analyse'!D9</f>
        <v>0</v>
      </c>
      <c r="G55" s="513"/>
      <c r="H55" s="641"/>
      <c r="I55" s="641"/>
      <c r="J55" s="642"/>
      <c r="K55" s="580"/>
    </row>
    <row r="56" spans="1:11" ht="13.5" thickBot="1">
      <c r="A56" s="643" t="s">
        <v>318</v>
      </c>
      <c r="B56" s="388"/>
      <c r="C56" s="568">
        <f>C52</f>
        <v>360</v>
      </c>
      <c r="D56" s="569"/>
      <c r="E56" s="388"/>
      <c r="F56" s="644">
        <f>F52</f>
        <v>360</v>
      </c>
      <c r="G56" s="569"/>
      <c r="H56" s="645" t="e">
        <f>$F$56/H54</f>
        <v>#DIV/0!</v>
      </c>
      <c r="I56" s="645" t="e">
        <f>$F$56/I54</f>
        <v>#DIV/0!</v>
      </c>
      <c r="J56" s="646">
        <f>$F$56/J54</f>
        <v>44.970099667774086</v>
      </c>
      <c r="K56" s="574" t="e">
        <f t="shared" si="0"/>
        <v>#DIV/0!</v>
      </c>
    </row>
    <row r="57" spans="1:11">
      <c r="A57" s="575"/>
      <c r="B57" s="513"/>
      <c r="C57" s="576" t="str">
        <f>A54</f>
        <v>Varedebitorerne omh.</v>
      </c>
      <c r="D57" s="513"/>
      <c r="E57" s="513"/>
      <c r="F57" s="647" t="e">
        <f>H54</f>
        <v>#DIV/0!</v>
      </c>
      <c r="G57" s="513"/>
      <c r="H57" s="641"/>
      <c r="I57" s="641"/>
      <c r="J57" s="642"/>
      <c r="K57" s="580"/>
    </row>
    <row r="58" spans="1:11" ht="13.5" thickBot="1">
      <c r="A58" s="567" t="s">
        <v>319</v>
      </c>
      <c r="B58" s="388"/>
      <c r="C58" s="568" t="s">
        <v>320</v>
      </c>
      <c r="D58" s="569" t="str">
        <f>D54</f>
        <v>*1,25</v>
      </c>
      <c r="E58" s="388"/>
      <c r="F58" s="569">
        <f>'Resultatopgørelse til analyse'!B6</f>
        <v>2685</v>
      </c>
      <c r="G58" s="648">
        <v>1.25</v>
      </c>
      <c r="H58" s="645" t="e">
        <f>'Resultatopgørelse til analyse'!B6*G58/'Balance til analyse'!D26</f>
        <v>#DIV/0!</v>
      </c>
      <c r="I58" s="645" t="e">
        <f>('Resultatopgørelse til analyse'!C6+'Balance til analyse'!E8-'Balance til analyse'!D8)*'beregning af nøgletal'!$G$58/'Balance til analyse'!E26</f>
        <v>#DIV/0!</v>
      </c>
      <c r="J58" s="646">
        <f>('Resultatopgørelse til analyse'!D6+'Balance til analyse'!F8-'Balance til analyse'!E8)*'beregning af nøgletal'!$G$58/'Balance til analyse'!F26</f>
        <v>3.295617816091954</v>
      </c>
      <c r="K58" s="574" t="e">
        <f t="shared" si="0"/>
        <v>#DIV/0!</v>
      </c>
    </row>
    <row r="59" spans="1:11">
      <c r="A59" s="38"/>
      <c r="B59" s="22"/>
      <c r="C59" s="47" t="str">
        <f>'Balance til analyse'!A26</f>
        <v>Varekreditorer</v>
      </c>
      <c r="D59" s="22"/>
      <c r="E59" s="22"/>
      <c r="F59" s="649">
        <f>'Balance til analyse'!D26</f>
        <v>0</v>
      </c>
      <c r="G59" s="22"/>
      <c r="H59" s="639"/>
      <c r="I59" s="639"/>
      <c r="J59" s="640"/>
      <c r="K59" s="650"/>
    </row>
    <row r="60" spans="1:11">
      <c r="A60" s="56" t="s">
        <v>321</v>
      </c>
      <c r="B60" s="22"/>
      <c r="C60" s="22"/>
      <c r="D60" s="22"/>
      <c r="E60" s="22"/>
      <c r="F60" s="649"/>
      <c r="G60" s="22"/>
      <c r="H60" s="639"/>
      <c r="I60" s="639"/>
      <c r="J60" s="640"/>
      <c r="K60" s="650"/>
    </row>
    <row r="61" spans="1:11">
      <c r="A61" s="38" t="s">
        <v>322</v>
      </c>
      <c r="B61" s="22"/>
      <c r="C61" s="22"/>
      <c r="D61" s="22"/>
      <c r="E61" s="22"/>
      <c r="F61" s="649"/>
      <c r="G61" s="22"/>
      <c r="H61" s="639"/>
      <c r="I61" s="639"/>
      <c r="J61" s="640"/>
      <c r="K61" s="580"/>
    </row>
    <row r="62" spans="1:11" ht="13.5" thickBot="1">
      <c r="A62" s="567" t="s">
        <v>323</v>
      </c>
      <c r="B62" s="388"/>
      <c r="C62" s="568">
        <f>C56</f>
        <v>360</v>
      </c>
      <c r="D62" s="569"/>
      <c r="E62" s="388"/>
      <c r="F62" s="569">
        <f>C62</f>
        <v>360</v>
      </c>
      <c r="G62" s="569"/>
      <c r="H62" s="616" t="e">
        <f>$C$62/H58</f>
        <v>#DIV/0!</v>
      </c>
      <c r="I62" s="616" t="e">
        <f>$C$62/I58</f>
        <v>#DIV/0!</v>
      </c>
      <c r="J62" s="617">
        <f>$C$62/J58</f>
        <v>109.23596730245231</v>
      </c>
      <c r="K62" s="574" t="e">
        <f t="shared" si="0"/>
        <v>#DIV/0!</v>
      </c>
    </row>
    <row r="63" spans="1:11">
      <c r="A63" s="575"/>
      <c r="B63" s="513"/>
      <c r="C63" s="576" t="str">
        <f>A58</f>
        <v>Varekreditorernes omh</v>
      </c>
      <c r="D63" s="513"/>
      <c r="E63" s="513"/>
      <c r="F63" s="651" t="e">
        <f>H58</f>
        <v>#DIV/0!</v>
      </c>
      <c r="G63" s="513"/>
      <c r="H63" s="578"/>
      <c r="I63" s="578"/>
      <c r="J63" s="579"/>
      <c r="K63" s="580"/>
    </row>
    <row r="64" spans="1:11" ht="13.5" thickBot="1">
      <c r="A64" s="567" t="s">
        <v>324</v>
      </c>
      <c r="B64" s="388"/>
      <c r="C64" s="568" t="s">
        <v>325</v>
      </c>
      <c r="D64" s="569" t="s">
        <v>288</v>
      </c>
      <c r="E64" s="388"/>
      <c r="F64" s="569">
        <f>'Balance til analyse'!D14-'Balance til analyse'!D8</f>
        <v>0</v>
      </c>
      <c r="G64" s="604" t="str">
        <f>G32</f>
        <v>*100</v>
      </c>
      <c r="H64" s="605" t="e">
        <f>('Balance til analyse'!D14-'Balance til analyse'!D8)/'Balance til analyse'!D31*100</f>
        <v>#DIV/0!</v>
      </c>
      <c r="I64" s="605" t="e">
        <f>('Balance til analyse'!E14-'Balance til analyse'!E8)/'Balance til analyse'!E31*100</f>
        <v>#DIV/0!</v>
      </c>
      <c r="J64" s="508">
        <f>('Balance til analyse'!F14-'Balance til analyse'!F8)/'Balance til analyse'!F31*100</f>
        <v>64.900206469373714</v>
      </c>
      <c r="K64" s="574" t="e">
        <f t="shared" si="0"/>
        <v>#DIV/0!</v>
      </c>
    </row>
    <row r="65" spans="1:11">
      <c r="A65" s="575" t="s">
        <v>326</v>
      </c>
      <c r="B65" s="513"/>
      <c r="C65" s="576" t="s">
        <v>327</v>
      </c>
      <c r="D65" s="513"/>
      <c r="E65" s="513"/>
      <c r="F65" s="513">
        <f>'Balance til analyse'!D31</f>
        <v>0</v>
      </c>
      <c r="G65" s="513"/>
      <c r="H65" s="578"/>
      <c r="I65" s="578"/>
      <c r="J65" s="579"/>
      <c r="K65" s="580"/>
    </row>
    <row r="66" spans="1:11" ht="13.5" thickBot="1">
      <c r="A66" s="643" t="s">
        <v>328</v>
      </c>
      <c r="B66" s="388"/>
      <c r="C66" s="568" t="s">
        <v>329</v>
      </c>
      <c r="D66" s="569" t="str">
        <f>D64</f>
        <v>*100</v>
      </c>
      <c r="E66" s="388"/>
      <c r="F66" s="569">
        <f>'Balance til analyse'!D14</f>
        <v>0</v>
      </c>
      <c r="G66" s="604" t="str">
        <f>G64</f>
        <v>*100</v>
      </c>
      <c r="H66" s="605" t="e">
        <f>'Balance til analyse'!D14/'Balance til analyse'!D31*100</f>
        <v>#DIV/0!</v>
      </c>
      <c r="I66" s="605" t="e">
        <f>'Balance til analyse'!E14/'Balance til analyse'!E31*100</f>
        <v>#DIV/0!</v>
      </c>
      <c r="J66" s="508">
        <f>'Balance til analyse'!F14/'Balance til analyse'!F31*100</f>
        <v>119.95870612525809</v>
      </c>
      <c r="K66" s="574" t="e">
        <f t="shared" si="0"/>
        <v>#DIV/0!</v>
      </c>
    </row>
    <row r="67" spans="1:11">
      <c r="A67" s="652" t="s">
        <v>330</v>
      </c>
      <c r="B67" s="513"/>
      <c r="C67" s="576" t="str">
        <f>C65</f>
        <v>Kortfristet gæld</v>
      </c>
      <c r="D67" s="513"/>
      <c r="E67" s="513"/>
      <c r="F67" s="513">
        <f>'Balance til analyse'!D31</f>
        <v>0</v>
      </c>
      <c r="G67" s="513"/>
      <c r="H67" s="578"/>
      <c r="I67" s="578"/>
      <c r="J67" s="579"/>
      <c r="K67" s="650"/>
    </row>
    <row r="68" spans="1:11" ht="13.5" thickBot="1">
      <c r="A68" s="643" t="s">
        <v>331</v>
      </c>
      <c r="B68" s="388"/>
      <c r="C68" s="653" t="s">
        <v>280</v>
      </c>
      <c r="D68" s="569" t="str">
        <f>D66</f>
        <v>*100</v>
      </c>
      <c r="E68" s="388"/>
      <c r="F68" s="569">
        <f>'Balance til analyse'!D17</f>
        <v>0</v>
      </c>
      <c r="G68" s="569" t="s">
        <v>288</v>
      </c>
      <c r="H68" s="654" t="e">
        <f>'Balance til analyse'!D17/'Balance til analyse'!D15*100</f>
        <v>#DIV/0!</v>
      </c>
      <c r="I68" s="654" t="e">
        <f>'Balance til analyse'!E17/'Balance til analyse'!E15*100</f>
        <v>#DIV/0!</v>
      </c>
      <c r="J68" s="655">
        <f>'Balance til analyse'!F17/'Balance til analyse'!F15*100</f>
        <v>29.16560994166878</v>
      </c>
      <c r="K68" s="574" t="e">
        <f t="shared" si="0"/>
        <v>#DIV/0!</v>
      </c>
    </row>
    <row r="69" spans="1:11">
      <c r="A69" s="38"/>
      <c r="B69" s="22"/>
      <c r="C69" s="81" t="s">
        <v>332</v>
      </c>
      <c r="D69" s="22"/>
      <c r="E69" s="22"/>
      <c r="F69" s="22">
        <f>'Balance til analyse'!D15</f>
        <v>0</v>
      </c>
      <c r="G69" s="22"/>
      <c r="H69" s="458"/>
      <c r="I69" s="590"/>
      <c r="J69" s="591"/>
      <c r="K69" s="580"/>
    </row>
    <row r="70" spans="1:11" ht="13.5" thickBot="1">
      <c r="A70" s="567" t="s">
        <v>333</v>
      </c>
      <c r="B70" s="388"/>
      <c r="C70" s="653" t="s">
        <v>334</v>
      </c>
      <c r="D70" s="388"/>
      <c r="E70" s="388"/>
      <c r="F70" s="569">
        <f>'Balance til analyse'!D32</f>
        <v>0</v>
      </c>
      <c r="G70" s="656"/>
      <c r="H70" s="654" t="e">
        <f>'Balance til analyse'!D32/'Balance til analyse'!D17</f>
        <v>#DIV/0!</v>
      </c>
      <c r="I70" s="654" t="e">
        <f>'Balance til analyse'!E32/'Balance til analyse'!E17</f>
        <v>#DIV/0!</v>
      </c>
      <c r="J70" s="655">
        <f>'Balance til analyse'!F32/'Balance til analyse'!F17</f>
        <v>2.4286956521739129</v>
      </c>
      <c r="K70" s="574" t="e">
        <f>(J70-H70)/H70</f>
        <v>#DIV/0!</v>
      </c>
    </row>
    <row r="71" spans="1:11">
      <c r="A71" s="575"/>
      <c r="B71" s="513"/>
      <c r="C71" s="657" t="str">
        <f>C68</f>
        <v>Egenkapital</v>
      </c>
      <c r="D71" s="513"/>
      <c r="E71" s="513"/>
      <c r="F71" s="513">
        <f>'Balance til analyse'!D17</f>
        <v>0</v>
      </c>
      <c r="G71" s="513"/>
      <c r="H71" s="658"/>
      <c r="I71" s="578"/>
      <c r="J71" s="579"/>
      <c r="K71" s="580"/>
    </row>
    <row r="72" spans="1:11" ht="14.25">
      <c r="A72" s="567" t="s">
        <v>335</v>
      </c>
      <c r="B72" s="388"/>
      <c r="C72" s="659" t="s">
        <v>336</v>
      </c>
      <c r="D72" s="388"/>
      <c r="E72" s="388"/>
      <c r="F72" s="660" t="e">
        <f>H4</f>
        <v>#DIV/0!</v>
      </c>
      <c r="G72" s="661" t="e">
        <f>H10*-1</f>
        <v>#DIV/0!</v>
      </c>
      <c r="H72" s="662" t="e">
        <f>H4-H10</f>
        <v>#DIV/0!</v>
      </c>
      <c r="I72" s="662" t="e">
        <f>I4-I10</f>
        <v>#DIV/0!</v>
      </c>
      <c r="J72" s="663">
        <f>J4-J10</f>
        <v>-2.6016183533359688E-2</v>
      </c>
      <c r="K72" s="574" t="e">
        <f>(J72-H72)/H72</f>
        <v>#DIV/0!</v>
      </c>
    </row>
    <row r="73" spans="1:11" ht="18">
      <c r="A73" s="664" t="s">
        <v>337</v>
      </c>
      <c r="B73" s="665"/>
      <c r="C73" s="666"/>
      <c r="D73" s="665"/>
      <c r="E73" s="665"/>
      <c r="F73" s="665"/>
      <c r="G73" s="665"/>
      <c r="H73" s="667"/>
      <c r="I73" s="668"/>
      <c r="J73" s="669"/>
      <c r="K73" s="670"/>
    </row>
    <row r="74" spans="1:11" ht="13.5" hidden="1" thickBot="1">
      <c r="A74" s="643" t="s">
        <v>338</v>
      </c>
      <c r="B74" s="388"/>
      <c r="C74" s="653" t="str">
        <f>'Resultatopgørelse til analyse'!A24</f>
        <v>Resultat efter skat</v>
      </c>
      <c r="D74" s="569"/>
      <c r="E74" s="388"/>
      <c r="F74" s="593">
        <f>'Resultatopgørelse til analyse'!B24</f>
        <v>1230</v>
      </c>
      <c r="G74" s="569"/>
      <c r="H74" s="671" t="e">
        <f>'Resultatopgørelse til analyse'!B24/'Resultatopgørelse til analyse'!B28</f>
        <v>#DIV/0!</v>
      </c>
      <c r="I74" s="671" t="e">
        <f>'Resultatopgørelse til analyse'!C24/'Resultatopgørelse til analyse'!C28</f>
        <v>#DIV/0!</v>
      </c>
      <c r="J74" s="672" t="e">
        <f>'Resultatopgørelse til analyse'!D24/'Resultatopgørelse til analyse'!D28</f>
        <v>#DIV/0!</v>
      </c>
      <c r="K74" s="574" t="e">
        <f t="shared" ref="K74:K90" si="1">(J74-H74)/H74</f>
        <v>#DIV/0!</v>
      </c>
    </row>
    <row r="75" spans="1:11" hidden="1">
      <c r="A75" s="575" t="s">
        <v>339</v>
      </c>
      <c r="B75" s="513"/>
      <c r="C75" s="576" t="str">
        <f>'Resultatopgørelse til analyse'!A28</f>
        <v>Antal aktier</v>
      </c>
      <c r="D75" s="513"/>
      <c r="E75" s="513"/>
      <c r="F75" s="434">
        <f>'Resultatopgørelse til analyse'!B28</f>
        <v>0</v>
      </c>
      <c r="G75" s="513"/>
      <c r="H75" s="641"/>
      <c r="I75" s="641"/>
      <c r="J75" s="642"/>
      <c r="K75" s="580"/>
    </row>
    <row r="76" spans="1:11" ht="13.5" hidden="1" thickBot="1">
      <c r="A76" s="567" t="s">
        <v>340</v>
      </c>
      <c r="B76" s="388"/>
      <c r="C76" s="568" t="str">
        <f>'Resultatopgørelse til analyse'!A29</f>
        <v>Børskurs</v>
      </c>
      <c r="D76" s="569"/>
      <c r="E76" s="388"/>
      <c r="F76" s="593">
        <f>'Resultatopgørelse til analyse'!B29</f>
        <v>0</v>
      </c>
      <c r="G76" s="569"/>
      <c r="H76" s="673" t="e">
        <f>'Resultatopgørelse til analyse'!B29/'beregning af nøgletal'!H74</f>
        <v>#DIV/0!</v>
      </c>
      <c r="I76" s="673" t="e">
        <f>'Resultatopgørelse til analyse'!C29/'beregning af nøgletal'!I74</f>
        <v>#DIV/0!</v>
      </c>
      <c r="J76" s="674" t="e">
        <f>'Resultatopgørelse til analyse'!D29/'beregning af nøgletal'!J74</f>
        <v>#DIV/0!</v>
      </c>
      <c r="K76" s="574" t="e">
        <f t="shared" si="1"/>
        <v>#DIV/0!</v>
      </c>
    </row>
    <row r="77" spans="1:11" hidden="1">
      <c r="A77" s="575" t="s">
        <v>341</v>
      </c>
      <c r="B77" s="513"/>
      <c r="C77" s="576" t="str">
        <f>A74</f>
        <v>Resultat pr. aktie</v>
      </c>
      <c r="D77" s="513"/>
      <c r="E77" s="513"/>
      <c r="F77" s="675" t="e">
        <f>H74</f>
        <v>#DIV/0!</v>
      </c>
      <c r="G77" s="513"/>
      <c r="H77" s="578"/>
      <c r="I77" s="578"/>
      <c r="J77" s="579"/>
      <c r="K77" s="580"/>
    </row>
    <row r="78" spans="1:11" ht="13.5" hidden="1" thickBot="1">
      <c r="A78" s="567" t="s">
        <v>342</v>
      </c>
      <c r="B78" s="388"/>
      <c r="C78" s="568" t="str">
        <f>'Balance til analyse'!A17</f>
        <v>Egenkapital</v>
      </c>
      <c r="D78" s="569"/>
      <c r="E78" s="388"/>
      <c r="F78" s="593">
        <f>'Balance til analyse'!D17</f>
        <v>0</v>
      </c>
      <c r="G78" s="569"/>
      <c r="H78" s="605" t="e">
        <f>'Balance til analyse'!D17/'Resultatopgørelse til analyse'!B28</f>
        <v>#DIV/0!</v>
      </c>
      <c r="I78" s="605" t="e">
        <f>'Balance til analyse'!E17/'Resultatopgørelse til analyse'!C28</f>
        <v>#DIV/0!</v>
      </c>
      <c r="J78" s="508" t="e">
        <f>'Balance til analyse'!F17/'Resultatopgørelse til analyse'!D28</f>
        <v>#DIV/0!</v>
      </c>
      <c r="K78" s="574" t="e">
        <f t="shared" si="1"/>
        <v>#DIV/0!</v>
      </c>
    </row>
    <row r="79" spans="1:11" hidden="1">
      <c r="A79" s="575"/>
      <c r="B79" s="513"/>
      <c r="C79" s="576" t="str">
        <f>C75</f>
        <v>Antal aktier</v>
      </c>
      <c r="D79" s="513"/>
      <c r="E79" s="513"/>
      <c r="F79" s="434">
        <f>F75</f>
        <v>0</v>
      </c>
      <c r="G79" s="513"/>
      <c r="H79" s="578"/>
      <c r="I79" s="488"/>
      <c r="J79" s="489"/>
      <c r="K79" s="580"/>
    </row>
    <row r="80" spans="1:11" ht="13.5" hidden="1" thickBot="1">
      <c r="A80" s="567" t="s">
        <v>343</v>
      </c>
      <c r="B80" s="388"/>
      <c r="C80" s="568" t="str">
        <f>C76</f>
        <v>Børskurs</v>
      </c>
      <c r="D80" s="569"/>
      <c r="E80" s="388"/>
      <c r="F80" s="593">
        <f>F76</f>
        <v>0</v>
      </c>
      <c r="G80" s="569"/>
      <c r="H80" s="676" t="e">
        <f>'Resultatopgørelse til analyse'!B29/'beregning af nøgletal'!H78</f>
        <v>#DIV/0!</v>
      </c>
      <c r="I80" s="676" t="e">
        <f>'Resultatopgørelse til analyse'!C29/'beregning af nøgletal'!I78</f>
        <v>#DIV/0!</v>
      </c>
      <c r="J80" s="677" t="e">
        <f>'Resultatopgørelse til analyse'!D29/'beregning af nøgletal'!J78</f>
        <v>#DIV/0!</v>
      </c>
      <c r="K80" s="574" t="e">
        <f t="shared" si="1"/>
        <v>#DIV/0!</v>
      </c>
    </row>
    <row r="81" spans="1:11" hidden="1">
      <c r="A81" s="575"/>
      <c r="B81" s="513"/>
      <c r="C81" s="576" t="str">
        <f>A78</f>
        <v>Indre værdi pr. aktie</v>
      </c>
      <c r="D81" s="513"/>
      <c r="E81" s="513"/>
      <c r="F81" s="602" t="e">
        <f>H78</f>
        <v>#DIV/0!</v>
      </c>
      <c r="G81" s="513"/>
      <c r="H81" s="578"/>
      <c r="I81" s="488"/>
      <c r="J81" s="489"/>
      <c r="K81" s="580"/>
    </row>
    <row r="82" spans="1:11" ht="13.5" hidden="1" thickBot="1">
      <c r="A82" s="567" t="s">
        <v>344</v>
      </c>
      <c r="B82" s="388"/>
      <c r="C82" s="568" t="str">
        <f>C22</f>
        <v>Nettoomsætning</v>
      </c>
      <c r="D82" s="569"/>
      <c r="E82" s="388"/>
      <c r="F82" s="678">
        <f>F30</f>
        <v>55700</v>
      </c>
      <c r="G82" s="569"/>
      <c r="H82" s="605" t="e">
        <f>'Resultatopgørelse til analyse'!B3/'Resultatopgørelse til analyse'!B27</f>
        <v>#DIV/0!</v>
      </c>
      <c r="I82" s="605" t="e">
        <f>'Resultatopgørelse til analyse'!C3/'Resultatopgørelse til analyse'!C27</f>
        <v>#DIV/0!</v>
      </c>
      <c r="J82" s="508" t="e">
        <f>'Resultatopgørelse til analyse'!D3/'Resultatopgørelse til analyse'!D27</f>
        <v>#DIV/0!</v>
      </c>
      <c r="K82" s="574" t="e">
        <f t="shared" si="1"/>
        <v>#DIV/0!</v>
      </c>
    </row>
    <row r="83" spans="1:11" hidden="1">
      <c r="A83" s="575"/>
      <c r="B83" s="513"/>
      <c r="C83" s="576" t="str">
        <f>'Resultatopgørelse til analyse'!A27</f>
        <v>Antal ansatte</v>
      </c>
      <c r="D83" s="513"/>
      <c r="E83" s="513"/>
      <c r="F83" s="679">
        <f>'Resultatopgørelse til analyse'!B27</f>
        <v>0</v>
      </c>
      <c r="G83" s="513"/>
      <c r="H83" s="618"/>
      <c r="I83" s="618"/>
      <c r="J83" s="619"/>
      <c r="K83" s="580"/>
    </row>
    <row r="84" spans="1:11" hidden="1">
      <c r="A84" s="680" t="s">
        <v>345</v>
      </c>
      <c r="B84" s="681">
        <f>B31</f>
        <v>2007</v>
      </c>
      <c r="C84" s="682" t="s">
        <v>346</v>
      </c>
      <c r="D84" s="681"/>
      <c r="E84" s="681"/>
      <c r="F84" s="681" t="str">
        <f>F31</f>
        <v>Eksempel for året</v>
      </c>
      <c r="G84" s="683">
        <f>G31</f>
        <v>2009</v>
      </c>
      <c r="H84" s="684"/>
      <c r="I84" s="685"/>
      <c r="J84" s="686"/>
      <c r="K84" s="615"/>
    </row>
    <row r="85" spans="1:11" ht="13.5" hidden="1" thickBot="1">
      <c r="A85" s="567" t="str">
        <f>'Balance til analyse'!A6</f>
        <v>Anlægsaktiver i alt</v>
      </c>
      <c r="B85" s="388"/>
      <c r="C85" s="568" t="str">
        <f>C32</f>
        <v>Årets tal</v>
      </c>
      <c r="D85" s="569" t="str">
        <f>D32</f>
        <v>*100</v>
      </c>
      <c r="E85" s="388"/>
      <c r="F85" s="593">
        <f>'Balance til analyse'!E6</f>
        <v>0</v>
      </c>
      <c r="G85" s="569" t="str">
        <f>D85</f>
        <v>*100</v>
      </c>
      <c r="H85" s="687" t="e">
        <f>'Balance til analyse'!D6/'Balance til analyse'!$D$6*100</f>
        <v>#DIV/0!</v>
      </c>
      <c r="I85" s="605" t="e">
        <f>'Balance til analyse'!E6/'Balance til analyse'!$D$6*100</f>
        <v>#DIV/0!</v>
      </c>
      <c r="J85" s="407" t="e">
        <f>'Balance til analyse'!F6/'Balance til analyse'!$D$6*100</f>
        <v>#DIV/0!</v>
      </c>
      <c r="K85" s="574" t="e">
        <f t="shared" si="1"/>
        <v>#DIV/0!</v>
      </c>
    </row>
    <row r="86" spans="1:11" hidden="1">
      <c r="A86" s="575"/>
      <c r="B86" s="513"/>
      <c r="C86" s="576" t="str">
        <f>C33</f>
        <v>Basisårets tal</v>
      </c>
      <c r="D86" s="513"/>
      <c r="E86" s="513"/>
      <c r="F86" s="434">
        <f>'Balance til analyse'!D6</f>
        <v>0</v>
      </c>
      <c r="G86" s="513"/>
      <c r="H86" s="578"/>
      <c r="I86" s="578"/>
      <c r="J86" s="688"/>
      <c r="K86" s="580"/>
    </row>
    <row r="87" spans="1:11" hidden="1">
      <c r="A87" s="575" t="str">
        <f>'Balance til analyse'!A14</f>
        <v xml:space="preserve">Omsætningsaktiver i alt </v>
      </c>
      <c r="B87" s="22"/>
      <c r="C87" s="22"/>
      <c r="D87" s="22"/>
      <c r="E87" s="22"/>
      <c r="F87" s="22"/>
      <c r="G87" s="22"/>
      <c r="H87" s="578" t="e">
        <f>'Balance til analyse'!D14/'Balance til analyse'!$D$14*100</f>
        <v>#DIV/0!</v>
      </c>
      <c r="I87" s="488" t="e">
        <f>'Balance til analyse'!E14/'Balance til analyse'!$D$14*100</f>
        <v>#DIV/0!</v>
      </c>
      <c r="J87" s="435" t="e">
        <f>'Balance til analyse'!F14/'Balance til analyse'!$D$14*100</f>
        <v>#DIV/0!</v>
      </c>
      <c r="K87" s="650" t="e">
        <f t="shared" si="1"/>
        <v>#DIV/0!</v>
      </c>
    </row>
    <row r="88" spans="1:11" hidden="1">
      <c r="A88" s="38" t="str">
        <f>'Balance til analyse'!A17</f>
        <v>Egenkapital</v>
      </c>
      <c r="B88" s="387"/>
      <c r="C88" s="387"/>
      <c r="D88" s="387"/>
      <c r="E88" s="387"/>
      <c r="F88" s="387"/>
      <c r="G88" s="387"/>
      <c r="H88" s="590" t="e">
        <f>'Balance til analyse'!D17/'Balance til analyse'!$D$17*100</f>
        <v>#DIV/0!</v>
      </c>
      <c r="I88" s="402" t="e">
        <f>'Balance til analyse'!E17/'Balance til analyse'!$D$17*100</f>
        <v>#DIV/0!</v>
      </c>
      <c r="J88" s="410" t="e">
        <f>'Balance til analyse'!F17/'Balance til analyse'!$D$17*100</f>
        <v>#DIV/0!</v>
      </c>
      <c r="K88" s="574" t="e">
        <f t="shared" si="1"/>
        <v>#DIV/0!</v>
      </c>
    </row>
    <row r="89" spans="1:11" hidden="1">
      <c r="A89" s="620" t="str">
        <f>'Balance til analyse'!A24</f>
        <v>Langfristet gæld i alt</v>
      </c>
      <c r="B89" s="387"/>
      <c r="C89" s="387"/>
      <c r="D89" s="387"/>
      <c r="E89" s="387"/>
      <c r="F89" s="387"/>
      <c r="G89" s="387"/>
      <c r="H89" s="357" t="e">
        <f>'Balance til analyse'!D24/'Balance til analyse'!$D$24*100</f>
        <v>#DIV/0!</v>
      </c>
      <c r="I89" s="380" t="e">
        <f>'Balance til analyse'!E24/'Balance til analyse'!$D$24*100</f>
        <v>#DIV/0!</v>
      </c>
      <c r="J89" s="414" t="e">
        <f>'Balance til analyse'!F24/'Balance til analyse'!$D$24*100</f>
        <v>#DIV/0!</v>
      </c>
      <c r="K89" s="574" t="e">
        <f t="shared" si="1"/>
        <v>#DIV/0!</v>
      </c>
    </row>
    <row r="90" spans="1:11" ht="13.5" hidden="1" thickBot="1">
      <c r="A90" s="625" t="str">
        <f>'Balance til analyse'!A31</f>
        <v>Kortfristet gæld i alt</v>
      </c>
      <c r="B90" s="66"/>
      <c r="C90" s="66"/>
      <c r="D90" s="66"/>
      <c r="E90" s="66"/>
      <c r="F90" s="66"/>
      <c r="G90" s="66"/>
      <c r="H90" s="689" t="e">
        <f>'Balance til analyse'!D31/'Balance til analyse'!$D$31*100</f>
        <v>#DIV/0!</v>
      </c>
      <c r="I90" s="690" t="e">
        <f>'Balance til analyse'!E31/'Balance til analyse'!$D$31*100</f>
        <v>#DIV/0!</v>
      </c>
      <c r="J90" s="691" t="e">
        <f>'Balance til analyse'!F31/'Balance til analyse'!$D$31*100</f>
        <v>#DIV/0!</v>
      </c>
      <c r="K90" s="628" t="e">
        <f t="shared" si="1"/>
        <v>#DIV/0!</v>
      </c>
    </row>
    <row r="91" spans="1:11">
      <c r="I91" s="160"/>
      <c r="J91" s="160"/>
      <c r="K91" s="160"/>
    </row>
    <row r="92" spans="1:11">
      <c r="I92" s="160"/>
      <c r="J92" s="160"/>
      <c r="K92" s="160"/>
    </row>
    <row r="93" spans="1:11">
      <c r="I93" s="160"/>
      <c r="J93" s="160"/>
      <c r="K93" s="160"/>
    </row>
    <row r="94" spans="1:11">
      <c r="I94" s="160"/>
      <c r="J94" s="160"/>
      <c r="K94" s="160"/>
    </row>
    <row r="95" spans="1:11">
      <c r="I95" s="160"/>
      <c r="J95" s="160"/>
      <c r="K95" s="160"/>
    </row>
    <row r="96" spans="1:11">
      <c r="I96" s="160"/>
      <c r="J96" s="160"/>
      <c r="K96" s="160"/>
    </row>
    <row r="97" spans="9:11">
      <c r="I97" s="160"/>
      <c r="J97" s="160"/>
      <c r="K97" s="160"/>
    </row>
    <row r="98" spans="9:11">
      <c r="I98" s="160"/>
      <c r="J98" s="160"/>
      <c r="K98" s="160"/>
    </row>
    <row r="99" spans="9:11">
      <c r="I99" s="160"/>
      <c r="J99" s="160"/>
      <c r="K99" s="160"/>
    </row>
    <row r="100" spans="9:11">
      <c r="I100" s="160"/>
      <c r="J100" s="160"/>
      <c r="K100" s="160"/>
    </row>
    <row r="101" spans="9:11">
      <c r="I101" s="160"/>
      <c r="J101" s="160"/>
      <c r="K101" s="160"/>
    </row>
    <row r="102" spans="9:11">
      <c r="I102" s="160"/>
      <c r="J102" s="160"/>
      <c r="K102" s="160"/>
    </row>
    <row r="103" spans="9:11">
      <c r="I103" s="160"/>
      <c r="J103" s="160"/>
      <c r="K103" s="160"/>
    </row>
    <row r="104" spans="9:11">
      <c r="I104" s="160"/>
      <c r="J104" s="160"/>
      <c r="K104" s="160"/>
    </row>
    <row r="105" spans="9:11">
      <c r="I105" s="160"/>
      <c r="J105" s="160"/>
      <c r="K105" s="160"/>
    </row>
    <row r="106" spans="9:11">
      <c r="I106" s="160"/>
      <c r="J106" s="160"/>
      <c r="K106" s="160"/>
    </row>
    <row r="107" spans="9:11">
      <c r="I107" s="160"/>
      <c r="J107" s="160"/>
      <c r="K107" s="160"/>
    </row>
    <row r="108" spans="9:11">
      <c r="I108" s="160"/>
      <c r="J108" s="160"/>
      <c r="K108" s="160"/>
    </row>
    <row r="109" spans="9:11">
      <c r="I109" s="160"/>
      <c r="J109" s="160"/>
      <c r="K109" s="160"/>
    </row>
    <row r="110" spans="9:11">
      <c r="I110" s="160"/>
      <c r="J110" s="160"/>
      <c r="K110" s="160"/>
    </row>
    <row r="111" spans="9:11">
      <c r="I111" s="160"/>
      <c r="J111" s="160"/>
      <c r="K111" s="160"/>
    </row>
    <row r="112" spans="9:11">
      <c r="I112" s="160"/>
      <c r="J112" s="160"/>
      <c r="K112" s="160"/>
    </row>
    <row r="113" spans="9:11">
      <c r="I113" s="160"/>
      <c r="J113" s="160"/>
      <c r="K113" s="160"/>
    </row>
    <row r="114" spans="9:11">
      <c r="I114" s="160"/>
      <c r="J114" s="160"/>
      <c r="K114" s="160"/>
    </row>
    <row r="115" spans="9:11">
      <c r="I115" s="160"/>
      <c r="J115" s="160"/>
      <c r="K115" s="160"/>
    </row>
    <row r="116" spans="9:11">
      <c r="I116" s="160"/>
      <c r="J116" s="160"/>
      <c r="K116" s="160"/>
    </row>
    <row r="117" spans="9:11">
      <c r="I117" s="160"/>
      <c r="J117" s="160"/>
      <c r="K117" s="160"/>
    </row>
    <row r="118" spans="9:11">
      <c r="I118" s="160"/>
      <c r="J118" s="160"/>
      <c r="K118" s="160"/>
    </row>
    <row r="119" spans="9:11">
      <c r="I119" s="160"/>
      <c r="J119" s="160"/>
      <c r="K119" s="160"/>
    </row>
    <row r="120" spans="9:11">
      <c r="I120" s="160"/>
      <c r="J120" s="160"/>
      <c r="K120" s="160"/>
    </row>
    <row r="121" spans="9:11">
      <c r="I121" s="160"/>
      <c r="J121" s="160"/>
      <c r="K121" s="160"/>
    </row>
    <row r="122" spans="9:11">
      <c r="I122" s="160"/>
      <c r="J122" s="160"/>
      <c r="K122" s="160"/>
    </row>
    <row r="123" spans="9:11">
      <c r="I123" s="160"/>
      <c r="J123" s="160"/>
      <c r="K123" s="160"/>
    </row>
    <row r="124" spans="9:11">
      <c r="I124" s="160"/>
      <c r="J124" s="160"/>
      <c r="K124" s="160"/>
    </row>
    <row r="125" spans="9:11">
      <c r="I125" s="160"/>
      <c r="J125" s="160"/>
      <c r="K125" s="160"/>
    </row>
    <row r="126" spans="9:11">
      <c r="I126" s="160"/>
      <c r="J126" s="160"/>
      <c r="K126" s="160"/>
    </row>
    <row r="127" spans="9:11">
      <c r="I127" s="160"/>
      <c r="J127" s="160"/>
      <c r="K127" s="160"/>
    </row>
    <row r="128" spans="9:11">
      <c r="I128" s="160"/>
      <c r="J128" s="160"/>
      <c r="K128" s="160"/>
    </row>
    <row r="129" spans="9:11">
      <c r="I129" s="160"/>
      <c r="J129" s="160"/>
      <c r="K129" s="160"/>
    </row>
    <row r="130" spans="9:11">
      <c r="I130" s="160"/>
      <c r="J130" s="160"/>
      <c r="K130" s="160"/>
    </row>
    <row r="131" spans="9:11">
      <c r="I131" s="160"/>
      <c r="J131" s="160"/>
      <c r="K131" s="160"/>
    </row>
    <row r="132" spans="9:11">
      <c r="I132" s="160"/>
      <c r="J132" s="160"/>
      <c r="K132" s="160"/>
    </row>
    <row r="133" spans="9:11">
      <c r="I133" s="160"/>
      <c r="J133" s="160"/>
      <c r="K133" s="160"/>
    </row>
    <row r="134" spans="9:11">
      <c r="I134" s="160"/>
      <c r="J134" s="160"/>
      <c r="K134" s="160"/>
    </row>
    <row r="135" spans="9:11">
      <c r="I135" s="160"/>
      <c r="J135" s="160"/>
      <c r="K135" s="160"/>
    </row>
    <row r="136" spans="9:11">
      <c r="I136" s="160"/>
      <c r="J136" s="160"/>
      <c r="K136" s="160"/>
    </row>
    <row r="137" spans="9:11">
      <c r="I137" s="160"/>
      <c r="J137" s="160"/>
      <c r="K137" s="160"/>
    </row>
    <row r="138" spans="9:11">
      <c r="I138" s="160"/>
      <c r="J138" s="160"/>
      <c r="K138" s="160"/>
    </row>
    <row r="139" spans="9:11">
      <c r="I139" s="160"/>
      <c r="J139" s="160"/>
      <c r="K139" s="160"/>
    </row>
    <row r="140" spans="9:11">
      <c r="I140" s="160"/>
      <c r="J140" s="160"/>
      <c r="K140" s="160"/>
    </row>
    <row r="141" spans="9:11">
      <c r="I141" s="160"/>
      <c r="J141" s="160"/>
      <c r="K141" s="160"/>
    </row>
    <row r="142" spans="9:11">
      <c r="I142" s="160"/>
      <c r="J142" s="160"/>
      <c r="K142" s="160"/>
    </row>
    <row r="143" spans="9:11">
      <c r="I143" s="160"/>
      <c r="J143" s="160"/>
      <c r="K143" s="160"/>
    </row>
    <row r="144" spans="9:11">
      <c r="I144" s="160"/>
      <c r="J144" s="160"/>
      <c r="K144" s="160"/>
    </row>
    <row r="145" spans="9:11">
      <c r="I145" s="160"/>
      <c r="J145" s="160"/>
      <c r="K145" s="160"/>
    </row>
    <row r="146" spans="9:11">
      <c r="I146" s="160"/>
      <c r="J146" s="160"/>
      <c r="K146" s="160"/>
    </row>
    <row r="147" spans="9:11">
      <c r="I147" s="160"/>
      <c r="J147" s="160"/>
      <c r="K147" s="160"/>
    </row>
    <row r="148" spans="9:11">
      <c r="I148" s="160"/>
      <c r="J148" s="160"/>
      <c r="K148" s="160"/>
    </row>
    <row r="149" spans="9:11">
      <c r="I149" s="160"/>
      <c r="J149" s="160"/>
      <c r="K149" s="160"/>
    </row>
    <row r="150" spans="9:11">
      <c r="I150" s="160"/>
      <c r="J150" s="160"/>
      <c r="K150" s="160"/>
    </row>
    <row r="151" spans="9:11">
      <c r="I151" s="160"/>
      <c r="J151" s="160"/>
      <c r="K151" s="160"/>
    </row>
    <row r="152" spans="9:11">
      <c r="I152" s="160"/>
      <c r="J152" s="160"/>
      <c r="K152" s="160"/>
    </row>
    <row r="153" spans="9:11">
      <c r="I153" s="160"/>
      <c r="J153" s="160"/>
      <c r="K153" s="160"/>
    </row>
    <row r="154" spans="9:11">
      <c r="I154" s="160"/>
      <c r="J154" s="160"/>
      <c r="K154" s="160"/>
    </row>
    <row r="155" spans="9:11">
      <c r="I155" s="160"/>
      <c r="J155" s="160"/>
      <c r="K155" s="160"/>
    </row>
    <row r="156" spans="9:11">
      <c r="I156" s="160"/>
      <c r="J156" s="160"/>
      <c r="K156" s="160"/>
    </row>
    <row r="157" spans="9:11">
      <c r="I157" s="160"/>
      <c r="J157" s="160"/>
      <c r="K157" s="160"/>
    </row>
    <row r="158" spans="9:11">
      <c r="I158" s="160"/>
      <c r="J158" s="160"/>
      <c r="K158" s="160"/>
    </row>
    <row r="159" spans="9:11">
      <c r="I159" s="160"/>
      <c r="J159" s="160"/>
      <c r="K159" s="160"/>
    </row>
    <row r="160" spans="9:11">
      <c r="I160" s="160"/>
      <c r="J160" s="160"/>
      <c r="K160" s="160"/>
    </row>
    <row r="161" spans="9:11">
      <c r="I161" s="160"/>
      <c r="J161" s="160"/>
      <c r="K161" s="160"/>
    </row>
    <row r="162" spans="9:11">
      <c r="I162" s="160"/>
      <c r="J162" s="160"/>
      <c r="K162" s="160"/>
    </row>
    <row r="163" spans="9:11">
      <c r="I163" s="160"/>
      <c r="J163" s="160"/>
      <c r="K163" s="160"/>
    </row>
    <row r="164" spans="9:11">
      <c r="I164" s="160"/>
      <c r="J164" s="160"/>
      <c r="K164" s="160"/>
    </row>
    <row r="165" spans="9:11">
      <c r="I165" s="160"/>
      <c r="J165" s="160"/>
      <c r="K165" s="160"/>
    </row>
    <row r="166" spans="9:11">
      <c r="I166" s="160"/>
      <c r="J166" s="160"/>
      <c r="K166" s="160"/>
    </row>
    <row r="167" spans="9:11">
      <c r="I167" s="160"/>
      <c r="J167" s="160"/>
      <c r="K167" s="160"/>
    </row>
    <row r="168" spans="9:11">
      <c r="I168" s="160"/>
      <c r="J168" s="160"/>
      <c r="K168" s="160"/>
    </row>
    <row r="169" spans="9:11">
      <c r="I169" s="160"/>
      <c r="J169" s="160"/>
      <c r="K169" s="160"/>
    </row>
    <row r="170" spans="9:11">
      <c r="I170" s="160"/>
      <c r="J170" s="160"/>
      <c r="K170" s="160"/>
    </row>
    <row r="171" spans="9:11">
      <c r="I171" s="160"/>
      <c r="J171" s="160"/>
      <c r="K171" s="160"/>
    </row>
    <row r="172" spans="9:11">
      <c r="I172" s="160"/>
      <c r="J172" s="160"/>
      <c r="K172" s="160"/>
    </row>
    <row r="173" spans="9:11">
      <c r="I173" s="160"/>
      <c r="J173" s="160"/>
      <c r="K173" s="160"/>
    </row>
    <row r="174" spans="9:11">
      <c r="I174" s="160"/>
      <c r="J174" s="160"/>
      <c r="K174" s="160"/>
    </row>
    <row r="175" spans="9:11">
      <c r="I175" s="160"/>
      <c r="J175" s="160"/>
      <c r="K175" s="160"/>
    </row>
    <row r="176" spans="9:11">
      <c r="I176" s="160"/>
      <c r="J176" s="160"/>
      <c r="K176" s="160"/>
    </row>
    <row r="177" spans="9:11">
      <c r="I177" s="160"/>
      <c r="J177" s="160"/>
      <c r="K177" s="160"/>
    </row>
    <row r="178" spans="9:11">
      <c r="I178" s="160"/>
      <c r="J178" s="160"/>
      <c r="K178" s="160"/>
    </row>
    <row r="179" spans="9:11">
      <c r="I179" s="160"/>
      <c r="J179" s="160"/>
      <c r="K179" s="160"/>
    </row>
    <row r="180" spans="9:11">
      <c r="I180" s="160"/>
      <c r="J180" s="160"/>
      <c r="K180" s="160"/>
    </row>
    <row r="181" spans="9:11">
      <c r="I181" s="160"/>
      <c r="J181" s="160"/>
      <c r="K181" s="160"/>
    </row>
    <row r="182" spans="9:11">
      <c r="I182" s="160"/>
      <c r="J182" s="160"/>
      <c r="K182" s="160"/>
    </row>
    <row r="183" spans="9:11">
      <c r="I183" s="160"/>
      <c r="J183" s="160"/>
      <c r="K183" s="160"/>
    </row>
    <row r="184" spans="9:11">
      <c r="I184" s="160"/>
      <c r="J184" s="160"/>
      <c r="K184" s="160"/>
    </row>
    <row r="185" spans="9:11">
      <c r="I185" s="160"/>
      <c r="J185" s="160"/>
      <c r="K185" s="160"/>
    </row>
    <row r="186" spans="9:11">
      <c r="I186" s="160"/>
      <c r="J186" s="160"/>
      <c r="K186" s="160"/>
    </row>
    <row r="187" spans="9:11">
      <c r="I187" s="160"/>
      <c r="J187" s="160"/>
      <c r="K187" s="160"/>
    </row>
    <row r="188" spans="9:11">
      <c r="I188" s="160"/>
      <c r="J188" s="160"/>
      <c r="K188" s="160"/>
    </row>
    <row r="189" spans="9:11">
      <c r="I189" s="160"/>
      <c r="J189" s="160"/>
      <c r="K189" s="160"/>
    </row>
    <row r="190" spans="9:11">
      <c r="I190" s="160"/>
      <c r="J190" s="160"/>
      <c r="K190" s="160"/>
    </row>
    <row r="191" spans="9:11">
      <c r="I191" s="160"/>
      <c r="J191" s="160"/>
      <c r="K191" s="160"/>
    </row>
    <row r="192" spans="9:11">
      <c r="I192" s="160"/>
      <c r="J192" s="160"/>
      <c r="K192" s="160"/>
    </row>
    <row r="193" spans="9:11">
      <c r="I193" s="160"/>
      <c r="J193" s="160"/>
      <c r="K193" s="160"/>
    </row>
    <row r="194" spans="9:11">
      <c r="I194" s="160"/>
      <c r="J194" s="160"/>
      <c r="K194" s="160"/>
    </row>
    <row r="195" spans="9:11">
      <c r="I195" s="160"/>
      <c r="J195" s="160"/>
      <c r="K195" s="160"/>
    </row>
    <row r="196" spans="9:11">
      <c r="I196" s="160"/>
      <c r="J196" s="160"/>
      <c r="K196" s="160"/>
    </row>
    <row r="197" spans="9:11">
      <c r="I197" s="160"/>
      <c r="J197" s="160"/>
      <c r="K197" s="160"/>
    </row>
    <row r="198" spans="9:11">
      <c r="I198" s="160"/>
      <c r="J198" s="160"/>
      <c r="K198" s="160"/>
    </row>
    <row r="199" spans="9:11">
      <c r="I199" s="160"/>
      <c r="J199" s="160"/>
      <c r="K199" s="160"/>
    </row>
    <row r="200" spans="9:11">
      <c r="I200" s="160"/>
      <c r="J200" s="160"/>
      <c r="K200" s="160"/>
    </row>
    <row r="201" spans="9:11">
      <c r="I201" s="160"/>
      <c r="J201" s="160"/>
      <c r="K201" s="160"/>
    </row>
    <row r="202" spans="9:11">
      <c r="I202" s="160"/>
      <c r="J202" s="160"/>
      <c r="K202" s="160"/>
    </row>
    <row r="203" spans="9:11">
      <c r="I203" s="160"/>
      <c r="J203" s="160"/>
      <c r="K203" s="160"/>
    </row>
    <row r="204" spans="9:11">
      <c r="I204" s="160"/>
      <c r="J204" s="160"/>
      <c r="K204" s="160"/>
    </row>
    <row r="205" spans="9:11">
      <c r="I205" s="160"/>
      <c r="J205" s="160"/>
      <c r="K205" s="160"/>
    </row>
    <row r="206" spans="9:11">
      <c r="I206" s="160"/>
      <c r="J206" s="160"/>
      <c r="K206" s="160"/>
    </row>
    <row r="207" spans="9:11">
      <c r="I207" s="160"/>
      <c r="J207" s="160"/>
      <c r="K207" s="160"/>
    </row>
    <row r="208" spans="9:11">
      <c r="I208" s="160"/>
      <c r="J208" s="160"/>
      <c r="K208" s="160"/>
    </row>
    <row r="209" spans="9:11">
      <c r="I209" s="160"/>
      <c r="J209" s="160"/>
      <c r="K209" s="160"/>
    </row>
    <row r="210" spans="9:11">
      <c r="I210" s="160"/>
      <c r="J210" s="160"/>
      <c r="K210" s="160"/>
    </row>
    <row r="211" spans="9:11">
      <c r="I211" s="160"/>
      <c r="J211" s="160"/>
      <c r="K211" s="160"/>
    </row>
    <row r="212" spans="9:11">
      <c r="I212" s="160"/>
      <c r="J212" s="160"/>
      <c r="K212" s="160"/>
    </row>
    <row r="213" spans="9:11">
      <c r="I213" s="160"/>
      <c r="J213" s="160"/>
      <c r="K213" s="160"/>
    </row>
    <row r="214" spans="9:11">
      <c r="I214" s="160"/>
      <c r="J214" s="160"/>
      <c r="K214" s="160"/>
    </row>
    <row r="215" spans="9:11">
      <c r="I215" s="160"/>
      <c r="J215" s="160"/>
      <c r="K215" s="160"/>
    </row>
    <row r="216" spans="9:11">
      <c r="I216" s="160"/>
      <c r="J216" s="160"/>
      <c r="K216" s="160"/>
    </row>
    <row r="217" spans="9:11">
      <c r="I217" s="160"/>
      <c r="J217" s="160"/>
      <c r="K217" s="160"/>
    </row>
    <row r="218" spans="9:11">
      <c r="I218" s="160"/>
      <c r="J218" s="160"/>
      <c r="K218" s="160"/>
    </row>
    <row r="219" spans="9:11">
      <c r="I219" s="160"/>
      <c r="J219" s="160"/>
      <c r="K219" s="160"/>
    </row>
    <row r="220" spans="9:11">
      <c r="I220" s="160"/>
      <c r="J220" s="160"/>
      <c r="K220" s="160"/>
    </row>
    <row r="221" spans="9:11">
      <c r="I221" s="160"/>
      <c r="J221" s="160"/>
      <c r="K221" s="160"/>
    </row>
    <row r="222" spans="9:11">
      <c r="I222" s="160"/>
      <c r="J222" s="160"/>
      <c r="K222" s="160"/>
    </row>
    <row r="223" spans="9:11">
      <c r="I223" s="160"/>
      <c r="J223" s="160"/>
      <c r="K223" s="160"/>
    </row>
    <row r="224" spans="9:11">
      <c r="I224" s="160"/>
      <c r="J224" s="160"/>
      <c r="K224" s="160"/>
    </row>
    <row r="225" spans="9:11">
      <c r="I225" s="160"/>
      <c r="J225" s="160"/>
      <c r="K225" s="160"/>
    </row>
    <row r="226" spans="9:11">
      <c r="I226" s="160"/>
      <c r="J226" s="160"/>
      <c r="K226" s="160"/>
    </row>
    <row r="227" spans="9:11">
      <c r="I227" s="160"/>
      <c r="J227" s="160"/>
      <c r="K227" s="160"/>
    </row>
    <row r="228" spans="9:11">
      <c r="I228" s="160"/>
      <c r="J228" s="160"/>
      <c r="K228" s="160"/>
    </row>
    <row r="229" spans="9:11">
      <c r="I229" s="160"/>
      <c r="J229" s="160"/>
      <c r="K229" s="160"/>
    </row>
    <row r="230" spans="9:11">
      <c r="I230" s="160"/>
      <c r="J230" s="160"/>
      <c r="K230" s="160"/>
    </row>
    <row r="231" spans="9:11">
      <c r="I231" s="160"/>
      <c r="J231" s="160"/>
      <c r="K231" s="160"/>
    </row>
    <row r="232" spans="9:11">
      <c r="I232" s="160"/>
      <c r="J232" s="160"/>
      <c r="K232" s="160"/>
    </row>
    <row r="233" spans="9:11">
      <c r="I233" s="160"/>
      <c r="J233" s="160"/>
      <c r="K233" s="160"/>
    </row>
    <row r="234" spans="9:11">
      <c r="I234" s="160"/>
      <c r="J234" s="160"/>
      <c r="K234" s="160"/>
    </row>
    <row r="235" spans="9:11">
      <c r="I235" s="160"/>
      <c r="J235" s="160"/>
      <c r="K235" s="160"/>
    </row>
    <row r="236" spans="9:11">
      <c r="I236" s="160"/>
      <c r="J236" s="160"/>
      <c r="K236" s="160"/>
    </row>
    <row r="237" spans="9:11">
      <c r="I237" s="160"/>
      <c r="J237" s="160"/>
      <c r="K237" s="160"/>
    </row>
    <row r="238" spans="9:11">
      <c r="I238" s="160"/>
      <c r="J238" s="160"/>
      <c r="K238" s="160"/>
    </row>
    <row r="239" spans="9:11">
      <c r="I239" s="160"/>
      <c r="J239" s="160"/>
      <c r="K239" s="160"/>
    </row>
    <row r="240" spans="9:11">
      <c r="I240" s="160"/>
      <c r="J240" s="160"/>
      <c r="K240" s="160"/>
    </row>
    <row r="241" spans="9:11">
      <c r="I241" s="160"/>
      <c r="J241" s="160"/>
      <c r="K241" s="160"/>
    </row>
    <row r="242" spans="9:11">
      <c r="I242" s="160"/>
      <c r="J242" s="160"/>
      <c r="K242" s="160"/>
    </row>
    <row r="243" spans="9:11">
      <c r="I243" s="160"/>
      <c r="J243" s="160"/>
      <c r="K243" s="160"/>
    </row>
    <row r="244" spans="9:11">
      <c r="I244" s="160"/>
      <c r="J244" s="160"/>
      <c r="K244" s="160"/>
    </row>
    <row r="245" spans="9:11">
      <c r="I245" s="160"/>
      <c r="J245" s="160"/>
      <c r="K245" s="160"/>
    </row>
    <row r="246" spans="9:11">
      <c r="I246" s="160"/>
      <c r="J246" s="160"/>
      <c r="K246" s="160"/>
    </row>
    <row r="247" spans="9:11">
      <c r="I247" s="160"/>
      <c r="J247" s="160"/>
      <c r="K247" s="160"/>
    </row>
    <row r="248" spans="9:11">
      <c r="I248" s="160"/>
      <c r="J248" s="160"/>
      <c r="K248" s="160"/>
    </row>
    <row r="249" spans="9:11">
      <c r="I249" s="160"/>
      <c r="J249" s="160"/>
      <c r="K249" s="160"/>
    </row>
    <row r="250" spans="9:11">
      <c r="I250" s="160"/>
      <c r="J250" s="160"/>
      <c r="K250" s="160"/>
    </row>
    <row r="251" spans="9:11">
      <c r="I251" s="160"/>
      <c r="J251" s="160"/>
      <c r="K251" s="160"/>
    </row>
    <row r="252" spans="9:11">
      <c r="I252" s="160"/>
      <c r="J252" s="160"/>
      <c r="K252" s="160"/>
    </row>
    <row r="253" spans="9:11">
      <c r="I253" s="160"/>
      <c r="J253" s="160"/>
      <c r="K253" s="160"/>
    </row>
    <row r="254" spans="9:11">
      <c r="I254" s="160"/>
      <c r="J254" s="160"/>
      <c r="K254" s="160"/>
    </row>
    <row r="255" spans="9:11">
      <c r="I255" s="160"/>
      <c r="J255" s="160"/>
      <c r="K255" s="160"/>
    </row>
    <row r="256" spans="9:11">
      <c r="I256" s="160"/>
      <c r="J256" s="160"/>
      <c r="K256" s="160"/>
    </row>
    <row r="257" spans="9:11">
      <c r="I257" s="160"/>
      <c r="J257" s="160"/>
      <c r="K257" s="160"/>
    </row>
    <row r="258" spans="9:11">
      <c r="I258" s="160"/>
      <c r="J258" s="160"/>
      <c r="K258" s="160"/>
    </row>
    <row r="259" spans="9:11">
      <c r="I259" s="160"/>
      <c r="J259" s="160"/>
      <c r="K259" s="160"/>
    </row>
    <row r="260" spans="9:11">
      <c r="I260" s="160"/>
      <c r="J260" s="160"/>
      <c r="K260" s="160"/>
    </row>
    <row r="261" spans="9:11">
      <c r="I261" s="160"/>
      <c r="J261" s="160"/>
      <c r="K261" s="160"/>
    </row>
    <row r="262" spans="9:11">
      <c r="I262" s="160"/>
      <c r="J262" s="160"/>
      <c r="K262" s="160"/>
    </row>
    <row r="263" spans="9:11">
      <c r="I263" s="160"/>
      <c r="J263" s="160"/>
      <c r="K263" s="160"/>
    </row>
    <row r="264" spans="9:11">
      <c r="I264" s="160"/>
      <c r="J264" s="160"/>
      <c r="K264" s="160"/>
    </row>
    <row r="265" spans="9:11">
      <c r="I265" s="160"/>
      <c r="J265" s="160"/>
      <c r="K265" s="160"/>
    </row>
    <row r="266" spans="9:11">
      <c r="I266" s="160"/>
      <c r="J266" s="160"/>
      <c r="K266" s="160"/>
    </row>
    <row r="267" spans="9:11">
      <c r="I267" s="160"/>
      <c r="J267" s="160"/>
      <c r="K267" s="160"/>
    </row>
    <row r="268" spans="9:11">
      <c r="I268" s="160"/>
      <c r="J268" s="160"/>
      <c r="K268" s="160"/>
    </row>
    <row r="269" spans="9:11">
      <c r="I269" s="160"/>
      <c r="J269" s="160"/>
      <c r="K269" s="160"/>
    </row>
    <row r="270" spans="9:11">
      <c r="I270" s="160"/>
      <c r="J270" s="160"/>
      <c r="K270" s="160"/>
    </row>
    <row r="271" spans="9:11">
      <c r="I271" s="160"/>
      <c r="J271" s="160"/>
      <c r="K271" s="160"/>
    </row>
    <row r="272" spans="9:11">
      <c r="I272" s="160"/>
      <c r="J272" s="160"/>
      <c r="K272" s="160"/>
    </row>
    <row r="273" spans="9:11">
      <c r="I273" s="160"/>
      <c r="J273" s="160"/>
      <c r="K273" s="160"/>
    </row>
    <row r="274" spans="9:11">
      <c r="I274" s="160"/>
      <c r="J274" s="160"/>
      <c r="K274" s="160"/>
    </row>
    <row r="275" spans="9:11">
      <c r="I275" s="160"/>
      <c r="J275" s="160"/>
      <c r="K275" s="160"/>
    </row>
    <row r="276" spans="9:11">
      <c r="I276" s="160"/>
      <c r="J276" s="160"/>
      <c r="K276" s="160"/>
    </row>
    <row r="277" spans="9:11">
      <c r="I277" s="160"/>
      <c r="J277" s="160"/>
      <c r="K277" s="160"/>
    </row>
    <row r="278" spans="9:11">
      <c r="I278" s="160"/>
      <c r="J278" s="160"/>
      <c r="K278" s="160"/>
    </row>
    <row r="279" spans="9:11">
      <c r="I279" s="160"/>
      <c r="J279" s="160"/>
      <c r="K279" s="160"/>
    </row>
    <row r="280" spans="9:11">
      <c r="I280" s="160"/>
      <c r="J280" s="160"/>
      <c r="K280" s="160"/>
    </row>
    <row r="281" spans="9:11">
      <c r="I281" s="160"/>
      <c r="J281" s="160"/>
      <c r="K281" s="160"/>
    </row>
    <row r="282" spans="9:11">
      <c r="I282" s="160"/>
      <c r="J282" s="160"/>
      <c r="K282" s="160"/>
    </row>
    <row r="283" spans="9:11">
      <c r="I283" s="160"/>
      <c r="J283" s="160"/>
      <c r="K283" s="160"/>
    </row>
    <row r="284" spans="9:11">
      <c r="I284" s="160"/>
      <c r="J284" s="160"/>
      <c r="K284" s="160"/>
    </row>
    <row r="285" spans="9:11">
      <c r="I285" s="160"/>
      <c r="J285" s="160"/>
      <c r="K285" s="160"/>
    </row>
    <row r="286" spans="9:11">
      <c r="I286" s="160"/>
      <c r="J286" s="160"/>
      <c r="K286" s="160"/>
    </row>
    <row r="287" spans="9:11">
      <c r="I287" s="160"/>
      <c r="J287" s="160"/>
      <c r="K287" s="160"/>
    </row>
    <row r="288" spans="9:11">
      <c r="I288" s="160"/>
      <c r="J288" s="160"/>
      <c r="K288" s="160"/>
    </row>
    <row r="289" spans="9:11">
      <c r="I289" s="160"/>
      <c r="J289" s="160"/>
      <c r="K289" s="160"/>
    </row>
    <row r="290" spans="9:11">
      <c r="I290" s="160"/>
      <c r="J290" s="160"/>
      <c r="K290" s="160"/>
    </row>
    <row r="291" spans="9:11">
      <c r="I291" s="160"/>
      <c r="J291" s="160"/>
      <c r="K291" s="160"/>
    </row>
    <row r="292" spans="9:11">
      <c r="I292" s="160"/>
      <c r="J292" s="160"/>
      <c r="K292" s="160"/>
    </row>
    <row r="293" spans="9:11">
      <c r="I293" s="160"/>
      <c r="J293" s="160"/>
      <c r="K293" s="160"/>
    </row>
    <row r="294" spans="9:11">
      <c r="I294" s="160"/>
      <c r="J294" s="160"/>
      <c r="K294" s="160"/>
    </row>
    <row r="295" spans="9:11">
      <c r="I295" s="160"/>
      <c r="J295" s="160"/>
      <c r="K295" s="160"/>
    </row>
    <row r="296" spans="9:11">
      <c r="I296" s="160"/>
      <c r="J296" s="160"/>
      <c r="K296" s="160"/>
    </row>
    <row r="297" spans="9:11">
      <c r="I297" s="160"/>
      <c r="J297" s="160"/>
      <c r="K297" s="160"/>
    </row>
    <row r="298" spans="9:11">
      <c r="I298" s="160"/>
      <c r="J298" s="160"/>
      <c r="K298" s="160"/>
    </row>
    <row r="299" spans="9:11">
      <c r="I299" s="160"/>
      <c r="J299" s="160"/>
      <c r="K299" s="160"/>
    </row>
    <row r="300" spans="9:11">
      <c r="I300" s="160"/>
      <c r="J300" s="160"/>
      <c r="K300" s="160"/>
    </row>
    <row r="301" spans="9:11">
      <c r="I301" s="160"/>
      <c r="J301" s="160"/>
      <c r="K301" s="160"/>
    </row>
    <row r="302" spans="9:11">
      <c r="I302" s="160"/>
      <c r="J302" s="160"/>
      <c r="K302" s="160"/>
    </row>
    <row r="303" spans="9:11">
      <c r="I303" s="160"/>
      <c r="J303" s="160"/>
      <c r="K303" s="160"/>
    </row>
    <row r="304" spans="9:11">
      <c r="I304" s="160"/>
      <c r="J304" s="160"/>
      <c r="K304" s="160"/>
    </row>
  </sheetData>
  <mergeCells count="2">
    <mergeCell ref="F1:J1"/>
    <mergeCell ref="F5:G5"/>
  </mergeCells>
  <pageMargins left="0.43307086614173229" right="0.27559055118110237" top="0.31496062992125984" bottom="7.874015748031496E-2" header="0.51181102362204722" footer="0.51181102362204722"/>
  <pageSetup paperSize="9" scale="90" orientation="landscape" horizontalDpi="300" verticalDpi="300" r:id="rId1"/>
  <headerFooter alignWithMargins="0"/>
  <rowBreaks count="1" manualBreakCount="1">
    <brk id="46" max="16383" man="1"/>
  </rowBreaks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8"/>
  <sheetViews>
    <sheetView topLeftCell="A12" workbookViewId="0">
      <selection activeCell="F43" sqref="F43"/>
    </sheetView>
  </sheetViews>
  <sheetFormatPr defaultRowHeight="12.75"/>
  <cols>
    <col min="1" max="2" width="10" customWidth="1"/>
    <col min="3" max="3" width="8" customWidth="1"/>
    <col min="4" max="4" width="7.5703125" customWidth="1"/>
    <col min="5" max="5" width="4.42578125" customWidth="1"/>
    <col min="6" max="6" width="12.28515625" customWidth="1"/>
    <col min="7" max="7" width="12.140625" customWidth="1"/>
    <col min="8" max="8" width="16.7109375" customWidth="1"/>
    <col min="9" max="9" width="17.42578125" customWidth="1"/>
    <col min="10" max="10" width="23.28515625" customWidth="1"/>
    <col min="11" max="11" width="11.140625" customWidth="1"/>
  </cols>
  <sheetData>
    <row r="1" spans="1:12" ht="18">
      <c r="A1" s="149" t="s">
        <v>347</v>
      </c>
    </row>
    <row r="2" spans="1:12" ht="15.75">
      <c r="A2" s="277" t="s">
        <v>348</v>
      </c>
    </row>
    <row r="3" spans="1:12" ht="15">
      <c r="A3" s="163" t="s">
        <v>349</v>
      </c>
      <c r="B3" s="163"/>
      <c r="C3" s="163"/>
      <c r="D3" s="692">
        <f>'beregning af nøgletal'!J2</f>
        <v>2009</v>
      </c>
      <c r="E3" s="159" t="s">
        <v>350</v>
      </c>
      <c r="F3" s="693">
        <f>'beregning af nøgletal'!J4</f>
        <v>8.3185391833629219E-2</v>
      </c>
      <c r="G3" s="159" t="s">
        <v>351</v>
      </c>
      <c r="H3" s="159" t="str">
        <f>IF(F3&gt;F4,"tilfredsstillende","utilfredsstillende")</f>
        <v>utilfredsstillende</v>
      </c>
      <c r="I3" s="163" t="s">
        <v>352</v>
      </c>
      <c r="J3" s="163"/>
      <c r="K3" s="163"/>
    </row>
    <row r="4" spans="1:12" ht="15">
      <c r="A4" s="694" t="s">
        <v>353</v>
      </c>
      <c r="B4" s="163"/>
      <c r="C4" s="163"/>
      <c r="D4" s="163"/>
      <c r="E4" s="163"/>
      <c r="F4" s="695">
        <v>0.11799999999999999</v>
      </c>
      <c r="G4" s="159" t="s">
        <v>354</v>
      </c>
      <c r="H4" s="159"/>
      <c r="I4" s="159"/>
      <c r="J4" s="159" t="e">
        <f>IF('beregning af nøgletal'!H4&lt;'beregning af nøgletal'!J4,"steget","faldet")</f>
        <v>#DIV/0!</v>
      </c>
      <c r="K4" s="159" t="s">
        <v>355</v>
      </c>
    </row>
    <row r="5" spans="1:12" ht="15">
      <c r="A5" s="696" t="e">
        <f>IF('beregning af nøgletal'!K4&gt;0,'beregning af nøgletal'!K4,'beregning af nøgletal'!K4*-1)</f>
        <v>#DIV/0!</v>
      </c>
      <c r="B5" s="159" t="s">
        <v>356</v>
      </c>
      <c r="C5" s="159"/>
      <c r="D5" s="159"/>
      <c r="E5" s="159"/>
      <c r="F5" s="159" t="e">
        <f>IF(J13&gt;J19,H13,H19)</f>
        <v>#DIV/0!</v>
      </c>
      <c r="G5" s="159" t="s">
        <v>357</v>
      </c>
      <c r="H5" s="159" t="e">
        <f>IF(J13&lt;J19,"aktivernes omsætningshastighed","overskudsgraden")</f>
        <v>#DIV/0!</v>
      </c>
      <c r="I5" s="159"/>
      <c r="J5" s="159" t="s">
        <v>350</v>
      </c>
      <c r="K5" s="696" t="e">
        <f>IF(J13&gt;J19,Kommentarer!J13,Kommentarer!J19)</f>
        <v>#DIV/0!</v>
      </c>
      <c r="L5" t="s">
        <v>358</v>
      </c>
    </row>
    <row r="6" spans="1:12" ht="15">
      <c r="A6" s="696" t="s">
        <v>359</v>
      </c>
      <c r="B6" s="159"/>
      <c r="C6" s="159"/>
      <c r="D6" s="159"/>
      <c r="E6" s="159"/>
      <c r="F6" s="159"/>
      <c r="G6" s="159"/>
      <c r="H6" s="159"/>
      <c r="I6" s="159"/>
      <c r="J6" s="159"/>
      <c r="K6" s="696"/>
    </row>
    <row r="8" spans="1:12" ht="15.75">
      <c r="A8" s="277" t="s">
        <v>360</v>
      </c>
    </row>
    <row r="9" spans="1:12" ht="15">
      <c r="A9" s="159" t="s">
        <v>361</v>
      </c>
      <c r="B9" s="159"/>
      <c r="C9" s="159"/>
      <c r="D9" s="159"/>
      <c r="E9" s="159"/>
      <c r="F9" s="159"/>
      <c r="G9" s="159"/>
      <c r="H9" s="159"/>
      <c r="I9" s="159"/>
      <c r="J9" s="159"/>
      <c r="K9" s="159"/>
    </row>
    <row r="10" spans="1:12" ht="15">
      <c r="A10" s="697">
        <f>D3</f>
        <v>2009</v>
      </c>
      <c r="B10" s="159" t="s">
        <v>350</v>
      </c>
      <c r="C10" s="698">
        <f>'beregning af nøgletal'!J6</f>
        <v>5.4485049833887043E-2</v>
      </c>
      <c r="D10" s="159" t="s">
        <v>362</v>
      </c>
      <c r="E10" s="163" t="str">
        <f>'Resultatopgørelse til analyse'!A1</f>
        <v>Sommer A/S</v>
      </c>
      <c r="F10" s="163"/>
      <c r="G10" s="163"/>
      <c r="H10" s="159" t="s">
        <v>363</v>
      </c>
      <c r="I10" s="699">
        <f>C10*100</f>
        <v>5.4485049833887045</v>
      </c>
      <c r="J10" s="159" t="s">
        <v>364</v>
      </c>
      <c r="K10" s="159"/>
    </row>
    <row r="11" spans="1:12" ht="15">
      <c r="A11" s="698" t="s">
        <v>365</v>
      </c>
      <c r="B11" s="159"/>
      <c r="C11" s="159"/>
      <c r="E11" s="159" t="s">
        <v>366</v>
      </c>
      <c r="F11" s="159"/>
      <c r="G11" s="700"/>
      <c r="H11" s="159"/>
      <c r="I11" s="159"/>
      <c r="J11" s="159"/>
      <c r="K11" s="159"/>
    </row>
    <row r="12" spans="1:12" ht="15">
      <c r="A12" s="159" t="s">
        <v>367</v>
      </c>
      <c r="B12" s="701">
        <v>6.5000000000000002E-2</v>
      </c>
      <c r="C12" s="159" t="s">
        <v>368</v>
      </c>
      <c r="D12" s="159"/>
      <c r="E12" s="159"/>
      <c r="F12" s="159"/>
      <c r="G12" s="159" t="str">
        <f>IF(B12&lt;C10,"tilfredsstillende.","utilfredsstillende.")</f>
        <v>utilfredsstillende.</v>
      </c>
      <c r="H12" s="159"/>
      <c r="I12" s="159"/>
      <c r="J12" s="159"/>
      <c r="K12" s="159"/>
    </row>
    <row r="13" spans="1:12" ht="15">
      <c r="A13" s="163" t="s">
        <v>369</v>
      </c>
      <c r="B13" s="164"/>
      <c r="C13" s="164"/>
      <c r="D13" s="164"/>
      <c r="E13" s="164"/>
      <c r="F13" s="159" t="str">
        <f>IF('beregning af nøgletal'!J6&gt;'beregning af nøgletal'!H6,"positiv","negativ")</f>
        <v>negativ</v>
      </c>
      <c r="G13" s="159" t="s">
        <v>370</v>
      </c>
      <c r="H13" s="159" t="str">
        <f>IF('beregning af nøgletal'!J6&gt;'beregning af nøgletal'!H6,"en stigning","et fald")</f>
        <v>et fald</v>
      </c>
      <c r="I13" s="159" t="s">
        <v>350</v>
      </c>
      <c r="J13" s="702">
        <f>IF('beregning af nøgletal'!K6&lt;0,'beregning af nøgletal'!K6*-1,'beregning af nøgletal'!K6)</f>
        <v>0.26695234885325891</v>
      </c>
      <c r="K13" s="159" t="s">
        <v>358</v>
      </c>
    </row>
    <row r="14" spans="1:12" ht="15">
      <c r="A14" s="159"/>
      <c r="B14" s="159"/>
      <c r="C14" s="159"/>
      <c r="D14" s="159"/>
      <c r="E14" s="159"/>
      <c r="F14" s="159"/>
      <c r="G14" s="159"/>
      <c r="H14" s="159"/>
      <c r="I14" s="159"/>
      <c r="J14" s="159"/>
      <c r="K14" s="159"/>
    </row>
    <row r="15" spans="1:12" ht="15.75">
      <c r="A15" s="277" t="s">
        <v>371</v>
      </c>
      <c r="B15" s="159"/>
      <c r="C15" s="159"/>
      <c r="D15" s="159"/>
      <c r="E15" s="159"/>
      <c r="F15" s="159"/>
      <c r="G15" s="159"/>
      <c r="H15" s="159"/>
      <c r="I15" s="159"/>
      <c r="J15" s="159"/>
      <c r="K15" s="159"/>
    </row>
    <row r="16" spans="1:12" ht="15">
      <c r="A16" s="159" t="str">
        <f>E10</f>
        <v>Sommer A/S</v>
      </c>
      <c r="B16" s="159"/>
      <c r="C16" s="159" t="s">
        <v>372</v>
      </c>
      <c r="D16" s="159"/>
      <c r="E16" s="703">
        <f>D3</f>
        <v>2009</v>
      </c>
      <c r="F16" s="703"/>
      <c r="G16" s="159" t="s">
        <v>373</v>
      </c>
      <c r="H16" s="704">
        <f>'beregning af nøgletal'!J8</f>
        <v>1.5267562769464875</v>
      </c>
      <c r="I16" s="163" t="s">
        <v>374</v>
      </c>
      <c r="J16" s="163"/>
      <c r="K16" s="163"/>
    </row>
    <row r="17" spans="1:11" ht="15">
      <c r="A17" s="159" t="s">
        <v>375</v>
      </c>
      <c r="B17" s="704">
        <f>F4/B12</f>
        <v>1.8153846153846152</v>
      </c>
      <c r="C17" s="159" t="s">
        <v>376</v>
      </c>
      <c r="D17" s="159"/>
      <c r="E17" s="159"/>
      <c r="F17" s="159"/>
      <c r="G17" s="159"/>
      <c r="H17" s="159" t="s">
        <v>377</v>
      </c>
      <c r="I17" s="159"/>
      <c r="J17" s="159"/>
      <c r="K17" s="159"/>
    </row>
    <row r="18" spans="1:11" ht="15">
      <c r="A18" s="159" t="str">
        <f>IF(B17&lt;H16,"tilfredsstillende.","utilfredsstillende.")</f>
        <v>utilfredsstillende.</v>
      </c>
      <c r="B18" s="159"/>
      <c r="C18" s="159" t="s">
        <v>378</v>
      </c>
      <c r="D18" s="159"/>
      <c r="E18" s="159"/>
      <c r="F18" s="159"/>
      <c r="G18" s="159"/>
      <c r="H18" s="159" t="e">
        <f>IF('beregning af nøgletal'!H8&lt;'beregning af nøgletal'!J8,"positivt","negativt")</f>
        <v>#DIV/0!</v>
      </c>
      <c r="I18" s="159" t="s">
        <v>379</v>
      </c>
      <c r="J18" s="159"/>
      <c r="K18" s="159"/>
    </row>
    <row r="19" spans="1:11" ht="15">
      <c r="A19" s="159" t="e">
        <f>IF('beregning af nøgletal'!H8&lt;'beregning af nøgletal'!J8,"forbedre","forringe")</f>
        <v>#DIV/0!</v>
      </c>
      <c r="B19" s="159" t="s">
        <v>380</v>
      </c>
      <c r="C19" s="159"/>
      <c r="D19" s="159"/>
      <c r="E19" s="159"/>
      <c r="F19" s="159"/>
      <c r="G19" s="159" t="s">
        <v>381</v>
      </c>
      <c r="H19" s="692" t="e">
        <f>IF('beregning af nøgletal'!H8&lt;'beregning af nøgletal'!J8,"stigningen","faldet")</f>
        <v>#DIV/0!</v>
      </c>
      <c r="I19" s="159" t="s">
        <v>382</v>
      </c>
      <c r="J19" s="702" t="e">
        <f>IF('beregning af nøgletal'!K8&lt;0,'beregning af nøgletal'!K8*-1,'beregning af nøgletal'!K8)</f>
        <v>#DIV/0!</v>
      </c>
      <c r="K19" s="159" t="s">
        <v>383</v>
      </c>
    </row>
    <row r="20" spans="1:11" ht="15">
      <c r="A20" s="159"/>
      <c r="B20" s="159"/>
      <c r="C20" s="159"/>
      <c r="D20" s="159"/>
      <c r="E20" s="159"/>
      <c r="F20" s="159"/>
      <c r="G20" s="159"/>
      <c r="H20" s="159"/>
      <c r="I20" s="159"/>
      <c r="J20" s="159"/>
      <c r="K20" s="159"/>
    </row>
    <row r="21" spans="1:11" ht="15.75">
      <c r="A21" s="277" t="s">
        <v>384</v>
      </c>
      <c r="B21" s="159"/>
      <c r="C21" s="159"/>
      <c r="D21" s="159"/>
      <c r="E21" s="159"/>
      <c r="F21" s="159"/>
      <c r="G21" s="159"/>
      <c r="H21" s="159"/>
      <c r="I21" s="159"/>
      <c r="J21" s="159"/>
      <c r="K21" s="159"/>
    </row>
    <row r="22" spans="1:11" ht="15">
      <c r="A22" s="159" t="s">
        <v>385</v>
      </c>
      <c r="B22" s="159"/>
      <c r="C22" s="159"/>
      <c r="D22" s="705">
        <f>'beregning af nøgletal'!J12</f>
        <v>0.02</v>
      </c>
      <c r="E22" s="705"/>
      <c r="F22" s="159" t="s">
        <v>386</v>
      </c>
      <c r="G22" s="159"/>
      <c r="H22" s="159"/>
      <c r="I22" s="159"/>
      <c r="J22" s="159"/>
      <c r="K22" s="159"/>
    </row>
    <row r="23" spans="1:11" ht="15">
      <c r="A23" s="706">
        <v>0.13400000000000001</v>
      </c>
      <c r="B23" s="159" t="s">
        <v>387</v>
      </c>
      <c r="C23" s="163" t="str">
        <f>IF(D22&lt;A23,"utilfredsstillende.","tilfredsstillende.")</f>
        <v>utilfredsstillende.</v>
      </c>
      <c r="D23" s="164"/>
      <c r="E23" s="164"/>
      <c r="F23" s="164"/>
      <c r="G23" s="159" t="s">
        <v>388</v>
      </c>
      <c r="I23" s="707">
        <f>A10</f>
        <v>2009</v>
      </c>
      <c r="J23" s="159" t="s">
        <v>389</v>
      </c>
      <c r="K23" s="698">
        <f>'beregning af nøgletal'!J10</f>
        <v>0.10920157536698891</v>
      </c>
    </row>
    <row r="24" spans="1:11" ht="15">
      <c r="A24" s="159" t="s">
        <v>390</v>
      </c>
      <c r="B24" s="159" t="str">
        <f>IF(F3&lt;K23,"over","under")</f>
        <v>over</v>
      </c>
      <c r="C24" s="159" t="s">
        <v>391</v>
      </c>
      <c r="D24" s="159"/>
      <c r="E24" s="159"/>
      <c r="F24" s="159"/>
      <c r="G24" s="159" t="str">
        <f>IF(K23&lt;F3,"tjener","taber")</f>
        <v>taber</v>
      </c>
      <c r="H24" s="159" t="s">
        <v>392</v>
      </c>
      <c r="I24" s="159"/>
      <c r="J24" s="159"/>
      <c r="K24" s="159"/>
    </row>
    <row r="25" spans="1:11" ht="15">
      <c r="A25" s="159" t="s">
        <v>393</v>
      </c>
      <c r="B25" s="159"/>
      <c r="C25" s="159"/>
      <c r="D25" s="159"/>
      <c r="E25" s="159"/>
      <c r="F25" s="159"/>
      <c r="G25" s="708">
        <f>'beregning af nøgletal'!J72</f>
        <v>-2.6016183533359688E-2</v>
      </c>
      <c r="H25" s="159" t="s">
        <v>394</v>
      </c>
      <c r="I25" s="159"/>
      <c r="J25" s="159"/>
      <c r="K25" s="159" t="str">
        <f>IF(F3&lt;K23,"mindre","større")</f>
        <v>mindre</v>
      </c>
    </row>
    <row r="26" spans="1:11" ht="15">
      <c r="A26" s="159" t="s">
        <v>395</v>
      </c>
      <c r="B26" s="159"/>
      <c r="C26" s="159" t="str">
        <f>A16</f>
        <v>Sommer A/S</v>
      </c>
      <c r="D26" s="159"/>
      <c r="E26" s="159"/>
      <c r="F26" s="159" t="s">
        <v>396</v>
      </c>
      <c r="G26" s="159"/>
      <c r="H26" s="159"/>
      <c r="I26" s="709">
        <f>'beregning af nøgletal'!J70</f>
        <v>2.4286956521739129</v>
      </c>
      <c r="J26" s="159" t="s">
        <v>397</v>
      </c>
      <c r="K26" s="159" t="s">
        <v>357</v>
      </c>
    </row>
    <row r="27" spans="1:11" ht="15">
      <c r="A27" s="159">
        <f>A10</f>
        <v>2009</v>
      </c>
      <c r="B27" s="159" t="s">
        <v>398</v>
      </c>
      <c r="D27" s="710">
        <f>'beregning af nøgletal'!J68/100</f>
        <v>0.2916560994166878</v>
      </c>
      <c r="E27" s="710"/>
      <c r="F27" s="709" t="s">
        <v>399</v>
      </c>
      <c r="H27" s="159" t="str">
        <f>IF(D27&lt;C28,"under","over")</f>
        <v>under</v>
      </c>
      <c r="I27" s="159" t="s">
        <v>400</v>
      </c>
    </row>
    <row r="28" spans="1:11" ht="15">
      <c r="A28" s="159" t="s">
        <v>401</v>
      </c>
      <c r="C28" s="711">
        <v>0.4</v>
      </c>
      <c r="D28" s="159" t="s">
        <v>402</v>
      </c>
      <c r="G28" s="159" t="str">
        <f>IF(D27&lt;C28,"nedbringes","forøges")</f>
        <v>nedbringes</v>
      </c>
      <c r="H28" s="159" t="s">
        <v>403</v>
      </c>
      <c r="I28" s="159" t="str">
        <f>IF(C28&lt;D27,"sænkes.","hæves.")</f>
        <v>hæves.</v>
      </c>
    </row>
    <row r="30" spans="1:11" ht="15.75">
      <c r="A30" s="277" t="s">
        <v>404</v>
      </c>
    </row>
    <row r="31" spans="1:11" ht="15">
      <c r="A31" s="159" t="s">
        <v>405</v>
      </c>
      <c r="E31" s="163" t="str">
        <f>IF('beregning af nøgletal'!J17&lt;'beregning af nøgletal'!H17,"faldet","steget")</f>
        <v>faldet</v>
      </c>
      <c r="F31" s="163"/>
      <c r="G31" s="159" t="s">
        <v>406</v>
      </c>
      <c r="H31" s="698">
        <f>'beregning af nøgletal'!H17</f>
        <v>7.4326750448833037E-2</v>
      </c>
      <c r="I31" s="159" t="s">
        <v>407</v>
      </c>
      <c r="J31" s="698">
        <f>'beregning af nøgletal'!J17</f>
        <v>5.4485049833887043E-2</v>
      </c>
      <c r="K31" t="s">
        <v>358</v>
      </c>
    </row>
    <row r="32" spans="1:11" ht="15">
      <c r="A32" s="163" t="s">
        <v>408</v>
      </c>
      <c r="B32" s="164"/>
      <c r="C32" s="164"/>
      <c r="D32" s="163" t="str">
        <f>IF('beregning af nøgletal'!J32&lt;'beregning af nøgletal'!H32,"faldet","steget")</f>
        <v>steget</v>
      </c>
      <c r="E32" s="163"/>
      <c r="F32" s="159" t="s">
        <v>355</v>
      </c>
      <c r="G32" s="702">
        <f>IF('beregning af nøgletal'!K32&lt;0,'beregning af nøgletal'!K32*-1,'beregning af nøgletal'!K32)</f>
        <v>8.0789946140035915E-2</v>
      </c>
      <c r="H32" s="159" t="s">
        <v>383</v>
      </c>
    </row>
    <row r="33" spans="1:12" ht="15">
      <c r="A33" s="159" t="str">
        <f>'Resultatopgørelse til analyse'!A6</f>
        <v>Variable salagsomk.</v>
      </c>
      <c r="B33" s="159"/>
      <c r="C33" s="159" t="s">
        <v>409</v>
      </c>
      <c r="D33" s="163" t="str">
        <f>IF('Resultatopgørelse til analyse'!D6&gt;'Resultatopgørelse til analyse'!B6,"steget","faldet")</f>
        <v>steget</v>
      </c>
      <c r="E33" s="163"/>
      <c r="F33" s="159" t="s">
        <v>355</v>
      </c>
      <c r="G33" s="708">
        <f>IF('beregning af nøgletal'!K34&lt;0,'beregning af nøgletal'!K34*-1,'beregning af nøgletal'!K34)</f>
        <v>0.1210428305400373</v>
      </c>
      <c r="H33" s="159" t="str">
        <f>H32</f>
        <v>i perioden.</v>
      </c>
      <c r="I33" s="159" t="s">
        <v>410</v>
      </c>
      <c r="J33" s="159"/>
      <c r="K33" s="159"/>
    </row>
    <row r="34" spans="1:12" ht="15">
      <c r="A34" s="159" t="s">
        <v>411</v>
      </c>
      <c r="B34" s="159"/>
      <c r="C34" s="159" t="s">
        <v>409</v>
      </c>
      <c r="D34" s="163" t="str">
        <f>IF(G32&lt;G33,"faldet","steget")</f>
        <v>faldet</v>
      </c>
      <c r="E34" s="163"/>
      <c r="F34" s="159" t="s">
        <v>406</v>
      </c>
      <c r="G34" s="708">
        <f>'beregning af nøgletal'!H19</f>
        <v>0.38491921005385998</v>
      </c>
      <c r="H34" s="159" t="s">
        <v>412</v>
      </c>
      <c r="I34" s="708">
        <f>'beregning af nøgletal'!J19</f>
        <v>0.3983388704318937</v>
      </c>
      <c r="J34" s="159" t="s">
        <v>413</v>
      </c>
      <c r="K34" s="159"/>
    </row>
    <row r="35" spans="1:12" ht="15">
      <c r="A35" s="159" t="s">
        <v>414</v>
      </c>
      <c r="B35" s="159"/>
      <c r="C35" s="159"/>
      <c r="D35" s="159"/>
      <c r="E35" s="159"/>
      <c r="F35" s="159"/>
      <c r="G35" s="159"/>
      <c r="H35" s="159" t="str">
        <f>IF(G34&lt;I34,"positiv","negativ")</f>
        <v>positiv</v>
      </c>
      <c r="I35" s="159" t="s">
        <v>415</v>
      </c>
      <c r="J35" s="159"/>
      <c r="K35" s="159"/>
    </row>
    <row r="36" spans="1:12" ht="15">
      <c r="A36" s="159" t="s">
        <v>416</v>
      </c>
      <c r="B36" s="159"/>
      <c r="C36" s="159"/>
      <c r="D36" s="163" t="str">
        <f>IF('beregning af nøgletal'!H27&lt;'beregning af nøgletal'!J27,"vokset","faldet")</f>
        <v>vokset</v>
      </c>
      <c r="E36" s="163"/>
      <c r="F36" s="163" t="s">
        <v>417</v>
      </c>
      <c r="G36" s="163"/>
      <c r="H36" s="712">
        <f>'beregning af nøgletal'!J27</f>
        <v>51965.804837364471</v>
      </c>
      <c r="I36" s="159" t="s">
        <v>418</v>
      </c>
      <c r="J36" s="159"/>
      <c r="K36" s="159"/>
    </row>
    <row r="37" spans="1:12" ht="15">
      <c r="A37" s="708">
        <f>'beregning af nøgletal'!J29</f>
        <v>0.13678065054211844</v>
      </c>
      <c r="B37" s="159" t="s">
        <v>419</v>
      </c>
      <c r="C37" s="159"/>
      <c r="D37" s="159"/>
      <c r="E37" s="159"/>
      <c r="F37" s="159"/>
      <c r="G37" s="708">
        <f>A37</f>
        <v>0.13678065054211844</v>
      </c>
      <c r="H37" s="159" t="s">
        <v>420</v>
      </c>
      <c r="I37" s="163" t="str">
        <f>C26</f>
        <v>Sommer A/S</v>
      </c>
      <c r="J37" s="163"/>
      <c r="K37" s="163"/>
    </row>
    <row r="38" spans="1:12" ht="15">
      <c r="A38" s="159" t="s">
        <v>421</v>
      </c>
      <c r="B38" s="159"/>
      <c r="C38" s="159"/>
      <c r="D38" s="159"/>
      <c r="E38" s="159"/>
      <c r="F38" s="159"/>
      <c r="G38" s="159"/>
      <c r="H38" s="159"/>
      <c r="I38" s="159"/>
      <c r="J38" s="159"/>
      <c r="K38" s="159"/>
    </row>
    <row r="39" spans="1:12" ht="15">
      <c r="A39" s="713" t="s">
        <v>422</v>
      </c>
      <c r="B39" s="713"/>
      <c r="C39" s="713"/>
      <c r="D39" s="713"/>
      <c r="E39" s="713"/>
      <c r="F39" s="159"/>
      <c r="G39" s="159"/>
      <c r="H39" s="159"/>
      <c r="I39" s="159"/>
      <c r="J39" s="159"/>
      <c r="K39" s="159"/>
    </row>
    <row r="40" spans="1:12" ht="15">
      <c r="A40" s="159" t="s">
        <v>423</v>
      </c>
      <c r="B40" s="159"/>
      <c r="C40" s="159"/>
      <c r="D40" s="159"/>
      <c r="E40" s="159" t="s">
        <v>409</v>
      </c>
      <c r="F40" s="159" t="str">
        <f>IF('beregning af nøgletal'!H35&lt;'beregning af nøgletal'!J35,"steget","faldet")</f>
        <v>steget</v>
      </c>
      <c r="G40" s="159" t="s">
        <v>424</v>
      </c>
      <c r="H40" s="702">
        <f>IF('beregning af nøgletal'!K35&gt;0,'beregning af nøgletal'!K35,'beregning af nøgletal'!K35*-1)</f>
        <v>0.1875</v>
      </c>
      <c r="I40" s="159" t="s">
        <v>425</v>
      </c>
      <c r="J40" s="163" t="str">
        <f>IF(F40="faldet","forbedret","forringet")</f>
        <v>forringet</v>
      </c>
      <c r="K40" s="164"/>
      <c r="L40" s="159" t="s">
        <v>426</v>
      </c>
    </row>
    <row r="41" spans="1:12" ht="15">
      <c r="A41" s="163" t="str">
        <f>'beregning af nøgletal'!A36</f>
        <v>Lokale</v>
      </c>
      <c r="B41" s="163"/>
      <c r="C41" s="163"/>
      <c r="D41" s="163"/>
      <c r="E41" s="159" t="s">
        <v>409</v>
      </c>
      <c r="F41" s="159" t="str">
        <f>IF('beregning af nøgletal'!H36&lt;'beregning af nøgletal'!J36,"steget","faldet")</f>
        <v>steget</v>
      </c>
      <c r="G41" s="159" t="s">
        <v>355</v>
      </c>
      <c r="H41" s="702">
        <f>IF('beregning af nøgletal'!K36&gt;0,'beregning af nøgletal'!K36,'beregning af nøgletal'!K36*-1)</f>
        <v>0.12</v>
      </c>
      <c r="I41" s="159" t="str">
        <f>I40</f>
        <v xml:space="preserve">hvilket har  </v>
      </c>
      <c r="J41" s="163" t="str">
        <f>IF(F41="faldet","forbedret","forringet")</f>
        <v>forringet</v>
      </c>
      <c r="K41" s="164"/>
      <c r="L41" s="159" t="s">
        <v>426</v>
      </c>
    </row>
    <row r="42" spans="1:12" ht="15">
      <c r="A42" s="163" t="str">
        <f>'beregning af nøgletal'!A37</f>
        <v>Reparation &amp; vedligehold</v>
      </c>
      <c r="B42" s="163"/>
      <c r="C42" s="163"/>
      <c r="D42" s="163"/>
      <c r="E42" s="159" t="s">
        <v>409</v>
      </c>
      <c r="F42" s="159" t="str">
        <f>IF('beregning af nøgletal'!H37&lt;'beregning af nøgletal'!J37,"steget","faldet")</f>
        <v>faldet</v>
      </c>
      <c r="G42" s="159" t="s">
        <v>355</v>
      </c>
      <c r="H42" s="702">
        <f>IF('beregning af nøgletal'!K37&gt;0,'beregning af nøgletal'!K37,'beregning af nøgletal'!K37*-1)</f>
        <v>0.1851851851851852</v>
      </c>
      <c r="I42" s="159" t="str">
        <f t="shared" ref="I42:I48" si="0">I41</f>
        <v xml:space="preserve">hvilket har  </v>
      </c>
      <c r="J42" s="163" t="str">
        <f t="shared" ref="J42:J48" si="1">IF(F42="faldet","forbedret","forringet")</f>
        <v>forbedret</v>
      </c>
      <c r="K42" s="164"/>
      <c r="L42" s="159" t="s">
        <v>426</v>
      </c>
    </row>
    <row r="43" spans="1:12" ht="15">
      <c r="A43" s="163" t="str">
        <f>'beregning af nøgletal'!A38</f>
        <v>Gager</v>
      </c>
      <c r="B43" s="163"/>
      <c r="C43" s="163"/>
      <c r="D43" s="163"/>
      <c r="E43" s="159" t="s">
        <v>409</v>
      </c>
      <c r="F43" s="159" t="str">
        <f>IF('beregning af nøgletal'!H38&lt;'beregning af nøgletal'!J38,"steget","faldet")</f>
        <v>steget</v>
      </c>
      <c r="G43" s="159" t="s">
        <v>355</v>
      </c>
      <c r="H43" s="702">
        <f>IF('beregning af nøgletal'!K38&gt;0,'beregning af nøgletal'!K38,'beregning af nøgletal'!K38*-1)</f>
        <v>0.20967741935483872</v>
      </c>
      <c r="I43" s="159" t="str">
        <f t="shared" si="0"/>
        <v xml:space="preserve">hvilket har  </v>
      </c>
      <c r="J43" s="163" t="str">
        <f t="shared" si="1"/>
        <v>forringet</v>
      </c>
      <c r="K43" s="164"/>
      <c r="L43" s="159" t="s">
        <v>426</v>
      </c>
    </row>
    <row r="44" spans="1:12" ht="15">
      <c r="A44" s="163" t="str">
        <f>'beregning af nøgletal'!A39</f>
        <v>Øverige omk.</v>
      </c>
      <c r="B44" s="163"/>
      <c r="C44" s="163"/>
      <c r="D44" s="163"/>
      <c r="E44" s="159" t="s">
        <v>409</v>
      </c>
      <c r="F44" s="159" t="str">
        <f>IF('beregning af nøgletal'!H39&lt;'beregning af nøgletal'!J39,"steget","faldet")</f>
        <v>steget</v>
      </c>
      <c r="G44" s="159" t="s">
        <v>355</v>
      </c>
      <c r="H44" s="702">
        <f>IF('beregning af nøgletal'!K39&gt;0,'beregning af nøgletal'!K39,'beregning af nøgletal'!K39*-1)</f>
        <v>0.15384615384615385</v>
      </c>
      <c r="I44" s="159" t="str">
        <f t="shared" si="0"/>
        <v xml:space="preserve">hvilket har  </v>
      </c>
      <c r="J44" s="163" t="str">
        <f t="shared" si="1"/>
        <v>forringet</v>
      </c>
      <c r="K44" s="164"/>
      <c r="L44" s="159" t="s">
        <v>426</v>
      </c>
    </row>
    <row r="45" spans="1:12" ht="15">
      <c r="A45" s="163" t="str">
        <f>'beregning af nøgletal'!A40</f>
        <v>-</v>
      </c>
      <c r="B45" s="163"/>
      <c r="C45" s="163"/>
      <c r="D45" s="163"/>
      <c r="E45" s="159" t="s">
        <v>409</v>
      </c>
      <c r="F45" s="159" t="e">
        <f>IF('beregning af nøgletal'!H40&lt;'beregning af nøgletal'!J40,"steget","faldet")</f>
        <v>#DIV/0!</v>
      </c>
      <c r="G45" s="159" t="s">
        <v>355</v>
      </c>
      <c r="H45" s="702" t="e">
        <f>IF('beregning af nøgletal'!K40&gt;0,'beregning af nøgletal'!K40,'beregning af nøgletal'!K40*-1)</f>
        <v>#DIV/0!</v>
      </c>
      <c r="I45" s="159" t="str">
        <f t="shared" si="0"/>
        <v xml:space="preserve">hvilket har  </v>
      </c>
      <c r="J45" s="163" t="e">
        <f t="shared" si="1"/>
        <v>#DIV/0!</v>
      </c>
      <c r="K45" s="164"/>
      <c r="L45" s="159" t="s">
        <v>426</v>
      </c>
    </row>
    <row r="46" spans="1:12" ht="15">
      <c r="A46" s="163" t="str">
        <f>'beregning af nøgletal'!A41</f>
        <v>Afskrivninger</v>
      </c>
      <c r="B46" s="163"/>
      <c r="C46" s="163"/>
      <c r="D46" s="163"/>
      <c r="E46" s="159" t="s">
        <v>409</v>
      </c>
      <c r="F46" s="159" t="str">
        <f>IF('beregning af nøgletal'!H41&lt;'beregning af nøgletal'!J41,"steget","faldet")</f>
        <v>steget</v>
      </c>
      <c r="G46" s="159" t="s">
        <v>355</v>
      </c>
      <c r="H46" s="702">
        <f>IF('beregning af nøgletal'!K41&gt;0,'beregning af nøgletal'!K41,'beregning af nøgletal'!K41*-1)</f>
        <v>0.35</v>
      </c>
      <c r="I46" s="159" t="str">
        <f t="shared" si="0"/>
        <v xml:space="preserve">hvilket har  </v>
      </c>
      <c r="J46" s="163" t="str">
        <f t="shared" si="1"/>
        <v>forringet</v>
      </c>
      <c r="K46" s="164"/>
      <c r="L46" s="159" t="s">
        <v>426</v>
      </c>
    </row>
    <row r="47" spans="1:12" ht="15">
      <c r="A47" s="163" t="str">
        <f>'beregning af nøgletal'!A42</f>
        <v>Rente indtægter</v>
      </c>
      <c r="B47" s="163"/>
      <c r="C47" s="163"/>
      <c r="D47" s="163"/>
      <c r="E47" s="159" t="s">
        <v>409</v>
      </c>
      <c r="F47" s="159" t="e">
        <f>IF('beregning af nøgletal'!H42&lt;'beregning af nøgletal'!J42,"steget","faldet")</f>
        <v>#DIV/0!</v>
      </c>
      <c r="G47" s="159" t="s">
        <v>355</v>
      </c>
      <c r="H47" s="702" t="e">
        <f>IF('beregning af nøgletal'!K42&gt;0,'beregning af nøgletal'!K42,'beregning af nøgletal'!K42*-1)</f>
        <v>#DIV/0!</v>
      </c>
      <c r="I47" s="159" t="str">
        <f t="shared" si="0"/>
        <v xml:space="preserve">hvilket har  </v>
      </c>
      <c r="J47" s="163" t="e">
        <f t="shared" si="1"/>
        <v>#DIV/0!</v>
      </c>
      <c r="K47" s="164"/>
      <c r="L47" s="159" t="s">
        <v>426</v>
      </c>
    </row>
    <row r="48" spans="1:12" ht="15">
      <c r="A48" s="163" t="str">
        <f>'beregning af nøgletal'!A43</f>
        <v>Rente omkostninger</v>
      </c>
      <c r="B48" s="163"/>
      <c r="C48" s="163"/>
      <c r="D48" s="163"/>
      <c r="E48" s="159" t="s">
        <v>409</v>
      </c>
      <c r="F48" s="159" t="str">
        <f>IF('beregning af nøgletal'!H43&lt;'beregning af nøgletal'!J43,"steget","faldet")</f>
        <v>steget</v>
      </c>
      <c r="G48" s="159" t="s">
        <v>355</v>
      </c>
      <c r="H48" s="702">
        <f>IF('beregning af nøgletal'!K43&gt;0,'beregning af nøgletal'!K43,'beregning af nøgletal'!K43*-1)</f>
        <v>0.22</v>
      </c>
      <c r="I48" s="159" t="str">
        <f t="shared" si="0"/>
        <v xml:space="preserve">hvilket har  </v>
      </c>
      <c r="J48" s="163" t="str">
        <f t="shared" si="1"/>
        <v>forringet</v>
      </c>
      <c r="K48" s="164"/>
      <c r="L48" s="159" t="s">
        <v>426</v>
      </c>
    </row>
    <row r="49" spans="1:12" ht="15">
      <c r="A49" s="714"/>
      <c r="B49" s="714"/>
      <c r="C49" s="714"/>
      <c r="D49" s="159"/>
      <c r="E49" s="159"/>
      <c r="F49" s="159"/>
      <c r="G49" s="159"/>
      <c r="H49" s="702"/>
      <c r="I49" s="159"/>
      <c r="J49" s="159"/>
      <c r="K49" s="159"/>
      <c r="L49" s="159"/>
    </row>
    <row r="50" spans="1:12" ht="15.75">
      <c r="A50" s="277" t="s">
        <v>427</v>
      </c>
      <c r="B50" s="159"/>
      <c r="C50" s="159"/>
      <c r="D50" s="159"/>
      <c r="E50" s="159"/>
      <c r="F50" s="159"/>
      <c r="G50" s="159"/>
      <c r="H50" s="159"/>
      <c r="I50" s="159"/>
      <c r="J50" s="159"/>
      <c r="K50" s="159"/>
      <c r="L50" s="159"/>
    </row>
    <row r="51" spans="1:12" ht="15">
      <c r="A51" s="163" t="s">
        <v>428</v>
      </c>
      <c r="B51" s="163"/>
      <c r="C51" s="163"/>
      <c r="D51" s="163"/>
      <c r="E51" s="163"/>
      <c r="F51" s="163"/>
      <c r="G51" s="163"/>
      <c r="H51" s="163"/>
      <c r="I51" s="159" t="e">
        <f>IF('beregning af nøgletal'!J48&gt;'beregning af nøgletal'!H48,"steget","faldet")</f>
        <v>#DIV/0!</v>
      </c>
      <c r="J51" s="159" t="s">
        <v>355</v>
      </c>
      <c r="K51" s="702" t="e">
        <f>IF('beregning af nøgletal'!K48&lt;0,'beregning af nøgletal'!K48*-1,'beregning af nøgletal'!K48)</f>
        <v>#DIV/0!</v>
      </c>
      <c r="L51" s="159" t="s">
        <v>358</v>
      </c>
    </row>
    <row r="52" spans="1:12" ht="15">
      <c r="A52" s="159" t="s">
        <v>429</v>
      </c>
      <c r="B52" s="159"/>
      <c r="C52" s="699">
        <f>H16</f>
        <v>1.5267562769464875</v>
      </c>
      <c r="D52" s="159" t="s">
        <v>430</v>
      </c>
      <c r="E52" s="163" t="s">
        <v>431</v>
      </c>
      <c r="F52" s="163"/>
      <c r="G52" s="163"/>
      <c r="H52" s="159" t="str">
        <f>A18</f>
        <v>utilfredsstillende.</v>
      </c>
      <c r="J52" s="163"/>
      <c r="K52" s="163"/>
      <c r="L52" s="159"/>
    </row>
    <row r="53" spans="1:12" ht="15">
      <c r="A53" s="159"/>
      <c r="B53" s="159"/>
      <c r="C53" s="699"/>
      <c r="D53" s="159"/>
      <c r="E53" s="159"/>
      <c r="F53" s="159"/>
      <c r="G53" s="159"/>
      <c r="H53" s="159"/>
      <c r="J53" s="714"/>
      <c r="K53" s="714"/>
      <c r="L53" s="159"/>
    </row>
    <row r="54" spans="1:12" ht="15">
      <c r="A54" s="159"/>
      <c r="B54" s="159"/>
      <c r="C54" s="699"/>
      <c r="D54" s="159"/>
      <c r="E54" s="159"/>
      <c r="F54" s="159"/>
      <c r="G54" s="159"/>
      <c r="H54" s="159"/>
      <c r="J54" s="714"/>
      <c r="K54" s="714"/>
      <c r="L54" s="159"/>
    </row>
    <row r="55" spans="1:12" ht="15">
      <c r="A55" s="715" t="s">
        <v>432</v>
      </c>
      <c r="B55" s="715"/>
      <c r="C55" s="715"/>
      <c r="D55" s="715"/>
      <c r="E55" s="715"/>
      <c r="F55" s="715"/>
      <c r="G55" s="715"/>
      <c r="H55" s="159"/>
      <c r="I55" s="159"/>
      <c r="J55" s="159"/>
      <c r="K55" s="159"/>
    </row>
    <row r="56" spans="1:12" ht="15">
      <c r="A56" s="159" t="s">
        <v>433</v>
      </c>
      <c r="B56" s="159" t="e">
        <f>IF('beregning af nøgletal'!J50&gt;'beregning af nøgletal'!H50,"steget","faldet")</f>
        <v>#DIV/0!</v>
      </c>
      <c r="C56" s="159" t="s">
        <v>434</v>
      </c>
      <c r="D56" s="699" t="e">
        <f>'beregning af nøgletal'!H50</f>
        <v>#DIV/0!</v>
      </c>
      <c r="E56" s="163" t="s">
        <v>435</v>
      </c>
      <c r="F56" s="163"/>
      <c r="G56" s="699">
        <f>'beregning af nøgletal'!J50</f>
        <v>0.37624999999999997</v>
      </c>
      <c r="H56" s="159" t="s">
        <v>397</v>
      </c>
      <c r="I56" s="159" t="s">
        <v>436</v>
      </c>
      <c r="J56" s="159"/>
      <c r="K56" s="159"/>
    </row>
    <row r="57" spans="1:12" ht="15">
      <c r="A57" s="159" t="e">
        <f>IF(G56&gt;D56,"kortere","længere")</f>
        <v>#DIV/0!</v>
      </c>
      <c r="B57" s="159" t="s">
        <v>437</v>
      </c>
      <c r="C57" s="159"/>
      <c r="D57" s="159" t="s">
        <v>438</v>
      </c>
      <c r="E57" s="159"/>
      <c r="F57" s="159"/>
      <c r="G57" s="159" t="e">
        <f>IF('beregning af nøgletal'!J52&gt;'beregning af nøgletal'!H52,"steget","faldet")</f>
        <v>#DIV/0!</v>
      </c>
      <c r="H57" s="159" t="s">
        <v>439</v>
      </c>
      <c r="I57" s="709">
        <f>'beregning af nøgletal'!J52</f>
        <v>956.81063122923592</v>
      </c>
      <c r="J57" s="159" t="s">
        <v>440</v>
      </c>
      <c r="K57" s="159" t="s">
        <v>358</v>
      </c>
    </row>
    <row r="58" spans="1:12" ht="15">
      <c r="A58" s="159" t="str">
        <f>E10</f>
        <v>Sommer A/S</v>
      </c>
      <c r="B58" s="159"/>
      <c r="C58" s="159" t="s">
        <v>441</v>
      </c>
      <c r="D58" s="159"/>
      <c r="E58" s="159"/>
      <c r="F58" s="702">
        <f>IF('beregning af nøgletal'!K34&gt;0,'beregning af nøgletal'!K34,'beregning af nøgletal'!K34*-1)</f>
        <v>0.1210428305400373</v>
      </c>
      <c r="G58" s="159" t="str">
        <f>IF('beregning af nøgletal'!J32&gt;'beregning af nøgletal'!H32,"større","mindre")</f>
        <v>større</v>
      </c>
      <c r="H58" s="159" t="s">
        <v>442</v>
      </c>
      <c r="I58" s="159"/>
      <c r="J58" s="702" t="e">
        <f>IF('Balance til analyse'!H8&gt;0,'Balance til analyse'!H8,'Balance til analyse'!H8*-1)</f>
        <v>#DIV/0!</v>
      </c>
      <c r="K58" s="159" t="e">
        <f>IF('Balance til analyse'!H8&gt;0,"større","mindre")</f>
        <v>#DIV/0!</v>
      </c>
    </row>
    <row r="59" spans="1:12" ht="15">
      <c r="A59" s="159" t="s">
        <v>443</v>
      </c>
      <c r="B59" s="159" t="e">
        <f>IF(D56&lt;G56,"forbedret","forringet")</f>
        <v>#DIV/0!</v>
      </c>
      <c r="C59" s="159" t="s">
        <v>444</v>
      </c>
      <c r="D59" s="159"/>
      <c r="E59" s="159"/>
      <c r="F59" s="702"/>
      <c r="G59" s="159"/>
      <c r="H59" s="159"/>
      <c r="I59" s="159"/>
      <c r="J59" s="159"/>
      <c r="K59" s="702"/>
      <c r="L59" s="159"/>
    </row>
    <row r="60" spans="1:12" ht="15">
      <c r="A60" s="159"/>
      <c r="B60" s="159"/>
      <c r="C60" s="159"/>
      <c r="D60" s="159"/>
      <c r="E60" s="159"/>
      <c r="F60" s="702"/>
      <c r="G60" s="159"/>
      <c r="H60" s="159"/>
      <c r="I60" s="159"/>
      <c r="J60" s="159"/>
      <c r="K60" s="702"/>
      <c r="L60" s="159"/>
    </row>
    <row r="61" spans="1:12" ht="15">
      <c r="A61" s="715" t="s">
        <v>445</v>
      </c>
      <c r="B61" s="159"/>
      <c r="C61" s="159"/>
      <c r="D61" s="159"/>
      <c r="E61" s="159"/>
      <c r="F61" s="159"/>
      <c r="G61" s="159"/>
      <c r="H61" s="159"/>
      <c r="I61" s="159"/>
      <c r="J61" s="159"/>
      <c r="K61" s="159"/>
    </row>
    <row r="62" spans="1:12" ht="15">
      <c r="A62" s="159" t="s">
        <v>446</v>
      </c>
      <c r="B62" s="159"/>
      <c r="C62" s="159"/>
      <c r="D62" s="163" t="e">
        <f>IF('beregning af nøgletal'!J56&gt;'beregning af nøgletal'!H56,"steget","faldet")</f>
        <v>#DIV/0!</v>
      </c>
      <c r="E62" s="163"/>
      <c r="F62" s="159" t="s">
        <v>434</v>
      </c>
      <c r="G62" s="709" t="e">
        <f>'beregning af nøgletal'!H56</f>
        <v>#DIV/0!</v>
      </c>
      <c r="H62" s="159" t="s">
        <v>447</v>
      </c>
      <c r="I62" s="709">
        <f>'beregning af nøgletal'!J56</f>
        <v>44.970099667774086</v>
      </c>
      <c r="J62" s="159" t="s">
        <v>448</v>
      </c>
      <c r="K62" s="159" t="s">
        <v>449</v>
      </c>
    </row>
    <row r="63" spans="1:12" ht="15">
      <c r="A63" s="159" t="e">
        <f>IF(G62&gt;I62,"forbedret","forringet")</f>
        <v>#DIV/0!</v>
      </c>
      <c r="B63" s="163" t="s">
        <v>450</v>
      </c>
      <c r="C63" s="163"/>
      <c r="D63" s="163"/>
      <c r="E63" s="164"/>
      <c r="F63" s="164"/>
      <c r="G63" s="164"/>
      <c r="H63" s="164"/>
      <c r="I63" s="159"/>
      <c r="J63" s="159"/>
      <c r="K63" s="159"/>
    </row>
    <row r="64" spans="1:12" ht="15">
      <c r="A64" s="159"/>
      <c r="B64" s="159"/>
      <c r="C64" s="159"/>
      <c r="D64" s="159"/>
      <c r="E64" s="159"/>
      <c r="F64" s="159"/>
      <c r="G64" s="159"/>
      <c r="H64" s="159"/>
      <c r="I64" s="159"/>
      <c r="J64" s="159"/>
      <c r="K64" s="159"/>
    </row>
    <row r="65" spans="1:12" ht="15">
      <c r="A65" s="715" t="s">
        <v>451</v>
      </c>
      <c r="B65" s="159"/>
      <c r="C65" s="159"/>
      <c r="D65" s="159"/>
      <c r="E65" s="159"/>
      <c r="F65" s="159"/>
      <c r="G65" s="159"/>
      <c r="H65" s="159"/>
      <c r="I65" s="159"/>
      <c r="J65" s="159"/>
      <c r="K65" s="159"/>
    </row>
    <row r="66" spans="1:12" ht="15">
      <c r="A66" s="159" t="s">
        <v>452</v>
      </c>
      <c r="B66" s="159"/>
      <c r="C66" s="159"/>
      <c r="D66" s="159"/>
      <c r="E66" s="163" t="e">
        <f>IF('beregning af nøgletal'!J62&lt;'beregning af nøgletal'!H62,"faldet","steget")</f>
        <v>#DIV/0!</v>
      </c>
      <c r="F66" s="163"/>
      <c r="G66" s="159" t="s">
        <v>406</v>
      </c>
      <c r="H66" s="709" t="e">
        <f>'beregning af nøgletal'!H62</f>
        <v>#DIV/0!</v>
      </c>
      <c r="I66" s="159" t="s">
        <v>440</v>
      </c>
      <c r="J66" s="159" t="s">
        <v>412</v>
      </c>
      <c r="K66" s="709">
        <f>'beregning af nøgletal'!J62</f>
        <v>109.23596730245231</v>
      </c>
      <c r="L66" s="159" t="s">
        <v>448</v>
      </c>
    </row>
    <row r="67" spans="1:12" ht="15">
      <c r="A67" s="159" t="s">
        <v>453</v>
      </c>
      <c r="B67" s="159"/>
      <c r="C67" s="159"/>
      <c r="D67" s="159"/>
      <c r="E67" s="159"/>
      <c r="F67" s="159"/>
      <c r="G67" s="159"/>
      <c r="H67" s="159"/>
      <c r="I67" s="159"/>
      <c r="J67" s="159" t="e">
        <f>IF(H66&gt;K66,"faldet.","steget.")</f>
        <v>#DIV/0!</v>
      </c>
      <c r="K67" s="159"/>
    </row>
    <row r="68" spans="1:12" ht="15">
      <c r="A68" s="159"/>
      <c r="B68" s="159"/>
      <c r="C68" s="159"/>
      <c r="D68" s="159"/>
      <c r="E68" s="159"/>
      <c r="F68" s="159"/>
      <c r="G68" s="159"/>
      <c r="H68" s="159"/>
      <c r="I68" s="159"/>
      <c r="J68" s="159"/>
      <c r="K68" s="159"/>
    </row>
    <row r="69" spans="1:12" ht="15">
      <c r="A69" s="715" t="s">
        <v>454</v>
      </c>
      <c r="B69" s="159"/>
      <c r="C69" s="159"/>
      <c r="D69" s="159"/>
      <c r="E69" s="159"/>
      <c r="F69" s="159"/>
      <c r="G69" s="159"/>
      <c r="H69" s="159"/>
      <c r="I69" s="159"/>
      <c r="J69" s="159"/>
      <c r="K69" s="159"/>
    </row>
    <row r="70" spans="1:12" ht="15">
      <c r="A70" s="159" t="str">
        <f>'beregning af nøgletal'!A66</f>
        <v>Likviditetsgrad I</v>
      </c>
      <c r="B70" s="159"/>
      <c r="C70" s="159" t="s">
        <v>455</v>
      </c>
      <c r="D70" s="163" t="e">
        <f>IF('beregning af nøgletal'!H66&lt;'beregning af nøgletal'!J66,"forbedret","forringet")</f>
        <v>#DIV/0!</v>
      </c>
      <c r="E70" s="163"/>
      <c r="F70" s="159" t="s">
        <v>456</v>
      </c>
      <c r="G70" s="159"/>
      <c r="H70" s="159"/>
      <c r="I70" s="709">
        <f>'beregning af nøgletal'!J66</f>
        <v>119.95870612525809</v>
      </c>
      <c r="J70" s="159" t="s">
        <v>457</v>
      </c>
      <c r="K70" s="159"/>
    </row>
    <row r="71" spans="1:12" ht="15">
      <c r="A71" s="159" t="str">
        <f>IF(I70&gt;90,"tilfredsstillende.","utilfredsstillende.")</f>
        <v>tilfredsstillende.</v>
      </c>
      <c r="B71" s="159"/>
      <c r="C71" s="159" t="s">
        <v>458</v>
      </c>
      <c r="D71" s="159"/>
      <c r="E71" s="159"/>
      <c r="F71" s="159"/>
      <c r="G71" s="159"/>
      <c r="H71" s="159"/>
      <c r="I71" s="159"/>
      <c r="J71" s="159"/>
      <c r="K71" s="159"/>
    </row>
    <row r="72" spans="1:12" ht="15">
      <c r="A72" s="159"/>
      <c r="B72" s="159"/>
      <c r="C72" s="159"/>
      <c r="D72" s="159"/>
      <c r="E72" s="159"/>
      <c r="F72" s="159"/>
      <c r="G72" s="159"/>
      <c r="H72" s="159"/>
      <c r="I72" s="159"/>
      <c r="J72" s="159"/>
      <c r="K72" s="159"/>
    </row>
    <row r="73" spans="1:12" ht="15.75">
      <c r="A73" s="277" t="s">
        <v>459</v>
      </c>
      <c r="B73" s="159"/>
      <c r="C73" s="159"/>
      <c r="D73" s="159"/>
      <c r="E73" s="159"/>
      <c r="F73" s="159"/>
      <c r="G73" s="159"/>
      <c r="H73" s="159"/>
      <c r="I73" s="159"/>
      <c r="J73" s="159"/>
      <c r="K73" s="159"/>
    </row>
    <row r="74" spans="1:12" ht="15">
      <c r="A74" s="159" t="s">
        <v>460</v>
      </c>
      <c r="B74" s="159"/>
      <c r="C74" s="159"/>
      <c r="D74" s="159"/>
      <c r="E74" s="159"/>
      <c r="F74" s="159" t="e">
        <f>IF('beregning af nøgletal'!H4&lt;'beregning af nøgletal'!J4,"positivt","negativt")</f>
        <v>#DIV/0!</v>
      </c>
      <c r="G74" s="159" t="s">
        <v>461</v>
      </c>
      <c r="H74" s="159" t="e">
        <f>J4</f>
        <v>#DIV/0!</v>
      </c>
      <c r="I74" s="159" t="s">
        <v>424</v>
      </c>
      <c r="J74" s="708" t="e">
        <f>A5</f>
        <v>#DIV/0!</v>
      </c>
      <c r="K74" s="159" t="s">
        <v>358</v>
      </c>
    </row>
    <row r="75" spans="1:12" ht="15">
      <c r="A75" s="159" t="s">
        <v>462</v>
      </c>
      <c r="B75" s="159"/>
      <c r="C75" s="159"/>
      <c r="D75" s="159"/>
      <c r="F75" s="159" t="e">
        <f>F5</f>
        <v>#DIV/0!</v>
      </c>
      <c r="G75" t="s">
        <v>357</v>
      </c>
      <c r="H75" s="163" t="e">
        <f>IF(K5=J13,"indtjeningsevnen","kapitaltilpasningen")</f>
        <v>#DIV/0!</v>
      </c>
      <c r="I75" s="163"/>
      <c r="J75" s="163"/>
      <c r="K75" s="159" t="s">
        <v>358</v>
      </c>
    </row>
    <row r="76" spans="1:12" ht="15">
      <c r="A76" s="159" t="s">
        <v>463</v>
      </c>
      <c r="B76" s="159"/>
      <c r="C76" s="159"/>
      <c r="D76" s="159"/>
      <c r="E76" s="163" t="str">
        <f>H3</f>
        <v>utilfredsstillende</v>
      </c>
      <c r="F76" s="163"/>
      <c r="G76" s="163"/>
      <c r="H76" s="159" t="s">
        <v>464</v>
      </c>
      <c r="I76" s="159"/>
      <c r="J76" s="708"/>
      <c r="K76" s="159"/>
    </row>
    <row r="77" spans="1:12" ht="15">
      <c r="A77" s="159" t="s">
        <v>465</v>
      </c>
      <c r="B77" s="159"/>
      <c r="C77" s="159"/>
      <c r="D77" s="159"/>
      <c r="E77" s="163" t="str">
        <f>G12</f>
        <v>utilfredsstillende.</v>
      </c>
      <c r="F77" s="163"/>
      <c r="G77" s="163"/>
      <c r="H77" s="159" t="s">
        <v>464</v>
      </c>
      <c r="I77" s="159"/>
      <c r="J77" s="708"/>
      <c r="K77" s="159"/>
    </row>
    <row r="78" spans="1:12" ht="15">
      <c r="A78" s="159" t="s">
        <v>466</v>
      </c>
      <c r="B78" s="159"/>
      <c r="C78" s="159"/>
      <c r="D78" s="159"/>
      <c r="E78" s="163" t="str">
        <f>A18</f>
        <v>utilfredsstillende.</v>
      </c>
      <c r="F78" s="163"/>
      <c r="G78" s="163"/>
      <c r="H78" s="159" t="s">
        <v>464</v>
      </c>
      <c r="I78" s="159"/>
      <c r="J78" s="708"/>
      <c r="K78" s="159"/>
    </row>
    <row r="79" spans="1:12" ht="15">
      <c r="A79" s="159" t="s">
        <v>467</v>
      </c>
      <c r="B79" s="159"/>
      <c r="C79" s="159"/>
      <c r="D79" s="159"/>
      <c r="E79" s="714"/>
      <c r="F79" s="714"/>
      <c r="G79" s="714" t="str">
        <f>C23</f>
        <v>utilfredsstillende.</v>
      </c>
      <c r="H79" s="159"/>
      <c r="I79" s="159"/>
      <c r="J79" s="708"/>
      <c r="K79" s="159"/>
    </row>
    <row r="80" spans="1:12" ht="15">
      <c r="A80" s="159" t="str">
        <f>A58</f>
        <v>Sommer A/S</v>
      </c>
      <c r="B80" s="159"/>
      <c r="C80" s="159" t="str">
        <f>G24</f>
        <v>taber</v>
      </c>
      <c r="D80" s="159" t="s">
        <v>468</v>
      </c>
      <c r="E80" s="714"/>
      <c r="F80" s="714"/>
      <c r="G80" s="714"/>
      <c r="H80" s="159"/>
      <c r="I80" s="159" t="str">
        <f>B24</f>
        <v>over</v>
      </c>
      <c r="J80" s="708" t="s">
        <v>469</v>
      </c>
      <c r="K80" s="159"/>
    </row>
    <row r="81" spans="1:11" ht="15">
      <c r="A81" s="159" t="str">
        <f>D28</f>
        <v>. Gearingen bør derfor</v>
      </c>
      <c r="B81" s="159"/>
      <c r="C81" s="159"/>
      <c r="D81" s="163" t="str">
        <f>G28</f>
        <v>nedbringes</v>
      </c>
      <c r="E81" s="164"/>
      <c r="F81" s="163" t="str">
        <f>H28</f>
        <v xml:space="preserve">og soliditeten </v>
      </c>
      <c r="G81" s="164"/>
      <c r="H81" s="714" t="str">
        <f>I28</f>
        <v>hæves.</v>
      </c>
      <c r="I81" s="159"/>
      <c r="J81" s="708"/>
      <c r="K81" s="159"/>
    </row>
    <row r="82" spans="1:11" ht="15">
      <c r="A82" s="159"/>
      <c r="B82" s="159"/>
      <c r="C82" s="159"/>
      <c r="D82" s="159"/>
      <c r="E82" s="714"/>
      <c r="F82" s="714"/>
      <c r="G82" s="714"/>
      <c r="H82" s="159"/>
      <c r="I82" s="159"/>
      <c r="J82" s="708"/>
      <c r="K82" s="159"/>
    </row>
    <row r="83" spans="1:11" ht="15">
      <c r="A83" s="159" t="s">
        <v>470</v>
      </c>
      <c r="B83" s="159"/>
      <c r="C83" s="159"/>
      <c r="D83" s="159"/>
      <c r="E83" s="159"/>
      <c r="F83" s="159"/>
      <c r="G83" s="159"/>
      <c r="H83" s="159"/>
      <c r="I83" s="159"/>
      <c r="J83" s="159"/>
      <c r="K83" s="159"/>
    </row>
    <row r="84" spans="1:11" ht="15">
      <c r="A84" s="159"/>
      <c r="B84" s="159"/>
      <c r="C84" s="159"/>
      <c r="D84" s="159"/>
      <c r="E84" s="159"/>
      <c r="F84" s="159"/>
      <c r="G84" s="159"/>
      <c r="H84" s="159"/>
      <c r="I84" s="159"/>
      <c r="J84" s="159"/>
      <c r="K84" s="159"/>
    </row>
    <row r="85" spans="1:11" ht="15">
      <c r="A85" s="159"/>
      <c r="B85" s="159"/>
      <c r="C85" s="159"/>
      <c r="D85" s="159"/>
      <c r="E85" s="159"/>
      <c r="F85" s="159"/>
      <c r="G85" s="159"/>
      <c r="H85" s="159"/>
      <c r="I85" s="159"/>
      <c r="J85" s="159"/>
      <c r="K85" s="159"/>
    </row>
    <row r="86" spans="1:11" ht="15">
      <c r="A86" s="159"/>
      <c r="B86" s="159"/>
      <c r="C86" s="159"/>
      <c r="D86" s="159"/>
      <c r="E86" s="159"/>
      <c r="F86" s="159"/>
      <c r="G86" s="159"/>
      <c r="H86" s="159"/>
      <c r="I86" s="159"/>
      <c r="J86" s="159"/>
      <c r="K86" s="159"/>
    </row>
    <row r="87" spans="1:11" ht="15">
      <c r="A87" s="159"/>
      <c r="B87" s="159"/>
      <c r="C87" s="159"/>
      <c r="D87" s="159"/>
      <c r="E87" s="159"/>
      <c r="F87" s="159"/>
      <c r="G87" s="159"/>
      <c r="H87" s="159"/>
      <c r="I87" s="159"/>
      <c r="J87" s="159"/>
      <c r="K87" s="159"/>
    </row>
    <row r="88" spans="1:11" ht="15">
      <c r="A88" s="159"/>
      <c r="B88" s="159"/>
      <c r="C88" s="159"/>
      <c r="D88" s="159"/>
      <c r="E88" s="159"/>
      <c r="F88" s="159"/>
      <c r="G88" s="159"/>
      <c r="H88" s="159"/>
      <c r="I88" s="159"/>
      <c r="J88" s="159"/>
      <c r="K88" s="159"/>
    </row>
  </sheetData>
  <mergeCells count="49">
    <mergeCell ref="E76:G76"/>
    <mergeCell ref="E77:G77"/>
    <mergeCell ref="E78:G78"/>
    <mergeCell ref="D81:E81"/>
    <mergeCell ref="F81:G81"/>
    <mergeCell ref="E56:F56"/>
    <mergeCell ref="D62:E62"/>
    <mergeCell ref="B63:H63"/>
    <mergeCell ref="E66:F66"/>
    <mergeCell ref="D70:E70"/>
    <mergeCell ref="H75:J75"/>
    <mergeCell ref="A47:D47"/>
    <mergeCell ref="J47:K47"/>
    <mergeCell ref="A48:D48"/>
    <mergeCell ref="J48:K48"/>
    <mergeCell ref="A51:H51"/>
    <mergeCell ref="E52:G52"/>
    <mergeCell ref="J52:K52"/>
    <mergeCell ref="A44:D44"/>
    <mergeCell ref="J44:K44"/>
    <mergeCell ref="A45:D45"/>
    <mergeCell ref="J45:K45"/>
    <mergeCell ref="A46:D46"/>
    <mergeCell ref="J46:K46"/>
    <mergeCell ref="A41:D41"/>
    <mergeCell ref="J41:K41"/>
    <mergeCell ref="A42:D42"/>
    <mergeCell ref="J42:K42"/>
    <mergeCell ref="A43:D43"/>
    <mergeCell ref="J43:K43"/>
    <mergeCell ref="D33:E33"/>
    <mergeCell ref="D34:E34"/>
    <mergeCell ref="D36:E36"/>
    <mergeCell ref="F36:G36"/>
    <mergeCell ref="I37:K37"/>
    <mergeCell ref="J40:K40"/>
    <mergeCell ref="D22:E22"/>
    <mergeCell ref="C23:F23"/>
    <mergeCell ref="D27:E27"/>
    <mergeCell ref="E31:F31"/>
    <mergeCell ref="A32:C32"/>
    <mergeCell ref="D32:E32"/>
    <mergeCell ref="A3:C3"/>
    <mergeCell ref="I3:K3"/>
    <mergeCell ref="A4:E4"/>
    <mergeCell ref="E10:G10"/>
    <mergeCell ref="A13:E13"/>
    <mergeCell ref="E16:F16"/>
    <mergeCell ref="I16:K16"/>
  </mergeCells>
  <pageMargins left="0.75" right="0.75" top="1" bottom="1" header="0" footer="0"/>
  <pageSetup paperSize="9" scale="57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workbookViewId="0">
      <selection activeCell="F26" sqref="F26"/>
    </sheetView>
  </sheetViews>
  <sheetFormatPr defaultRowHeight="12.75"/>
  <cols>
    <col min="1" max="1" width="9.28515625" bestFit="1" customWidth="1"/>
    <col min="2" max="2" width="14.28515625" bestFit="1" customWidth="1"/>
    <col min="3" max="3" width="10.5703125" customWidth="1"/>
    <col min="4" max="4" width="12.85546875" bestFit="1" customWidth="1"/>
    <col min="5" max="5" width="12" bestFit="1" customWidth="1"/>
    <col min="6" max="6" width="18.85546875" bestFit="1" customWidth="1"/>
    <col min="7" max="7" width="9.28515625" bestFit="1" customWidth="1"/>
    <col min="8" max="8" width="15.85546875" customWidth="1"/>
    <col min="9" max="9" width="9.28515625" bestFit="1" customWidth="1"/>
    <col min="10" max="10" width="12.85546875" bestFit="1" customWidth="1"/>
    <col min="11" max="11" width="9.28515625" bestFit="1" customWidth="1"/>
    <col min="12" max="12" width="12.85546875" bestFit="1" customWidth="1"/>
  </cols>
  <sheetData>
    <row r="1" spans="1:12" ht="24" thickBot="1">
      <c r="E1" s="216" t="s">
        <v>55</v>
      </c>
    </row>
    <row r="2" spans="1:12" ht="15.75">
      <c r="A2" s="217" t="str">
        <f>'MR=MC produkt 1'!A3</f>
        <v>Afsætning</v>
      </c>
      <c r="B2" s="218"/>
      <c r="C2" s="219" t="s">
        <v>13</v>
      </c>
      <c r="D2" s="220"/>
      <c r="E2" s="221" t="str">
        <f>CONCATENATE('MR=MC produkt 1'!K11," indtil ",F5)</f>
        <v>MC(1) indtil 36000</v>
      </c>
      <c r="F2" s="222"/>
      <c r="G2" s="217" t="str">
        <f>'MR=MC produkt 1'!A23</f>
        <v>Max.kapacitet</v>
      </c>
      <c r="H2" s="218"/>
      <c r="I2" s="217" t="s">
        <v>56</v>
      </c>
      <c r="J2" s="218"/>
      <c r="K2" s="217" t="s">
        <v>27</v>
      </c>
      <c r="L2" s="218"/>
    </row>
    <row r="3" spans="1:12" ht="15">
      <c r="A3" s="223" t="s">
        <v>28</v>
      </c>
      <c r="B3" s="224" t="s">
        <v>50</v>
      </c>
      <c r="C3" s="223" t="s">
        <v>28</v>
      </c>
      <c r="D3" s="224" t="str">
        <f>B3</f>
        <v>Mængde</v>
      </c>
      <c r="E3" s="223" t="s">
        <v>28</v>
      </c>
      <c r="F3" s="224" t="str">
        <f>D3</f>
        <v>Mængde</v>
      </c>
      <c r="G3" s="223" t="s">
        <v>57</v>
      </c>
      <c r="H3" s="224" t="s">
        <v>50</v>
      </c>
      <c r="I3" s="223" t="str">
        <f>G3</f>
        <v xml:space="preserve">Pris </v>
      </c>
      <c r="J3" s="224" t="str">
        <f>H3</f>
        <v>Mængde</v>
      </c>
      <c r="K3" s="223" t="str">
        <f>I3</f>
        <v xml:space="preserve">Pris </v>
      </c>
      <c r="L3" s="224" t="str">
        <f>J3</f>
        <v>Mængde</v>
      </c>
    </row>
    <row r="4" spans="1:12" ht="15">
      <c r="A4" s="225">
        <f>'MR=MC produkt 1'!I3</f>
        <v>1500</v>
      </c>
      <c r="B4" s="226">
        <v>0</v>
      </c>
      <c r="C4" s="225">
        <f>A4</f>
        <v>1500</v>
      </c>
      <c r="D4" s="226">
        <v>0</v>
      </c>
      <c r="E4" s="225">
        <f>'MR=MC produkt 1'!R11</f>
        <v>380</v>
      </c>
      <c r="F4" s="226">
        <f>B4</f>
        <v>0</v>
      </c>
      <c r="G4" s="225">
        <f>IF(C4=C5,0,C4)</f>
        <v>1500</v>
      </c>
      <c r="H4" s="226">
        <f>'MR=MC produkt 1'!D23</f>
        <v>36000</v>
      </c>
      <c r="I4" s="225">
        <f>'MR=MC produkt 1'!E89</f>
        <v>940</v>
      </c>
      <c r="J4" s="226">
        <f>F4</f>
        <v>0</v>
      </c>
      <c r="K4" s="225">
        <v>0</v>
      </c>
      <c r="L4" s="226">
        <f>'MR=MC produkt 1'!I82</f>
        <v>22400</v>
      </c>
    </row>
    <row r="5" spans="1:12" ht="15.75" thickBot="1">
      <c r="A5" s="227">
        <f>IF('MR=MC produkt 1'!E3/'MR=MC produkt 1'!E4=0,A4,0)</f>
        <v>0</v>
      </c>
      <c r="B5" s="228">
        <f>C8+IF('MR=MC produkt 1'!E3/'MR=MC produkt 1'!E4=0,'MR=MC produkt 1'!D23,'MR=MC produkt 1'!I3/('MR=MC produkt 1'!E3/'MR=MC produkt 1'!E4)*-1)</f>
        <v>60000</v>
      </c>
      <c r="C5" s="227">
        <f>A5</f>
        <v>0</v>
      </c>
      <c r="D5" s="228">
        <f>IF('MR=MC produkt 1'!E3/'MR=MC produkt 1'!E4=0,B5,B5/2)</f>
        <v>30000</v>
      </c>
      <c r="E5" s="229">
        <f>(('MR=MC produkt 1'!N13*'MR=MC produkt 1'!N11)/'MR=MC produkt 1'!N12)+'MR=MC produkt 1'!R11</f>
        <v>380</v>
      </c>
      <c r="F5" s="230">
        <f>IF('MR=MC produkt 1'!N13=0,B5,'MR=MC produkt 1'!N13)</f>
        <v>36000</v>
      </c>
      <c r="G5" s="229">
        <f>A5</f>
        <v>0</v>
      </c>
      <c r="H5" s="231">
        <f>'MR=MC produkt 1'!D23</f>
        <v>36000</v>
      </c>
      <c r="I5" s="227">
        <f>'MR=MC produkt 1'!E89</f>
        <v>940</v>
      </c>
      <c r="J5" s="228">
        <f>L5</f>
        <v>22400</v>
      </c>
      <c r="K5" s="227">
        <f>I5</f>
        <v>940</v>
      </c>
      <c r="L5" s="228">
        <f>'MR=MC produkt 1'!I82</f>
        <v>22400</v>
      </c>
    </row>
    <row r="6" spans="1:12" ht="18.75" customHeight="1">
      <c r="E6" s="221" t="str">
        <f>CONCATENATE('MR=MC produkt 1'!K16," indtil ",'MR=MC produkt 1'!N18)</f>
        <v>MC(2) indtil 0</v>
      </c>
      <c r="F6" s="222"/>
      <c r="G6" s="232" t="str">
        <f>CONCATENATE("relation ",'MR=MC produkt 1'!K11," og ",'MR=MC produkt 1'!K16)</f>
        <v>relation MC(1) og MC(2)</v>
      </c>
      <c r="H6" s="233"/>
    </row>
    <row r="7" spans="1:12" ht="15">
      <c r="E7" s="223" t="s">
        <v>28</v>
      </c>
      <c r="F7" s="224" t="s">
        <v>50</v>
      </c>
      <c r="G7" s="234" t="str">
        <f>E7</f>
        <v>Pris</v>
      </c>
      <c r="H7" s="235" t="str">
        <f>F7</f>
        <v>Mængde</v>
      </c>
    </row>
    <row r="8" spans="1:12" ht="15">
      <c r="E8" s="223">
        <f>'MR=MC produkt 1'!N13*('MR=MC produkt 1'!N16/'MR=MC produkt 1'!N17)+'MR=MC produkt 1'!R16</f>
        <v>0</v>
      </c>
      <c r="F8" s="224">
        <f>IF(E9=0,0,F5)</f>
        <v>0</v>
      </c>
      <c r="G8" s="236">
        <f>IF(E8=0,0,E5)</f>
        <v>0</v>
      </c>
      <c r="H8" s="236">
        <f>IF(F8=0,0,F5)</f>
        <v>0</v>
      </c>
    </row>
    <row r="9" spans="1:12" ht="15.75" thickBot="1">
      <c r="E9" s="237">
        <f>'MR=MC produkt 1'!N18*'MR=MC produkt 1'!N16/'MR=MC produkt 1'!N17+'MR=MC produkt 1'!R16</f>
        <v>0</v>
      </c>
      <c r="F9" s="238">
        <f>'MR=MC produkt 1'!N18</f>
        <v>0</v>
      </c>
      <c r="G9" s="239">
        <f>E8</f>
        <v>0</v>
      </c>
      <c r="H9" s="240">
        <f>F8</f>
        <v>0</v>
      </c>
    </row>
    <row r="10" spans="1:12" ht="20.25" customHeight="1">
      <c r="E10" s="221" t="str">
        <f>CONCATENATE('MR=MC produkt 1'!K21," indtil ",'MR=MC produkt 1'!N23)</f>
        <v>MC(3) indtil 0</v>
      </c>
      <c r="F10" s="222"/>
      <c r="G10" s="232" t="str">
        <f>CONCATENATE("relation ",'MR=MC produkt 1'!K16," og ",'MR=MC produkt 1'!K21)</f>
        <v>relation MC(2) og MC(3)</v>
      </c>
      <c r="H10" s="233"/>
    </row>
    <row r="11" spans="1:12" ht="15">
      <c r="E11" s="241" t="str">
        <f>E7</f>
        <v>Pris</v>
      </c>
      <c r="F11" s="242" t="str">
        <f>F7</f>
        <v>Mængde</v>
      </c>
      <c r="G11" s="234" t="str">
        <f>E11</f>
        <v>Pris</v>
      </c>
      <c r="H11" s="235" t="str">
        <f>F11</f>
        <v>Mængde</v>
      </c>
    </row>
    <row r="12" spans="1:12" ht="15">
      <c r="E12" s="223">
        <f>'MR=MC produkt 1'!N18*'MR=MC produkt 1'!N21/'MR=MC produkt 1'!N22+'MR=MC produkt 1'!R21</f>
        <v>0</v>
      </c>
      <c r="F12" s="224">
        <f>IF(E12=0,0,'MR=MC produkt 1'!N18)</f>
        <v>0</v>
      </c>
      <c r="G12" s="234">
        <f>IF(E12=0,0,E9)</f>
        <v>0</v>
      </c>
      <c r="H12" s="243">
        <f>IF(F12=0,0,F9)</f>
        <v>0</v>
      </c>
    </row>
    <row r="13" spans="1:12" ht="15.75" thickBot="1">
      <c r="E13" s="244">
        <f>'MR=MC produkt 1'!N23*'MR=MC produkt 1'!N21/'MR=MC produkt 1'!N22+'MR=MC produkt 1'!R21</f>
        <v>0</v>
      </c>
      <c r="F13" s="245">
        <f>'MR=MC produkt 1'!N23</f>
        <v>0</v>
      </c>
      <c r="G13" s="239">
        <f>E12</f>
        <v>0</v>
      </c>
      <c r="H13" s="240">
        <f>F12</f>
        <v>0</v>
      </c>
    </row>
  </sheetData>
  <mergeCells count="6">
    <mergeCell ref="C2:D2"/>
    <mergeCell ref="E2:F2"/>
    <mergeCell ref="E6:F6"/>
    <mergeCell ref="G6:H6"/>
    <mergeCell ref="E10:F10"/>
    <mergeCell ref="G10:H10"/>
  </mergeCells>
  <pageMargins left="0.75" right="0.75" top="1" bottom="1" header="0" footer="0"/>
  <pageSetup paperSize="9" scale="89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55"/>
  <sheetViews>
    <sheetView topLeftCell="A83" zoomScale="90" zoomScaleNormal="100" workbookViewId="0">
      <selection activeCell="A106" sqref="A106"/>
    </sheetView>
  </sheetViews>
  <sheetFormatPr defaultRowHeight="12.75"/>
  <cols>
    <col min="1" max="1" width="13" customWidth="1"/>
    <col min="2" max="2" width="3.140625" customWidth="1"/>
    <col min="3" max="3" width="3.28515625" customWidth="1"/>
    <col min="4" max="4" width="10.140625" customWidth="1"/>
    <col min="5" max="5" width="13" customWidth="1"/>
    <col min="6" max="6" width="3" customWidth="1"/>
    <col min="7" max="7" width="1.85546875" customWidth="1"/>
    <col min="8" max="8" width="2.7109375" customWidth="1"/>
    <col min="9" max="9" width="15.5703125" bestFit="1" customWidth="1"/>
    <col min="10" max="10" width="4.28515625" customWidth="1"/>
    <col min="11" max="11" width="6.28515625" customWidth="1"/>
    <col min="12" max="12" width="3" customWidth="1"/>
    <col min="13" max="13" width="21.140625" bestFit="1" customWidth="1"/>
    <col min="14" max="14" width="8.42578125" customWidth="1"/>
    <col min="15" max="15" width="3.28515625" customWidth="1"/>
    <col min="16" max="16" width="2.140625" customWidth="1"/>
    <col min="17" max="17" width="3.85546875" customWidth="1"/>
    <col min="18" max="18" width="7.7109375" customWidth="1"/>
    <col min="19" max="19" width="3.140625" customWidth="1"/>
    <col min="20" max="20" width="2.42578125" customWidth="1"/>
    <col min="21" max="21" width="11.28515625" bestFit="1" customWidth="1"/>
    <col min="22" max="22" width="11.28515625" customWidth="1"/>
  </cols>
  <sheetData>
    <row r="1" spans="1:21" ht="27" thickBot="1">
      <c r="A1" s="1" t="s">
        <v>0</v>
      </c>
      <c r="H1" s="2" t="s">
        <v>1</v>
      </c>
      <c r="I1" s="3"/>
    </row>
    <row r="2" spans="1:21">
      <c r="A2" s="4" t="s">
        <v>2</v>
      </c>
      <c r="B2" s="5"/>
      <c r="C2" s="5"/>
      <c r="D2" s="5"/>
      <c r="E2" s="5"/>
      <c r="F2" s="5"/>
      <c r="G2" s="5"/>
      <c r="H2" s="5"/>
      <c r="I2" s="5"/>
      <c r="J2" s="6"/>
      <c r="K2" s="4" t="s">
        <v>3</v>
      </c>
      <c r="L2" s="7"/>
      <c r="M2" s="5"/>
      <c r="N2" s="5"/>
      <c r="O2" s="5"/>
      <c r="P2" s="5"/>
      <c r="Q2" s="5"/>
      <c r="R2" s="5"/>
      <c r="S2" s="5"/>
      <c r="T2" s="5"/>
      <c r="U2" s="8"/>
    </row>
    <row r="3" spans="1:21" ht="13.5" thickBot="1">
      <c r="A3" s="9" t="s">
        <v>4</v>
      </c>
      <c r="B3" s="10" t="s">
        <v>5</v>
      </c>
      <c r="C3" s="11" t="s">
        <v>6</v>
      </c>
      <c r="D3" s="11"/>
      <c r="E3" s="12">
        <v>-2.5000000000000001E-2</v>
      </c>
      <c r="F3" s="13" t="s">
        <v>7</v>
      </c>
      <c r="G3" s="14"/>
      <c r="H3" s="13" t="s">
        <v>8</v>
      </c>
      <c r="I3" s="15">
        <v>1500</v>
      </c>
      <c r="J3" s="16"/>
      <c r="K3" s="9" t="s">
        <v>9</v>
      </c>
      <c r="L3" s="17" t="s">
        <v>6</v>
      </c>
      <c r="M3" s="18">
        <v>0</v>
      </c>
      <c r="N3" s="18"/>
      <c r="O3" s="19"/>
      <c r="P3" s="19"/>
      <c r="Q3" s="19"/>
      <c r="R3" s="19"/>
      <c r="S3" s="19"/>
      <c r="T3" s="19"/>
      <c r="U3" s="20"/>
    </row>
    <row r="4" spans="1:21">
      <c r="A4" s="9"/>
      <c r="B4" s="10"/>
      <c r="C4" s="11"/>
      <c r="D4" s="11"/>
      <c r="E4" s="21">
        <v>1</v>
      </c>
      <c r="F4" s="13"/>
      <c r="G4" s="14"/>
      <c r="H4" s="13"/>
      <c r="I4" s="15"/>
      <c r="J4" s="16"/>
      <c r="K4" s="9"/>
      <c r="L4" s="17"/>
      <c r="M4" s="18"/>
      <c r="N4" s="18"/>
      <c r="O4" s="22"/>
      <c r="P4" s="22"/>
      <c r="Q4" s="23"/>
      <c r="R4" s="22"/>
      <c r="S4" s="22"/>
      <c r="T4" s="22"/>
      <c r="U4" s="24"/>
    </row>
    <row r="5" spans="1:21" ht="14.25" customHeight="1">
      <c r="A5" s="25"/>
      <c r="B5" s="26"/>
      <c r="C5" s="26"/>
      <c r="D5" s="26"/>
      <c r="E5" s="26"/>
      <c r="F5" s="26"/>
      <c r="G5" s="26"/>
      <c r="H5" s="26"/>
      <c r="I5" s="26"/>
      <c r="J5" s="26"/>
      <c r="K5" s="9" t="s">
        <v>10</v>
      </c>
      <c r="L5" s="17" t="s">
        <v>6</v>
      </c>
      <c r="M5" s="17"/>
      <c r="N5" s="27">
        <v>0</v>
      </c>
      <c r="O5" s="11" t="str">
        <f>F3</f>
        <v>X</v>
      </c>
      <c r="P5" s="28">
        <v>2</v>
      </c>
      <c r="Q5" s="11" t="s">
        <v>8</v>
      </c>
      <c r="R5" s="29">
        <v>480</v>
      </c>
      <c r="S5" s="11" t="str">
        <f>O5</f>
        <v>X</v>
      </c>
      <c r="T5" s="22"/>
      <c r="U5" s="24"/>
    </row>
    <row r="6" spans="1:21" ht="13.5" customHeight="1" thickBot="1">
      <c r="A6" s="9" t="s">
        <v>11</v>
      </c>
      <c r="B6" s="30"/>
      <c r="C6" s="31" t="s">
        <v>6</v>
      </c>
      <c r="D6" s="31"/>
      <c r="E6" s="32">
        <f>E3</f>
        <v>-2.5000000000000001E-2</v>
      </c>
      <c r="F6" s="31" t="str">
        <f>F3</f>
        <v>X</v>
      </c>
      <c r="G6" s="33">
        <v>2</v>
      </c>
      <c r="H6" s="31" t="s">
        <v>8</v>
      </c>
      <c r="I6" s="10">
        <f>I3</f>
        <v>1500</v>
      </c>
      <c r="J6" s="34" t="str">
        <f>F3</f>
        <v>X</v>
      </c>
      <c r="K6" s="9"/>
      <c r="L6" s="17"/>
      <c r="M6" s="17"/>
      <c r="N6" s="35">
        <v>1</v>
      </c>
      <c r="O6" s="11"/>
      <c r="P6" s="28"/>
      <c r="Q6" s="11"/>
      <c r="R6" s="36"/>
      <c r="S6" s="11"/>
      <c r="T6" s="22"/>
      <c r="U6" s="24"/>
    </row>
    <row r="7" spans="1:21" ht="20.25">
      <c r="A7" s="9"/>
      <c r="B7" s="30"/>
      <c r="C7" s="31"/>
      <c r="D7" s="31"/>
      <c r="E7" s="37">
        <f>E4</f>
        <v>1</v>
      </c>
      <c r="F7" s="31"/>
      <c r="G7" s="33"/>
      <c r="H7" s="31"/>
      <c r="I7" s="10"/>
      <c r="J7" s="34"/>
      <c r="K7" s="38"/>
      <c r="L7" s="22"/>
      <c r="M7" s="22"/>
      <c r="N7" s="22"/>
      <c r="O7" s="22"/>
      <c r="P7" s="39"/>
      <c r="Q7" s="40"/>
      <c r="R7" s="22"/>
      <c r="S7" s="22"/>
      <c r="T7" s="22"/>
      <c r="U7" s="24"/>
    </row>
    <row r="8" spans="1:21" ht="20.25">
      <c r="A8" s="41"/>
      <c r="B8" s="42"/>
      <c r="C8" s="43"/>
      <c r="D8" s="43"/>
      <c r="E8" s="37"/>
      <c r="F8" s="43"/>
      <c r="G8" s="44"/>
      <c r="H8" s="43"/>
      <c r="I8" s="45"/>
      <c r="J8" s="46"/>
      <c r="K8" s="9" t="s">
        <v>12</v>
      </c>
      <c r="L8" s="17" t="s">
        <v>6</v>
      </c>
      <c r="M8" s="17"/>
      <c r="N8" s="47">
        <f t="shared" ref="N8:S8" si="0">N5</f>
        <v>0</v>
      </c>
      <c r="O8" s="31" t="str">
        <f t="shared" si="0"/>
        <v>X</v>
      </c>
      <c r="P8" s="48">
        <f t="shared" si="0"/>
        <v>2</v>
      </c>
      <c r="Q8" s="31" t="str">
        <f t="shared" si="0"/>
        <v>+</v>
      </c>
      <c r="R8" s="10">
        <f t="shared" si="0"/>
        <v>480</v>
      </c>
      <c r="S8" s="31" t="str">
        <f t="shared" si="0"/>
        <v>X</v>
      </c>
      <c r="T8" s="31" t="s">
        <v>8</v>
      </c>
      <c r="U8" s="49">
        <f>M3</f>
        <v>0</v>
      </c>
    </row>
    <row r="9" spans="1:21" ht="20.25">
      <c r="A9" s="50"/>
      <c r="B9" s="51"/>
      <c r="C9" s="47"/>
      <c r="D9" s="47"/>
      <c r="E9" s="52"/>
      <c r="F9" s="53"/>
      <c r="G9" s="54"/>
      <c r="H9" s="55"/>
      <c r="I9" s="22"/>
      <c r="J9" s="22"/>
      <c r="K9" s="9"/>
      <c r="L9" s="17"/>
      <c r="M9" s="17"/>
      <c r="N9" s="47">
        <f>N6</f>
        <v>1</v>
      </c>
      <c r="O9" s="31"/>
      <c r="P9" s="48"/>
      <c r="Q9" s="31"/>
      <c r="R9" s="10"/>
      <c r="S9" s="31"/>
      <c r="T9" s="31"/>
      <c r="U9" s="49"/>
    </row>
    <row r="10" spans="1:21" ht="21">
      <c r="A10" s="50"/>
      <c r="B10" s="51"/>
      <c r="C10" s="47"/>
      <c r="D10" s="47"/>
      <c r="E10" s="52"/>
      <c r="F10" s="53"/>
      <c r="G10" s="54"/>
      <c r="H10" s="55"/>
      <c r="I10" s="22"/>
      <c r="J10" s="22"/>
      <c r="K10" s="56"/>
      <c r="L10" s="57"/>
      <c r="M10" s="22"/>
      <c r="N10" s="22"/>
      <c r="O10" s="43"/>
      <c r="P10" s="58"/>
      <c r="Q10" s="40"/>
      <c r="R10" s="22"/>
      <c r="S10" s="59"/>
      <c r="T10" s="23"/>
      <c r="U10" s="60"/>
    </row>
    <row r="11" spans="1:21" ht="13.5" thickBot="1">
      <c r="A11" s="9" t="s">
        <v>13</v>
      </c>
      <c r="B11" s="30"/>
      <c r="C11" s="31" t="s">
        <v>6</v>
      </c>
      <c r="D11" s="31"/>
      <c r="E11" s="32">
        <f>E6*2</f>
        <v>-0.05</v>
      </c>
      <c r="F11" s="31" t="str">
        <f>F6</f>
        <v>X</v>
      </c>
      <c r="G11" s="22"/>
      <c r="H11" s="31" t="s">
        <v>8</v>
      </c>
      <c r="I11" s="10">
        <f>I6</f>
        <v>1500</v>
      </c>
      <c r="J11" s="10"/>
      <c r="K11" s="9" t="s">
        <v>14</v>
      </c>
      <c r="L11" s="17" t="s">
        <v>6</v>
      </c>
      <c r="M11" s="17"/>
      <c r="N11" s="47">
        <f>N5*P8</f>
        <v>0</v>
      </c>
      <c r="O11" s="31" t="str">
        <f>O8</f>
        <v>X</v>
      </c>
      <c r="P11" s="22"/>
      <c r="Q11" s="31" t="str">
        <f>Q8</f>
        <v>+</v>
      </c>
      <c r="R11" s="61">
        <f>R5</f>
        <v>480</v>
      </c>
      <c r="S11" s="22"/>
      <c r="T11" s="22"/>
      <c r="U11" s="24"/>
    </row>
    <row r="12" spans="1:21" ht="13.5" thickBot="1">
      <c r="A12" s="62"/>
      <c r="B12" s="63"/>
      <c r="C12" s="64"/>
      <c r="D12" s="64"/>
      <c r="E12" s="65">
        <f>E4</f>
        <v>1</v>
      </c>
      <c r="F12" s="64"/>
      <c r="G12" s="66"/>
      <c r="H12" s="64"/>
      <c r="I12" s="67"/>
      <c r="J12" s="67"/>
      <c r="K12" s="9"/>
      <c r="L12" s="17"/>
      <c r="M12" s="17"/>
      <c r="N12" s="47">
        <f>N9</f>
        <v>1</v>
      </c>
      <c r="O12" s="31"/>
      <c r="P12" s="22"/>
      <c r="Q12" s="31"/>
      <c r="R12" s="61"/>
      <c r="S12" s="22"/>
      <c r="T12" s="22"/>
      <c r="U12" s="24"/>
    </row>
    <row r="13" spans="1:21" ht="21.75" customHeight="1" thickBot="1">
      <c r="A13" s="42"/>
      <c r="B13" s="42"/>
      <c r="C13" s="43"/>
      <c r="D13" s="43"/>
      <c r="E13" s="37"/>
      <c r="F13" s="43"/>
      <c r="G13" s="22"/>
      <c r="H13" s="43"/>
      <c r="I13" s="45"/>
      <c r="J13" s="45"/>
      <c r="K13" s="68" t="s">
        <v>15</v>
      </c>
      <c r="L13" s="69" t="s">
        <v>6</v>
      </c>
      <c r="M13" s="69"/>
      <c r="N13" s="70">
        <v>30000</v>
      </c>
      <c r="O13" s="70"/>
      <c r="P13" s="70"/>
      <c r="Q13" s="71" t="str">
        <f>O11</f>
        <v>X</v>
      </c>
      <c r="R13" s="72"/>
      <c r="S13" s="66"/>
      <c r="T13" s="66"/>
      <c r="U13" s="73"/>
    </row>
    <row r="14" spans="1:21" ht="14.25" customHeight="1">
      <c r="A14" s="42"/>
      <c r="B14" s="42"/>
      <c r="C14" s="43"/>
      <c r="D14" s="43"/>
      <c r="E14" s="37"/>
      <c r="F14" s="43"/>
      <c r="G14" s="22"/>
      <c r="H14" s="43"/>
      <c r="I14" s="45"/>
      <c r="J14" s="45"/>
      <c r="K14" s="74" t="s">
        <v>16</v>
      </c>
      <c r="L14" s="75" t="s">
        <v>6</v>
      </c>
      <c r="M14" s="75"/>
      <c r="N14" s="76">
        <f>N16*0.5</f>
        <v>0</v>
      </c>
      <c r="O14" s="77" t="str">
        <f>O16</f>
        <v>X</v>
      </c>
      <c r="P14" s="78">
        <f>P5</f>
        <v>2</v>
      </c>
      <c r="Q14" s="79" t="s">
        <v>8</v>
      </c>
      <c r="R14" s="80">
        <f>R16</f>
        <v>380</v>
      </c>
      <c r="S14" s="79" t="str">
        <f>O14</f>
        <v>X</v>
      </c>
      <c r="T14" s="22"/>
      <c r="U14" s="24"/>
    </row>
    <row r="15" spans="1:21" ht="14.25" customHeight="1" thickBot="1">
      <c r="A15" s="42"/>
      <c r="B15" s="42"/>
      <c r="C15" s="43"/>
      <c r="D15" s="43"/>
      <c r="E15" s="37"/>
      <c r="F15" s="43"/>
      <c r="G15" s="22"/>
      <c r="H15" s="43"/>
      <c r="I15" s="45"/>
      <c r="J15" s="45"/>
      <c r="K15" s="62"/>
      <c r="L15" s="69"/>
      <c r="M15" s="69"/>
      <c r="N15" s="81">
        <f>N17</f>
        <v>1</v>
      </c>
      <c r="O15" s="82"/>
      <c r="P15" s="83"/>
      <c r="Q15" s="64"/>
      <c r="R15" s="84"/>
      <c r="S15" s="64"/>
      <c r="T15" s="22"/>
      <c r="U15" s="24"/>
    </row>
    <row r="16" spans="1:21" ht="13.5" customHeight="1">
      <c r="A16" s="42"/>
      <c r="B16" s="42"/>
      <c r="C16" s="43"/>
      <c r="D16" s="43"/>
      <c r="E16" s="37"/>
      <c r="F16" s="43"/>
      <c r="G16" s="22"/>
      <c r="H16" s="43"/>
      <c r="I16" s="45"/>
      <c r="J16" s="45"/>
      <c r="K16" s="74" t="s">
        <v>17</v>
      </c>
      <c r="L16" s="75" t="str">
        <f>L13</f>
        <v>=</v>
      </c>
      <c r="M16" s="75"/>
      <c r="N16" s="85">
        <v>0</v>
      </c>
      <c r="O16" s="79" t="str">
        <f>O11</f>
        <v>X</v>
      </c>
      <c r="P16" s="86"/>
      <c r="Q16" s="79" t="str">
        <f>Q11</f>
        <v>+</v>
      </c>
      <c r="R16" s="87">
        <v>380</v>
      </c>
      <c r="S16" s="6"/>
      <c r="T16" s="6"/>
      <c r="U16" s="88"/>
    </row>
    <row r="17" spans="1:21" ht="14.25" customHeight="1">
      <c r="A17" s="42"/>
      <c r="B17" s="42"/>
      <c r="C17" s="43"/>
      <c r="D17" s="43"/>
      <c r="E17" s="37"/>
      <c r="F17" s="43"/>
      <c r="G17" s="22"/>
      <c r="H17" s="43"/>
      <c r="I17" s="45"/>
      <c r="J17" s="45"/>
      <c r="K17" s="9"/>
      <c r="L17" s="89"/>
      <c r="M17" s="89"/>
      <c r="N17" s="35">
        <v>1</v>
      </c>
      <c r="O17" s="31"/>
      <c r="P17" s="16"/>
      <c r="Q17" s="31"/>
      <c r="R17" s="90"/>
      <c r="S17" s="22"/>
      <c r="T17" s="22"/>
      <c r="U17" s="24"/>
    </row>
    <row r="18" spans="1:21" ht="21.75" customHeight="1" thickBot="1">
      <c r="A18" s="42"/>
      <c r="B18" s="42"/>
      <c r="C18" s="43"/>
      <c r="D18" s="43"/>
      <c r="E18" s="37"/>
      <c r="F18" s="43"/>
      <c r="G18" s="22"/>
      <c r="H18" s="43"/>
      <c r="I18" s="45"/>
      <c r="J18" s="45"/>
      <c r="K18" s="68" t="s">
        <v>15</v>
      </c>
      <c r="L18" s="69" t="str">
        <f>L16</f>
        <v>=</v>
      </c>
      <c r="M18" s="91"/>
      <c r="N18" s="70">
        <v>42000</v>
      </c>
      <c r="O18" s="70"/>
      <c r="P18" s="70"/>
      <c r="Q18" s="71" t="str">
        <f>Q13</f>
        <v>X</v>
      </c>
      <c r="R18" s="72"/>
      <c r="S18" s="66"/>
      <c r="T18" s="66"/>
      <c r="U18" s="73"/>
    </row>
    <row r="19" spans="1:21" ht="15" customHeight="1">
      <c r="A19" s="42"/>
      <c r="B19" s="42"/>
      <c r="C19" s="43"/>
      <c r="D19" s="43"/>
      <c r="E19" s="37"/>
      <c r="F19" s="43"/>
      <c r="G19" s="22"/>
      <c r="H19" s="43"/>
      <c r="I19" s="45"/>
      <c r="J19" s="45"/>
      <c r="K19" s="74" t="s">
        <v>18</v>
      </c>
      <c r="L19" s="75" t="s">
        <v>6</v>
      </c>
      <c r="M19" s="75"/>
      <c r="N19" s="76">
        <f>N21*0.5</f>
        <v>0</v>
      </c>
      <c r="O19" s="77" t="str">
        <f>O16</f>
        <v>X</v>
      </c>
      <c r="P19" s="78">
        <f>P14</f>
        <v>2</v>
      </c>
      <c r="Q19" s="79" t="s">
        <v>8</v>
      </c>
      <c r="R19" s="80">
        <f>R21</f>
        <v>0</v>
      </c>
      <c r="S19" s="79" t="str">
        <f>S14</f>
        <v>X</v>
      </c>
      <c r="T19" s="22"/>
      <c r="U19" s="24"/>
    </row>
    <row r="20" spans="1:21" ht="14.25" customHeight="1" thickBot="1">
      <c r="A20" s="42"/>
      <c r="B20" s="42"/>
      <c r="C20" s="43"/>
      <c r="D20" s="43"/>
      <c r="E20" s="37"/>
      <c r="F20" s="43"/>
      <c r="G20" s="22"/>
      <c r="H20" s="43"/>
      <c r="I20" s="45"/>
      <c r="J20" s="45"/>
      <c r="K20" s="62"/>
      <c r="L20" s="69"/>
      <c r="M20" s="69"/>
      <c r="N20" s="92">
        <f>N22</f>
        <v>100</v>
      </c>
      <c r="O20" s="82"/>
      <c r="P20" s="83"/>
      <c r="Q20" s="64"/>
      <c r="R20" s="84"/>
      <c r="S20" s="64"/>
      <c r="T20" s="22"/>
      <c r="U20" s="24"/>
    </row>
    <row r="21" spans="1:21" ht="15.75" customHeight="1">
      <c r="A21" s="42"/>
      <c r="B21" s="42"/>
      <c r="C21" s="43"/>
      <c r="D21" s="43"/>
      <c r="E21" s="37"/>
      <c r="F21" s="43"/>
      <c r="G21" s="22"/>
      <c r="H21" s="43"/>
      <c r="I21" s="45"/>
      <c r="J21" s="45"/>
      <c r="K21" s="74" t="s">
        <v>19</v>
      </c>
      <c r="L21" s="75" t="str">
        <f>L16</f>
        <v>=</v>
      </c>
      <c r="M21" s="93"/>
      <c r="N21" s="85">
        <v>0</v>
      </c>
      <c r="O21" s="79" t="str">
        <f>O16</f>
        <v>X</v>
      </c>
      <c r="P21" s="6"/>
      <c r="Q21" s="79" t="str">
        <f>Q16</f>
        <v>+</v>
      </c>
      <c r="R21" s="87">
        <v>0</v>
      </c>
      <c r="S21" s="6"/>
      <c r="T21" s="6"/>
      <c r="U21" s="88"/>
    </row>
    <row r="22" spans="1:21" ht="14.25" customHeight="1">
      <c r="A22" s="42"/>
      <c r="B22" s="42"/>
      <c r="C22" s="43"/>
      <c r="D22" s="43"/>
      <c r="E22" s="37"/>
      <c r="F22" s="43"/>
      <c r="G22" s="22"/>
      <c r="H22" s="43"/>
      <c r="I22" s="45"/>
      <c r="J22" s="45"/>
      <c r="K22" s="9"/>
      <c r="L22" s="17"/>
      <c r="M22" s="17"/>
      <c r="N22" s="35">
        <v>100</v>
      </c>
      <c r="O22" s="31"/>
      <c r="P22" s="22"/>
      <c r="Q22" s="31"/>
      <c r="R22" s="90"/>
      <c r="S22" s="22"/>
      <c r="T22" s="22"/>
      <c r="U22" s="24"/>
    </row>
    <row r="23" spans="1:21" ht="19.5" customHeight="1" thickBot="1">
      <c r="A23" s="94" t="s">
        <v>20</v>
      </c>
      <c r="B23" s="19"/>
      <c r="C23" s="22" t="str">
        <f>C6</f>
        <v>=</v>
      </c>
      <c r="D23" s="95">
        <v>42000</v>
      </c>
      <c r="E23" s="52"/>
      <c r="F23" s="53"/>
      <c r="G23" s="22"/>
      <c r="H23" s="96"/>
      <c r="I23" s="22"/>
      <c r="J23" s="22"/>
      <c r="K23" s="97" t="s">
        <v>15</v>
      </c>
      <c r="L23" s="98" t="str">
        <f>L21</f>
        <v>=</v>
      </c>
      <c r="M23" s="99"/>
      <c r="N23" s="70">
        <v>0</v>
      </c>
      <c r="O23" s="70"/>
      <c r="P23" s="70"/>
      <c r="Q23" s="100" t="str">
        <f>Q18</f>
        <v>X</v>
      </c>
      <c r="R23" s="66"/>
      <c r="S23" s="66"/>
      <c r="T23" s="66"/>
      <c r="U23" s="73"/>
    </row>
    <row r="24" spans="1:21" ht="19.5" customHeight="1">
      <c r="A24" s="94"/>
      <c r="B24" s="19"/>
      <c r="C24" s="22"/>
      <c r="D24" s="101"/>
      <c r="E24" s="52"/>
      <c r="F24" s="53"/>
      <c r="G24" s="22"/>
      <c r="H24" s="96"/>
      <c r="I24" s="22"/>
      <c r="J24" s="22"/>
      <c r="K24" s="57"/>
      <c r="L24" s="102"/>
      <c r="M24" s="51"/>
      <c r="N24" s="103"/>
      <c r="O24" s="103"/>
      <c r="P24" s="103"/>
      <c r="Q24" s="104"/>
      <c r="R24" s="22"/>
      <c r="S24" s="22"/>
      <c r="T24" s="22"/>
      <c r="U24" s="22"/>
    </row>
    <row r="25" spans="1:21" ht="19.5" customHeight="1">
      <c r="A25" s="94"/>
      <c r="B25" s="19"/>
      <c r="C25" s="22"/>
      <c r="D25" s="101"/>
      <c r="E25" s="52"/>
      <c r="F25" s="53"/>
      <c r="G25" s="22"/>
      <c r="H25" s="96"/>
      <c r="I25" s="22"/>
      <c r="J25" s="22"/>
      <c r="K25" s="57"/>
      <c r="L25" s="102"/>
      <c r="M25" s="51"/>
      <c r="N25" s="103"/>
      <c r="O25" s="103"/>
      <c r="P25" s="103"/>
      <c r="Q25" s="104"/>
      <c r="R25" s="22"/>
      <c r="S25" s="22"/>
      <c r="T25" s="22"/>
      <c r="U25" s="22"/>
    </row>
    <row r="26" spans="1:21" ht="19.5" customHeight="1">
      <c r="A26" s="94"/>
      <c r="B26" s="19"/>
      <c r="C26" s="22"/>
      <c r="D26" s="101"/>
      <c r="E26" s="52"/>
      <c r="F26" s="53"/>
      <c r="G26" s="22"/>
      <c r="H26" s="96"/>
      <c r="I26" s="22"/>
      <c r="J26" s="22"/>
      <c r="K26" s="57"/>
      <c r="L26" s="102"/>
      <c r="M26" s="51"/>
      <c r="N26" s="103"/>
      <c r="O26" s="103"/>
      <c r="P26" s="103"/>
      <c r="Q26" s="104"/>
      <c r="R26" s="22"/>
      <c r="S26" s="22"/>
      <c r="T26" s="22"/>
      <c r="U26" s="22"/>
    </row>
    <row r="27" spans="1:21" ht="19.5" customHeight="1">
      <c r="A27" s="94"/>
      <c r="B27" s="19"/>
      <c r="C27" s="22"/>
      <c r="D27" s="101"/>
      <c r="E27" s="52"/>
      <c r="F27" s="53"/>
      <c r="G27" s="22"/>
      <c r="H27" s="96"/>
      <c r="I27" s="22"/>
      <c r="J27" s="22"/>
      <c r="K27" s="57"/>
      <c r="L27" s="102"/>
      <c r="M27" s="51"/>
      <c r="N27" s="103"/>
      <c r="O27" s="103"/>
      <c r="P27" s="103"/>
      <c r="Q27" s="104"/>
      <c r="R27" s="22"/>
      <c r="S27" s="22"/>
      <c r="T27" s="22"/>
      <c r="U27" s="22"/>
    </row>
    <row r="28" spans="1:21" ht="19.5" customHeight="1">
      <c r="A28" s="94"/>
      <c r="B28" s="19"/>
      <c r="C28" s="22"/>
      <c r="D28" s="101"/>
      <c r="E28" s="52"/>
      <c r="F28" s="53"/>
      <c r="G28" s="22"/>
      <c r="H28" s="96"/>
      <c r="I28" s="22"/>
      <c r="J28" s="22"/>
      <c r="K28" s="57"/>
      <c r="L28" s="102"/>
      <c r="M28" s="51"/>
      <c r="N28" s="103"/>
      <c r="O28" s="103"/>
      <c r="P28" s="103"/>
      <c r="Q28" s="104"/>
      <c r="R28" s="22"/>
      <c r="S28" s="22"/>
      <c r="T28" s="22"/>
      <c r="U28" s="22"/>
    </row>
    <row r="29" spans="1:21" ht="19.5" customHeight="1">
      <c r="A29" s="94"/>
      <c r="B29" s="19"/>
      <c r="C29" s="22"/>
      <c r="D29" s="101"/>
      <c r="E29" s="52"/>
      <c r="F29" s="53"/>
      <c r="G29" s="22"/>
      <c r="H29" s="96"/>
      <c r="I29" s="22"/>
      <c r="J29" s="22"/>
      <c r="K29" s="57"/>
      <c r="L29" s="102"/>
      <c r="M29" s="51"/>
      <c r="N29" s="103"/>
      <c r="O29" s="103"/>
      <c r="P29" s="103"/>
      <c r="Q29" s="104"/>
      <c r="R29" s="22"/>
      <c r="S29" s="22"/>
      <c r="T29" s="22"/>
      <c r="U29" s="22"/>
    </row>
    <row r="30" spans="1:21" ht="19.5" customHeight="1">
      <c r="A30" s="94"/>
      <c r="B30" s="19"/>
      <c r="C30" s="22"/>
      <c r="D30" s="101"/>
      <c r="E30" s="52"/>
      <c r="F30" s="53"/>
      <c r="G30" s="22"/>
      <c r="H30" s="96"/>
      <c r="I30" s="22"/>
      <c r="J30" s="22"/>
      <c r="K30" s="57"/>
      <c r="L30" s="102"/>
      <c r="M30" s="51"/>
      <c r="N30" s="103"/>
      <c r="O30" s="103"/>
      <c r="P30" s="103"/>
      <c r="Q30" s="104"/>
      <c r="R30" s="22"/>
      <c r="S30" s="22"/>
      <c r="T30" s="22"/>
      <c r="U30" s="22"/>
    </row>
    <row r="31" spans="1:21" ht="19.5" customHeight="1">
      <c r="A31" s="94"/>
      <c r="B31" s="19"/>
      <c r="C31" s="22"/>
      <c r="D31" s="101"/>
      <c r="E31" s="52"/>
      <c r="F31" s="53"/>
      <c r="G31" s="22"/>
      <c r="H31" s="96"/>
      <c r="I31" s="22"/>
      <c r="J31" s="22"/>
      <c r="K31" s="57"/>
      <c r="L31" s="102"/>
      <c r="M31" s="51"/>
      <c r="N31" s="103"/>
      <c r="O31" s="103"/>
      <c r="P31" s="103"/>
      <c r="Q31" s="104"/>
      <c r="R31" s="22"/>
      <c r="S31" s="22"/>
      <c r="T31" s="22"/>
      <c r="U31" s="22"/>
    </row>
    <row r="32" spans="1:21" ht="19.5" customHeight="1">
      <c r="A32" s="94"/>
      <c r="B32" s="19"/>
      <c r="C32" s="22"/>
      <c r="D32" s="101"/>
      <c r="E32" s="52"/>
      <c r="F32" s="53"/>
      <c r="G32" s="22"/>
      <c r="H32" s="96"/>
      <c r="I32" s="22"/>
      <c r="J32" s="22"/>
      <c r="K32" s="57"/>
      <c r="L32" s="102"/>
      <c r="M32" s="51"/>
      <c r="N32" s="103"/>
      <c r="O32" s="103"/>
      <c r="P32" s="103"/>
      <c r="Q32" s="104"/>
      <c r="R32" s="22"/>
      <c r="S32" s="22"/>
      <c r="T32" s="22"/>
      <c r="U32" s="22"/>
    </row>
    <row r="33" spans="1:21" ht="19.5" customHeight="1">
      <c r="A33" s="94"/>
      <c r="B33" s="19"/>
      <c r="C33" s="22"/>
      <c r="D33" s="101"/>
      <c r="E33" s="52"/>
      <c r="F33" s="53"/>
      <c r="G33" s="22"/>
      <c r="H33" s="96"/>
      <c r="I33" s="22"/>
      <c r="J33" s="22"/>
      <c r="K33" s="57"/>
      <c r="L33" s="102"/>
      <c r="M33" s="51"/>
      <c r="N33" s="103"/>
      <c r="O33" s="103"/>
      <c r="P33" s="103"/>
      <c r="Q33" s="104"/>
      <c r="R33" s="22"/>
      <c r="S33" s="22"/>
      <c r="T33" s="22"/>
      <c r="U33" s="22"/>
    </row>
    <row r="34" spans="1:21" ht="19.5" customHeight="1" thickBot="1">
      <c r="A34" s="105"/>
      <c r="B34" s="103"/>
      <c r="C34" s="106"/>
      <c r="D34" s="101"/>
      <c r="E34" s="107"/>
      <c r="F34" s="108"/>
      <c r="G34" s="106"/>
      <c r="H34" s="109"/>
      <c r="I34" s="106"/>
      <c r="J34" s="106"/>
      <c r="K34" s="110"/>
      <c r="L34" s="111"/>
      <c r="M34" s="112"/>
      <c r="N34" s="103"/>
      <c r="O34" s="103"/>
      <c r="P34" s="103"/>
      <c r="Q34" s="104"/>
      <c r="R34" s="22"/>
      <c r="S34" s="22"/>
      <c r="T34" s="22"/>
      <c r="U34" s="22"/>
    </row>
    <row r="35" spans="1:21" ht="19.5" customHeight="1" thickBot="1">
      <c r="A35" s="105" t="s">
        <v>21</v>
      </c>
      <c r="B35" s="103"/>
      <c r="C35" s="106"/>
      <c r="D35" s="101"/>
      <c r="E35" s="113" t="str">
        <f>IF(E47=E48,"Ja","Nej")</f>
        <v>Ja</v>
      </c>
      <c r="F35" s="114"/>
      <c r="G35" s="114"/>
      <c r="H35" s="114"/>
      <c r="I35" s="113" t="str">
        <f>IF(I47=I48,"Ja","Nej")</f>
        <v>Nej</v>
      </c>
      <c r="J35" s="114"/>
      <c r="K35" s="114"/>
      <c r="L35" s="114"/>
      <c r="M35" s="113" t="str">
        <f>IF(M47=M48,"Ja","Nej")</f>
        <v>Nej</v>
      </c>
      <c r="N35" s="103"/>
      <c r="O35" s="103"/>
      <c r="P35" s="103"/>
      <c r="Q35" s="104"/>
      <c r="R35" s="22"/>
      <c r="S35" s="22"/>
      <c r="T35" s="22"/>
      <c r="U35" s="22"/>
    </row>
    <row r="36" spans="1:21" ht="19.5" customHeight="1">
      <c r="A36" s="105" t="s">
        <v>22</v>
      </c>
      <c r="B36" s="103"/>
      <c r="C36" s="106"/>
      <c r="D36" s="101"/>
      <c r="E36" s="115" t="str">
        <f>CONCATENATE("MR=",K11)</f>
        <v>MR=MC(1)</v>
      </c>
      <c r="F36" s="110"/>
      <c r="G36" s="110"/>
      <c r="H36" s="110"/>
      <c r="I36" s="115" t="str">
        <f>CONCATENATE("MR=",K16)</f>
        <v>MR=MC(2)</v>
      </c>
      <c r="J36" s="110"/>
      <c r="K36" s="110"/>
      <c r="L36" s="110"/>
      <c r="M36" s="115" t="str">
        <f>CONCATENATE("MR=",K21)</f>
        <v>MR=MC(3)</v>
      </c>
      <c r="N36" s="103"/>
      <c r="O36" s="103"/>
      <c r="P36" s="103"/>
      <c r="Q36" s="104"/>
      <c r="R36" s="22"/>
      <c r="S36" s="22"/>
      <c r="T36" s="22"/>
      <c r="U36" s="22"/>
    </row>
    <row r="37" spans="1:21" ht="19.5" customHeight="1">
      <c r="A37" s="116" t="s">
        <v>23</v>
      </c>
      <c r="B37" s="116"/>
      <c r="C37" s="116"/>
      <c r="D37" s="116"/>
      <c r="E37" s="117">
        <f>IF($E$3=0,(IF(N5=0,N13,($I$11-R$11)/(($E$11/$E$12*-1)+(N$11/N$12)))),($I$11-R11)/(($E$11/$E$12*-1)+(N$11/N$12)))</f>
        <v>20400</v>
      </c>
      <c r="F37" s="118"/>
      <c r="G37" s="107"/>
      <c r="H37" s="119"/>
      <c r="I37" s="117">
        <f>IF($E$3=0,(IF($N$16=0,$N$18,($I$11-$R16)/(($E$11/$E$12*-1)+($N16/$N17)))),($I$11-$R16)/(($E$11/$E$12*-1)+($N16/$N17)))</f>
        <v>22400</v>
      </c>
      <c r="J37" s="118"/>
      <c r="K37" s="107"/>
      <c r="L37" s="119"/>
      <c r="M37" s="117">
        <f>IF($E$3=0,(IF($N$21=0,$N$23,($I$11-$R21)/(($E$11/$E$12*-1)+($N21/$N22)))),($I$11-$R21)/(($E$11/$E$12*-1)+($N21/$N22)))</f>
        <v>30000</v>
      </c>
      <c r="N37" s="103"/>
      <c r="O37" s="103"/>
      <c r="P37" s="103"/>
      <c r="Q37" s="104"/>
      <c r="R37" s="22"/>
      <c r="S37" s="22"/>
      <c r="T37" s="22"/>
      <c r="U37" s="22"/>
    </row>
    <row r="38" spans="1:21" ht="19.5" customHeight="1">
      <c r="A38" s="105" t="s">
        <v>24</v>
      </c>
      <c r="B38" s="103"/>
      <c r="C38" s="106"/>
      <c r="D38" s="101"/>
      <c r="E38" s="117">
        <f>N13</f>
        <v>30000</v>
      </c>
      <c r="F38" s="108"/>
      <c r="G38" s="106"/>
      <c r="H38" s="109"/>
      <c r="I38" s="117">
        <f>N18</f>
        <v>42000</v>
      </c>
      <c r="J38" s="107"/>
      <c r="K38" s="107"/>
      <c r="L38" s="107"/>
      <c r="M38" s="117">
        <f>N23</f>
        <v>0</v>
      </c>
      <c r="N38" s="103"/>
      <c r="O38" s="103"/>
      <c r="P38" s="103"/>
      <c r="Q38" s="104"/>
      <c r="R38" s="22"/>
      <c r="S38" s="22"/>
      <c r="T38" s="22"/>
      <c r="U38" s="22"/>
    </row>
    <row r="39" spans="1:21" ht="19.5" customHeight="1">
      <c r="A39" s="105" t="s">
        <v>25</v>
      </c>
      <c r="B39" s="103"/>
      <c r="C39" s="106"/>
      <c r="D39" s="101"/>
      <c r="E39" s="117">
        <v>0</v>
      </c>
      <c r="F39" s="108"/>
      <c r="G39" s="106"/>
      <c r="H39" s="109"/>
      <c r="I39" s="117">
        <f>N13</f>
        <v>30000</v>
      </c>
      <c r="J39" s="107"/>
      <c r="K39" s="107"/>
      <c r="L39" s="107"/>
      <c r="M39" s="117">
        <f>N18</f>
        <v>42000</v>
      </c>
      <c r="N39" s="103"/>
      <c r="O39" s="103"/>
      <c r="P39" s="103"/>
      <c r="Q39" s="104"/>
      <c r="R39" s="22"/>
      <c r="S39" s="22"/>
      <c r="T39" s="22"/>
      <c r="U39" s="22"/>
    </row>
    <row r="40" spans="1:21" ht="19.5" customHeight="1">
      <c r="A40" s="105" t="s">
        <v>26</v>
      </c>
      <c r="B40" s="103"/>
      <c r="C40" s="106"/>
      <c r="D40" s="101"/>
      <c r="E40" s="117">
        <f>D23</f>
        <v>42000</v>
      </c>
      <c r="F40" s="108"/>
      <c r="G40" s="106"/>
      <c r="H40" s="109"/>
      <c r="I40" s="117">
        <f>D23</f>
        <v>42000</v>
      </c>
      <c r="J40" s="107"/>
      <c r="K40" s="107"/>
      <c r="L40" s="107"/>
      <c r="M40" s="117">
        <f>D23</f>
        <v>42000</v>
      </c>
      <c r="N40" s="103"/>
      <c r="O40" s="103"/>
      <c r="P40" s="103"/>
      <c r="Q40" s="104"/>
      <c r="R40" s="22"/>
      <c r="S40" s="22"/>
      <c r="T40" s="22"/>
      <c r="U40" s="22"/>
    </row>
    <row r="41" spans="1:21" ht="19.5" customHeight="1">
      <c r="A41" s="105" t="s">
        <v>27</v>
      </c>
      <c r="B41" s="103"/>
      <c r="C41" s="106"/>
      <c r="D41" s="101"/>
      <c r="E41" s="117">
        <f>IF(IF(E37&lt;E38,IF(E40&gt;E37&gt;E39,E37),IF(E37&lt;E39,0,MIN(E38,E40)))&gt;E40,E40,IF(E37&lt;E38,IF(E40&gt;E37&gt;E39,E37),IF(E37&lt;E39,0,MIN(E38,E40))))</f>
        <v>20400</v>
      </c>
      <c r="F41" s="118"/>
      <c r="G41" s="107"/>
      <c r="H41" s="119"/>
      <c r="I41" s="117">
        <f>IF(IF(I37&lt;I38,IF(I40&gt;I37&gt;I39,I37),IF(I37&lt;I39,0,MIN(I38,I40)))&gt;I40,I40,IF(I37&lt;I38,IF(I40&gt;I37&gt;I39,I37),IF(I37&lt;I39,0,MIN(I38,I40))))</f>
        <v>22400</v>
      </c>
      <c r="J41" s="118"/>
      <c r="K41" s="107"/>
      <c r="L41" s="119"/>
      <c r="M41" s="117">
        <f>IF(IF(IF(M37&lt;M38,IF(M40&gt;M37&gt;M39,M37),IF(M37&lt;M39,0,MIN(M38,M40)))&lt;M39,M39,IF(M37&lt;M38,IF(M40&gt;M37&gt;M39,M37),IF(M37&lt;M39,0,MIN(M38,M40))))&gt;M40,M40,IF(IF(M37&lt;M38,IF(M40&gt;M37&gt;M39,M37),IF(M37&lt;M39,0,MIN(M38,M40)))&lt;M39,M39,IF(M37&lt;M38,IF(M40&gt;M37&gt;M39,M37),IF(M37&lt;M39,0,MIN(M38,M40)))))</f>
        <v>42000</v>
      </c>
      <c r="N41" s="103"/>
      <c r="O41" s="103"/>
      <c r="P41" s="103"/>
      <c r="Q41" s="104"/>
      <c r="R41" s="22"/>
      <c r="S41" s="22"/>
      <c r="T41" s="22"/>
      <c r="U41" s="22"/>
    </row>
    <row r="42" spans="1:21" ht="19.5" customHeight="1">
      <c r="A42" s="105" t="s">
        <v>28</v>
      </c>
      <c r="B42" s="103"/>
      <c r="C42" s="106"/>
      <c r="D42" s="101"/>
      <c r="E42" s="117">
        <f>E41*($E$3/$E$4)+$I$3</f>
        <v>990</v>
      </c>
      <c r="F42" s="108"/>
      <c r="G42" s="106"/>
      <c r="H42" s="109"/>
      <c r="I42" s="117">
        <f>I41*($E$3/$E$4)+$I$3</f>
        <v>940</v>
      </c>
      <c r="J42" s="107"/>
      <c r="K42" s="107"/>
      <c r="L42" s="107"/>
      <c r="M42" s="117">
        <f>IF(M41=0,0,M41*($E$3/$E$4)+$I$3)</f>
        <v>450</v>
      </c>
      <c r="N42" s="103"/>
      <c r="O42" s="103"/>
      <c r="P42" s="103"/>
      <c r="Q42" s="104"/>
      <c r="R42" s="22"/>
      <c r="S42" s="22"/>
      <c r="T42" s="22"/>
      <c r="U42" s="22"/>
    </row>
    <row r="43" spans="1:21" ht="19.5" customHeight="1">
      <c r="A43" s="105" t="s">
        <v>29</v>
      </c>
      <c r="B43" s="103"/>
      <c r="C43" s="106"/>
      <c r="D43" s="101"/>
      <c r="E43" s="120">
        <f>E41*E42</f>
        <v>20196000</v>
      </c>
      <c r="F43" s="121"/>
      <c r="G43" s="121"/>
      <c r="H43" s="121"/>
      <c r="I43" s="120">
        <f>I41*I42</f>
        <v>21056000</v>
      </c>
      <c r="J43" s="122"/>
      <c r="K43" s="122"/>
      <c r="L43" s="122"/>
      <c r="M43" s="120">
        <f>M41*M42</f>
        <v>18900000</v>
      </c>
      <c r="N43" s="103"/>
      <c r="O43" s="103"/>
      <c r="P43" s="103"/>
      <c r="Q43" s="104"/>
      <c r="R43" s="22"/>
      <c r="S43" s="22"/>
      <c r="T43" s="22"/>
      <c r="U43" s="22"/>
    </row>
    <row r="44" spans="1:21" ht="19.5" customHeight="1">
      <c r="A44" s="105" t="s">
        <v>30</v>
      </c>
      <c r="B44" s="103"/>
      <c r="C44" s="106"/>
      <c r="D44" s="101"/>
      <c r="E44" s="123">
        <f>POWER(E41,$P$5)*$N$5/$N$6+($R$5*E41)</f>
        <v>9792000</v>
      </c>
      <c r="F44" s="108"/>
      <c r="G44" s="106"/>
      <c r="H44" s="109"/>
      <c r="I44" s="123">
        <f>IF(D23&gt;N13,POWER($N$13,$P$5)*$N$5/$N$6+($R$5*$N$13),POWER(D23,$P$5)*$N$5/$N$6+($R$5*D23))</f>
        <v>14400000</v>
      </c>
      <c r="J44" s="106"/>
      <c r="K44" s="110"/>
      <c r="L44" s="111"/>
      <c r="M44" s="123">
        <f>IF(N18=0,0,POWER($N$13,$P$5)*$N$5/$N$6+($R$5*$N$13))</f>
        <v>14400000</v>
      </c>
      <c r="N44" s="103"/>
      <c r="O44" s="103"/>
      <c r="P44" s="103"/>
      <c r="Q44" s="104"/>
      <c r="R44" s="22"/>
      <c r="S44" s="22"/>
      <c r="T44" s="22"/>
      <c r="U44" s="22"/>
    </row>
    <row r="45" spans="1:21" ht="19.5" customHeight="1">
      <c r="A45" s="105" t="s">
        <v>31</v>
      </c>
      <c r="B45" s="103"/>
      <c r="C45" s="106"/>
      <c r="D45" s="101"/>
      <c r="E45" s="123"/>
      <c r="F45" s="108"/>
      <c r="G45" s="106"/>
      <c r="H45" s="109"/>
      <c r="I45" s="123">
        <f>IF(((POWER($I$41,$P$14)*($N$14/$N$15)+($R$14*$I$41)))-((POWER(($N$13),$P$14)*$N$14)/$N$15+($R$14*($N$13)))&lt;0,0,((POWER($I$41,$P$14)*($N$14/$N$15)+($R$14*$I$41)))-((POWER(($N$13),$P$14)*$N$14)/$N$15+($R$14*($N$13))))</f>
        <v>0</v>
      </c>
      <c r="J45" s="106"/>
      <c r="K45" s="110"/>
      <c r="L45" s="111"/>
      <c r="M45" s="123">
        <f>IF(((POWER(N18,$P$14)*($N$14/$N$15)+($R$14*N18)))-((POWER(($N$13),$P$14)*$N$14)/$N$15+($R$14*($N$13)))&lt;0,0,((POWER(N18,$P$14)*($N$14/$N$15)+($R$14*N18)))-((POWER(($N$13),$P$14)*$N$14)/$N$15+($R$14*($N$13))))</f>
        <v>4560000</v>
      </c>
      <c r="N45" s="103"/>
      <c r="O45" s="103"/>
      <c r="P45" s="103"/>
      <c r="Q45" s="104"/>
      <c r="R45" s="22"/>
      <c r="S45" s="22"/>
      <c r="T45" s="22"/>
      <c r="U45" s="22"/>
    </row>
    <row r="46" spans="1:21" ht="19.5" customHeight="1" thickBot="1">
      <c r="A46" s="105" t="s">
        <v>32</v>
      </c>
      <c r="B46" s="103"/>
      <c r="C46" s="106"/>
      <c r="D46" s="101"/>
      <c r="E46" s="123"/>
      <c r="F46" s="108"/>
      <c r="G46" s="106"/>
      <c r="H46" s="109"/>
      <c r="I46" s="124"/>
      <c r="J46" s="106"/>
      <c r="K46" s="110"/>
      <c r="L46" s="111"/>
      <c r="M46" s="123">
        <f>(POWER(M41,$P$19)*($N$19/$N$20)+($R$19*M41)-(POWER(($N$18),$P$19)*($N$19/$N$20)+($R$19*($N$18))))</f>
        <v>0</v>
      </c>
      <c r="N46" s="103"/>
      <c r="O46" s="103"/>
      <c r="P46" s="103"/>
      <c r="Q46" s="104"/>
      <c r="R46" s="22"/>
      <c r="S46" s="22"/>
      <c r="T46" s="22"/>
      <c r="U46" s="22"/>
    </row>
    <row r="47" spans="1:21" ht="19.5" customHeight="1" thickBot="1">
      <c r="A47" s="105" t="s">
        <v>33</v>
      </c>
      <c r="B47" s="103"/>
      <c r="C47" s="106"/>
      <c r="D47" s="101"/>
      <c r="E47" s="125">
        <f>E43-E44-E45-E46</f>
        <v>10404000</v>
      </c>
      <c r="F47" s="122"/>
      <c r="G47" s="122"/>
      <c r="H47" s="122"/>
      <c r="I47" s="125">
        <f>I43-I44-I45-I46</f>
        <v>6656000</v>
      </c>
      <c r="J47" s="122"/>
      <c r="K47" s="122"/>
      <c r="L47" s="122"/>
      <c r="M47" s="125">
        <f>M43-M44-M45-M46</f>
        <v>-60000</v>
      </c>
      <c r="N47" s="103"/>
      <c r="O47" s="103"/>
      <c r="P47" s="103"/>
      <c r="Q47" s="104"/>
      <c r="R47" s="22"/>
      <c r="S47" s="22"/>
      <c r="T47" s="22"/>
      <c r="U47" s="22"/>
    </row>
    <row r="48" spans="1:21" ht="19.5" hidden="1" customHeight="1">
      <c r="A48" s="105" t="s">
        <v>34</v>
      </c>
      <c r="B48" s="103"/>
      <c r="C48" s="106"/>
      <c r="D48" s="101"/>
      <c r="E48" s="117">
        <f>MAX($E$47,$I$47,$M$47)</f>
        <v>10404000</v>
      </c>
      <c r="F48" s="107"/>
      <c r="G48" s="107"/>
      <c r="H48" s="107"/>
      <c r="I48" s="117">
        <f>MAX($E$47,$I$47,$M$47)</f>
        <v>10404000</v>
      </c>
      <c r="J48" s="107"/>
      <c r="K48" s="107"/>
      <c r="L48" s="107"/>
      <c r="M48" s="117">
        <f>MAX($E$47,$I$47,$M$47)</f>
        <v>10404000</v>
      </c>
      <c r="N48" s="103"/>
      <c r="O48" s="103"/>
      <c r="P48" s="103"/>
      <c r="Q48" s="104"/>
      <c r="R48" s="22"/>
      <c r="S48" s="22"/>
      <c r="T48" s="22"/>
      <c r="U48" s="22"/>
    </row>
    <row r="49" spans="1:21" ht="19.5" customHeight="1">
      <c r="A49" s="105" t="s">
        <v>35</v>
      </c>
      <c r="B49" s="103"/>
      <c r="C49" s="106"/>
      <c r="D49" s="101"/>
      <c r="E49" s="117">
        <f>$M$3</f>
        <v>0</v>
      </c>
      <c r="F49" s="107"/>
      <c r="G49" s="107"/>
      <c r="H49" s="107"/>
      <c r="I49" s="117">
        <f>$M$3</f>
        <v>0</v>
      </c>
      <c r="J49" s="107"/>
      <c r="K49" s="107"/>
      <c r="L49" s="107"/>
      <c r="M49" s="117">
        <f>$M$3</f>
        <v>0</v>
      </c>
      <c r="N49" s="103"/>
      <c r="O49" s="103"/>
      <c r="P49" s="103"/>
      <c r="Q49" s="104"/>
      <c r="R49" s="22"/>
      <c r="S49" s="22"/>
      <c r="T49" s="22"/>
      <c r="U49" s="22"/>
    </row>
    <row r="50" spans="1:21" ht="19.5" customHeight="1" thickBot="1">
      <c r="A50" s="105" t="s">
        <v>36</v>
      </c>
      <c r="B50" s="103"/>
      <c r="C50" s="106"/>
      <c r="D50" s="101"/>
      <c r="E50" s="126">
        <f>E47-E49</f>
        <v>10404000</v>
      </c>
      <c r="F50" s="107"/>
      <c r="G50" s="107"/>
      <c r="H50" s="107"/>
      <c r="I50" s="126">
        <f>I47-I49</f>
        <v>6656000</v>
      </c>
      <c r="J50" s="107"/>
      <c r="K50" s="107"/>
      <c r="L50" s="107"/>
      <c r="M50" s="126">
        <f>M47-M49</f>
        <v>-60000</v>
      </c>
      <c r="N50" s="103"/>
      <c r="O50" s="103"/>
      <c r="P50" s="103"/>
      <c r="Q50" s="104"/>
      <c r="R50" s="22"/>
      <c r="S50" s="22"/>
      <c r="T50" s="22"/>
      <c r="U50" s="22"/>
    </row>
    <row r="51" spans="1:21">
      <c r="H51" s="127"/>
      <c r="Q51" s="128"/>
    </row>
    <row r="52" spans="1:21">
      <c r="H52" s="127"/>
      <c r="Q52" s="128"/>
    </row>
    <row r="53" spans="1:21">
      <c r="H53" s="127"/>
      <c r="Q53" s="128"/>
    </row>
    <row r="54" spans="1:21">
      <c r="H54" s="127"/>
      <c r="Q54" s="128"/>
    </row>
    <row r="55" spans="1:21">
      <c r="H55" s="127"/>
      <c r="Q55" s="128"/>
    </row>
    <row r="56" spans="1:21">
      <c r="H56" s="127"/>
      <c r="Q56" s="128"/>
    </row>
    <row r="57" spans="1:21">
      <c r="H57" s="127"/>
      <c r="Q57" s="128"/>
    </row>
    <row r="58" spans="1:21">
      <c r="H58" s="127"/>
      <c r="Q58" s="128"/>
    </row>
    <row r="59" spans="1:21">
      <c r="H59" s="127"/>
      <c r="Q59" s="128"/>
    </row>
    <row r="60" spans="1:21">
      <c r="H60" s="127"/>
      <c r="Q60" s="128"/>
    </row>
    <row r="61" spans="1:21">
      <c r="H61" s="127"/>
      <c r="Q61" s="128"/>
    </row>
    <row r="62" spans="1:21">
      <c r="H62" s="127"/>
      <c r="Q62" s="128"/>
    </row>
    <row r="63" spans="1:21">
      <c r="H63" s="127"/>
      <c r="Q63" s="128"/>
    </row>
    <row r="64" spans="1:21">
      <c r="H64" s="127"/>
      <c r="Q64" s="128"/>
    </row>
    <row r="65" spans="1:18">
      <c r="H65" s="127"/>
      <c r="Q65" s="128"/>
    </row>
    <row r="66" spans="1:18">
      <c r="H66" s="127"/>
      <c r="Q66" s="128"/>
    </row>
    <row r="67" spans="1:18">
      <c r="H67" s="127"/>
      <c r="Q67" s="128"/>
    </row>
    <row r="68" spans="1:18">
      <c r="H68" s="127"/>
      <c r="Q68" s="128"/>
    </row>
    <row r="69" spans="1:18">
      <c r="H69" s="127"/>
      <c r="Q69" s="128"/>
    </row>
    <row r="70" spans="1:18">
      <c r="H70" s="127"/>
      <c r="Q70" s="128"/>
    </row>
    <row r="71" spans="1:18">
      <c r="H71" s="127"/>
      <c r="Q71" s="128"/>
    </row>
    <row r="72" spans="1:18">
      <c r="H72" s="127"/>
      <c r="Q72" s="128"/>
    </row>
    <row r="73" spans="1:18">
      <c r="A73" t="s">
        <v>37</v>
      </c>
      <c r="H73" s="127"/>
      <c r="Q73" s="128"/>
    </row>
    <row r="74" spans="1:18">
      <c r="H74" s="127"/>
      <c r="Q74" s="128"/>
    </row>
    <row r="75" spans="1:18" ht="18">
      <c r="H75" s="127"/>
      <c r="I75" s="129" t="s">
        <v>13</v>
      </c>
      <c r="J75" s="130" t="s">
        <v>6</v>
      </c>
      <c r="K75" s="131" t="str">
        <f>IF($E$48=$E$47,"MC(1)",IF($I$48=$I$47,"MC(2)",IF($M$48=$M$47,"MC(3)")))</f>
        <v>MC(1)</v>
      </c>
      <c r="L75" s="131"/>
      <c r="Q75" s="128"/>
    </row>
    <row r="76" spans="1:18" ht="18" customHeight="1" thickBot="1">
      <c r="D76" s="132"/>
      <c r="E76" s="32">
        <f>E11</f>
        <v>-0.05</v>
      </c>
      <c r="F76" s="133" t="str">
        <f>F11</f>
        <v>X</v>
      </c>
      <c r="G76" s="134"/>
      <c r="H76" s="133" t="str">
        <f>H11</f>
        <v>+</v>
      </c>
      <c r="I76" s="135">
        <f>I11</f>
        <v>1500</v>
      </c>
      <c r="J76" s="133" t="str">
        <f>J75</f>
        <v>=</v>
      </c>
      <c r="K76" s="136"/>
      <c r="L76" s="136"/>
      <c r="M76" s="66">
        <f>IF($K$75=$K$11,N11,IF($K$75=$K$16,N16,IF($K$75=$K$21,N21)))</f>
        <v>0</v>
      </c>
      <c r="N76" s="137" t="str">
        <f>O11</f>
        <v>X</v>
      </c>
      <c r="O76" s="133" t="str">
        <f>Q11</f>
        <v>+</v>
      </c>
      <c r="P76" s="135">
        <f>IF(K75=K11,R11,IF(K16=K75,R16,IF(K21=K75,R21)))</f>
        <v>480</v>
      </c>
      <c r="Q76" s="135"/>
      <c r="R76" s="135"/>
    </row>
    <row r="77" spans="1:18" ht="18" customHeight="1">
      <c r="E77" s="138">
        <f>E12</f>
        <v>1</v>
      </c>
      <c r="F77" s="133"/>
      <c r="G77" s="134"/>
      <c r="H77" s="133"/>
      <c r="I77" s="135"/>
      <c r="J77" s="133"/>
      <c r="K77" s="136"/>
      <c r="L77" s="136"/>
      <c r="M77" s="22">
        <f>IF($K$75=$K$11,N12,IF($K$75=$K$16,N17,IF($K$75=$K$21,N22)))</f>
        <v>1</v>
      </c>
      <c r="N77" s="137"/>
      <c r="O77" s="133"/>
      <c r="P77" s="135"/>
      <c r="Q77" s="135"/>
      <c r="R77" s="135"/>
    </row>
    <row r="78" spans="1:18">
      <c r="H78" s="127"/>
      <c r="J78" s="132"/>
      <c r="Q78" s="128"/>
    </row>
    <row r="79" spans="1:18" ht="20.25">
      <c r="H79" s="127"/>
      <c r="I79" s="132">
        <f>I76-P76</f>
        <v>1020</v>
      </c>
      <c r="J79" s="139" t="str">
        <f>J76</f>
        <v>=</v>
      </c>
      <c r="M79">
        <f>-1*(E76/E77)+(M76/M77)</f>
        <v>0.05</v>
      </c>
      <c r="N79" s="140" t="str">
        <f>N76</f>
        <v>X</v>
      </c>
      <c r="Q79" s="128"/>
    </row>
    <row r="80" spans="1:18">
      <c r="H80" s="127"/>
    </row>
    <row r="81" spans="1:17" ht="20.25">
      <c r="A81" s="141" t="str">
        <f>IF(I81&gt;I82,"Da løsningen overstiger max. mængde er den ugyldig"," ")</f>
        <v xml:space="preserve"> </v>
      </c>
      <c r="B81" s="141"/>
      <c r="C81" s="141"/>
      <c r="D81" s="141"/>
      <c r="E81" s="141"/>
      <c r="F81" s="141"/>
      <c r="G81" s="141"/>
      <c r="H81" s="141"/>
      <c r="I81">
        <f>IF(M79=0,"Kan ikke løses",I79/M79)</f>
        <v>20400</v>
      </c>
      <c r="J81" s="104" t="str">
        <f>J79</f>
        <v>=</v>
      </c>
      <c r="K81" s="142" t="str">
        <f>O5</f>
        <v>X</v>
      </c>
      <c r="L81" s="57"/>
      <c r="N81" s="57"/>
      <c r="O81" s="57"/>
      <c r="Q81" s="128"/>
    </row>
    <row r="82" spans="1:17" ht="21" thickBot="1">
      <c r="H82" s="127"/>
      <c r="I82" s="143">
        <f>IF($E$48=$E$47,$E$41,IF($I$48=$I$47,$I$41,IF($M$48=$M$47,$M$41)))</f>
        <v>20400</v>
      </c>
      <c r="J82" s="144" t="str">
        <f>J81</f>
        <v>=</v>
      </c>
      <c r="K82" s="144" t="str">
        <f>O8</f>
        <v>X</v>
      </c>
      <c r="L82" s="143"/>
      <c r="Q82" s="128"/>
    </row>
    <row r="83" spans="1:17" ht="13.5" thickTop="1">
      <c r="H83" s="127"/>
      <c r="I83" s="57"/>
      <c r="J83" s="51"/>
      <c r="K83" s="51"/>
      <c r="L83" s="57"/>
      <c r="Q83" s="128"/>
    </row>
    <row r="84" spans="1:17" ht="20.25">
      <c r="A84">
        <f>I82</f>
        <v>20400</v>
      </c>
      <c r="B84" s="140" t="str">
        <f>J81</f>
        <v>=</v>
      </c>
      <c r="C84" s="140" t="str">
        <f>K81</f>
        <v>X</v>
      </c>
      <c r="D84" t="s">
        <v>38</v>
      </c>
      <c r="H84" s="127"/>
    </row>
    <row r="85" spans="1:17" ht="12.75" customHeight="1">
      <c r="B85" s="140"/>
      <c r="C85" s="140"/>
      <c r="H85" s="127"/>
    </row>
    <row r="86" spans="1:17" ht="21" thickBot="1">
      <c r="B86" s="145"/>
      <c r="C86" s="133" t="str">
        <f>B3</f>
        <v>P</v>
      </c>
      <c r="D86" s="133" t="str">
        <f>C3</f>
        <v>=</v>
      </c>
      <c r="E86" s="32">
        <f>E3</f>
        <v>-2.5000000000000001E-2</v>
      </c>
      <c r="F86" s="133" t="str">
        <f>F3</f>
        <v>X</v>
      </c>
      <c r="G86" s="146"/>
      <c r="H86" s="133" t="str">
        <f>H3</f>
        <v>+</v>
      </c>
      <c r="I86" s="135">
        <f>I3</f>
        <v>1500</v>
      </c>
    </row>
    <row r="87" spans="1:17" ht="17.25" customHeight="1">
      <c r="B87" s="145"/>
      <c r="C87" s="133"/>
      <c r="D87" s="133"/>
      <c r="E87" s="138">
        <f>E4</f>
        <v>1</v>
      </c>
      <c r="F87" s="133"/>
      <c r="G87" s="146"/>
      <c r="H87" s="133"/>
      <c r="I87" s="135"/>
    </row>
    <row r="88" spans="1:17" ht="20.25">
      <c r="C88" s="140" t="str">
        <f>C86</f>
        <v>P</v>
      </c>
      <c r="D88" s="139" t="str">
        <f>D86</f>
        <v>=</v>
      </c>
      <c r="E88" s="147">
        <f>I82*(E86/E87)</f>
        <v>-510</v>
      </c>
      <c r="H88" s="140" t="str">
        <f>H86</f>
        <v>+</v>
      </c>
      <c r="I88" s="132">
        <f>I86</f>
        <v>1500</v>
      </c>
    </row>
    <row r="89" spans="1:17" ht="21" thickBot="1">
      <c r="C89" s="148" t="str">
        <f>C88</f>
        <v>P</v>
      </c>
      <c r="D89" s="144" t="str">
        <f>D88</f>
        <v>=</v>
      </c>
      <c r="E89" s="143">
        <f>I88+E88</f>
        <v>990</v>
      </c>
    </row>
    <row r="90" spans="1:17" ht="21" thickTop="1">
      <c r="C90" s="252"/>
      <c r="D90" s="142"/>
      <c r="E90" s="57"/>
    </row>
    <row r="91" spans="1:17">
      <c r="A91" t="s">
        <v>61</v>
      </c>
    </row>
    <row r="92" spans="1:17" ht="20.25">
      <c r="A92" s="145" t="s">
        <v>39</v>
      </c>
      <c r="B92" s="145"/>
      <c r="C92" s="145"/>
      <c r="D92" s="145"/>
      <c r="E92" s="145"/>
      <c r="F92" s="145"/>
      <c r="G92" s="145"/>
      <c r="H92" s="145"/>
      <c r="I92" s="145"/>
      <c r="J92" s="145"/>
      <c r="K92" s="145"/>
      <c r="L92" s="145"/>
      <c r="M92" s="145"/>
    </row>
    <row r="93" spans="1:17" ht="20.25">
      <c r="A93" s="149" t="s">
        <v>11</v>
      </c>
      <c r="B93" s="149"/>
      <c r="C93" s="149"/>
      <c r="D93" s="149"/>
      <c r="E93" s="160">
        <f>E89</f>
        <v>990</v>
      </c>
      <c r="F93" s="160"/>
      <c r="G93" s="249" t="s">
        <v>40</v>
      </c>
      <c r="H93" s="160"/>
      <c r="I93" s="160">
        <f>I82</f>
        <v>20400</v>
      </c>
      <c r="M93" s="151">
        <f>E93*I93</f>
        <v>20196000</v>
      </c>
    </row>
    <row r="94" spans="1:17" ht="18">
      <c r="A94" s="152" t="s">
        <v>41</v>
      </c>
      <c r="B94" s="149"/>
      <c r="C94" s="149"/>
      <c r="D94" s="149"/>
      <c r="E94" s="160">
        <v>320</v>
      </c>
      <c r="F94" s="160"/>
      <c r="G94" s="160" t="s">
        <v>40</v>
      </c>
      <c r="H94" s="160"/>
      <c r="I94" s="160">
        <v>20400</v>
      </c>
      <c r="M94" s="151">
        <f>E94*I94</f>
        <v>6528000</v>
      </c>
      <c r="N94" s="154"/>
    </row>
    <row r="95" spans="1:17" ht="18">
      <c r="A95" s="3" t="s">
        <v>33</v>
      </c>
      <c r="B95" s="3"/>
      <c r="C95" s="3"/>
      <c r="D95" s="3"/>
      <c r="E95" s="155"/>
      <c r="F95" s="155"/>
      <c r="G95" s="155"/>
      <c r="H95" s="155"/>
      <c r="I95" s="155"/>
      <c r="J95" s="155"/>
      <c r="K95" s="155"/>
      <c r="L95" s="155"/>
      <c r="M95" s="156">
        <f>M93-M94</f>
        <v>13668000</v>
      </c>
    </row>
    <row r="96" spans="1:17" ht="18">
      <c r="A96" s="149" t="s">
        <v>35</v>
      </c>
      <c r="B96" s="149"/>
      <c r="C96" s="149"/>
      <c r="D96" s="149"/>
      <c r="M96" s="151">
        <f>M3</f>
        <v>0</v>
      </c>
    </row>
    <row r="97" spans="1:13" ht="18.75" thickBot="1">
      <c r="A97" s="149" t="s">
        <v>36</v>
      </c>
      <c r="B97" s="149"/>
      <c r="C97" s="149"/>
      <c r="D97" s="149"/>
      <c r="M97" s="157">
        <f>M95-M96</f>
        <v>13668000</v>
      </c>
    </row>
    <row r="98" spans="1:13" ht="18.75" thickTop="1">
      <c r="A98" s="149"/>
      <c r="B98" s="149"/>
      <c r="C98" s="149"/>
      <c r="D98" s="149"/>
      <c r="M98" s="158"/>
    </row>
    <row r="99" spans="1:13" ht="20.25">
      <c r="A99" s="145" t="s">
        <v>39</v>
      </c>
      <c r="B99" s="145"/>
      <c r="C99" s="145"/>
      <c r="D99" s="145"/>
      <c r="E99" s="145"/>
      <c r="F99" s="145"/>
      <c r="G99" s="145"/>
      <c r="H99" s="145"/>
      <c r="I99" s="145"/>
      <c r="J99" s="145"/>
      <c r="K99" s="145"/>
      <c r="L99" s="145"/>
      <c r="M99" s="145"/>
    </row>
    <row r="100" spans="1:13" ht="20.25">
      <c r="A100" s="149" t="s">
        <v>11</v>
      </c>
      <c r="B100" s="149"/>
      <c r="C100" s="149"/>
      <c r="D100" s="149"/>
      <c r="E100" s="160">
        <v>480</v>
      </c>
      <c r="F100" s="160"/>
      <c r="G100" s="249" t="s">
        <v>40</v>
      </c>
      <c r="H100" s="160"/>
      <c r="I100" s="160">
        <f>D23-I93</f>
        <v>21600</v>
      </c>
      <c r="M100" s="151">
        <f>E100*I100</f>
        <v>10368000</v>
      </c>
    </row>
    <row r="101" spans="1:13" ht="18">
      <c r="A101" s="152" t="s">
        <v>41</v>
      </c>
      <c r="B101" s="149"/>
      <c r="C101" s="149"/>
      <c r="D101" s="149"/>
      <c r="E101" s="160">
        <v>320</v>
      </c>
      <c r="F101" s="160"/>
      <c r="G101" s="160" t="s">
        <v>40</v>
      </c>
      <c r="H101" s="160"/>
      <c r="I101" s="160">
        <f>N13-I94</f>
        <v>9600</v>
      </c>
      <c r="M101" s="151">
        <f t="shared" ref="M101:M102" si="1">E101*I101</f>
        <v>3072000</v>
      </c>
    </row>
    <row r="102" spans="1:13" ht="18">
      <c r="A102" s="247" t="s">
        <v>41</v>
      </c>
      <c r="B102" s="3"/>
      <c r="C102" s="3"/>
      <c r="D102" s="3"/>
      <c r="E102" s="250">
        <v>380</v>
      </c>
      <c r="F102" s="250"/>
      <c r="G102" s="250" t="s">
        <v>40</v>
      </c>
      <c r="H102" s="250"/>
      <c r="I102" s="250">
        <f>I100-I101</f>
        <v>12000</v>
      </c>
      <c r="J102" s="155"/>
      <c r="K102" s="155"/>
      <c r="L102" s="155"/>
      <c r="M102" s="151">
        <f t="shared" si="1"/>
        <v>4560000</v>
      </c>
    </row>
    <row r="103" spans="1:13" ht="18" hidden="1">
      <c r="A103" s="149"/>
      <c r="B103" s="149"/>
      <c r="C103" s="149"/>
      <c r="D103" s="149"/>
      <c r="M103" s="151">
        <f>M10</f>
        <v>0</v>
      </c>
    </row>
    <row r="104" spans="1:13" ht="18.75" thickBot="1">
      <c r="A104" s="149" t="s">
        <v>58</v>
      </c>
      <c r="B104" s="149"/>
      <c r="C104" s="149"/>
      <c r="D104" s="149"/>
      <c r="M104" s="157">
        <f>M100-M101-M102</f>
        <v>2736000</v>
      </c>
    </row>
    <row r="105" spans="1:13" ht="18.75" thickTop="1">
      <c r="A105" s="149"/>
      <c r="B105" s="149"/>
      <c r="C105" s="149"/>
      <c r="D105" s="149"/>
      <c r="M105" s="158"/>
    </row>
    <row r="106" spans="1:13" ht="18">
      <c r="A106" s="149" t="s">
        <v>59</v>
      </c>
      <c r="B106" s="149"/>
      <c r="C106" s="149"/>
      <c r="D106" s="149"/>
      <c r="M106" s="158">
        <f>M97+M104</f>
        <v>16404000</v>
      </c>
    </row>
    <row r="107" spans="1:13" ht="18">
      <c r="A107" s="149"/>
      <c r="B107" s="149"/>
      <c r="C107" s="149"/>
      <c r="D107" s="149"/>
      <c r="M107" s="158"/>
    </row>
    <row r="108" spans="1:13" ht="18" hidden="1">
      <c r="A108" s="149" t="s">
        <v>42</v>
      </c>
      <c r="B108" s="149"/>
      <c r="C108" s="149"/>
      <c r="D108" s="149"/>
      <c r="M108" s="158"/>
    </row>
    <row r="109" spans="1:13" ht="18" hidden="1">
      <c r="A109" s="149"/>
      <c r="B109" s="149"/>
      <c r="C109" s="149"/>
      <c r="D109" s="149"/>
      <c r="M109" s="158"/>
    </row>
    <row r="110" spans="1:13" ht="18" hidden="1">
      <c r="A110" s="149"/>
      <c r="B110" s="149"/>
      <c r="C110" s="149"/>
      <c r="D110" s="149"/>
      <c r="M110" s="158"/>
    </row>
    <row r="111" spans="1:13" ht="18" hidden="1">
      <c r="A111" s="149"/>
      <c r="B111" s="149"/>
      <c r="C111" s="149"/>
      <c r="D111" s="149"/>
      <c r="M111" s="158"/>
    </row>
    <row r="112" spans="1:13" ht="18" hidden="1">
      <c r="A112" s="149"/>
      <c r="B112" s="149"/>
      <c r="C112" s="149"/>
      <c r="D112" s="149"/>
      <c r="M112" s="158"/>
    </row>
    <row r="113" spans="1:22" hidden="1"/>
    <row r="114" spans="1:22" ht="15" hidden="1">
      <c r="A114" s="159" t="s">
        <v>43</v>
      </c>
      <c r="B114" s="159"/>
      <c r="C114" s="159"/>
      <c r="D114" s="159"/>
      <c r="E114" s="159"/>
    </row>
    <row r="115" spans="1:22" ht="15" hidden="1">
      <c r="A115" s="159" t="s">
        <v>44</v>
      </c>
      <c r="B115" s="159"/>
      <c r="C115" s="159"/>
      <c r="D115" s="159"/>
      <c r="E115" s="159"/>
      <c r="I115">
        <f>E89</f>
        <v>990</v>
      </c>
      <c r="J115" t="s">
        <v>45</v>
      </c>
      <c r="K115" s="160">
        <f>I3-E89</f>
        <v>510</v>
      </c>
      <c r="M115" s="161">
        <f>I115/K115*-1</f>
        <v>-1.9411764705882353</v>
      </c>
    </row>
    <row r="116" spans="1:22" ht="15" hidden="1">
      <c r="A116" s="159" t="str">
        <f>IF(M115&gt;-1,"Uelastisk","Elastisk")</f>
        <v>Elastisk</v>
      </c>
      <c r="B116" s="159"/>
      <c r="C116" s="159"/>
      <c r="D116" s="159"/>
      <c r="E116" s="159"/>
    </row>
    <row r="117" spans="1:22" ht="15" hidden="1">
      <c r="A117" s="159"/>
      <c r="B117" s="159"/>
      <c r="C117" s="159"/>
      <c r="D117" s="159"/>
      <c r="E117" s="159"/>
    </row>
    <row r="118" spans="1:22" ht="18" hidden="1">
      <c r="A118" s="149" t="s">
        <v>46</v>
      </c>
      <c r="B118" s="159"/>
      <c r="C118" s="159"/>
      <c r="D118" s="159"/>
      <c r="E118" s="159"/>
    </row>
    <row r="119" spans="1:22" ht="15.75" hidden="1">
      <c r="A119" s="151" t="s">
        <v>47</v>
      </c>
      <c r="B119" s="151"/>
      <c r="C119" s="151"/>
      <c r="D119" s="151"/>
      <c r="E119" s="151">
        <f>960-380</f>
        <v>580</v>
      </c>
      <c r="F119" s="151"/>
      <c r="G119" s="151" t="s">
        <v>40</v>
      </c>
      <c r="H119" s="151"/>
      <c r="I119" s="151">
        <f>(1500-960)/0.025</f>
        <v>21600</v>
      </c>
      <c r="J119" s="151"/>
      <c r="K119" s="151"/>
      <c r="L119" s="151"/>
      <c r="M119" s="151">
        <f>I119*E119</f>
        <v>12528000</v>
      </c>
    </row>
    <row r="120" spans="1:22" ht="15.75" hidden="1">
      <c r="A120" s="151"/>
      <c r="B120" s="151"/>
      <c r="C120" s="151"/>
      <c r="D120" s="151"/>
      <c r="E120" s="151"/>
      <c r="F120" s="151"/>
      <c r="G120" s="151"/>
      <c r="H120" s="151"/>
      <c r="I120" s="151"/>
      <c r="J120" s="151"/>
      <c r="K120" s="151"/>
      <c r="L120" s="151"/>
      <c r="M120" s="151"/>
    </row>
    <row r="121" spans="1:22" ht="16.5" hidden="1" thickBot="1">
      <c r="A121" s="162" t="s">
        <v>48</v>
      </c>
      <c r="B121" s="162"/>
      <c r="C121" s="162"/>
      <c r="D121" s="162"/>
      <c r="E121" s="151"/>
      <c r="F121" s="151"/>
      <c r="G121" s="151"/>
      <c r="H121" s="151"/>
      <c r="I121" s="151"/>
      <c r="J121" s="151"/>
      <c r="K121" s="151"/>
      <c r="L121" s="151"/>
      <c r="M121" s="157">
        <f>M97-M119</f>
        <v>1140000</v>
      </c>
    </row>
    <row r="122" spans="1:22" ht="15">
      <c r="A122" s="163" t="s">
        <v>60</v>
      </c>
      <c r="B122" s="163"/>
      <c r="C122" s="163"/>
      <c r="D122" s="163"/>
      <c r="E122" s="159"/>
      <c r="F122" s="159"/>
      <c r="G122" s="159"/>
      <c r="H122" s="159"/>
      <c r="I122" s="159"/>
      <c r="J122" s="159"/>
      <c r="K122" s="159"/>
      <c r="L122" s="159"/>
      <c r="M122" s="251">
        <f>M106-'MR=MC produkt 1'!M96</f>
        <v>3860000</v>
      </c>
      <c r="V122" s="155"/>
    </row>
    <row r="123" spans="1:22" ht="15">
      <c r="A123" s="159"/>
      <c r="B123" s="159"/>
      <c r="C123" s="159"/>
      <c r="D123" s="159"/>
      <c r="E123" s="159"/>
      <c r="F123" s="159"/>
      <c r="G123" s="159"/>
      <c r="H123" s="159"/>
      <c r="I123" s="159"/>
      <c r="J123" s="159"/>
      <c r="K123" s="159"/>
      <c r="L123" s="159"/>
      <c r="M123" s="159"/>
    </row>
    <row r="124" spans="1:22" ht="15">
      <c r="A124" s="159" t="s">
        <v>62</v>
      </c>
      <c r="B124" s="159"/>
      <c r="C124" s="159"/>
      <c r="D124" s="159"/>
      <c r="E124" s="159"/>
      <c r="F124" s="159"/>
      <c r="G124" s="159"/>
      <c r="H124" s="159"/>
      <c r="I124" s="159"/>
      <c r="J124" s="159"/>
      <c r="K124" s="159"/>
      <c r="L124" s="159"/>
      <c r="M124" s="159"/>
    </row>
    <row r="125" spans="1:22">
      <c r="A125" t="s">
        <v>63</v>
      </c>
    </row>
    <row r="126" spans="1:22">
      <c r="A126" t="s">
        <v>64</v>
      </c>
    </row>
    <row r="132" spans="1:22">
      <c r="A132" s="164"/>
      <c r="B132" s="164"/>
      <c r="C132" s="164"/>
      <c r="D132" s="164"/>
      <c r="F132" s="164"/>
      <c r="G132" s="164"/>
      <c r="H132" s="164"/>
      <c r="I132" s="164"/>
      <c r="J132" s="164"/>
      <c r="K132" s="164"/>
      <c r="L132" s="165"/>
      <c r="N132" s="164"/>
      <c r="O132" s="164"/>
      <c r="P132" s="164"/>
      <c r="Q132" s="164"/>
      <c r="R132" s="164"/>
      <c r="S132" s="164"/>
      <c r="T132" s="164"/>
    </row>
    <row r="133" spans="1:22">
      <c r="A133" s="164"/>
      <c r="B133" s="164"/>
      <c r="C133" s="164"/>
      <c r="D133" s="164"/>
      <c r="F133" s="164"/>
      <c r="G133" s="164"/>
      <c r="H133" s="164"/>
      <c r="I133" s="164"/>
      <c r="J133" s="165"/>
      <c r="K133" s="165"/>
      <c r="L133" s="165"/>
      <c r="N133" s="164"/>
      <c r="O133" s="164"/>
      <c r="P133" s="164"/>
      <c r="Q133" s="164"/>
      <c r="R133" s="164"/>
      <c r="S133" s="164"/>
      <c r="T133" s="164"/>
    </row>
    <row r="134" spans="1:22" ht="27" hidden="1" thickBot="1">
      <c r="A134" s="164"/>
      <c r="B134" s="164"/>
      <c r="C134" s="164"/>
      <c r="D134" s="164"/>
      <c r="F134" s="2" t="s">
        <v>49</v>
      </c>
      <c r="G134" s="165"/>
      <c r="H134" s="165"/>
      <c r="I134" s="165"/>
      <c r="J134" s="166"/>
      <c r="K134" s="166"/>
      <c r="L134" s="166"/>
      <c r="N134" s="166"/>
      <c r="O134" s="166"/>
      <c r="P134" s="166"/>
      <c r="Q134" s="166"/>
      <c r="R134" s="164"/>
      <c r="S134" s="164"/>
      <c r="T134" s="164"/>
    </row>
    <row r="135" spans="1:22" ht="13.5" hidden="1" thickBot="1">
      <c r="A135" s="167" t="s">
        <v>50</v>
      </c>
      <c r="B135" s="168"/>
      <c r="C135" s="168" t="s">
        <v>28</v>
      </c>
      <c r="D135" s="168"/>
      <c r="E135" s="169" t="s">
        <v>29</v>
      </c>
      <c r="F135" s="168" t="s">
        <v>51</v>
      </c>
      <c r="G135" s="168"/>
      <c r="H135" s="168"/>
      <c r="I135" s="168"/>
      <c r="J135" s="170" t="s">
        <v>33</v>
      </c>
      <c r="K135" s="171"/>
      <c r="L135" s="172"/>
      <c r="M135" s="169" t="s">
        <v>52</v>
      </c>
      <c r="N135" s="168" t="s">
        <v>36</v>
      </c>
      <c r="O135" s="168"/>
      <c r="P135" s="168"/>
      <c r="Q135" s="168"/>
      <c r="R135" s="168" t="s">
        <v>13</v>
      </c>
      <c r="S135" s="168"/>
      <c r="T135" s="168"/>
      <c r="U135" s="169" t="s">
        <v>53</v>
      </c>
      <c r="V135" s="173" t="s">
        <v>54</v>
      </c>
    </row>
    <row r="136" spans="1:22" ht="14.25" hidden="1">
      <c r="A136" s="174">
        <f>$A$139*-60%+$A$139</f>
        <v>8160</v>
      </c>
      <c r="B136" s="175"/>
      <c r="C136" s="176">
        <f t="shared" ref="C136:C143" si="2">A136*($E$86/$E$87)+$I$86</f>
        <v>1296</v>
      </c>
      <c r="D136" s="176"/>
      <c r="E136" s="177">
        <f t="shared" ref="E136:E143" si="3">C136*A136</f>
        <v>10575360</v>
      </c>
      <c r="F136" s="178">
        <f t="shared" ref="F136:F143" si="4">(POWER(A136,$P$5))*($N$5/$N$6)+($R$5*A136)</f>
        <v>3916800</v>
      </c>
      <c r="G136" s="175"/>
      <c r="H136" s="175"/>
      <c r="I136" s="175"/>
      <c r="J136" s="179">
        <f t="shared" ref="J136:J143" si="5">E136-F136</f>
        <v>6658560</v>
      </c>
      <c r="K136" s="180"/>
      <c r="L136" s="181"/>
      <c r="M136" s="182">
        <f t="shared" ref="M136:M143" si="6">$M$3</f>
        <v>0</v>
      </c>
      <c r="N136" s="178">
        <f t="shared" ref="N136:N143" si="7">J136-M136</f>
        <v>6658560</v>
      </c>
      <c r="O136" s="175"/>
      <c r="P136" s="175"/>
      <c r="Q136" s="175"/>
      <c r="R136" s="176">
        <f t="shared" ref="R136:R143" si="8">$I$11+($E$11/$E$12)*A136</f>
        <v>1092</v>
      </c>
      <c r="S136" s="176"/>
      <c r="T136" s="176"/>
      <c r="U136" s="183">
        <f t="shared" ref="U136:U143" si="9">$R$11+($N$11/$N$12)*A136</f>
        <v>480</v>
      </c>
      <c r="V136" s="184">
        <f t="shared" ref="V136:V143" si="10">R136-U136</f>
        <v>612</v>
      </c>
    </row>
    <row r="137" spans="1:22" ht="14.25" hidden="1">
      <c r="A137" s="185">
        <f>$A$139*-40%+$A$139</f>
        <v>12240</v>
      </c>
      <c r="B137" s="186"/>
      <c r="C137" s="187">
        <f t="shared" si="2"/>
        <v>1194</v>
      </c>
      <c r="D137" s="187"/>
      <c r="E137" s="188">
        <f t="shared" si="3"/>
        <v>14614560</v>
      </c>
      <c r="F137" s="189">
        <f t="shared" si="4"/>
        <v>5875200</v>
      </c>
      <c r="G137" s="186"/>
      <c r="H137" s="186"/>
      <c r="I137" s="186"/>
      <c r="J137" s="190">
        <f t="shared" si="5"/>
        <v>8739360</v>
      </c>
      <c r="K137" s="191"/>
      <c r="L137" s="192"/>
      <c r="M137" s="193">
        <f t="shared" si="6"/>
        <v>0</v>
      </c>
      <c r="N137" s="189">
        <f t="shared" si="7"/>
        <v>8739360</v>
      </c>
      <c r="O137" s="186"/>
      <c r="P137" s="186"/>
      <c r="Q137" s="186"/>
      <c r="R137" s="187">
        <f t="shared" si="8"/>
        <v>888</v>
      </c>
      <c r="S137" s="187"/>
      <c r="T137" s="187"/>
      <c r="U137" s="194">
        <f t="shared" si="9"/>
        <v>480</v>
      </c>
      <c r="V137" s="195">
        <f t="shared" si="10"/>
        <v>408</v>
      </c>
    </row>
    <row r="138" spans="1:22" ht="14.25" hidden="1">
      <c r="A138" s="185">
        <f>$A$139*-20%+$A$139</f>
        <v>16320</v>
      </c>
      <c r="B138" s="186"/>
      <c r="C138" s="187">
        <f t="shared" si="2"/>
        <v>1092</v>
      </c>
      <c r="D138" s="187"/>
      <c r="E138" s="188">
        <f t="shared" si="3"/>
        <v>17821440</v>
      </c>
      <c r="F138" s="189">
        <f t="shared" si="4"/>
        <v>7833600</v>
      </c>
      <c r="G138" s="186"/>
      <c r="H138" s="186"/>
      <c r="I138" s="186"/>
      <c r="J138" s="190">
        <f t="shared" si="5"/>
        <v>9987840</v>
      </c>
      <c r="K138" s="191"/>
      <c r="L138" s="192"/>
      <c r="M138" s="193">
        <f t="shared" si="6"/>
        <v>0</v>
      </c>
      <c r="N138" s="189">
        <f t="shared" si="7"/>
        <v>9987840</v>
      </c>
      <c r="O138" s="186"/>
      <c r="P138" s="186"/>
      <c r="Q138" s="186"/>
      <c r="R138" s="187">
        <f t="shared" si="8"/>
        <v>684</v>
      </c>
      <c r="S138" s="187"/>
      <c r="T138" s="187"/>
      <c r="U138" s="194">
        <f t="shared" si="9"/>
        <v>480</v>
      </c>
      <c r="V138" s="195">
        <f t="shared" si="10"/>
        <v>204</v>
      </c>
    </row>
    <row r="139" spans="1:22" ht="14.25" hidden="1">
      <c r="A139" s="185">
        <f>I82</f>
        <v>20400</v>
      </c>
      <c r="B139" s="196"/>
      <c r="C139" s="197">
        <f t="shared" si="2"/>
        <v>990</v>
      </c>
      <c r="D139" s="197"/>
      <c r="E139" s="198">
        <f t="shared" si="3"/>
        <v>20196000</v>
      </c>
      <c r="F139" s="199">
        <f t="shared" si="4"/>
        <v>9792000</v>
      </c>
      <c r="G139" s="196"/>
      <c r="H139" s="196"/>
      <c r="I139" s="196"/>
      <c r="J139" s="200">
        <f t="shared" si="5"/>
        <v>10404000</v>
      </c>
      <c r="K139" s="201"/>
      <c r="L139" s="192"/>
      <c r="M139" s="202">
        <f t="shared" si="6"/>
        <v>0</v>
      </c>
      <c r="N139" s="199">
        <f t="shared" si="7"/>
        <v>10404000</v>
      </c>
      <c r="O139" s="196"/>
      <c r="P139" s="196"/>
      <c r="Q139" s="196"/>
      <c r="R139" s="197">
        <f t="shared" si="8"/>
        <v>480</v>
      </c>
      <c r="S139" s="197"/>
      <c r="T139" s="197"/>
      <c r="U139" s="203">
        <f t="shared" si="9"/>
        <v>480</v>
      </c>
      <c r="V139" s="204">
        <f t="shared" si="10"/>
        <v>0</v>
      </c>
    </row>
    <row r="140" spans="1:22" ht="14.25" hidden="1">
      <c r="A140" s="185">
        <f>$A$139*20%+$A$139</f>
        <v>24480</v>
      </c>
      <c r="B140" s="186"/>
      <c r="C140" s="187">
        <f t="shared" si="2"/>
        <v>888</v>
      </c>
      <c r="D140" s="187"/>
      <c r="E140" s="188">
        <f t="shared" si="3"/>
        <v>21738240</v>
      </c>
      <c r="F140" s="189">
        <f t="shared" si="4"/>
        <v>11750400</v>
      </c>
      <c r="G140" s="186"/>
      <c r="H140" s="186"/>
      <c r="I140" s="186"/>
      <c r="J140" s="190">
        <f t="shared" si="5"/>
        <v>9987840</v>
      </c>
      <c r="K140" s="191"/>
      <c r="L140" s="192"/>
      <c r="M140" s="193">
        <f t="shared" si="6"/>
        <v>0</v>
      </c>
      <c r="N140" s="189">
        <f t="shared" si="7"/>
        <v>9987840</v>
      </c>
      <c r="O140" s="186"/>
      <c r="P140" s="186"/>
      <c r="Q140" s="186"/>
      <c r="R140" s="187">
        <f t="shared" si="8"/>
        <v>276</v>
      </c>
      <c r="S140" s="187"/>
      <c r="T140" s="187"/>
      <c r="U140" s="194">
        <f t="shared" si="9"/>
        <v>480</v>
      </c>
      <c r="V140" s="195">
        <f t="shared" si="10"/>
        <v>-204</v>
      </c>
    </row>
    <row r="141" spans="1:22" ht="14.25" hidden="1">
      <c r="A141" s="185">
        <f>$A$139*40%+$A$139</f>
        <v>28560</v>
      </c>
      <c r="B141" s="186"/>
      <c r="C141" s="187">
        <f t="shared" si="2"/>
        <v>786</v>
      </c>
      <c r="D141" s="187"/>
      <c r="E141" s="188">
        <f t="shared" si="3"/>
        <v>22448160</v>
      </c>
      <c r="F141" s="189">
        <f t="shared" si="4"/>
        <v>13708800</v>
      </c>
      <c r="G141" s="186"/>
      <c r="H141" s="186"/>
      <c r="I141" s="186"/>
      <c r="J141" s="190">
        <f t="shared" si="5"/>
        <v>8739360</v>
      </c>
      <c r="K141" s="191"/>
      <c r="L141" s="192"/>
      <c r="M141" s="193">
        <f t="shared" si="6"/>
        <v>0</v>
      </c>
      <c r="N141" s="189">
        <f t="shared" si="7"/>
        <v>8739360</v>
      </c>
      <c r="O141" s="186"/>
      <c r="P141" s="186"/>
      <c r="Q141" s="186"/>
      <c r="R141" s="187">
        <f t="shared" si="8"/>
        <v>72</v>
      </c>
      <c r="S141" s="187"/>
      <c r="T141" s="187"/>
      <c r="U141" s="194">
        <f t="shared" si="9"/>
        <v>480</v>
      </c>
      <c r="V141" s="195">
        <f t="shared" si="10"/>
        <v>-408</v>
      </c>
    </row>
    <row r="142" spans="1:22" ht="14.25" hidden="1">
      <c r="A142" s="185">
        <f>$A$139*60%+$A$139</f>
        <v>32640</v>
      </c>
      <c r="B142" s="186"/>
      <c r="C142" s="187">
        <f t="shared" si="2"/>
        <v>684</v>
      </c>
      <c r="D142" s="187"/>
      <c r="E142" s="188">
        <f t="shared" si="3"/>
        <v>22325760</v>
      </c>
      <c r="F142" s="189">
        <f t="shared" si="4"/>
        <v>15667200</v>
      </c>
      <c r="G142" s="186"/>
      <c r="H142" s="186"/>
      <c r="I142" s="186"/>
      <c r="J142" s="190">
        <f t="shared" si="5"/>
        <v>6658560</v>
      </c>
      <c r="K142" s="191"/>
      <c r="L142" s="192"/>
      <c r="M142" s="193">
        <f t="shared" si="6"/>
        <v>0</v>
      </c>
      <c r="N142" s="189">
        <f t="shared" si="7"/>
        <v>6658560</v>
      </c>
      <c r="O142" s="186"/>
      <c r="P142" s="186"/>
      <c r="Q142" s="186"/>
      <c r="R142" s="187">
        <f t="shared" si="8"/>
        <v>-132</v>
      </c>
      <c r="S142" s="187"/>
      <c r="T142" s="187"/>
      <c r="U142" s="194">
        <f t="shared" si="9"/>
        <v>480</v>
      </c>
      <c r="V142" s="195">
        <f t="shared" si="10"/>
        <v>-612</v>
      </c>
    </row>
    <row r="143" spans="1:22" ht="15" hidden="1" thickBot="1">
      <c r="A143" s="205">
        <f>$A$139*80%+$A$139</f>
        <v>36720</v>
      </c>
      <c r="B143" s="206"/>
      <c r="C143" s="207">
        <f t="shared" si="2"/>
        <v>582</v>
      </c>
      <c r="D143" s="207"/>
      <c r="E143" s="208">
        <f t="shared" si="3"/>
        <v>21371040</v>
      </c>
      <c r="F143" s="209">
        <f t="shared" si="4"/>
        <v>17625600</v>
      </c>
      <c r="G143" s="206"/>
      <c r="H143" s="206"/>
      <c r="I143" s="206"/>
      <c r="J143" s="210">
        <f t="shared" si="5"/>
        <v>3745440</v>
      </c>
      <c r="K143" s="211"/>
      <c r="L143" s="212"/>
      <c r="M143" s="213">
        <f t="shared" si="6"/>
        <v>0</v>
      </c>
      <c r="N143" s="209">
        <f t="shared" si="7"/>
        <v>3745440</v>
      </c>
      <c r="O143" s="206"/>
      <c r="P143" s="206"/>
      <c r="Q143" s="206"/>
      <c r="R143" s="207">
        <f t="shared" si="8"/>
        <v>-336</v>
      </c>
      <c r="S143" s="207"/>
      <c r="T143" s="207"/>
      <c r="U143" s="214">
        <f t="shared" si="9"/>
        <v>480</v>
      </c>
      <c r="V143" s="215">
        <f t="shared" si="10"/>
        <v>-816</v>
      </c>
    </row>
    <row r="144" spans="1:22" hidden="1">
      <c r="A144" s="164"/>
      <c r="B144" s="164"/>
      <c r="C144" s="164"/>
      <c r="D144" s="164"/>
      <c r="F144" s="164"/>
      <c r="G144" s="164"/>
      <c r="H144" s="164"/>
      <c r="I144" s="164"/>
      <c r="J144" s="136"/>
      <c r="K144" s="136"/>
      <c r="L144" s="136"/>
      <c r="N144" s="164"/>
      <c r="O144" s="164"/>
      <c r="P144" s="164"/>
      <c r="Q144" s="164"/>
      <c r="R144" s="164"/>
      <c r="S144" s="164"/>
      <c r="T144" s="164"/>
    </row>
    <row r="145" spans="1:20" hidden="1">
      <c r="A145" s="164"/>
      <c r="B145" s="164"/>
      <c r="C145" s="164"/>
      <c r="D145" s="164"/>
      <c r="F145" s="164"/>
      <c r="G145" s="164"/>
      <c r="H145" s="164"/>
      <c r="I145" s="164"/>
      <c r="J145" s="136"/>
      <c r="K145" s="136"/>
      <c r="L145" s="136"/>
      <c r="N145" s="164"/>
      <c r="O145" s="164"/>
      <c r="P145" s="164"/>
      <c r="Q145" s="164"/>
      <c r="R145" s="164"/>
      <c r="S145" s="164"/>
      <c r="T145" s="164"/>
    </row>
    <row r="146" spans="1:20">
      <c r="A146" s="164"/>
      <c r="B146" s="164"/>
      <c r="C146" s="164"/>
      <c r="D146" s="164"/>
      <c r="F146" s="164"/>
      <c r="G146" s="164"/>
      <c r="H146" s="164"/>
      <c r="I146" s="164"/>
      <c r="J146" s="136"/>
      <c r="K146" s="136"/>
      <c r="L146" s="136"/>
      <c r="N146" s="164"/>
      <c r="O146" s="164"/>
      <c r="P146" s="164"/>
      <c r="Q146" s="164"/>
      <c r="R146" s="164"/>
      <c r="S146" s="164"/>
      <c r="T146" s="164"/>
    </row>
    <row r="147" spans="1:20">
      <c r="A147" s="164"/>
      <c r="B147" s="164"/>
      <c r="C147" s="164"/>
      <c r="D147" s="164"/>
      <c r="F147" s="164"/>
      <c r="G147" s="164"/>
      <c r="H147" s="164"/>
      <c r="I147" s="164"/>
      <c r="J147" s="136"/>
      <c r="K147" s="136"/>
      <c r="L147" s="136"/>
      <c r="N147" s="164"/>
      <c r="O147" s="164"/>
      <c r="P147" s="164"/>
      <c r="Q147" s="164"/>
      <c r="R147" s="164"/>
      <c r="S147" s="164"/>
      <c r="T147" s="164"/>
    </row>
    <row r="148" spans="1:20">
      <c r="A148" s="164"/>
      <c r="B148" s="164"/>
      <c r="C148" s="164"/>
      <c r="D148" s="164"/>
      <c r="F148" s="164"/>
      <c r="G148" s="164"/>
      <c r="H148" s="164"/>
      <c r="I148" s="164"/>
      <c r="J148" s="164"/>
      <c r="K148" s="164"/>
      <c r="L148" s="165"/>
      <c r="N148" s="164"/>
      <c r="O148" s="164"/>
      <c r="P148" s="164"/>
      <c r="Q148" s="164"/>
      <c r="R148" s="164"/>
      <c r="S148" s="164"/>
      <c r="T148" s="164"/>
    </row>
    <row r="149" spans="1:20">
      <c r="A149" s="164"/>
      <c r="B149" s="164"/>
      <c r="C149" s="164"/>
      <c r="D149" s="164"/>
      <c r="F149" s="164"/>
      <c r="G149" s="164"/>
      <c r="H149" s="164"/>
      <c r="I149" s="164"/>
      <c r="J149" s="164"/>
      <c r="K149" s="164"/>
      <c r="L149" s="165"/>
      <c r="N149" s="164"/>
      <c r="O149" s="164"/>
      <c r="P149" s="164"/>
      <c r="Q149" s="164"/>
      <c r="R149" s="164"/>
      <c r="S149" s="164"/>
      <c r="T149" s="164"/>
    </row>
    <row r="150" spans="1:20">
      <c r="A150" s="164"/>
      <c r="B150" s="164"/>
      <c r="C150" s="164"/>
      <c r="D150" s="164"/>
      <c r="F150" s="164"/>
      <c r="G150" s="164"/>
      <c r="H150" s="164"/>
      <c r="I150" s="164"/>
      <c r="J150" s="164"/>
      <c r="K150" s="164"/>
      <c r="L150" s="165"/>
      <c r="N150" s="164"/>
      <c r="O150" s="164"/>
      <c r="P150" s="164"/>
      <c r="Q150" s="164"/>
      <c r="R150" s="164"/>
      <c r="S150" s="164"/>
      <c r="T150" s="164"/>
    </row>
    <row r="151" spans="1:20">
      <c r="A151" s="164"/>
      <c r="B151" s="164"/>
      <c r="C151" s="164"/>
      <c r="D151" s="164"/>
      <c r="F151" s="164"/>
      <c r="G151" s="164"/>
      <c r="H151" s="164"/>
      <c r="I151" s="164"/>
      <c r="J151" s="164"/>
      <c r="K151" s="164"/>
      <c r="L151" s="165"/>
      <c r="N151" s="164"/>
      <c r="O151" s="164"/>
      <c r="P151" s="164"/>
      <c r="Q151" s="164"/>
      <c r="R151" s="164"/>
      <c r="S151" s="164"/>
      <c r="T151" s="164"/>
    </row>
    <row r="152" spans="1:20">
      <c r="A152" s="164"/>
      <c r="B152" s="164"/>
      <c r="C152" s="164"/>
      <c r="D152" s="164"/>
      <c r="F152" s="164"/>
      <c r="G152" s="164"/>
      <c r="H152" s="164"/>
      <c r="I152" s="164"/>
      <c r="J152" s="164"/>
      <c r="K152" s="164"/>
      <c r="L152" s="165"/>
      <c r="N152" s="164"/>
      <c r="O152" s="164"/>
      <c r="P152" s="164"/>
      <c r="Q152" s="164"/>
      <c r="R152" s="164"/>
      <c r="S152" s="164"/>
      <c r="T152" s="164"/>
    </row>
    <row r="153" spans="1:20">
      <c r="A153" s="164"/>
      <c r="B153" s="164"/>
      <c r="C153" s="164"/>
      <c r="D153" s="164"/>
      <c r="F153" s="164"/>
      <c r="G153" s="164"/>
      <c r="H153" s="164"/>
      <c r="I153" s="164"/>
      <c r="J153" s="164"/>
      <c r="K153" s="164"/>
      <c r="L153" s="165"/>
      <c r="N153" s="164"/>
      <c r="O153" s="164"/>
      <c r="P153" s="164"/>
      <c r="Q153" s="164"/>
      <c r="R153" s="164"/>
      <c r="S153" s="164"/>
      <c r="T153" s="164"/>
    </row>
    <row r="154" spans="1:20">
      <c r="A154" s="164"/>
      <c r="B154" s="164"/>
      <c r="C154" s="164"/>
      <c r="D154" s="164"/>
      <c r="F154" s="164"/>
      <c r="G154" s="164"/>
      <c r="H154" s="164"/>
      <c r="I154" s="164"/>
      <c r="J154" s="164"/>
      <c r="K154" s="164"/>
      <c r="L154" s="165"/>
      <c r="N154" s="164"/>
      <c r="O154" s="164"/>
      <c r="P154" s="164"/>
      <c r="Q154" s="164"/>
      <c r="R154" s="164"/>
      <c r="S154" s="164"/>
      <c r="T154" s="164"/>
    </row>
    <row r="155" spans="1:20">
      <c r="A155" s="164"/>
      <c r="B155" s="164"/>
      <c r="C155" s="164"/>
      <c r="D155" s="164"/>
      <c r="F155" s="164"/>
      <c r="G155" s="164"/>
      <c r="H155" s="164"/>
      <c r="I155" s="164"/>
      <c r="J155" s="164"/>
      <c r="K155" s="164"/>
      <c r="L155" s="165"/>
      <c r="N155" s="164"/>
      <c r="O155" s="164"/>
      <c r="P155" s="164"/>
      <c r="Q155" s="164"/>
      <c r="R155" s="164"/>
      <c r="S155" s="164"/>
      <c r="T155" s="164"/>
    </row>
  </sheetData>
  <mergeCells count="236">
    <mergeCell ref="A155:B155"/>
    <mergeCell ref="C155:D155"/>
    <mergeCell ref="F155:I155"/>
    <mergeCell ref="J155:K155"/>
    <mergeCell ref="N155:Q155"/>
    <mergeCell ref="R155:T155"/>
    <mergeCell ref="A154:B154"/>
    <mergeCell ref="C154:D154"/>
    <mergeCell ref="F154:I154"/>
    <mergeCell ref="J154:K154"/>
    <mergeCell ref="N154:Q154"/>
    <mergeCell ref="R154:T154"/>
    <mergeCell ref="A153:B153"/>
    <mergeCell ref="C153:D153"/>
    <mergeCell ref="F153:I153"/>
    <mergeCell ref="J153:K153"/>
    <mergeCell ref="N153:Q153"/>
    <mergeCell ref="R153:T153"/>
    <mergeCell ref="A152:B152"/>
    <mergeCell ref="C152:D152"/>
    <mergeCell ref="F152:I152"/>
    <mergeCell ref="J152:K152"/>
    <mergeCell ref="N152:Q152"/>
    <mergeCell ref="R152:T152"/>
    <mergeCell ref="A151:B151"/>
    <mergeCell ref="C151:D151"/>
    <mergeCell ref="F151:I151"/>
    <mergeCell ref="J151:K151"/>
    <mergeCell ref="N151:Q151"/>
    <mergeCell ref="R151:T151"/>
    <mergeCell ref="A150:B150"/>
    <mergeCell ref="C150:D150"/>
    <mergeCell ref="F150:I150"/>
    <mergeCell ref="J150:K150"/>
    <mergeCell ref="N150:Q150"/>
    <mergeCell ref="R150:T150"/>
    <mergeCell ref="A149:B149"/>
    <mergeCell ref="C149:D149"/>
    <mergeCell ref="F149:I149"/>
    <mergeCell ref="J149:K149"/>
    <mergeCell ref="N149:Q149"/>
    <mergeCell ref="R149:T149"/>
    <mergeCell ref="A148:B148"/>
    <mergeCell ref="C148:D148"/>
    <mergeCell ref="F148:I148"/>
    <mergeCell ref="J148:K148"/>
    <mergeCell ref="N148:Q148"/>
    <mergeCell ref="R148:T148"/>
    <mergeCell ref="A147:B147"/>
    <mergeCell ref="C147:D147"/>
    <mergeCell ref="F147:I147"/>
    <mergeCell ref="J147:L147"/>
    <mergeCell ref="N147:Q147"/>
    <mergeCell ref="R147:T147"/>
    <mergeCell ref="A146:B146"/>
    <mergeCell ref="C146:D146"/>
    <mergeCell ref="F146:I146"/>
    <mergeCell ref="J146:L146"/>
    <mergeCell ref="N146:Q146"/>
    <mergeCell ref="R146:T146"/>
    <mergeCell ref="A145:B145"/>
    <mergeCell ref="C145:D145"/>
    <mergeCell ref="F145:I145"/>
    <mergeCell ref="J145:L145"/>
    <mergeCell ref="N145:Q145"/>
    <mergeCell ref="R145:T145"/>
    <mergeCell ref="A144:B144"/>
    <mergeCell ref="C144:D144"/>
    <mergeCell ref="F144:I144"/>
    <mergeCell ref="J144:L144"/>
    <mergeCell ref="N144:Q144"/>
    <mergeCell ref="R144:T144"/>
    <mergeCell ref="A143:B143"/>
    <mergeCell ref="C143:D143"/>
    <mergeCell ref="F143:I143"/>
    <mergeCell ref="J143:L143"/>
    <mergeCell ref="N143:Q143"/>
    <mergeCell ref="R143:T143"/>
    <mergeCell ref="A142:B142"/>
    <mergeCell ref="C142:D142"/>
    <mergeCell ref="F142:I142"/>
    <mergeCell ref="J142:L142"/>
    <mergeCell ref="N142:Q142"/>
    <mergeCell ref="R142:T142"/>
    <mergeCell ref="A141:B141"/>
    <mergeCell ref="C141:D141"/>
    <mergeCell ref="F141:I141"/>
    <mergeCell ref="J141:L141"/>
    <mergeCell ref="N141:Q141"/>
    <mergeCell ref="R141:T141"/>
    <mergeCell ref="A140:B140"/>
    <mergeCell ref="C140:D140"/>
    <mergeCell ref="F140:I140"/>
    <mergeCell ref="J140:L140"/>
    <mergeCell ref="N140:Q140"/>
    <mergeCell ref="R140:T140"/>
    <mergeCell ref="A139:B139"/>
    <mergeCell ref="C139:D139"/>
    <mergeCell ref="F139:I139"/>
    <mergeCell ref="J139:L139"/>
    <mergeCell ref="N139:Q139"/>
    <mergeCell ref="R139:T139"/>
    <mergeCell ref="A138:B138"/>
    <mergeCell ref="C138:D138"/>
    <mergeCell ref="F138:I138"/>
    <mergeCell ref="J138:L138"/>
    <mergeCell ref="N138:Q138"/>
    <mergeCell ref="R138:T138"/>
    <mergeCell ref="A137:B137"/>
    <mergeCell ref="C137:D137"/>
    <mergeCell ref="F137:I137"/>
    <mergeCell ref="J137:L137"/>
    <mergeCell ref="N137:Q137"/>
    <mergeCell ref="R137:T137"/>
    <mergeCell ref="A136:B136"/>
    <mergeCell ref="C136:D136"/>
    <mergeCell ref="F136:I136"/>
    <mergeCell ref="J136:L136"/>
    <mergeCell ref="N136:Q136"/>
    <mergeCell ref="R136:T136"/>
    <mergeCell ref="A134:B134"/>
    <mergeCell ref="C134:D134"/>
    <mergeCell ref="R134:T134"/>
    <mergeCell ref="A135:B135"/>
    <mergeCell ref="C135:D135"/>
    <mergeCell ref="F135:I135"/>
    <mergeCell ref="J135:L135"/>
    <mergeCell ref="N135:Q135"/>
    <mergeCell ref="R135:T135"/>
    <mergeCell ref="N132:Q132"/>
    <mergeCell ref="R132:T132"/>
    <mergeCell ref="A133:B133"/>
    <mergeCell ref="C133:D133"/>
    <mergeCell ref="F133:I133"/>
    <mergeCell ref="N133:Q133"/>
    <mergeCell ref="R133:T133"/>
    <mergeCell ref="I86:I87"/>
    <mergeCell ref="A92:M92"/>
    <mergeCell ref="A122:B122"/>
    <mergeCell ref="C122:D122"/>
    <mergeCell ref="A132:B132"/>
    <mergeCell ref="C132:D132"/>
    <mergeCell ref="F132:I132"/>
    <mergeCell ref="J132:K132"/>
    <mergeCell ref="A99:M99"/>
    <mergeCell ref="N76:N77"/>
    <mergeCell ref="O76:O77"/>
    <mergeCell ref="P76:R77"/>
    <mergeCell ref="K77:L77"/>
    <mergeCell ref="A81:H81"/>
    <mergeCell ref="B86:B87"/>
    <mergeCell ref="C86:C87"/>
    <mergeCell ref="D86:D87"/>
    <mergeCell ref="F86:F87"/>
    <mergeCell ref="H86:H87"/>
    <mergeCell ref="L23:M23"/>
    <mergeCell ref="A37:D37"/>
    <mergeCell ref="K75:L75"/>
    <mergeCell ref="F76:F77"/>
    <mergeCell ref="H76:H77"/>
    <mergeCell ref="I76:I77"/>
    <mergeCell ref="J76:J77"/>
    <mergeCell ref="K76:L76"/>
    <mergeCell ref="R19:R20"/>
    <mergeCell ref="S19:S20"/>
    <mergeCell ref="K21:K22"/>
    <mergeCell ref="L21:M22"/>
    <mergeCell ref="O21:O22"/>
    <mergeCell ref="Q21:Q22"/>
    <mergeCell ref="R21:R22"/>
    <mergeCell ref="L18:M18"/>
    <mergeCell ref="K19:K20"/>
    <mergeCell ref="L19:M20"/>
    <mergeCell ref="O19:O20"/>
    <mergeCell ref="P19:P20"/>
    <mergeCell ref="Q19:Q20"/>
    <mergeCell ref="S14:S15"/>
    <mergeCell ref="K16:K17"/>
    <mergeCell ref="L16:M17"/>
    <mergeCell ref="O16:O17"/>
    <mergeCell ref="P16:P17"/>
    <mergeCell ref="Q16:Q17"/>
    <mergeCell ref="R16:R17"/>
    <mergeCell ref="O11:O12"/>
    <mergeCell ref="Q11:Q12"/>
    <mergeCell ref="R11:R12"/>
    <mergeCell ref="L13:M13"/>
    <mergeCell ref="K14:K15"/>
    <mergeCell ref="L14:M15"/>
    <mergeCell ref="O14:O15"/>
    <mergeCell ref="P14:P15"/>
    <mergeCell ref="Q14:Q15"/>
    <mergeCell ref="R14:R15"/>
    <mergeCell ref="S8:S9"/>
    <mergeCell ref="T8:T9"/>
    <mergeCell ref="U8:U9"/>
    <mergeCell ref="A11:B12"/>
    <mergeCell ref="C11:D12"/>
    <mergeCell ref="F11:F12"/>
    <mergeCell ref="H11:H12"/>
    <mergeCell ref="I11:J12"/>
    <mergeCell ref="K11:K12"/>
    <mergeCell ref="L11:M12"/>
    <mergeCell ref="K8:K9"/>
    <mergeCell ref="L8:M9"/>
    <mergeCell ref="O8:O9"/>
    <mergeCell ref="P8:P9"/>
    <mergeCell ref="Q8:Q9"/>
    <mergeCell ref="R8:R9"/>
    <mergeCell ref="O5:O6"/>
    <mergeCell ref="P5:P6"/>
    <mergeCell ref="Q5:Q6"/>
    <mergeCell ref="S5:S6"/>
    <mergeCell ref="A6:B7"/>
    <mergeCell ref="C6:D7"/>
    <mergeCell ref="F6:F7"/>
    <mergeCell ref="G6:G7"/>
    <mergeCell ref="H6:H7"/>
    <mergeCell ref="I6:I7"/>
    <mergeCell ref="K3:K4"/>
    <mergeCell ref="L3:L4"/>
    <mergeCell ref="M3:N4"/>
    <mergeCell ref="A5:J5"/>
    <mergeCell ref="K5:K6"/>
    <mergeCell ref="L5:M6"/>
    <mergeCell ref="J6:J7"/>
    <mergeCell ref="A2:I2"/>
    <mergeCell ref="K2:U2"/>
    <mergeCell ref="A3:A4"/>
    <mergeCell ref="B3:B4"/>
    <mergeCell ref="C3:D4"/>
    <mergeCell ref="F3:F4"/>
    <mergeCell ref="G3:G4"/>
    <mergeCell ref="H3:H4"/>
    <mergeCell ref="I3:I4"/>
    <mergeCell ref="J3:J4"/>
  </mergeCells>
  <pageMargins left="0.39370078740157483" right="0.39370078740157483" top="0.39370078740157483" bottom="0.39370078740157483" header="0" footer="0"/>
  <pageSetup paperSize="9" scale="95" orientation="landscape" horizontalDpi="300" verticalDpi="300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workbookViewId="0">
      <selection activeCell="G27" sqref="G27"/>
    </sheetView>
  </sheetViews>
  <sheetFormatPr defaultRowHeight="12.75"/>
  <cols>
    <col min="1" max="1" width="9.28515625" bestFit="1" customWidth="1"/>
    <col min="2" max="2" width="14.28515625" bestFit="1" customWidth="1"/>
    <col min="3" max="3" width="10.5703125" customWidth="1"/>
    <col min="4" max="4" width="12.85546875" bestFit="1" customWidth="1"/>
    <col min="5" max="5" width="12" bestFit="1" customWidth="1"/>
    <col min="6" max="6" width="18.85546875" bestFit="1" customWidth="1"/>
    <col min="7" max="7" width="9.28515625" bestFit="1" customWidth="1"/>
    <col min="8" max="8" width="15.85546875" customWidth="1"/>
    <col min="9" max="9" width="9.28515625" bestFit="1" customWidth="1"/>
    <col min="10" max="10" width="12.85546875" bestFit="1" customWidth="1"/>
    <col min="11" max="11" width="9.28515625" bestFit="1" customWidth="1"/>
    <col min="12" max="12" width="12.85546875" bestFit="1" customWidth="1"/>
  </cols>
  <sheetData>
    <row r="1" spans="1:12" ht="24" thickBot="1">
      <c r="E1" s="216" t="s">
        <v>55</v>
      </c>
    </row>
    <row r="2" spans="1:12" ht="15.75">
      <c r="A2" s="217" t="str">
        <f>'MR=MC produkt 2'!A3</f>
        <v>Afsætning</v>
      </c>
      <c r="B2" s="218"/>
      <c r="C2" s="219" t="s">
        <v>13</v>
      </c>
      <c r="D2" s="220"/>
      <c r="E2" s="221" t="str">
        <f>CONCATENATE('MR=MC produkt 2'!K11," indtil ",F5)</f>
        <v>MC(1) indtil 30000</v>
      </c>
      <c r="F2" s="222"/>
      <c r="G2" s="217" t="str">
        <f>'MR=MC produkt 2'!A23</f>
        <v>Max.kapacitet</v>
      </c>
      <c r="H2" s="218"/>
      <c r="I2" s="217" t="s">
        <v>56</v>
      </c>
      <c r="J2" s="218"/>
      <c r="K2" s="217" t="s">
        <v>27</v>
      </c>
      <c r="L2" s="218"/>
    </row>
    <row r="3" spans="1:12" ht="15">
      <c r="A3" s="223" t="s">
        <v>28</v>
      </c>
      <c r="B3" s="224" t="s">
        <v>50</v>
      </c>
      <c r="C3" s="223" t="s">
        <v>28</v>
      </c>
      <c r="D3" s="224" t="str">
        <f>B3</f>
        <v>Mængde</v>
      </c>
      <c r="E3" s="223" t="s">
        <v>28</v>
      </c>
      <c r="F3" s="224" t="str">
        <f>D3</f>
        <v>Mængde</v>
      </c>
      <c r="G3" s="223" t="s">
        <v>57</v>
      </c>
      <c r="H3" s="224" t="s">
        <v>50</v>
      </c>
      <c r="I3" s="223" t="str">
        <f>G3</f>
        <v xml:space="preserve">Pris </v>
      </c>
      <c r="J3" s="224" t="str">
        <f>H3</f>
        <v>Mængde</v>
      </c>
      <c r="K3" s="223" t="str">
        <f>I3</f>
        <v xml:space="preserve">Pris </v>
      </c>
      <c r="L3" s="224" t="str">
        <f>J3</f>
        <v>Mængde</v>
      </c>
    </row>
    <row r="4" spans="1:12" ht="15">
      <c r="A4" s="225">
        <f>'MR=MC produkt 2'!I3</f>
        <v>1500</v>
      </c>
      <c r="B4" s="226">
        <v>0</v>
      </c>
      <c r="C4" s="225">
        <f>A4</f>
        <v>1500</v>
      </c>
      <c r="D4" s="226">
        <v>0</v>
      </c>
      <c r="E4" s="225">
        <f>'MR=MC produkt 2'!R11</f>
        <v>480</v>
      </c>
      <c r="F4" s="226">
        <f>B4</f>
        <v>0</v>
      </c>
      <c r="G4" s="225">
        <f>IF(C4=C5,0,C4)</f>
        <v>1500</v>
      </c>
      <c r="H4" s="226">
        <f>'MR=MC produkt 2'!D23</f>
        <v>42000</v>
      </c>
      <c r="I4" s="225">
        <f>'MR=MC produkt 2'!E89</f>
        <v>990</v>
      </c>
      <c r="J4" s="226">
        <f>F4</f>
        <v>0</v>
      </c>
      <c r="K4" s="225">
        <v>0</v>
      </c>
      <c r="L4" s="226">
        <f>'MR=MC produkt 2'!I82</f>
        <v>20400</v>
      </c>
    </row>
    <row r="5" spans="1:12" ht="15.75" thickBot="1">
      <c r="A5" s="227">
        <f>IF('MR=MC produkt 2'!E3/'MR=MC produkt 2'!E4=0,A4,0)</f>
        <v>0</v>
      </c>
      <c r="B5" s="228">
        <f>C8+IF('MR=MC produkt 2'!E3/'MR=MC produkt 2'!E4=0,'MR=MC produkt 2'!D23,'MR=MC produkt 2'!I3/('MR=MC produkt 2'!E3/'MR=MC produkt 2'!E4)*-1)</f>
        <v>60000</v>
      </c>
      <c r="C5" s="227">
        <f>A5</f>
        <v>0</v>
      </c>
      <c r="D5" s="228">
        <f>IF('MR=MC produkt 2'!E3/'MR=MC produkt 2'!E4=0,B5,B5/2)</f>
        <v>30000</v>
      </c>
      <c r="E5" s="229">
        <f>(('MR=MC produkt 2'!N13*'MR=MC produkt 2'!N11)/'MR=MC produkt 2'!N12)+'MR=MC produkt 2'!R11</f>
        <v>480</v>
      </c>
      <c r="F5" s="230">
        <f>IF('MR=MC produkt 2'!N13=0,B5,'MR=MC produkt 2'!N13)</f>
        <v>30000</v>
      </c>
      <c r="G5" s="229">
        <f>A5</f>
        <v>0</v>
      </c>
      <c r="H5" s="231">
        <f>'MR=MC produkt 2'!D23</f>
        <v>42000</v>
      </c>
      <c r="I5" s="227">
        <f>'MR=MC produkt 2'!E89</f>
        <v>990</v>
      </c>
      <c r="J5" s="228">
        <f>L5</f>
        <v>20400</v>
      </c>
      <c r="K5" s="227">
        <f>I5</f>
        <v>990</v>
      </c>
      <c r="L5" s="228">
        <f>'MR=MC produkt 2'!I82</f>
        <v>20400</v>
      </c>
    </row>
    <row r="6" spans="1:12" ht="18.75" customHeight="1">
      <c r="E6" s="221" t="str">
        <f>CONCATENATE('MR=MC produkt 2'!K16," indtil ",'MR=MC produkt 2'!N18)</f>
        <v>MC(2) indtil 42000</v>
      </c>
      <c r="F6" s="222"/>
      <c r="G6" s="232" t="str">
        <f>CONCATENATE("relation ",'MR=MC produkt 2'!K11," og ",'MR=MC produkt 2'!K16)</f>
        <v>relation MC(1) og MC(2)</v>
      </c>
      <c r="H6" s="233"/>
    </row>
    <row r="7" spans="1:12" ht="15">
      <c r="E7" s="223" t="s">
        <v>28</v>
      </c>
      <c r="F7" s="224" t="s">
        <v>50</v>
      </c>
      <c r="G7" s="234" t="str">
        <f>E7</f>
        <v>Pris</v>
      </c>
      <c r="H7" s="235" t="str">
        <f>F7</f>
        <v>Mængde</v>
      </c>
    </row>
    <row r="8" spans="1:12" ht="15">
      <c r="E8" s="223">
        <f>'MR=MC produkt 2'!N13*('MR=MC produkt 2'!N16/'MR=MC produkt 2'!N17)+'MR=MC produkt 2'!R16</f>
        <v>380</v>
      </c>
      <c r="F8" s="224">
        <f>IF(E9=0,0,F5)</f>
        <v>30000</v>
      </c>
      <c r="G8" s="236">
        <f>IF(E8=0,0,E5)</f>
        <v>480</v>
      </c>
      <c r="H8" s="236">
        <f>IF(F8=0,0,F5)</f>
        <v>30000</v>
      </c>
    </row>
    <row r="9" spans="1:12" ht="15.75" thickBot="1">
      <c r="E9" s="237">
        <f>'MR=MC produkt 2'!N18*'MR=MC produkt 2'!N16/'MR=MC produkt 2'!N17+'MR=MC produkt 2'!R16</f>
        <v>380</v>
      </c>
      <c r="F9" s="238">
        <f>'MR=MC produkt 2'!N18</f>
        <v>42000</v>
      </c>
      <c r="G9" s="239">
        <f>E8</f>
        <v>380</v>
      </c>
      <c r="H9" s="240">
        <f>F8</f>
        <v>30000</v>
      </c>
    </row>
    <row r="10" spans="1:12" ht="20.25" customHeight="1">
      <c r="E10" s="221" t="str">
        <f>CONCATENATE('MR=MC produkt 2'!K21," indtil ",'MR=MC produkt 2'!N23)</f>
        <v>MC(3) indtil 0</v>
      </c>
      <c r="F10" s="222"/>
      <c r="G10" s="232" t="str">
        <f>CONCATENATE("relation ",'MR=MC produkt 2'!K16," og ",'MR=MC produkt 2'!K21)</f>
        <v>relation MC(2) og MC(3)</v>
      </c>
      <c r="H10" s="233"/>
    </row>
    <row r="11" spans="1:12" ht="15">
      <c r="E11" s="241" t="str">
        <f>E7</f>
        <v>Pris</v>
      </c>
      <c r="F11" s="242" t="str">
        <f>F7</f>
        <v>Mængde</v>
      </c>
      <c r="G11" s="234" t="str">
        <f>E11</f>
        <v>Pris</v>
      </c>
      <c r="H11" s="235" t="str">
        <f>F11</f>
        <v>Mængde</v>
      </c>
    </row>
    <row r="12" spans="1:12" ht="15">
      <c r="E12" s="223">
        <f>'MR=MC produkt 2'!N18*'MR=MC produkt 2'!N21/'MR=MC produkt 2'!N22+'MR=MC produkt 2'!R21</f>
        <v>0</v>
      </c>
      <c r="F12" s="224">
        <f>IF(E12=0,0,'MR=MC produkt 2'!N18)</f>
        <v>0</v>
      </c>
      <c r="G12" s="234">
        <f>IF(E12=0,0,E9)</f>
        <v>0</v>
      </c>
      <c r="H12" s="243">
        <f>IF(F12=0,0,F9)</f>
        <v>0</v>
      </c>
    </row>
    <row r="13" spans="1:12" ht="15.75" thickBot="1">
      <c r="E13" s="244">
        <f>'MR=MC produkt 2'!N23*'MR=MC produkt 2'!N21/'MR=MC produkt 2'!N22+'MR=MC produkt 2'!R21</f>
        <v>0</v>
      </c>
      <c r="F13" s="245">
        <f>'MR=MC produkt 2'!N23</f>
        <v>0</v>
      </c>
      <c r="G13" s="239">
        <f>E12</f>
        <v>0</v>
      </c>
      <c r="H13" s="240">
        <f>F12</f>
        <v>0</v>
      </c>
    </row>
  </sheetData>
  <mergeCells count="6">
    <mergeCell ref="C2:D2"/>
    <mergeCell ref="E2:F2"/>
    <mergeCell ref="E6:F6"/>
    <mergeCell ref="G6:H6"/>
    <mergeCell ref="E10:F10"/>
    <mergeCell ref="G10:H10"/>
  </mergeCells>
  <pageMargins left="0.75" right="0.75" top="1" bottom="1" header="0" footer="0"/>
  <pageSetup paperSize="9" scale="89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9"/>
  <sheetViews>
    <sheetView topLeftCell="A13" workbookViewId="0">
      <selection activeCell="A80" sqref="A80"/>
    </sheetView>
  </sheetViews>
  <sheetFormatPr defaultRowHeight="12.75"/>
  <cols>
    <col min="1" max="1" width="9.28515625" customWidth="1"/>
    <col min="2" max="2" width="16.140625" customWidth="1"/>
    <col min="3" max="3" width="20.7109375" customWidth="1"/>
    <col min="4" max="4" width="28.28515625" customWidth="1"/>
    <col min="5" max="5" width="27.7109375" customWidth="1"/>
    <col min="6" max="6" width="28.28515625" customWidth="1"/>
    <col min="7" max="7" width="24.7109375" hidden="1" customWidth="1"/>
    <col min="8" max="8" width="24.85546875" customWidth="1"/>
    <col min="9" max="9" width="24.140625" customWidth="1"/>
  </cols>
  <sheetData>
    <row r="1" spans="1:9" ht="18">
      <c r="A1" s="276" t="s">
        <v>96</v>
      </c>
      <c r="B1" s="164"/>
      <c r="C1" s="164"/>
    </row>
    <row r="2" spans="1:9" ht="18">
      <c r="A2" s="322"/>
      <c r="B2" s="149"/>
      <c r="C2" s="323" t="s">
        <v>97</v>
      </c>
      <c r="D2" s="323" t="s">
        <v>98</v>
      </c>
      <c r="E2" s="149" t="s">
        <v>99</v>
      </c>
      <c r="F2" s="149" t="s">
        <v>100</v>
      </c>
      <c r="G2" s="149" t="s">
        <v>101</v>
      </c>
      <c r="H2" s="149" t="s">
        <v>101</v>
      </c>
      <c r="I2" s="149" t="s">
        <v>102</v>
      </c>
    </row>
    <row r="3" spans="1:9" ht="18">
      <c r="A3" s="324" t="s">
        <v>103</v>
      </c>
      <c r="B3" s="325"/>
      <c r="C3" s="325">
        <v>9300000</v>
      </c>
      <c r="D3" s="326"/>
      <c r="E3" s="326"/>
      <c r="F3" s="326"/>
      <c r="G3" s="326"/>
      <c r="H3" s="326"/>
      <c r="I3" s="326"/>
    </row>
    <row r="4" spans="1:9" ht="18">
      <c r="A4" s="324" t="s">
        <v>105</v>
      </c>
      <c r="B4" s="325"/>
      <c r="C4" s="325">
        <v>200000</v>
      </c>
      <c r="D4" s="326"/>
      <c r="E4" s="326"/>
      <c r="F4" s="326"/>
      <c r="G4" s="326"/>
      <c r="H4" s="326"/>
      <c r="I4" s="326"/>
    </row>
    <row r="5" spans="1:9" ht="18">
      <c r="A5" s="324" t="s">
        <v>104</v>
      </c>
      <c r="B5" s="325"/>
      <c r="C5" s="325">
        <v>80000</v>
      </c>
      <c r="D5" s="326"/>
      <c r="E5" s="326"/>
      <c r="F5" s="326"/>
      <c r="G5" s="326"/>
      <c r="H5" s="326"/>
      <c r="I5" s="326"/>
    </row>
    <row r="6" spans="1:9" ht="18">
      <c r="A6" s="324" t="s">
        <v>106</v>
      </c>
      <c r="B6" s="325"/>
      <c r="C6" s="325"/>
      <c r="D6" s="326">
        <v>8000000</v>
      </c>
      <c r="E6" s="326">
        <v>8000000</v>
      </c>
      <c r="F6" s="326">
        <v>8000000</v>
      </c>
      <c r="G6" s="326">
        <v>8000000</v>
      </c>
      <c r="H6" s="326">
        <v>8000000</v>
      </c>
      <c r="I6" s="326">
        <v>8000000</v>
      </c>
    </row>
    <row r="7" spans="1:9" ht="18">
      <c r="A7" s="328" t="s">
        <v>107</v>
      </c>
      <c r="B7" s="325"/>
      <c r="C7" s="325"/>
      <c r="D7" s="326">
        <f>D6*0.6</f>
        <v>4800000</v>
      </c>
      <c r="E7" s="326">
        <f t="shared" ref="E7:I7" si="0">E6*0.6</f>
        <v>4800000</v>
      </c>
      <c r="F7" s="326">
        <f t="shared" si="0"/>
        <v>4800000</v>
      </c>
      <c r="G7" s="326">
        <f t="shared" si="0"/>
        <v>4800000</v>
      </c>
      <c r="H7" s="326">
        <f t="shared" si="0"/>
        <v>4800000</v>
      </c>
      <c r="I7" s="326">
        <f t="shared" si="0"/>
        <v>4800000</v>
      </c>
    </row>
    <row r="8" spans="1:9" ht="18">
      <c r="A8" s="324" t="s">
        <v>114</v>
      </c>
      <c r="B8" s="325"/>
      <c r="C8" s="325"/>
      <c r="D8" s="326">
        <f>D6-D7</f>
        <v>3200000</v>
      </c>
      <c r="E8" s="326">
        <f t="shared" ref="E8:I8" si="1">E6-E7</f>
        <v>3200000</v>
      </c>
      <c r="F8" s="326">
        <f t="shared" si="1"/>
        <v>3200000</v>
      </c>
      <c r="G8" s="326">
        <f t="shared" si="1"/>
        <v>3200000</v>
      </c>
      <c r="H8" s="326">
        <f t="shared" si="1"/>
        <v>3200000</v>
      </c>
      <c r="I8" s="326">
        <f t="shared" si="1"/>
        <v>3200000</v>
      </c>
    </row>
    <row r="9" spans="1:9" ht="18">
      <c r="A9" s="328" t="s">
        <v>108</v>
      </c>
      <c r="B9" s="325"/>
      <c r="C9" s="325"/>
      <c r="D9" s="326">
        <v>1300000</v>
      </c>
      <c r="E9" s="326">
        <v>1300000</v>
      </c>
      <c r="F9" s="326">
        <v>1300000</v>
      </c>
      <c r="G9" s="326">
        <v>1300000</v>
      </c>
      <c r="H9" s="326">
        <v>1300000</v>
      </c>
      <c r="I9" s="326">
        <v>1300000</v>
      </c>
    </row>
    <row r="10" spans="1:9" ht="18">
      <c r="A10" s="324" t="s">
        <v>109</v>
      </c>
      <c r="B10" s="325"/>
      <c r="C10" s="325"/>
      <c r="D10" s="326">
        <f>D8-D9</f>
        <v>1900000</v>
      </c>
      <c r="E10" s="326">
        <f t="shared" ref="E10:I10" si="2">E8-E9</f>
        <v>1900000</v>
      </c>
      <c r="F10" s="326">
        <f t="shared" si="2"/>
        <v>1900000</v>
      </c>
      <c r="G10" s="326">
        <f t="shared" si="2"/>
        <v>1900000</v>
      </c>
      <c r="H10" s="326">
        <f t="shared" si="2"/>
        <v>1900000</v>
      </c>
      <c r="I10" s="326">
        <f t="shared" si="2"/>
        <v>1900000</v>
      </c>
    </row>
    <row r="11" spans="1:9" ht="18">
      <c r="A11" s="328" t="s">
        <v>110</v>
      </c>
      <c r="B11" s="325"/>
      <c r="C11" s="325"/>
      <c r="D11" s="326">
        <v>600000</v>
      </c>
      <c r="E11" s="326">
        <v>600000</v>
      </c>
      <c r="F11" s="326">
        <v>600000</v>
      </c>
      <c r="G11" s="326">
        <v>600000</v>
      </c>
      <c r="H11" s="326">
        <v>600000</v>
      </c>
      <c r="I11" s="326">
        <v>600000</v>
      </c>
    </row>
    <row r="12" spans="1:9" ht="18">
      <c r="A12" s="324" t="s">
        <v>111</v>
      </c>
      <c r="B12" s="325"/>
      <c r="C12" s="325"/>
      <c r="D12" s="326">
        <f>D10+D11</f>
        <v>2500000</v>
      </c>
      <c r="E12" s="326">
        <f t="shared" ref="E12:I12" si="3">E10+E11</f>
        <v>2500000</v>
      </c>
      <c r="F12" s="326">
        <f t="shared" si="3"/>
        <v>2500000</v>
      </c>
      <c r="G12" s="326">
        <f t="shared" si="3"/>
        <v>2500000</v>
      </c>
      <c r="H12" s="326">
        <f t="shared" si="3"/>
        <v>2500000</v>
      </c>
      <c r="I12" s="326">
        <f t="shared" si="3"/>
        <v>2500000</v>
      </c>
    </row>
    <row r="13" spans="1:9" ht="18">
      <c r="A13" s="324" t="s">
        <v>113</v>
      </c>
      <c r="B13" s="325"/>
      <c r="C13" s="325"/>
      <c r="D13" s="326"/>
      <c r="E13" s="326"/>
      <c r="F13" s="326"/>
      <c r="G13" s="326"/>
      <c r="H13" s="326"/>
      <c r="I13" s="326">
        <v>400000</v>
      </c>
    </row>
    <row r="14" spans="1:9" ht="18">
      <c r="A14" s="327" t="s">
        <v>112</v>
      </c>
      <c r="B14" s="326"/>
      <c r="C14" s="326">
        <f>SUM(C3:C13)</f>
        <v>9580000</v>
      </c>
      <c r="D14" s="326">
        <f>D12+D13</f>
        <v>2500000</v>
      </c>
      <c r="E14" s="326">
        <f t="shared" ref="E14:I14" si="4">E12+E13</f>
        <v>2500000</v>
      </c>
      <c r="F14" s="326">
        <f t="shared" si="4"/>
        <v>2500000</v>
      </c>
      <c r="G14" s="326">
        <f t="shared" si="4"/>
        <v>2500000</v>
      </c>
      <c r="H14" s="326">
        <f t="shared" si="4"/>
        <v>2500000</v>
      </c>
      <c r="I14" s="326">
        <f t="shared" si="4"/>
        <v>2900000</v>
      </c>
    </row>
    <row r="15" spans="1:9" ht="15.75">
      <c r="A15" s="277" t="s">
        <v>79</v>
      </c>
      <c r="B15" s="278">
        <v>5</v>
      </c>
    </row>
    <row r="16" spans="1:9" ht="16.5" thickBot="1">
      <c r="A16" s="277" t="s">
        <v>80</v>
      </c>
      <c r="B16" s="279">
        <v>0.1</v>
      </c>
    </row>
    <row r="17" spans="1:11" ht="64.5" customHeight="1" thickBot="1">
      <c r="A17" s="280" t="s">
        <v>81</v>
      </c>
      <c r="B17" s="281" t="s">
        <v>82</v>
      </c>
      <c r="C17" s="282" t="s">
        <v>83</v>
      </c>
      <c r="D17" s="280" t="s">
        <v>84</v>
      </c>
      <c r="E17" s="283" t="s">
        <v>85</v>
      </c>
      <c r="F17" s="280" t="s">
        <v>86</v>
      </c>
      <c r="G17" s="280" t="s">
        <v>87</v>
      </c>
      <c r="H17" s="283" t="str">
        <f>CONCATENATE("Nutidsværdien ved den interne rente (IRR) ",(ROUND(F71,4)*100)," %")</f>
        <v>Nutidsværdien ved den interne rente (IRR) 10,58 %</v>
      </c>
      <c r="I17" s="283" t="s">
        <v>88</v>
      </c>
    </row>
    <row r="18" spans="1:11" ht="18">
      <c r="A18" s="284">
        <v>0</v>
      </c>
      <c r="B18" s="285">
        <v>0</v>
      </c>
      <c r="C18" s="286">
        <f>C14</f>
        <v>9580000</v>
      </c>
      <c r="D18" s="287">
        <f t="shared" ref="D18:D68" si="5">B18-C18</f>
        <v>-9580000</v>
      </c>
      <c r="E18" s="288">
        <f t="shared" ref="E18:E68" si="6">IF(A18&lt;=$B$15,POWER((1+$B$16),(A18*-1)),"-")</f>
        <v>1</v>
      </c>
      <c r="F18" s="289">
        <f>D18</f>
        <v>-9580000</v>
      </c>
      <c r="G18" s="288">
        <f>IF(A18&lt;=$B$15,POWER((1+$F$71),(A18*-1)),"-")</f>
        <v>1</v>
      </c>
      <c r="H18" s="289">
        <f>F18</f>
        <v>-9580000</v>
      </c>
      <c r="I18" s="284"/>
    </row>
    <row r="19" spans="1:11" ht="18">
      <c r="A19" s="290">
        <f t="shared" ref="A19:A68" si="7">A18+1</f>
        <v>1</v>
      </c>
      <c r="B19" s="291">
        <f>D14</f>
        <v>2500000</v>
      </c>
      <c r="C19" s="292">
        <v>0</v>
      </c>
      <c r="D19" s="293">
        <f t="shared" si="5"/>
        <v>2500000</v>
      </c>
      <c r="E19" s="294">
        <f t="shared" si="6"/>
        <v>0.90909090909090906</v>
      </c>
      <c r="F19" s="295">
        <f t="shared" ref="F19:F68" si="8">PV($B$16,A19,0,D19)*-1</f>
        <v>2272727.2727272725</v>
      </c>
      <c r="G19" s="294">
        <f>IF(A19&lt;=$B$15,POWER((1+$F$71),(A19*-1)),"-")</f>
        <v>0.90431859006686421</v>
      </c>
      <c r="H19" s="295">
        <f t="shared" ref="H19:H68" si="9">PV($F$71,A19,0,D19)*-1</f>
        <v>2260796.4751671604</v>
      </c>
      <c r="I19" s="295">
        <f>PMT($B$16,$B$15,$F$69)*-1</f>
        <v>38339.126304236852</v>
      </c>
    </row>
    <row r="20" spans="1:11" ht="18">
      <c r="A20" s="290">
        <f t="shared" si="7"/>
        <v>2</v>
      </c>
      <c r="B20" s="291">
        <f>E14</f>
        <v>2500000</v>
      </c>
      <c r="C20" s="292">
        <v>0</v>
      </c>
      <c r="D20" s="293">
        <f t="shared" si="5"/>
        <v>2500000</v>
      </c>
      <c r="E20" s="294">
        <f t="shared" si="6"/>
        <v>0.82644628099173545</v>
      </c>
      <c r="F20" s="295">
        <f t="shared" si="8"/>
        <v>2066115.7024793385</v>
      </c>
      <c r="G20" s="294">
        <f t="shared" ref="G20:G68" si="10">IF(A20&lt;=$B$15,POWER((1+$F$71),(A20*-1)),"-")</f>
        <v>0.81779211234052118</v>
      </c>
      <c r="H20" s="295">
        <f t="shared" si="9"/>
        <v>2044480.2808513031</v>
      </c>
      <c r="I20" s="295">
        <f t="shared" ref="I20:I25" si="11">IF(A20&lt;=$B$15,$I$19,0)</f>
        <v>38339.126304236852</v>
      </c>
    </row>
    <row r="21" spans="1:11" ht="18">
      <c r="A21" s="290">
        <f t="shared" si="7"/>
        <v>3</v>
      </c>
      <c r="B21" s="291">
        <f>F14</f>
        <v>2500000</v>
      </c>
      <c r="C21" s="292">
        <v>0</v>
      </c>
      <c r="D21" s="293">
        <f t="shared" si="5"/>
        <v>2500000</v>
      </c>
      <c r="E21" s="294">
        <f t="shared" si="6"/>
        <v>0.75131480090157754</v>
      </c>
      <c r="F21" s="295">
        <f t="shared" si="8"/>
        <v>1878287.0022539438</v>
      </c>
      <c r="G21" s="294">
        <f t="shared" si="10"/>
        <v>0.73954460999958271</v>
      </c>
      <c r="H21" s="295">
        <f t="shared" si="9"/>
        <v>1848861.5249989568</v>
      </c>
      <c r="I21" s="295">
        <f t="shared" si="11"/>
        <v>38339.126304236852</v>
      </c>
    </row>
    <row r="22" spans="1:11" ht="18">
      <c r="A22" s="290">
        <f t="shared" si="7"/>
        <v>4</v>
      </c>
      <c r="B22" s="291">
        <f>H14</f>
        <v>2500000</v>
      </c>
      <c r="C22" s="292">
        <v>0</v>
      </c>
      <c r="D22" s="293">
        <f t="shared" si="5"/>
        <v>2500000</v>
      </c>
      <c r="E22" s="294">
        <f t="shared" si="6"/>
        <v>0.68301345536507052</v>
      </c>
      <c r="F22" s="295">
        <f t="shared" si="8"/>
        <v>1707533.6384126763</v>
      </c>
      <c r="G22" s="294">
        <f t="shared" si="10"/>
        <v>0.66878393900637167</v>
      </c>
      <c r="H22" s="295">
        <f t="shared" si="9"/>
        <v>1671959.8475159293</v>
      </c>
      <c r="I22" s="295">
        <f t="shared" si="11"/>
        <v>38339.126304236852</v>
      </c>
    </row>
    <row r="23" spans="1:11" ht="18.75" thickBot="1">
      <c r="A23" s="297">
        <f t="shared" si="7"/>
        <v>5</v>
      </c>
      <c r="B23" s="298">
        <f>I14</f>
        <v>2900000</v>
      </c>
      <c r="C23" s="299">
        <v>0</v>
      </c>
      <c r="D23" s="300">
        <f>(B23-C23)</f>
        <v>2900000</v>
      </c>
      <c r="E23" s="301">
        <f t="shared" si="6"/>
        <v>0.62092132305915493</v>
      </c>
      <c r="F23" s="302">
        <f t="shared" si="8"/>
        <v>1800671.8368715495</v>
      </c>
      <c r="G23" s="301">
        <f t="shared" si="10"/>
        <v>0.60479374878160574</v>
      </c>
      <c r="H23" s="302">
        <f t="shared" si="9"/>
        <v>1753901.8714666567</v>
      </c>
      <c r="I23" s="302">
        <f t="shared" si="11"/>
        <v>38339.126304236852</v>
      </c>
    </row>
    <row r="24" spans="1:11" ht="18" hidden="1">
      <c r="A24" s="290">
        <f t="shared" si="7"/>
        <v>6</v>
      </c>
      <c r="B24" s="291">
        <v>0</v>
      </c>
      <c r="C24" s="292">
        <v>0</v>
      </c>
      <c r="D24" s="293">
        <f t="shared" si="5"/>
        <v>0</v>
      </c>
      <c r="E24" s="294" t="str">
        <f t="shared" si="6"/>
        <v>-</v>
      </c>
      <c r="F24" s="295">
        <f t="shared" si="8"/>
        <v>0</v>
      </c>
      <c r="G24" s="294" t="str">
        <f t="shared" si="10"/>
        <v>-</v>
      </c>
      <c r="H24" s="295">
        <f t="shared" si="9"/>
        <v>0</v>
      </c>
      <c r="I24" s="295">
        <f t="shared" si="11"/>
        <v>0</v>
      </c>
    </row>
    <row r="25" spans="1:11" ht="18" hidden="1">
      <c r="A25" s="290">
        <f t="shared" si="7"/>
        <v>7</v>
      </c>
      <c r="B25" s="291">
        <v>0</v>
      </c>
      <c r="C25" s="292">
        <v>0</v>
      </c>
      <c r="D25" s="293">
        <f t="shared" si="5"/>
        <v>0</v>
      </c>
      <c r="E25" s="294" t="str">
        <f t="shared" si="6"/>
        <v>-</v>
      </c>
      <c r="F25" s="295">
        <f t="shared" si="8"/>
        <v>0</v>
      </c>
      <c r="G25" s="294" t="str">
        <f t="shared" si="10"/>
        <v>-</v>
      </c>
      <c r="H25" s="295">
        <f t="shared" si="9"/>
        <v>0</v>
      </c>
      <c r="I25" s="295">
        <f t="shared" si="11"/>
        <v>0</v>
      </c>
    </row>
    <row r="26" spans="1:11" ht="18" hidden="1">
      <c r="A26" s="290">
        <f t="shared" si="7"/>
        <v>8</v>
      </c>
      <c r="B26" s="291">
        <v>0</v>
      </c>
      <c r="C26" s="292">
        <v>0</v>
      </c>
      <c r="D26" s="293">
        <f t="shared" si="5"/>
        <v>0</v>
      </c>
      <c r="E26" s="294" t="str">
        <f t="shared" si="6"/>
        <v>-</v>
      </c>
      <c r="F26" s="295">
        <f t="shared" si="8"/>
        <v>0</v>
      </c>
      <c r="G26" s="294" t="str">
        <f t="shared" si="10"/>
        <v>-</v>
      </c>
      <c r="H26" s="295">
        <f t="shared" si="9"/>
        <v>0</v>
      </c>
      <c r="I26" s="295">
        <f t="shared" ref="I26:I68" si="12">IF(A25&lt;=$B$15,$I$19,0)</f>
        <v>0</v>
      </c>
      <c r="K26" s="296"/>
    </row>
    <row r="27" spans="1:11" ht="18" hidden="1">
      <c r="A27" s="290">
        <f t="shared" si="7"/>
        <v>9</v>
      </c>
      <c r="B27" s="291">
        <v>0</v>
      </c>
      <c r="C27" s="292">
        <v>0</v>
      </c>
      <c r="D27" s="293">
        <f t="shared" si="5"/>
        <v>0</v>
      </c>
      <c r="E27" s="294" t="str">
        <f t="shared" si="6"/>
        <v>-</v>
      </c>
      <c r="F27" s="295">
        <f t="shared" si="8"/>
        <v>0</v>
      </c>
      <c r="G27" s="294" t="str">
        <f t="shared" si="10"/>
        <v>-</v>
      </c>
      <c r="H27" s="295">
        <f t="shared" si="9"/>
        <v>0</v>
      </c>
      <c r="I27" s="295">
        <f t="shared" si="12"/>
        <v>0</v>
      </c>
    </row>
    <row r="28" spans="1:11" ht="18" hidden="1">
      <c r="A28" s="290">
        <f t="shared" si="7"/>
        <v>10</v>
      </c>
      <c r="B28" s="291">
        <v>0</v>
      </c>
      <c r="C28" s="292">
        <v>0</v>
      </c>
      <c r="D28" s="293">
        <f t="shared" si="5"/>
        <v>0</v>
      </c>
      <c r="E28" s="294" t="str">
        <f t="shared" si="6"/>
        <v>-</v>
      </c>
      <c r="F28" s="295">
        <f t="shared" si="8"/>
        <v>0</v>
      </c>
      <c r="G28" s="294" t="str">
        <f t="shared" si="10"/>
        <v>-</v>
      </c>
      <c r="H28" s="295">
        <f t="shared" si="9"/>
        <v>0</v>
      </c>
      <c r="I28" s="295">
        <f t="shared" si="12"/>
        <v>0</v>
      </c>
    </row>
    <row r="29" spans="1:11" ht="18" hidden="1">
      <c r="A29" s="290">
        <f t="shared" si="7"/>
        <v>11</v>
      </c>
      <c r="B29" s="291">
        <v>0</v>
      </c>
      <c r="C29" s="292">
        <v>0</v>
      </c>
      <c r="D29" s="293">
        <f t="shared" si="5"/>
        <v>0</v>
      </c>
      <c r="E29" s="294" t="str">
        <f t="shared" si="6"/>
        <v>-</v>
      </c>
      <c r="F29" s="295">
        <f t="shared" si="8"/>
        <v>0</v>
      </c>
      <c r="G29" s="294" t="str">
        <f t="shared" si="10"/>
        <v>-</v>
      </c>
      <c r="H29" s="295">
        <f t="shared" si="9"/>
        <v>0</v>
      </c>
      <c r="I29" s="295">
        <f t="shared" si="12"/>
        <v>0</v>
      </c>
    </row>
    <row r="30" spans="1:11" ht="18" hidden="1">
      <c r="A30" s="290">
        <f t="shared" si="7"/>
        <v>12</v>
      </c>
      <c r="B30" s="291">
        <v>0</v>
      </c>
      <c r="C30" s="292">
        <v>0</v>
      </c>
      <c r="D30" s="293">
        <f t="shared" si="5"/>
        <v>0</v>
      </c>
      <c r="E30" s="294" t="str">
        <f t="shared" si="6"/>
        <v>-</v>
      </c>
      <c r="F30" s="295">
        <f t="shared" si="8"/>
        <v>0</v>
      </c>
      <c r="G30" s="294" t="str">
        <f t="shared" si="10"/>
        <v>-</v>
      </c>
      <c r="H30" s="295">
        <f t="shared" si="9"/>
        <v>0</v>
      </c>
      <c r="I30" s="295">
        <f t="shared" si="12"/>
        <v>0</v>
      </c>
    </row>
    <row r="31" spans="1:11" ht="18" hidden="1">
      <c r="A31" s="290">
        <f t="shared" si="7"/>
        <v>13</v>
      </c>
      <c r="B31" s="291">
        <v>0</v>
      </c>
      <c r="C31" s="292">
        <v>0</v>
      </c>
      <c r="D31" s="293">
        <f t="shared" si="5"/>
        <v>0</v>
      </c>
      <c r="E31" s="294" t="str">
        <f t="shared" si="6"/>
        <v>-</v>
      </c>
      <c r="F31" s="295">
        <f t="shared" si="8"/>
        <v>0</v>
      </c>
      <c r="G31" s="294" t="str">
        <f t="shared" si="10"/>
        <v>-</v>
      </c>
      <c r="H31" s="295">
        <f t="shared" si="9"/>
        <v>0</v>
      </c>
      <c r="I31" s="295">
        <f t="shared" si="12"/>
        <v>0</v>
      </c>
      <c r="K31" s="296"/>
    </row>
    <row r="32" spans="1:11" ht="18" hidden="1">
      <c r="A32" s="290">
        <f t="shared" si="7"/>
        <v>14</v>
      </c>
      <c r="B32" s="291">
        <v>0</v>
      </c>
      <c r="C32" s="292">
        <v>0</v>
      </c>
      <c r="D32" s="293">
        <f t="shared" si="5"/>
        <v>0</v>
      </c>
      <c r="E32" s="294" t="str">
        <f t="shared" si="6"/>
        <v>-</v>
      </c>
      <c r="F32" s="295">
        <f t="shared" si="8"/>
        <v>0</v>
      </c>
      <c r="G32" s="294" t="str">
        <f t="shared" si="10"/>
        <v>-</v>
      </c>
      <c r="H32" s="295">
        <f t="shared" si="9"/>
        <v>0</v>
      </c>
      <c r="I32" s="295">
        <f t="shared" si="12"/>
        <v>0</v>
      </c>
    </row>
    <row r="33" spans="1:9" ht="18.75" hidden="1" thickBot="1">
      <c r="A33" s="297">
        <f t="shared" si="7"/>
        <v>15</v>
      </c>
      <c r="B33" s="298">
        <v>0</v>
      </c>
      <c r="C33" s="299">
        <v>0</v>
      </c>
      <c r="D33" s="300">
        <f t="shared" si="5"/>
        <v>0</v>
      </c>
      <c r="E33" s="301" t="str">
        <f t="shared" si="6"/>
        <v>-</v>
      </c>
      <c r="F33" s="302">
        <f t="shared" si="8"/>
        <v>0</v>
      </c>
      <c r="G33" s="301" t="str">
        <f t="shared" si="10"/>
        <v>-</v>
      </c>
      <c r="H33" s="302">
        <f t="shared" si="9"/>
        <v>0</v>
      </c>
      <c r="I33" s="302">
        <f t="shared" si="12"/>
        <v>0</v>
      </c>
    </row>
    <row r="34" spans="1:9" ht="18" hidden="1">
      <c r="A34" s="290">
        <f t="shared" si="7"/>
        <v>16</v>
      </c>
      <c r="B34" s="291">
        <v>0</v>
      </c>
      <c r="C34" s="292">
        <v>0</v>
      </c>
      <c r="D34" s="293">
        <f t="shared" si="5"/>
        <v>0</v>
      </c>
      <c r="E34" s="294" t="str">
        <f t="shared" si="6"/>
        <v>-</v>
      </c>
      <c r="F34" s="295">
        <f t="shared" si="8"/>
        <v>0</v>
      </c>
      <c r="G34" s="294" t="str">
        <f t="shared" si="10"/>
        <v>-</v>
      </c>
      <c r="H34" s="295">
        <f t="shared" si="9"/>
        <v>0</v>
      </c>
      <c r="I34" s="295">
        <f t="shared" si="12"/>
        <v>0</v>
      </c>
    </row>
    <row r="35" spans="1:9" ht="18" hidden="1">
      <c r="A35" s="290">
        <f t="shared" si="7"/>
        <v>17</v>
      </c>
      <c r="B35" s="291">
        <v>0</v>
      </c>
      <c r="C35" s="292">
        <v>0</v>
      </c>
      <c r="D35" s="293">
        <f t="shared" si="5"/>
        <v>0</v>
      </c>
      <c r="E35" s="294" t="str">
        <f t="shared" si="6"/>
        <v>-</v>
      </c>
      <c r="F35" s="295">
        <f t="shared" si="8"/>
        <v>0</v>
      </c>
      <c r="G35" s="294" t="str">
        <f t="shared" si="10"/>
        <v>-</v>
      </c>
      <c r="H35" s="295">
        <f t="shared" si="9"/>
        <v>0</v>
      </c>
      <c r="I35" s="295">
        <f t="shared" si="12"/>
        <v>0</v>
      </c>
    </row>
    <row r="36" spans="1:9" ht="18" hidden="1">
      <c r="A36" s="290">
        <f t="shared" si="7"/>
        <v>18</v>
      </c>
      <c r="B36" s="291">
        <v>0</v>
      </c>
      <c r="C36" s="292">
        <v>0</v>
      </c>
      <c r="D36" s="293">
        <f t="shared" si="5"/>
        <v>0</v>
      </c>
      <c r="E36" s="294" t="str">
        <f t="shared" si="6"/>
        <v>-</v>
      </c>
      <c r="F36" s="295">
        <f t="shared" si="8"/>
        <v>0</v>
      </c>
      <c r="G36" s="294" t="str">
        <f t="shared" si="10"/>
        <v>-</v>
      </c>
      <c r="H36" s="295">
        <f t="shared" si="9"/>
        <v>0</v>
      </c>
      <c r="I36" s="295">
        <f t="shared" si="12"/>
        <v>0</v>
      </c>
    </row>
    <row r="37" spans="1:9" ht="18" hidden="1">
      <c r="A37" s="290">
        <f t="shared" si="7"/>
        <v>19</v>
      </c>
      <c r="B37" s="291">
        <v>0</v>
      </c>
      <c r="C37" s="292">
        <v>0</v>
      </c>
      <c r="D37" s="293">
        <f t="shared" si="5"/>
        <v>0</v>
      </c>
      <c r="E37" s="294" t="str">
        <f t="shared" si="6"/>
        <v>-</v>
      </c>
      <c r="F37" s="295">
        <f t="shared" si="8"/>
        <v>0</v>
      </c>
      <c r="G37" s="294" t="str">
        <f t="shared" si="10"/>
        <v>-</v>
      </c>
      <c r="H37" s="295">
        <f t="shared" si="9"/>
        <v>0</v>
      </c>
      <c r="I37" s="295">
        <f t="shared" si="12"/>
        <v>0</v>
      </c>
    </row>
    <row r="38" spans="1:9" ht="18" hidden="1">
      <c r="A38" s="290">
        <f t="shared" si="7"/>
        <v>20</v>
      </c>
      <c r="B38" s="291">
        <v>0</v>
      </c>
      <c r="C38" s="292">
        <v>0</v>
      </c>
      <c r="D38" s="293">
        <f t="shared" si="5"/>
        <v>0</v>
      </c>
      <c r="E38" s="294" t="str">
        <f t="shared" si="6"/>
        <v>-</v>
      </c>
      <c r="F38" s="295">
        <f t="shared" si="8"/>
        <v>0</v>
      </c>
      <c r="G38" s="294" t="str">
        <f t="shared" si="10"/>
        <v>-</v>
      </c>
      <c r="H38" s="295">
        <f t="shared" si="9"/>
        <v>0</v>
      </c>
      <c r="I38" s="295">
        <f t="shared" si="12"/>
        <v>0</v>
      </c>
    </row>
    <row r="39" spans="1:9" ht="18" hidden="1">
      <c r="A39" s="290">
        <f t="shared" si="7"/>
        <v>21</v>
      </c>
      <c r="B39" s="291">
        <v>0</v>
      </c>
      <c r="C39" s="292">
        <v>0</v>
      </c>
      <c r="D39" s="293">
        <f t="shared" si="5"/>
        <v>0</v>
      </c>
      <c r="E39" s="294" t="str">
        <f t="shared" si="6"/>
        <v>-</v>
      </c>
      <c r="F39" s="295">
        <f t="shared" si="8"/>
        <v>0</v>
      </c>
      <c r="G39" s="294" t="str">
        <f t="shared" si="10"/>
        <v>-</v>
      </c>
      <c r="H39" s="295">
        <f t="shared" si="9"/>
        <v>0</v>
      </c>
      <c r="I39" s="295">
        <f t="shared" si="12"/>
        <v>0</v>
      </c>
    </row>
    <row r="40" spans="1:9" ht="18" hidden="1">
      <c r="A40" s="290">
        <f t="shared" si="7"/>
        <v>22</v>
      </c>
      <c r="B40" s="291">
        <v>0</v>
      </c>
      <c r="C40" s="292">
        <v>0</v>
      </c>
      <c r="D40" s="293">
        <f t="shared" si="5"/>
        <v>0</v>
      </c>
      <c r="E40" s="294" t="str">
        <f t="shared" si="6"/>
        <v>-</v>
      </c>
      <c r="F40" s="295">
        <f t="shared" si="8"/>
        <v>0</v>
      </c>
      <c r="G40" s="294" t="str">
        <f t="shared" si="10"/>
        <v>-</v>
      </c>
      <c r="H40" s="295">
        <f t="shared" si="9"/>
        <v>0</v>
      </c>
      <c r="I40" s="295">
        <f t="shared" si="12"/>
        <v>0</v>
      </c>
    </row>
    <row r="41" spans="1:9" ht="18" hidden="1">
      <c r="A41" s="290">
        <f t="shared" si="7"/>
        <v>23</v>
      </c>
      <c r="B41" s="291">
        <v>0</v>
      </c>
      <c r="C41" s="292">
        <v>0</v>
      </c>
      <c r="D41" s="293">
        <f t="shared" si="5"/>
        <v>0</v>
      </c>
      <c r="E41" s="294" t="str">
        <f t="shared" si="6"/>
        <v>-</v>
      </c>
      <c r="F41" s="295">
        <f t="shared" si="8"/>
        <v>0</v>
      </c>
      <c r="G41" s="294" t="str">
        <f t="shared" si="10"/>
        <v>-</v>
      </c>
      <c r="H41" s="295">
        <f t="shared" si="9"/>
        <v>0</v>
      </c>
      <c r="I41" s="295">
        <f t="shared" si="12"/>
        <v>0</v>
      </c>
    </row>
    <row r="42" spans="1:9" ht="18" hidden="1">
      <c r="A42" s="290">
        <f t="shared" si="7"/>
        <v>24</v>
      </c>
      <c r="B42" s="291">
        <v>0</v>
      </c>
      <c r="C42" s="292">
        <v>0</v>
      </c>
      <c r="D42" s="293">
        <f t="shared" si="5"/>
        <v>0</v>
      </c>
      <c r="E42" s="294" t="str">
        <f t="shared" si="6"/>
        <v>-</v>
      </c>
      <c r="F42" s="295">
        <f t="shared" si="8"/>
        <v>0</v>
      </c>
      <c r="G42" s="294" t="str">
        <f t="shared" si="10"/>
        <v>-</v>
      </c>
      <c r="H42" s="295">
        <f t="shared" si="9"/>
        <v>0</v>
      </c>
      <c r="I42" s="295">
        <f t="shared" si="12"/>
        <v>0</v>
      </c>
    </row>
    <row r="43" spans="1:9" ht="18" hidden="1">
      <c r="A43" s="290">
        <f t="shared" si="7"/>
        <v>25</v>
      </c>
      <c r="B43" s="291">
        <v>0</v>
      </c>
      <c r="C43" s="292">
        <v>0</v>
      </c>
      <c r="D43" s="293">
        <f t="shared" si="5"/>
        <v>0</v>
      </c>
      <c r="E43" s="294" t="str">
        <f t="shared" si="6"/>
        <v>-</v>
      </c>
      <c r="F43" s="295">
        <f t="shared" si="8"/>
        <v>0</v>
      </c>
      <c r="G43" s="294" t="str">
        <f t="shared" si="10"/>
        <v>-</v>
      </c>
      <c r="H43" s="295">
        <f t="shared" si="9"/>
        <v>0</v>
      </c>
      <c r="I43" s="295">
        <f t="shared" si="12"/>
        <v>0</v>
      </c>
    </row>
    <row r="44" spans="1:9" ht="18" hidden="1">
      <c r="A44" s="290">
        <f t="shared" si="7"/>
        <v>26</v>
      </c>
      <c r="B44" s="291">
        <v>0</v>
      </c>
      <c r="C44" s="292">
        <v>0</v>
      </c>
      <c r="D44" s="293">
        <f t="shared" si="5"/>
        <v>0</v>
      </c>
      <c r="E44" s="294" t="str">
        <f t="shared" si="6"/>
        <v>-</v>
      </c>
      <c r="F44" s="295">
        <f t="shared" si="8"/>
        <v>0</v>
      </c>
      <c r="G44" s="294" t="str">
        <f t="shared" si="10"/>
        <v>-</v>
      </c>
      <c r="H44" s="295">
        <f t="shared" si="9"/>
        <v>0</v>
      </c>
      <c r="I44" s="295">
        <f t="shared" si="12"/>
        <v>0</v>
      </c>
    </row>
    <row r="45" spans="1:9" ht="18" hidden="1">
      <c r="A45" s="290">
        <f t="shared" si="7"/>
        <v>27</v>
      </c>
      <c r="B45" s="291">
        <v>0</v>
      </c>
      <c r="C45" s="292">
        <v>0</v>
      </c>
      <c r="D45" s="293">
        <f t="shared" si="5"/>
        <v>0</v>
      </c>
      <c r="E45" s="294" t="str">
        <f t="shared" si="6"/>
        <v>-</v>
      </c>
      <c r="F45" s="295">
        <f t="shared" si="8"/>
        <v>0</v>
      </c>
      <c r="G45" s="294" t="str">
        <f t="shared" si="10"/>
        <v>-</v>
      </c>
      <c r="H45" s="295">
        <f t="shared" si="9"/>
        <v>0</v>
      </c>
      <c r="I45" s="295">
        <f t="shared" si="12"/>
        <v>0</v>
      </c>
    </row>
    <row r="46" spans="1:9" ht="18" hidden="1">
      <c r="A46" s="290">
        <f t="shared" si="7"/>
        <v>28</v>
      </c>
      <c r="B46" s="291">
        <v>0</v>
      </c>
      <c r="C46" s="292">
        <v>0</v>
      </c>
      <c r="D46" s="293">
        <f t="shared" si="5"/>
        <v>0</v>
      </c>
      <c r="E46" s="294" t="str">
        <f t="shared" si="6"/>
        <v>-</v>
      </c>
      <c r="F46" s="295">
        <f t="shared" si="8"/>
        <v>0</v>
      </c>
      <c r="G46" s="294" t="str">
        <f t="shared" si="10"/>
        <v>-</v>
      </c>
      <c r="H46" s="295">
        <f t="shared" si="9"/>
        <v>0</v>
      </c>
      <c r="I46" s="295">
        <f t="shared" si="12"/>
        <v>0</v>
      </c>
    </row>
    <row r="47" spans="1:9" ht="18" hidden="1">
      <c r="A47" s="290">
        <f t="shared" si="7"/>
        <v>29</v>
      </c>
      <c r="B47" s="291">
        <v>0</v>
      </c>
      <c r="C47" s="292">
        <v>0</v>
      </c>
      <c r="D47" s="293">
        <f t="shared" si="5"/>
        <v>0</v>
      </c>
      <c r="E47" s="294" t="str">
        <f t="shared" si="6"/>
        <v>-</v>
      </c>
      <c r="F47" s="295">
        <f t="shared" si="8"/>
        <v>0</v>
      </c>
      <c r="G47" s="294" t="str">
        <f t="shared" si="10"/>
        <v>-</v>
      </c>
      <c r="H47" s="295">
        <f t="shared" si="9"/>
        <v>0</v>
      </c>
      <c r="I47" s="295">
        <f t="shared" si="12"/>
        <v>0</v>
      </c>
    </row>
    <row r="48" spans="1:9" ht="18" hidden="1">
      <c r="A48" s="290">
        <f t="shared" si="7"/>
        <v>30</v>
      </c>
      <c r="B48" s="291">
        <v>0</v>
      </c>
      <c r="C48" s="292">
        <v>0</v>
      </c>
      <c r="D48" s="293">
        <f t="shared" si="5"/>
        <v>0</v>
      </c>
      <c r="E48" s="294" t="str">
        <f t="shared" si="6"/>
        <v>-</v>
      </c>
      <c r="F48" s="295">
        <f t="shared" si="8"/>
        <v>0</v>
      </c>
      <c r="G48" s="294" t="str">
        <f t="shared" si="10"/>
        <v>-</v>
      </c>
      <c r="H48" s="295">
        <f t="shared" si="9"/>
        <v>0</v>
      </c>
      <c r="I48" s="295">
        <f t="shared" si="12"/>
        <v>0</v>
      </c>
    </row>
    <row r="49" spans="1:9" ht="18" hidden="1">
      <c r="A49" s="290">
        <f t="shared" si="7"/>
        <v>31</v>
      </c>
      <c r="B49" s="291">
        <v>0</v>
      </c>
      <c r="C49" s="292">
        <v>0</v>
      </c>
      <c r="D49" s="293">
        <f t="shared" si="5"/>
        <v>0</v>
      </c>
      <c r="E49" s="294" t="str">
        <f t="shared" si="6"/>
        <v>-</v>
      </c>
      <c r="F49" s="295">
        <f t="shared" si="8"/>
        <v>0</v>
      </c>
      <c r="G49" s="294" t="str">
        <f t="shared" si="10"/>
        <v>-</v>
      </c>
      <c r="H49" s="295">
        <f t="shared" si="9"/>
        <v>0</v>
      </c>
      <c r="I49" s="295">
        <f t="shared" si="12"/>
        <v>0</v>
      </c>
    </row>
    <row r="50" spans="1:9" ht="18" hidden="1">
      <c r="A50" s="290">
        <f t="shared" si="7"/>
        <v>32</v>
      </c>
      <c r="B50" s="291">
        <v>0</v>
      </c>
      <c r="C50" s="292">
        <v>0</v>
      </c>
      <c r="D50" s="293">
        <f t="shared" si="5"/>
        <v>0</v>
      </c>
      <c r="E50" s="294" t="str">
        <f t="shared" si="6"/>
        <v>-</v>
      </c>
      <c r="F50" s="295">
        <f t="shared" si="8"/>
        <v>0</v>
      </c>
      <c r="G50" s="294" t="str">
        <f t="shared" si="10"/>
        <v>-</v>
      </c>
      <c r="H50" s="295">
        <f t="shared" si="9"/>
        <v>0</v>
      </c>
      <c r="I50" s="295">
        <f t="shared" si="12"/>
        <v>0</v>
      </c>
    </row>
    <row r="51" spans="1:9" ht="18" hidden="1">
      <c r="A51" s="290">
        <f t="shared" si="7"/>
        <v>33</v>
      </c>
      <c r="B51" s="291">
        <v>0</v>
      </c>
      <c r="C51" s="292">
        <v>0</v>
      </c>
      <c r="D51" s="293">
        <f t="shared" si="5"/>
        <v>0</v>
      </c>
      <c r="E51" s="294" t="str">
        <f t="shared" si="6"/>
        <v>-</v>
      </c>
      <c r="F51" s="295">
        <f t="shared" si="8"/>
        <v>0</v>
      </c>
      <c r="G51" s="294" t="str">
        <f t="shared" si="10"/>
        <v>-</v>
      </c>
      <c r="H51" s="295">
        <f t="shared" si="9"/>
        <v>0</v>
      </c>
      <c r="I51" s="295">
        <f t="shared" si="12"/>
        <v>0</v>
      </c>
    </row>
    <row r="52" spans="1:9" ht="18" hidden="1">
      <c r="A52" s="290">
        <f t="shared" si="7"/>
        <v>34</v>
      </c>
      <c r="B52" s="291">
        <v>0</v>
      </c>
      <c r="C52" s="292">
        <v>0</v>
      </c>
      <c r="D52" s="293">
        <f t="shared" si="5"/>
        <v>0</v>
      </c>
      <c r="E52" s="294" t="str">
        <f t="shared" si="6"/>
        <v>-</v>
      </c>
      <c r="F52" s="295">
        <f t="shared" si="8"/>
        <v>0</v>
      </c>
      <c r="G52" s="294" t="str">
        <f t="shared" si="10"/>
        <v>-</v>
      </c>
      <c r="H52" s="295">
        <f t="shared" si="9"/>
        <v>0</v>
      </c>
      <c r="I52" s="295">
        <f t="shared" si="12"/>
        <v>0</v>
      </c>
    </row>
    <row r="53" spans="1:9" ht="18" hidden="1">
      <c r="A53" s="290">
        <f t="shared" si="7"/>
        <v>35</v>
      </c>
      <c r="B53" s="291">
        <v>0</v>
      </c>
      <c r="C53" s="292">
        <v>0</v>
      </c>
      <c r="D53" s="293">
        <f t="shared" si="5"/>
        <v>0</v>
      </c>
      <c r="E53" s="294" t="str">
        <f t="shared" si="6"/>
        <v>-</v>
      </c>
      <c r="F53" s="295">
        <f t="shared" si="8"/>
        <v>0</v>
      </c>
      <c r="G53" s="294" t="str">
        <f t="shared" si="10"/>
        <v>-</v>
      </c>
      <c r="H53" s="295">
        <f t="shared" si="9"/>
        <v>0</v>
      </c>
      <c r="I53" s="295">
        <f t="shared" si="12"/>
        <v>0</v>
      </c>
    </row>
    <row r="54" spans="1:9" ht="18" hidden="1">
      <c r="A54" s="290">
        <f t="shared" si="7"/>
        <v>36</v>
      </c>
      <c r="B54" s="291">
        <v>0</v>
      </c>
      <c r="C54" s="292">
        <v>0</v>
      </c>
      <c r="D54" s="293">
        <f t="shared" si="5"/>
        <v>0</v>
      </c>
      <c r="E54" s="294" t="str">
        <f t="shared" si="6"/>
        <v>-</v>
      </c>
      <c r="F54" s="295">
        <f t="shared" si="8"/>
        <v>0</v>
      </c>
      <c r="G54" s="294" t="str">
        <f t="shared" si="10"/>
        <v>-</v>
      </c>
      <c r="H54" s="295">
        <f t="shared" si="9"/>
        <v>0</v>
      </c>
      <c r="I54" s="295">
        <f t="shared" si="12"/>
        <v>0</v>
      </c>
    </row>
    <row r="55" spans="1:9" ht="18" hidden="1">
      <c r="A55" s="290">
        <f t="shared" si="7"/>
        <v>37</v>
      </c>
      <c r="B55" s="291">
        <v>0</v>
      </c>
      <c r="C55" s="292">
        <v>0</v>
      </c>
      <c r="D55" s="293">
        <f t="shared" si="5"/>
        <v>0</v>
      </c>
      <c r="E55" s="294" t="str">
        <f t="shared" si="6"/>
        <v>-</v>
      </c>
      <c r="F55" s="295">
        <f t="shared" si="8"/>
        <v>0</v>
      </c>
      <c r="G55" s="294" t="str">
        <f t="shared" si="10"/>
        <v>-</v>
      </c>
      <c r="H55" s="295">
        <f t="shared" si="9"/>
        <v>0</v>
      </c>
      <c r="I55" s="295">
        <f t="shared" si="12"/>
        <v>0</v>
      </c>
    </row>
    <row r="56" spans="1:9" ht="18" hidden="1">
      <c r="A56" s="290">
        <f t="shared" si="7"/>
        <v>38</v>
      </c>
      <c r="B56" s="291">
        <v>0</v>
      </c>
      <c r="C56" s="292">
        <v>0</v>
      </c>
      <c r="D56" s="293">
        <f t="shared" si="5"/>
        <v>0</v>
      </c>
      <c r="E56" s="294" t="str">
        <f t="shared" si="6"/>
        <v>-</v>
      </c>
      <c r="F56" s="295">
        <f t="shared" si="8"/>
        <v>0</v>
      </c>
      <c r="G56" s="294" t="str">
        <f t="shared" si="10"/>
        <v>-</v>
      </c>
      <c r="H56" s="295">
        <f t="shared" si="9"/>
        <v>0</v>
      </c>
      <c r="I56" s="295">
        <f t="shared" si="12"/>
        <v>0</v>
      </c>
    </row>
    <row r="57" spans="1:9" ht="18" hidden="1">
      <c r="A57" s="290">
        <f t="shared" si="7"/>
        <v>39</v>
      </c>
      <c r="B57" s="291">
        <v>0</v>
      </c>
      <c r="C57" s="292">
        <v>0</v>
      </c>
      <c r="D57" s="293">
        <f t="shared" si="5"/>
        <v>0</v>
      </c>
      <c r="E57" s="294" t="str">
        <f t="shared" si="6"/>
        <v>-</v>
      </c>
      <c r="F57" s="295">
        <f t="shared" si="8"/>
        <v>0</v>
      </c>
      <c r="G57" s="294" t="str">
        <f t="shared" si="10"/>
        <v>-</v>
      </c>
      <c r="H57" s="295">
        <f t="shared" si="9"/>
        <v>0</v>
      </c>
      <c r="I57" s="295">
        <f t="shared" si="12"/>
        <v>0</v>
      </c>
    </row>
    <row r="58" spans="1:9" ht="18" hidden="1">
      <c r="A58" s="290">
        <f t="shared" si="7"/>
        <v>40</v>
      </c>
      <c r="B58" s="291">
        <v>0</v>
      </c>
      <c r="C58" s="292">
        <v>0</v>
      </c>
      <c r="D58" s="293">
        <f t="shared" si="5"/>
        <v>0</v>
      </c>
      <c r="E58" s="294" t="str">
        <f t="shared" si="6"/>
        <v>-</v>
      </c>
      <c r="F58" s="295">
        <f t="shared" si="8"/>
        <v>0</v>
      </c>
      <c r="G58" s="294" t="str">
        <f t="shared" si="10"/>
        <v>-</v>
      </c>
      <c r="H58" s="295">
        <f t="shared" si="9"/>
        <v>0</v>
      </c>
      <c r="I58" s="295">
        <f t="shared" si="12"/>
        <v>0</v>
      </c>
    </row>
    <row r="59" spans="1:9" ht="18" hidden="1">
      <c r="A59" s="290">
        <f t="shared" si="7"/>
        <v>41</v>
      </c>
      <c r="B59" s="291">
        <v>0</v>
      </c>
      <c r="C59" s="292">
        <v>0</v>
      </c>
      <c r="D59" s="293">
        <f t="shared" si="5"/>
        <v>0</v>
      </c>
      <c r="E59" s="294" t="str">
        <f t="shared" si="6"/>
        <v>-</v>
      </c>
      <c r="F59" s="295">
        <f t="shared" si="8"/>
        <v>0</v>
      </c>
      <c r="G59" s="294" t="str">
        <f t="shared" si="10"/>
        <v>-</v>
      </c>
      <c r="H59" s="295">
        <f t="shared" si="9"/>
        <v>0</v>
      </c>
      <c r="I59" s="295">
        <f t="shared" si="12"/>
        <v>0</v>
      </c>
    </row>
    <row r="60" spans="1:9" ht="18" hidden="1">
      <c r="A60" s="290">
        <f t="shared" si="7"/>
        <v>42</v>
      </c>
      <c r="B60" s="291">
        <v>0</v>
      </c>
      <c r="C60" s="292">
        <v>0</v>
      </c>
      <c r="D60" s="293">
        <f t="shared" si="5"/>
        <v>0</v>
      </c>
      <c r="E60" s="294" t="str">
        <f t="shared" si="6"/>
        <v>-</v>
      </c>
      <c r="F60" s="295">
        <f t="shared" si="8"/>
        <v>0</v>
      </c>
      <c r="G60" s="294" t="str">
        <f t="shared" si="10"/>
        <v>-</v>
      </c>
      <c r="H60" s="295">
        <f t="shared" si="9"/>
        <v>0</v>
      </c>
      <c r="I60" s="295">
        <f t="shared" si="12"/>
        <v>0</v>
      </c>
    </row>
    <row r="61" spans="1:9" ht="18" hidden="1">
      <c r="A61" s="290">
        <f t="shared" si="7"/>
        <v>43</v>
      </c>
      <c r="B61" s="291">
        <v>0</v>
      </c>
      <c r="C61" s="292">
        <v>0</v>
      </c>
      <c r="D61" s="293">
        <f t="shared" si="5"/>
        <v>0</v>
      </c>
      <c r="E61" s="294" t="str">
        <f t="shared" si="6"/>
        <v>-</v>
      </c>
      <c r="F61" s="295">
        <f t="shared" si="8"/>
        <v>0</v>
      </c>
      <c r="G61" s="294" t="str">
        <f t="shared" si="10"/>
        <v>-</v>
      </c>
      <c r="H61" s="295">
        <f t="shared" si="9"/>
        <v>0</v>
      </c>
      <c r="I61" s="295">
        <f t="shared" si="12"/>
        <v>0</v>
      </c>
    </row>
    <row r="62" spans="1:9" ht="18" hidden="1">
      <c r="A62" s="290">
        <f t="shared" si="7"/>
        <v>44</v>
      </c>
      <c r="B62" s="291">
        <v>0</v>
      </c>
      <c r="C62" s="292">
        <v>0</v>
      </c>
      <c r="D62" s="293">
        <f t="shared" si="5"/>
        <v>0</v>
      </c>
      <c r="E62" s="294" t="str">
        <f t="shared" si="6"/>
        <v>-</v>
      </c>
      <c r="F62" s="295">
        <f t="shared" si="8"/>
        <v>0</v>
      </c>
      <c r="G62" s="294" t="str">
        <f t="shared" si="10"/>
        <v>-</v>
      </c>
      <c r="H62" s="295">
        <f t="shared" si="9"/>
        <v>0</v>
      </c>
      <c r="I62" s="295">
        <f t="shared" si="12"/>
        <v>0</v>
      </c>
    </row>
    <row r="63" spans="1:9" ht="18" hidden="1">
      <c r="A63" s="290">
        <f t="shared" si="7"/>
        <v>45</v>
      </c>
      <c r="B63" s="291">
        <v>0</v>
      </c>
      <c r="C63" s="292">
        <v>0</v>
      </c>
      <c r="D63" s="293">
        <f t="shared" si="5"/>
        <v>0</v>
      </c>
      <c r="E63" s="294" t="str">
        <f t="shared" si="6"/>
        <v>-</v>
      </c>
      <c r="F63" s="295">
        <f t="shared" si="8"/>
        <v>0</v>
      </c>
      <c r="G63" s="294" t="str">
        <f t="shared" si="10"/>
        <v>-</v>
      </c>
      <c r="H63" s="295">
        <f t="shared" si="9"/>
        <v>0</v>
      </c>
      <c r="I63" s="295">
        <f t="shared" si="12"/>
        <v>0</v>
      </c>
    </row>
    <row r="64" spans="1:9" ht="18" hidden="1">
      <c r="A64" s="290">
        <f t="shared" si="7"/>
        <v>46</v>
      </c>
      <c r="B64" s="291">
        <v>0</v>
      </c>
      <c r="C64" s="292">
        <v>0</v>
      </c>
      <c r="D64" s="293">
        <f t="shared" si="5"/>
        <v>0</v>
      </c>
      <c r="E64" s="294" t="str">
        <f t="shared" si="6"/>
        <v>-</v>
      </c>
      <c r="F64" s="295">
        <f t="shared" si="8"/>
        <v>0</v>
      </c>
      <c r="G64" s="294" t="str">
        <f t="shared" si="10"/>
        <v>-</v>
      </c>
      <c r="H64" s="295">
        <f t="shared" si="9"/>
        <v>0</v>
      </c>
      <c r="I64" s="295">
        <f t="shared" si="12"/>
        <v>0</v>
      </c>
    </row>
    <row r="65" spans="1:9" ht="18" hidden="1">
      <c r="A65" s="290">
        <f t="shared" si="7"/>
        <v>47</v>
      </c>
      <c r="B65" s="291">
        <v>0</v>
      </c>
      <c r="C65" s="292">
        <v>0</v>
      </c>
      <c r="D65" s="293">
        <f t="shared" si="5"/>
        <v>0</v>
      </c>
      <c r="E65" s="294" t="str">
        <f t="shared" si="6"/>
        <v>-</v>
      </c>
      <c r="F65" s="295">
        <f t="shared" si="8"/>
        <v>0</v>
      </c>
      <c r="G65" s="294" t="str">
        <f t="shared" si="10"/>
        <v>-</v>
      </c>
      <c r="H65" s="295">
        <f t="shared" si="9"/>
        <v>0</v>
      </c>
      <c r="I65" s="295">
        <f t="shared" si="12"/>
        <v>0</v>
      </c>
    </row>
    <row r="66" spans="1:9" ht="18" hidden="1">
      <c r="A66" s="290">
        <f t="shared" si="7"/>
        <v>48</v>
      </c>
      <c r="B66" s="291">
        <v>0</v>
      </c>
      <c r="C66" s="292">
        <v>0</v>
      </c>
      <c r="D66" s="293">
        <f t="shared" si="5"/>
        <v>0</v>
      </c>
      <c r="E66" s="294" t="str">
        <f t="shared" si="6"/>
        <v>-</v>
      </c>
      <c r="F66" s="295">
        <f t="shared" si="8"/>
        <v>0</v>
      </c>
      <c r="G66" s="294" t="str">
        <f t="shared" si="10"/>
        <v>-</v>
      </c>
      <c r="H66" s="295">
        <f t="shared" si="9"/>
        <v>0</v>
      </c>
      <c r="I66" s="295">
        <f t="shared" si="12"/>
        <v>0</v>
      </c>
    </row>
    <row r="67" spans="1:9" ht="18" hidden="1">
      <c r="A67" s="290">
        <f t="shared" si="7"/>
        <v>49</v>
      </c>
      <c r="B67" s="291">
        <v>0</v>
      </c>
      <c r="C67" s="292">
        <v>0</v>
      </c>
      <c r="D67" s="293">
        <f t="shared" si="5"/>
        <v>0</v>
      </c>
      <c r="E67" s="294" t="str">
        <f t="shared" si="6"/>
        <v>-</v>
      </c>
      <c r="F67" s="295">
        <f t="shared" si="8"/>
        <v>0</v>
      </c>
      <c r="G67" s="294" t="str">
        <f t="shared" si="10"/>
        <v>-</v>
      </c>
      <c r="H67" s="295">
        <f t="shared" si="9"/>
        <v>0</v>
      </c>
      <c r="I67" s="295">
        <f t="shared" si="12"/>
        <v>0</v>
      </c>
    </row>
    <row r="68" spans="1:9" ht="18.75" hidden="1" thickBot="1">
      <c r="A68" s="297">
        <f t="shared" si="7"/>
        <v>50</v>
      </c>
      <c r="B68" s="298">
        <v>0</v>
      </c>
      <c r="C68" s="299">
        <v>0</v>
      </c>
      <c r="D68" s="300">
        <f t="shared" si="5"/>
        <v>0</v>
      </c>
      <c r="E68" s="301" t="str">
        <f t="shared" si="6"/>
        <v>-</v>
      </c>
      <c r="F68" s="302">
        <f t="shared" si="8"/>
        <v>0</v>
      </c>
      <c r="G68" s="301" t="str">
        <f t="shared" si="10"/>
        <v>-</v>
      </c>
      <c r="H68" s="302">
        <f t="shared" si="9"/>
        <v>0</v>
      </c>
      <c r="I68" s="302">
        <f t="shared" si="12"/>
        <v>0</v>
      </c>
    </row>
    <row r="69" spans="1:9" ht="18.75" thickBot="1">
      <c r="A69" s="303" t="s">
        <v>89</v>
      </c>
      <c r="B69" s="304"/>
      <c r="C69" s="304"/>
      <c r="D69" s="304"/>
      <c r="E69" s="304"/>
      <c r="F69" s="305">
        <f>SUM(F18:F68)</f>
        <v>145335.45274478057</v>
      </c>
      <c r="G69" s="306"/>
      <c r="H69" s="307">
        <f>SUM(H18:H68)</f>
        <v>6.28642737865448E-9</v>
      </c>
      <c r="I69" s="149"/>
    </row>
    <row r="70" spans="1:9" ht="18.75" thickBot="1">
      <c r="A70" s="308" t="s">
        <v>90</v>
      </c>
      <c r="B70" s="309"/>
      <c r="C70" s="309"/>
      <c r="D70" s="309"/>
      <c r="E70" s="309"/>
      <c r="F70" s="310">
        <f>I19</f>
        <v>38339.126304236852</v>
      </c>
      <c r="G70" s="311"/>
      <c r="H70" s="311"/>
      <c r="I70" s="149"/>
    </row>
    <row r="71" spans="1:9" ht="18.75" thickBot="1">
      <c r="A71" s="312" t="s">
        <v>91</v>
      </c>
      <c r="B71" s="313"/>
      <c r="C71" s="313"/>
      <c r="D71" s="313"/>
      <c r="E71" s="313"/>
      <c r="F71" s="314">
        <f>IRR(D18:D68)</f>
        <v>0.10580497955489482</v>
      </c>
      <c r="G71" s="315"/>
      <c r="H71" s="315"/>
      <c r="I71" s="149"/>
    </row>
    <row r="72" spans="1:9" ht="18.75" thickBot="1">
      <c r="A72" s="303" t="s">
        <v>92</v>
      </c>
      <c r="B72" s="304"/>
      <c r="C72" s="304"/>
      <c r="D72" s="304"/>
      <c r="E72" s="304"/>
      <c r="F72" s="316">
        <f>NPER(B16,F74,F18,0)</f>
        <v>4.9047101099273602</v>
      </c>
      <c r="G72" s="317"/>
      <c r="H72" s="317"/>
      <c r="I72" s="149"/>
    </row>
    <row r="73" spans="1:9" hidden="1">
      <c r="A73" s="318" t="s">
        <v>93</v>
      </c>
      <c r="F73" s="319">
        <f>SUM(F19:F68)</f>
        <v>9725335.4527447801</v>
      </c>
      <c r="G73" s="319"/>
      <c r="H73" s="319"/>
    </row>
    <row r="74" spans="1:9" hidden="1">
      <c r="A74" s="318" t="s">
        <v>94</v>
      </c>
      <c r="F74" s="320">
        <f>PMT(B16,B15,F73,0)*-1</f>
        <v>2565518.9923178963</v>
      </c>
      <c r="G74" s="320"/>
      <c r="H74" s="320"/>
    </row>
    <row r="75" spans="1:9" ht="18">
      <c r="A75" s="331" t="s">
        <v>116</v>
      </c>
    </row>
    <row r="76" spans="1:9" ht="18">
      <c r="A76" s="149" t="s">
        <v>95</v>
      </c>
    </row>
    <row r="77" spans="1:9" ht="78.599999999999994" customHeight="1">
      <c r="A77" s="321" t="str">
        <f>CONCATENATE("Da nutidsværdien er ",IF(F69&gt;=0,"positiv med ","negativ med "),"kr. ",ROUND(F69,0)," er investeringen ",IF(F69&gt;=0,"rentabel ","ikke rentabel "),"og bør ",IF(F69&gt;=0,"foretages. ","ikke foretages. "),"Den interne rente er på ",ROUND(F71,4)*100," hvilket er ",IF(ROUND((F71-B16),4)*100&gt;0,ROUND((F71-B16),4)*100,ROUND((F71-B16),4)*-100)," %-point ",IF(B16&lt;=F71,"over ","under "),"kalkulationsrenten på ",ROUND(B16,2)*100," %. ","Hvis man omregner nutidsværdien til en annuitet bliver det årlige ",IF(F69&gt;=0,"overskud ","underskud "),"på kr. ",ROUND(F70,0),". ","Både den ",IF(F69&gt;=0,"postive ","negative "),"nutidsværdi og det at den interne rente er ",IF(F69&gt;=0,"over ","under "),"kalkulationsrenten bekræfter os i at investeringen ",IF(F69&gt;=0,"bør foretages.","ikke bør foretages."))</f>
        <v>Da nutidsværdien er positiv med kr. 145335 er investeringen rentabel og bør foretages. Den interne rente er på 10,58 hvilket er 0,58 %-point over kalkulationsrenten på 10 %. Hvis man omregner nutidsværdien til en annuitet bliver det årlige overskud på kr. 38339. Både den postive nutidsværdi og det at den interne rente er over kalkulationsrenten bekræfter os i at investeringen bør foretages.</v>
      </c>
      <c r="B77" s="321"/>
      <c r="C77" s="321"/>
      <c r="D77" s="321"/>
      <c r="E77" s="321"/>
      <c r="F77" s="321"/>
    </row>
    <row r="78" spans="1:9" ht="18">
      <c r="A78" s="39" t="s">
        <v>117</v>
      </c>
      <c r="B78" s="22"/>
    </row>
    <row r="79" spans="1:9" ht="18">
      <c r="A79" s="274" t="s">
        <v>118</v>
      </c>
      <c r="B79" s="22"/>
    </row>
  </sheetData>
  <mergeCells count="2">
    <mergeCell ref="A1:C1"/>
    <mergeCell ref="A77:F77"/>
  </mergeCells>
  <pageMargins left="0.78740157480314965" right="0.39370078740157483" top="0.98425196850393704" bottom="0.98425196850393704" header="0" footer="0"/>
  <pageSetup paperSize="9" scale="86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7"/>
  <sheetViews>
    <sheetView zoomScale="120" workbookViewId="0">
      <selection activeCell="A10" sqref="A10"/>
    </sheetView>
  </sheetViews>
  <sheetFormatPr defaultRowHeight="12.75"/>
  <cols>
    <col min="1" max="1" width="14.7109375" customWidth="1"/>
    <col min="2" max="2" width="47.28515625" customWidth="1"/>
    <col min="3" max="3" width="33.85546875" customWidth="1"/>
    <col min="4" max="4" width="34.140625" customWidth="1"/>
  </cols>
  <sheetData>
    <row r="1" spans="1:4" ht="17.25" customHeight="1" thickBot="1">
      <c r="A1" s="253" t="s">
        <v>115</v>
      </c>
      <c r="B1" s="254"/>
      <c r="C1" s="255" t="s">
        <v>65</v>
      </c>
      <c r="D1" s="255" t="s">
        <v>66</v>
      </c>
    </row>
    <row r="2" spans="1:4" ht="20.25">
      <c r="A2" s="256" t="s">
        <v>67</v>
      </c>
      <c r="B2" s="40" t="s">
        <v>68</v>
      </c>
      <c r="C2" s="257">
        <v>5</v>
      </c>
      <c r="D2" s="258"/>
    </row>
    <row r="3" spans="1:4" ht="20.25">
      <c r="A3" s="256" t="s">
        <v>69</v>
      </c>
      <c r="B3" s="40" t="s">
        <v>70</v>
      </c>
      <c r="C3" s="259">
        <v>0.1</v>
      </c>
      <c r="D3" s="260"/>
    </row>
    <row r="4" spans="1:4" ht="20.25">
      <c r="A4" s="256" t="s">
        <v>71</v>
      </c>
      <c r="B4" s="40" t="s">
        <v>72</v>
      </c>
      <c r="C4" s="261"/>
      <c r="D4" s="262">
        <f>PV(C3,C2,C5,C6)</f>
        <v>-9725335.4527447876</v>
      </c>
    </row>
    <row r="5" spans="1:4" ht="20.25">
      <c r="A5" s="256" t="s">
        <v>73</v>
      </c>
      <c r="B5" s="40" t="s">
        <v>74</v>
      </c>
      <c r="C5" s="261">
        <v>2500000</v>
      </c>
      <c r="D5" s="262"/>
    </row>
    <row r="6" spans="1:4" ht="21" thickBot="1">
      <c r="A6" s="256" t="s">
        <v>75</v>
      </c>
      <c r="B6" s="40" t="s">
        <v>76</v>
      </c>
      <c r="C6" s="263">
        <v>400000</v>
      </c>
      <c r="D6" s="264"/>
    </row>
    <row r="7" spans="1:4" ht="21" thickBot="1">
      <c r="A7" s="256"/>
      <c r="B7" s="40"/>
      <c r="C7" s="329"/>
      <c r="D7" s="330">
        <v>9380000</v>
      </c>
    </row>
    <row r="8" spans="1:4" ht="21" thickBot="1">
      <c r="A8" s="256" t="s">
        <v>119</v>
      </c>
      <c r="B8" s="40"/>
      <c r="C8" s="329"/>
      <c r="D8" s="330">
        <f>D4+D7</f>
        <v>-345335.45274478756</v>
      </c>
    </row>
    <row r="9" spans="1:4" ht="18" customHeight="1" thickBot="1">
      <c r="A9" s="253" t="s">
        <v>77</v>
      </c>
      <c r="B9" s="254"/>
      <c r="C9" s="265" t="s">
        <v>65</v>
      </c>
      <c r="D9" s="266" t="s">
        <v>66</v>
      </c>
    </row>
    <row r="10" spans="1:4" ht="20.25">
      <c r="A10" s="256" t="s">
        <v>67</v>
      </c>
      <c r="B10" s="40" t="str">
        <f>B2</f>
        <v>antal terminer, f.eks år</v>
      </c>
      <c r="C10" s="267">
        <v>6</v>
      </c>
      <c r="D10" s="268">
        <f>NPER(C11,C13,C12,C14)</f>
        <v>4.6357351668639906</v>
      </c>
    </row>
    <row r="11" spans="1:4" ht="20.25">
      <c r="A11" s="256" t="s">
        <v>69</v>
      </c>
      <c r="B11" s="40" t="str">
        <f>B3</f>
        <v>renten</v>
      </c>
      <c r="C11" s="259">
        <v>0.1</v>
      </c>
      <c r="D11" s="269">
        <f>RATE(C10,C13,C12,C14)</f>
        <v>0.17190612459200996</v>
      </c>
    </row>
    <row r="12" spans="1:4" ht="20.25">
      <c r="A12" s="256" t="s">
        <v>71</v>
      </c>
      <c r="B12" s="40" t="str">
        <f>B4</f>
        <v>Present value, nutidsværdi</v>
      </c>
      <c r="C12" s="261">
        <v>-50000</v>
      </c>
      <c r="D12" s="270">
        <f>PV(C11,C10,C13,C14)</f>
        <v>-60973.649792471195</v>
      </c>
    </row>
    <row r="13" spans="1:4" ht="20.25">
      <c r="A13" s="256" t="s">
        <v>73</v>
      </c>
      <c r="B13" s="40" t="str">
        <f>B5</f>
        <v>Betaling pr. termin, ydelsen</v>
      </c>
      <c r="C13" s="261">
        <v>14000</v>
      </c>
      <c r="D13" s="270">
        <f>PMT(C11,C10,C12,C14)</f>
        <v>11480.369018133362</v>
      </c>
    </row>
    <row r="14" spans="1:4" ht="21" thickBot="1">
      <c r="A14" s="271" t="s">
        <v>75</v>
      </c>
      <c r="B14" s="272" t="str">
        <f>B6</f>
        <v>Future value</v>
      </c>
      <c r="C14" s="263">
        <v>0</v>
      </c>
      <c r="D14" s="273">
        <f>FV(C11,C10,C13,C12)</f>
        <v>-19440.490000000063</v>
      </c>
    </row>
    <row r="15" spans="1:4" ht="18.75" customHeight="1" thickBot="1">
      <c r="A15" s="253" t="s">
        <v>78</v>
      </c>
      <c r="B15" s="254"/>
      <c r="C15" s="265" t="s">
        <v>65</v>
      </c>
      <c r="D15" s="266" t="s">
        <v>66</v>
      </c>
    </row>
    <row r="16" spans="1:4" ht="20.25">
      <c r="A16" s="256" t="s">
        <v>67</v>
      </c>
      <c r="B16" s="40" t="str">
        <f>B10</f>
        <v>antal terminer, f.eks år</v>
      </c>
      <c r="C16" s="267">
        <v>6</v>
      </c>
      <c r="D16" s="268">
        <f>NPER(C17,C19,C18,C20)</f>
        <v>4.6357351668639906</v>
      </c>
    </row>
    <row r="17" spans="1:4" ht="20.25">
      <c r="A17" s="256" t="s">
        <v>69</v>
      </c>
      <c r="B17" s="40" t="str">
        <f>B11</f>
        <v>renten</v>
      </c>
      <c r="C17" s="259">
        <v>0.1</v>
      </c>
      <c r="D17" s="269">
        <f>RATE(C16,C19,C18,C20)</f>
        <v>0.17190612459200996</v>
      </c>
    </row>
    <row r="18" spans="1:4" ht="20.25">
      <c r="A18" s="256" t="s">
        <v>71</v>
      </c>
      <c r="B18" s="40" t="str">
        <f>B12</f>
        <v>Present value, nutidsværdi</v>
      </c>
      <c r="C18" s="261">
        <v>-50000</v>
      </c>
      <c r="D18" s="270">
        <f>PV(C17,C16,C19,C20)</f>
        <v>-60973.649792471195</v>
      </c>
    </row>
    <row r="19" spans="1:4" ht="20.25">
      <c r="A19" s="256" t="s">
        <v>73</v>
      </c>
      <c r="B19" s="40" t="str">
        <f>B13</f>
        <v>Betaling pr. termin, ydelsen</v>
      </c>
      <c r="C19" s="261">
        <v>14000</v>
      </c>
      <c r="D19" s="270">
        <f>PMT(C17,C16,C18,C20)</f>
        <v>11480.369018133362</v>
      </c>
    </row>
    <row r="20" spans="1:4" ht="21" thickBot="1">
      <c r="A20" s="271" t="s">
        <v>75</v>
      </c>
      <c r="B20" s="272" t="str">
        <f>B14</f>
        <v>Future value</v>
      </c>
      <c r="C20" s="263">
        <v>0</v>
      </c>
      <c r="D20" s="273">
        <f>FV(C17,C16,C19,C18)</f>
        <v>-19440.490000000063</v>
      </c>
    </row>
    <row r="22" spans="1:4" ht="18">
      <c r="A22" s="274"/>
      <c r="B22" s="149"/>
      <c r="C22" s="149"/>
      <c r="D22" s="275"/>
    </row>
    <row r="23" spans="1:4" ht="18">
      <c r="A23" s="274"/>
      <c r="B23" s="149"/>
      <c r="C23" s="149"/>
      <c r="D23" s="149"/>
    </row>
    <row r="24" spans="1:4" ht="18">
      <c r="A24" s="274"/>
      <c r="B24" s="149"/>
      <c r="C24" s="149"/>
      <c r="D24" s="275"/>
    </row>
    <row r="25" spans="1:4" ht="18">
      <c r="A25" s="149"/>
      <c r="B25" s="149"/>
      <c r="C25" s="149"/>
      <c r="D25" s="149"/>
    </row>
    <row r="26" spans="1:4" ht="18">
      <c r="A26" s="149"/>
      <c r="B26" s="149"/>
      <c r="C26" s="149"/>
      <c r="D26" s="149"/>
    </row>
    <row r="27" spans="1:4" ht="18">
      <c r="A27" s="149"/>
      <c r="B27" s="149"/>
      <c r="C27" s="149"/>
      <c r="D27" s="149"/>
    </row>
  </sheetData>
  <pageMargins left="0.75" right="0.75" top="1" bottom="1" header="0" footer="0"/>
  <pageSetup paperSize="9" orientation="landscape" horizont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9"/>
  <sheetViews>
    <sheetView topLeftCell="A15" workbookViewId="0">
      <selection activeCell="A80" sqref="A80"/>
    </sheetView>
  </sheetViews>
  <sheetFormatPr defaultRowHeight="12.75"/>
  <cols>
    <col min="1" max="1" width="9.28515625" customWidth="1"/>
    <col min="2" max="2" width="16.140625" customWidth="1"/>
    <col min="3" max="3" width="20.7109375" customWidth="1"/>
    <col min="4" max="4" width="28.28515625" customWidth="1"/>
    <col min="5" max="5" width="27.7109375" customWidth="1"/>
    <col min="6" max="6" width="28.28515625" customWidth="1"/>
    <col min="7" max="7" width="24.7109375" hidden="1" customWidth="1"/>
    <col min="8" max="8" width="24.85546875" customWidth="1"/>
    <col min="9" max="9" width="24.140625" customWidth="1"/>
  </cols>
  <sheetData>
    <row r="1" spans="1:9" ht="18">
      <c r="A1" s="276" t="s">
        <v>96</v>
      </c>
      <c r="B1" s="164"/>
      <c r="C1" s="164"/>
    </row>
    <row r="2" spans="1:9" ht="18">
      <c r="A2" s="322"/>
      <c r="B2" s="149"/>
      <c r="C2" s="323" t="s">
        <v>97</v>
      </c>
      <c r="D2" s="323" t="s">
        <v>98</v>
      </c>
      <c r="E2" s="149" t="s">
        <v>99</v>
      </c>
      <c r="F2" s="149" t="s">
        <v>100</v>
      </c>
      <c r="G2" s="149" t="s">
        <v>101</v>
      </c>
      <c r="H2" s="149" t="s">
        <v>101</v>
      </c>
      <c r="I2" s="149" t="s">
        <v>102</v>
      </c>
    </row>
    <row r="3" spans="1:9" ht="18">
      <c r="A3" s="324" t="s">
        <v>103</v>
      </c>
      <c r="B3" s="325"/>
      <c r="C3" s="325">
        <v>9300000</v>
      </c>
      <c r="D3" s="326"/>
      <c r="E3" s="326"/>
      <c r="F3" s="326"/>
      <c r="G3" s="326"/>
      <c r="H3" s="326"/>
      <c r="I3" s="326"/>
    </row>
    <row r="4" spans="1:9" ht="18">
      <c r="A4" s="324" t="s">
        <v>105</v>
      </c>
      <c r="B4" s="325"/>
      <c r="C4" s="325">
        <v>200000</v>
      </c>
      <c r="D4" s="326"/>
      <c r="E4" s="326"/>
      <c r="F4" s="326"/>
      <c r="G4" s="326"/>
      <c r="H4" s="326"/>
      <c r="I4" s="326"/>
    </row>
    <row r="5" spans="1:9" ht="18">
      <c r="A5" s="324" t="s">
        <v>104</v>
      </c>
      <c r="B5" s="325"/>
      <c r="C5" s="325">
        <v>80000</v>
      </c>
      <c r="D5" s="326"/>
      <c r="E5" s="326"/>
      <c r="F5" s="326"/>
      <c r="G5" s="326"/>
      <c r="H5" s="326"/>
      <c r="I5" s="326"/>
    </row>
    <row r="6" spans="1:9" ht="18">
      <c r="A6" s="324" t="s">
        <v>106</v>
      </c>
      <c r="B6" s="325"/>
      <c r="C6" s="325"/>
      <c r="D6" s="326">
        <v>8000000</v>
      </c>
      <c r="E6" s="326">
        <v>8000000</v>
      </c>
      <c r="F6" s="326">
        <v>8000000</v>
      </c>
      <c r="G6" s="326">
        <v>8000000</v>
      </c>
      <c r="H6" s="326">
        <v>8000000</v>
      </c>
      <c r="I6" s="326">
        <f>8000000-585160.5</f>
        <v>7414839.5</v>
      </c>
    </row>
    <row r="7" spans="1:9" ht="18">
      <c r="A7" s="328" t="s">
        <v>107</v>
      </c>
      <c r="B7" s="325"/>
      <c r="C7" s="325"/>
      <c r="D7" s="326">
        <f>D6*0.6</f>
        <v>4800000</v>
      </c>
      <c r="E7" s="326">
        <f t="shared" ref="E7:I7" si="0">E6*0.6</f>
        <v>4800000</v>
      </c>
      <c r="F7" s="326">
        <f t="shared" si="0"/>
        <v>4800000</v>
      </c>
      <c r="G7" s="326">
        <f t="shared" si="0"/>
        <v>4800000</v>
      </c>
      <c r="H7" s="326">
        <f t="shared" si="0"/>
        <v>4800000</v>
      </c>
      <c r="I7" s="326">
        <f t="shared" si="0"/>
        <v>4448903.7</v>
      </c>
    </row>
    <row r="8" spans="1:9" ht="18">
      <c r="A8" s="324" t="s">
        <v>114</v>
      </c>
      <c r="B8" s="325"/>
      <c r="C8" s="325"/>
      <c r="D8" s="326">
        <f>D6-D7</f>
        <v>3200000</v>
      </c>
      <c r="E8" s="326">
        <f t="shared" ref="E8:I8" si="1">E6-E7</f>
        <v>3200000</v>
      </c>
      <c r="F8" s="326">
        <f t="shared" si="1"/>
        <v>3200000</v>
      </c>
      <c r="G8" s="326">
        <f t="shared" si="1"/>
        <v>3200000</v>
      </c>
      <c r="H8" s="326">
        <f t="shared" si="1"/>
        <v>3200000</v>
      </c>
      <c r="I8" s="326">
        <f t="shared" si="1"/>
        <v>2965935.8</v>
      </c>
    </row>
    <row r="9" spans="1:9" ht="18">
      <c r="A9" s="328" t="s">
        <v>108</v>
      </c>
      <c r="B9" s="325"/>
      <c r="C9" s="325"/>
      <c r="D9" s="326">
        <v>1300000</v>
      </c>
      <c r="E9" s="326">
        <v>1300000</v>
      </c>
      <c r="F9" s="326">
        <v>1300000</v>
      </c>
      <c r="G9" s="326">
        <v>1300000</v>
      </c>
      <c r="H9" s="326">
        <v>1300000</v>
      </c>
      <c r="I9" s="326">
        <v>1300000</v>
      </c>
    </row>
    <row r="10" spans="1:9" ht="18">
      <c r="A10" s="324" t="s">
        <v>109</v>
      </c>
      <c r="B10" s="325"/>
      <c r="C10" s="325"/>
      <c r="D10" s="326">
        <f>D8-D9</f>
        <v>1900000</v>
      </c>
      <c r="E10" s="326">
        <f t="shared" ref="E10:I10" si="2">E8-E9</f>
        <v>1900000</v>
      </c>
      <c r="F10" s="326">
        <f t="shared" si="2"/>
        <v>1900000</v>
      </c>
      <c r="G10" s="326">
        <f t="shared" si="2"/>
        <v>1900000</v>
      </c>
      <c r="H10" s="326">
        <f t="shared" si="2"/>
        <v>1900000</v>
      </c>
      <c r="I10" s="326">
        <f t="shared" si="2"/>
        <v>1665935.7999999998</v>
      </c>
    </row>
    <row r="11" spans="1:9" ht="18">
      <c r="A11" s="328" t="s">
        <v>110</v>
      </c>
      <c r="B11" s="325"/>
      <c r="C11" s="325"/>
      <c r="D11" s="326">
        <v>600000</v>
      </c>
      <c r="E11" s="326">
        <v>600000</v>
      </c>
      <c r="F11" s="326">
        <v>600000</v>
      </c>
      <c r="G11" s="326">
        <v>600000</v>
      </c>
      <c r="H11" s="326">
        <v>600000</v>
      </c>
      <c r="I11" s="326">
        <v>600000</v>
      </c>
    </row>
    <row r="12" spans="1:9" ht="18">
      <c r="A12" s="324" t="s">
        <v>111</v>
      </c>
      <c r="B12" s="325"/>
      <c r="C12" s="325"/>
      <c r="D12" s="326">
        <f>D10+D11</f>
        <v>2500000</v>
      </c>
      <c r="E12" s="326">
        <f t="shared" ref="E12:I12" si="3">E10+E11</f>
        <v>2500000</v>
      </c>
      <c r="F12" s="326">
        <f t="shared" si="3"/>
        <v>2500000</v>
      </c>
      <c r="G12" s="326">
        <f t="shared" si="3"/>
        <v>2500000</v>
      </c>
      <c r="H12" s="326">
        <f t="shared" si="3"/>
        <v>2500000</v>
      </c>
      <c r="I12" s="326">
        <f t="shared" si="3"/>
        <v>2265935.7999999998</v>
      </c>
    </row>
    <row r="13" spans="1:9" ht="18">
      <c r="A13" s="324" t="s">
        <v>113</v>
      </c>
      <c r="B13" s="325"/>
      <c r="C13" s="325"/>
      <c r="D13" s="326"/>
      <c r="E13" s="326"/>
      <c r="F13" s="326"/>
      <c r="G13" s="326"/>
      <c r="H13" s="326"/>
      <c r="I13" s="326">
        <v>400000</v>
      </c>
    </row>
    <row r="14" spans="1:9" ht="18">
      <c r="A14" s="327" t="s">
        <v>112</v>
      </c>
      <c r="B14" s="326"/>
      <c r="C14" s="326">
        <f>SUM(C3:C13)</f>
        <v>9580000</v>
      </c>
      <c r="D14" s="326">
        <f>D12+D13</f>
        <v>2500000</v>
      </c>
      <c r="E14" s="326">
        <f t="shared" ref="E14:I14" si="4">E12+E13</f>
        <v>2500000</v>
      </c>
      <c r="F14" s="326">
        <f t="shared" si="4"/>
        <v>2500000</v>
      </c>
      <c r="G14" s="326">
        <f t="shared" si="4"/>
        <v>2500000</v>
      </c>
      <c r="H14" s="326">
        <f t="shared" si="4"/>
        <v>2500000</v>
      </c>
      <c r="I14" s="326">
        <f t="shared" si="4"/>
        <v>2665935.7999999998</v>
      </c>
    </row>
    <row r="15" spans="1:9" ht="15.75">
      <c r="A15" s="277" t="s">
        <v>79</v>
      </c>
      <c r="B15" s="278">
        <v>5</v>
      </c>
    </row>
    <row r="16" spans="1:9" ht="16.5" thickBot="1">
      <c r="A16" s="277" t="s">
        <v>80</v>
      </c>
      <c r="B16" s="279">
        <v>0.1</v>
      </c>
    </row>
    <row r="17" spans="1:11" ht="64.5" customHeight="1" thickBot="1">
      <c r="A17" s="280" t="s">
        <v>81</v>
      </c>
      <c r="B17" s="281" t="s">
        <v>82</v>
      </c>
      <c r="C17" s="282" t="s">
        <v>83</v>
      </c>
      <c r="D17" s="280" t="s">
        <v>84</v>
      </c>
      <c r="E17" s="283" t="s">
        <v>85</v>
      </c>
      <c r="F17" s="280" t="s">
        <v>86</v>
      </c>
      <c r="G17" s="280" t="s">
        <v>87</v>
      </c>
      <c r="H17" s="283" t="str">
        <f>CONCATENATE("Nutidsværdien ved den interne rente (IRR) ",(ROUND(F71,4)*100)," %")</f>
        <v>Nutidsværdien ved den interne rente (IRR) 10 %</v>
      </c>
      <c r="I17" s="283" t="s">
        <v>88</v>
      </c>
    </row>
    <row r="18" spans="1:11" ht="18">
      <c r="A18" s="284">
        <v>0</v>
      </c>
      <c r="B18" s="285">
        <v>0</v>
      </c>
      <c r="C18" s="286">
        <f>C14</f>
        <v>9580000</v>
      </c>
      <c r="D18" s="287">
        <f t="shared" ref="D18:D68" si="5">B18-C18</f>
        <v>-9580000</v>
      </c>
      <c r="E18" s="288">
        <f t="shared" ref="E18:E68" si="6">IF(A18&lt;=$B$15,POWER((1+$B$16),(A18*-1)),"-")</f>
        <v>1</v>
      </c>
      <c r="F18" s="289">
        <f>D18</f>
        <v>-9580000</v>
      </c>
      <c r="G18" s="288">
        <f>IF(A18&lt;=$B$15,POWER((1+$F$71),(A18*-1)),"-")</f>
        <v>1</v>
      </c>
      <c r="H18" s="289">
        <f>F18</f>
        <v>-9580000</v>
      </c>
      <c r="I18" s="284"/>
    </row>
    <row r="19" spans="1:11" ht="18">
      <c r="A19" s="290">
        <f t="shared" ref="A19:A68" si="7">A18+1</f>
        <v>1</v>
      </c>
      <c r="B19" s="291">
        <f>D14</f>
        <v>2500000</v>
      </c>
      <c r="C19" s="292">
        <v>0</v>
      </c>
      <c r="D19" s="293">
        <f t="shared" si="5"/>
        <v>2500000</v>
      </c>
      <c r="E19" s="294">
        <f t="shared" si="6"/>
        <v>0.90909090909090906</v>
      </c>
      <c r="F19" s="295">
        <f t="shared" ref="F19:F68" si="8">PV($B$16,A19,0,D19)*-1</f>
        <v>2272727.2727272725</v>
      </c>
      <c r="G19" s="294">
        <f>IF(A19&lt;=$B$15,POWER((1+$F$71),(A19*-1)),"-")</f>
        <v>0.90909090909090906</v>
      </c>
      <c r="H19" s="295">
        <f t="shared" ref="H19:H68" si="9">PV($F$71,A19,0,D19)*-1</f>
        <v>2272727.2727272725</v>
      </c>
      <c r="I19" s="295">
        <f>PMT($B$16,$B$15,$F$69)*-1</f>
        <v>-6.1420137247709855E-10</v>
      </c>
    </row>
    <row r="20" spans="1:11" ht="18">
      <c r="A20" s="290">
        <f t="shared" si="7"/>
        <v>2</v>
      </c>
      <c r="B20" s="291">
        <f>E14</f>
        <v>2500000</v>
      </c>
      <c r="C20" s="292">
        <v>0</v>
      </c>
      <c r="D20" s="293">
        <f t="shared" si="5"/>
        <v>2500000</v>
      </c>
      <c r="E20" s="294">
        <f t="shared" si="6"/>
        <v>0.82644628099173545</v>
      </c>
      <c r="F20" s="295">
        <f t="shared" si="8"/>
        <v>2066115.7024793385</v>
      </c>
      <c r="G20" s="294">
        <f t="shared" ref="G20:G68" si="10">IF(A20&lt;=$B$15,POWER((1+$F$71),(A20*-1)),"-")</f>
        <v>0.82644628099173545</v>
      </c>
      <c r="H20" s="295">
        <f t="shared" si="9"/>
        <v>2066115.7024793385</v>
      </c>
      <c r="I20" s="295">
        <f t="shared" ref="I20:I25" si="11">IF(A20&lt;=$B$15,$I$19,0)</f>
        <v>-6.1420137247709855E-10</v>
      </c>
    </row>
    <row r="21" spans="1:11" ht="18">
      <c r="A21" s="290">
        <f t="shared" si="7"/>
        <v>3</v>
      </c>
      <c r="B21" s="291">
        <f>F14</f>
        <v>2500000</v>
      </c>
      <c r="C21" s="292">
        <v>0</v>
      </c>
      <c r="D21" s="293">
        <f t="shared" si="5"/>
        <v>2500000</v>
      </c>
      <c r="E21" s="294">
        <f t="shared" si="6"/>
        <v>0.75131480090157754</v>
      </c>
      <c r="F21" s="295">
        <f t="shared" si="8"/>
        <v>1878287.0022539438</v>
      </c>
      <c r="G21" s="294">
        <f t="shared" si="10"/>
        <v>0.75131480090157754</v>
      </c>
      <c r="H21" s="295">
        <f t="shared" si="9"/>
        <v>1878287.0022539438</v>
      </c>
      <c r="I21" s="295">
        <f t="shared" si="11"/>
        <v>-6.1420137247709855E-10</v>
      </c>
    </row>
    <row r="22" spans="1:11" ht="18">
      <c r="A22" s="290">
        <f t="shared" si="7"/>
        <v>4</v>
      </c>
      <c r="B22" s="291">
        <f>H14</f>
        <v>2500000</v>
      </c>
      <c r="C22" s="292">
        <v>0</v>
      </c>
      <c r="D22" s="293">
        <f t="shared" si="5"/>
        <v>2500000</v>
      </c>
      <c r="E22" s="294">
        <f t="shared" si="6"/>
        <v>0.68301345536507052</v>
      </c>
      <c r="F22" s="295">
        <f t="shared" si="8"/>
        <v>1707533.6384126763</v>
      </c>
      <c r="G22" s="294">
        <f t="shared" si="10"/>
        <v>0.68301345536507052</v>
      </c>
      <c r="H22" s="295">
        <f t="shared" si="9"/>
        <v>1707533.6384126763</v>
      </c>
      <c r="I22" s="295">
        <f t="shared" si="11"/>
        <v>-6.1420137247709855E-10</v>
      </c>
    </row>
    <row r="23" spans="1:11" ht="18.75" thickBot="1">
      <c r="A23" s="297">
        <f t="shared" si="7"/>
        <v>5</v>
      </c>
      <c r="B23" s="298">
        <f>I14</f>
        <v>2665935.7999999998</v>
      </c>
      <c r="C23" s="299">
        <v>0</v>
      </c>
      <c r="D23" s="300">
        <f>(B23-C23)</f>
        <v>2665935.7999999998</v>
      </c>
      <c r="E23" s="301">
        <f t="shared" si="6"/>
        <v>0.62092132305915493</v>
      </c>
      <c r="F23" s="302">
        <f t="shared" si="8"/>
        <v>1655336.3841267666</v>
      </c>
      <c r="G23" s="301">
        <f t="shared" si="10"/>
        <v>0.62092132305915493</v>
      </c>
      <c r="H23" s="302">
        <f t="shared" si="9"/>
        <v>1655336.3841267666</v>
      </c>
      <c r="I23" s="302">
        <f t="shared" si="11"/>
        <v>-6.1420137247709855E-10</v>
      </c>
    </row>
    <row r="24" spans="1:11" ht="18" hidden="1">
      <c r="A24" s="290">
        <f t="shared" si="7"/>
        <v>6</v>
      </c>
      <c r="B24" s="291">
        <v>0</v>
      </c>
      <c r="C24" s="292">
        <v>0</v>
      </c>
      <c r="D24" s="293">
        <f t="shared" si="5"/>
        <v>0</v>
      </c>
      <c r="E24" s="294" t="str">
        <f t="shared" si="6"/>
        <v>-</v>
      </c>
      <c r="F24" s="295">
        <f t="shared" si="8"/>
        <v>0</v>
      </c>
      <c r="G24" s="294" t="str">
        <f t="shared" si="10"/>
        <v>-</v>
      </c>
      <c r="H24" s="295">
        <f t="shared" si="9"/>
        <v>0</v>
      </c>
      <c r="I24" s="295">
        <f t="shared" si="11"/>
        <v>0</v>
      </c>
    </row>
    <row r="25" spans="1:11" ht="18" hidden="1">
      <c r="A25" s="290">
        <f t="shared" si="7"/>
        <v>7</v>
      </c>
      <c r="B25" s="291">
        <v>0</v>
      </c>
      <c r="C25" s="292">
        <v>0</v>
      </c>
      <c r="D25" s="293">
        <f t="shared" si="5"/>
        <v>0</v>
      </c>
      <c r="E25" s="294" t="str">
        <f t="shared" si="6"/>
        <v>-</v>
      </c>
      <c r="F25" s="295">
        <f t="shared" si="8"/>
        <v>0</v>
      </c>
      <c r="G25" s="294" t="str">
        <f t="shared" si="10"/>
        <v>-</v>
      </c>
      <c r="H25" s="295">
        <f t="shared" si="9"/>
        <v>0</v>
      </c>
      <c r="I25" s="295">
        <f t="shared" si="11"/>
        <v>0</v>
      </c>
    </row>
    <row r="26" spans="1:11" ht="18" hidden="1">
      <c r="A26" s="290">
        <f t="shared" si="7"/>
        <v>8</v>
      </c>
      <c r="B26" s="291">
        <v>0</v>
      </c>
      <c r="C26" s="292">
        <v>0</v>
      </c>
      <c r="D26" s="293">
        <f t="shared" si="5"/>
        <v>0</v>
      </c>
      <c r="E26" s="294" t="str">
        <f t="shared" si="6"/>
        <v>-</v>
      </c>
      <c r="F26" s="295">
        <f t="shared" si="8"/>
        <v>0</v>
      </c>
      <c r="G26" s="294" t="str">
        <f t="shared" si="10"/>
        <v>-</v>
      </c>
      <c r="H26" s="295">
        <f t="shared" si="9"/>
        <v>0</v>
      </c>
      <c r="I26" s="295">
        <f t="shared" ref="I26:I68" si="12">IF(A25&lt;=$B$15,$I$19,0)</f>
        <v>0</v>
      </c>
      <c r="K26" s="296"/>
    </row>
    <row r="27" spans="1:11" ht="18" hidden="1">
      <c r="A27" s="290">
        <f t="shared" si="7"/>
        <v>9</v>
      </c>
      <c r="B27" s="291">
        <v>0</v>
      </c>
      <c r="C27" s="292">
        <v>0</v>
      </c>
      <c r="D27" s="293">
        <f t="shared" si="5"/>
        <v>0</v>
      </c>
      <c r="E27" s="294" t="str">
        <f t="shared" si="6"/>
        <v>-</v>
      </c>
      <c r="F27" s="295">
        <f t="shared" si="8"/>
        <v>0</v>
      </c>
      <c r="G27" s="294" t="str">
        <f t="shared" si="10"/>
        <v>-</v>
      </c>
      <c r="H27" s="295">
        <f t="shared" si="9"/>
        <v>0</v>
      </c>
      <c r="I27" s="295">
        <f t="shared" si="12"/>
        <v>0</v>
      </c>
    </row>
    <row r="28" spans="1:11" ht="18" hidden="1">
      <c r="A28" s="290">
        <f t="shared" si="7"/>
        <v>10</v>
      </c>
      <c r="B28" s="291">
        <v>0</v>
      </c>
      <c r="C28" s="292">
        <v>0</v>
      </c>
      <c r="D28" s="293">
        <f t="shared" si="5"/>
        <v>0</v>
      </c>
      <c r="E28" s="294" t="str">
        <f t="shared" si="6"/>
        <v>-</v>
      </c>
      <c r="F28" s="295">
        <f t="shared" si="8"/>
        <v>0</v>
      </c>
      <c r="G28" s="294" t="str">
        <f t="shared" si="10"/>
        <v>-</v>
      </c>
      <c r="H28" s="295">
        <f t="shared" si="9"/>
        <v>0</v>
      </c>
      <c r="I28" s="295">
        <f t="shared" si="12"/>
        <v>0</v>
      </c>
    </row>
    <row r="29" spans="1:11" ht="18" hidden="1">
      <c r="A29" s="290">
        <f t="shared" si="7"/>
        <v>11</v>
      </c>
      <c r="B29" s="291">
        <v>0</v>
      </c>
      <c r="C29" s="292">
        <v>0</v>
      </c>
      <c r="D29" s="293">
        <f t="shared" si="5"/>
        <v>0</v>
      </c>
      <c r="E29" s="294" t="str">
        <f t="shared" si="6"/>
        <v>-</v>
      </c>
      <c r="F29" s="295">
        <f t="shared" si="8"/>
        <v>0</v>
      </c>
      <c r="G29" s="294" t="str">
        <f t="shared" si="10"/>
        <v>-</v>
      </c>
      <c r="H29" s="295">
        <f t="shared" si="9"/>
        <v>0</v>
      </c>
      <c r="I29" s="295">
        <f t="shared" si="12"/>
        <v>0</v>
      </c>
    </row>
    <row r="30" spans="1:11" ht="18" hidden="1">
      <c r="A30" s="290">
        <f t="shared" si="7"/>
        <v>12</v>
      </c>
      <c r="B30" s="291">
        <v>0</v>
      </c>
      <c r="C30" s="292">
        <v>0</v>
      </c>
      <c r="D30" s="293">
        <f t="shared" si="5"/>
        <v>0</v>
      </c>
      <c r="E30" s="294" t="str">
        <f t="shared" si="6"/>
        <v>-</v>
      </c>
      <c r="F30" s="295">
        <f t="shared" si="8"/>
        <v>0</v>
      </c>
      <c r="G30" s="294" t="str">
        <f t="shared" si="10"/>
        <v>-</v>
      </c>
      <c r="H30" s="295">
        <f t="shared" si="9"/>
        <v>0</v>
      </c>
      <c r="I30" s="295">
        <f t="shared" si="12"/>
        <v>0</v>
      </c>
    </row>
    <row r="31" spans="1:11" ht="18" hidden="1">
      <c r="A31" s="290">
        <f t="shared" si="7"/>
        <v>13</v>
      </c>
      <c r="B31" s="291">
        <v>0</v>
      </c>
      <c r="C31" s="292">
        <v>0</v>
      </c>
      <c r="D31" s="293">
        <f t="shared" si="5"/>
        <v>0</v>
      </c>
      <c r="E31" s="294" t="str">
        <f t="shared" si="6"/>
        <v>-</v>
      </c>
      <c r="F31" s="295">
        <f t="shared" si="8"/>
        <v>0</v>
      </c>
      <c r="G31" s="294" t="str">
        <f t="shared" si="10"/>
        <v>-</v>
      </c>
      <c r="H31" s="295">
        <f t="shared" si="9"/>
        <v>0</v>
      </c>
      <c r="I31" s="295">
        <f t="shared" si="12"/>
        <v>0</v>
      </c>
      <c r="K31" s="296"/>
    </row>
    <row r="32" spans="1:11" ht="18" hidden="1">
      <c r="A32" s="290">
        <f t="shared" si="7"/>
        <v>14</v>
      </c>
      <c r="B32" s="291">
        <v>0</v>
      </c>
      <c r="C32" s="292">
        <v>0</v>
      </c>
      <c r="D32" s="293">
        <f t="shared" si="5"/>
        <v>0</v>
      </c>
      <c r="E32" s="294" t="str">
        <f t="shared" si="6"/>
        <v>-</v>
      </c>
      <c r="F32" s="295">
        <f t="shared" si="8"/>
        <v>0</v>
      </c>
      <c r="G32" s="294" t="str">
        <f t="shared" si="10"/>
        <v>-</v>
      </c>
      <c r="H32" s="295">
        <f t="shared" si="9"/>
        <v>0</v>
      </c>
      <c r="I32" s="295">
        <f t="shared" si="12"/>
        <v>0</v>
      </c>
    </row>
    <row r="33" spans="1:9" ht="18.75" hidden="1" thickBot="1">
      <c r="A33" s="297">
        <f t="shared" si="7"/>
        <v>15</v>
      </c>
      <c r="B33" s="298">
        <v>0</v>
      </c>
      <c r="C33" s="299">
        <v>0</v>
      </c>
      <c r="D33" s="300">
        <f t="shared" si="5"/>
        <v>0</v>
      </c>
      <c r="E33" s="301" t="str">
        <f t="shared" si="6"/>
        <v>-</v>
      </c>
      <c r="F33" s="302">
        <f t="shared" si="8"/>
        <v>0</v>
      </c>
      <c r="G33" s="301" t="str">
        <f t="shared" si="10"/>
        <v>-</v>
      </c>
      <c r="H33" s="302">
        <f t="shared" si="9"/>
        <v>0</v>
      </c>
      <c r="I33" s="302">
        <f t="shared" si="12"/>
        <v>0</v>
      </c>
    </row>
    <row r="34" spans="1:9" ht="18" hidden="1">
      <c r="A34" s="290">
        <f t="shared" si="7"/>
        <v>16</v>
      </c>
      <c r="B34" s="291">
        <v>0</v>
      </c>
      <c r="C34" s="292">
        <v>0</v>
      </c>
      <c r="D34" s="293">
        <f t="shared" si="5"/>
        <v>0</v>
      </c>
      <c r="E34" s="294" t="str">
        <f t="shared" si="6"/>
        <v>-</v>
      </c>
      <c r="F34" s="295">
        <f t="shared" si="8"/>
        <v>0</v>
      </c>
      <c r="G34" s="294" t="str">
        <f t="shared" si="10"/>
        <v>-</v>
      </c>
      <c r="H34" s="295">
        <f t="shared" si="9"/>
        <v>0</v>
      </c>
      <c r="I34" s="295">
        <f t="shared" si="12"/>
        <v>0</v>
      </c>
    </row>
    <row r="35" spans="1:9" ht="18" hidden="1">
      <c r="A35" s="290">
        <f t="shared" si="7"/>
        <v>17</v>
      </c>
      <c r="B35" s="291">
        <v>0</v>
      </c>
      <c r="C35" s="292">
        <v>0</v>
      </c>
      <c r="D35" s="293">
        <f t="shared" si="5"/>
        <v>0</v>
      </c>
      <c r="E35" s="294" t="str">
        <f t="shared" si="6"/>
        <v>-</v>
      </c>
      <c r="F35" s="295">
        <f t="shared" si="8"/>
        <v>0</v>
      </c>
      <c r="G35" s="294" t="str">
        <f t="shared" si="10"/>
        <v>-</v>
      </c>
      <c r="H35" s="295">
        <f t="shared" si="9"/>
        <v>0</v>
      </c>
      <c r="I35" s="295">
        <f t="shared" si="12"/>
        <v>0</v>
      </c>
    </row>
    <row r="36" spans="1:9" ht="18" hidden="1">
      <c r="A36" s="290">
        <f t="shared" si="7"/>
        <v>18</v>
      </c>
      <c r="B36" s="291">
        <v>0</v>
      </c>
      <c r="C36" s="292">
        <v>0</v>
      </c>
      <c r="D36" s="293">
        <f t="shared" si="5"/>
        <v>0</v>
      </c>
      <c r="E36" s="294" t="str">
        <f t="shared" si="6"/>
        <v>-</v>
      </c>
      <c r="F36" s="295">
        <f t="shared" si="8"/>
        <v>0</v>
      </c>
      <c r="G36" s="294" t="str">
        <f t="shared" si="10"/>
        <v>-</v>
      </c>
      <c r="H36" s="295">
        <f t="shared" si="9"/>
        <v>0</v>
      </c>
      <c r="I36" s="295">
        <f t="shared" si="12"/>
        <v>0</v>
      </c>
    </row>
    <row r="37" spans="1:9" ht="18" hidden="1">
      <c r="A37" s="290">
        <f t="shared" si="7"/>
        <v>19</v>
      </c>
      <c r="B37" s="291">
        <v>0</v>
      </c>
      <c r="C37" s="292">
        <v>0</v>
      </c>
      <c r="D37" s="293">
        <f t="shared" si="5"/>
        <v>0</v>
      </c>
      <c r="E37" s="294" t="str">
        <f t="shared" si="6"/>
        <v>-</v>
      </c>
      <c r="F37" s="295">
        <f t="shared" si="8"/>
        <v>0</v>
      </c>
      <c r="G37" s="294" t="str">
        <f t="shared" si="10"/>
        <v>-</v>
      </c>
      <c r="H37" s="295">
        <f t="shared" si="9"/>
        <v>0</v>
      </c>
      <c r="I37" s="295">
        <f t="shared" si="12"/>
        <v>0</v>
      </c>
    </row>
    <row r="38" spans="1:9" ht="18" hidden="1">
      <c r="A38" s="290">
        <f t="shared" si="7"/>
        <v>20</v>
      </c>
      <c r="B38" s="291">
        <v>0</v>
      </c>
      <c r="C38" s="292">
        <v>0</v>
      </c>
      <c r="D38" s="293">
        <f t="shared" si="5"/>
        <v>0</v>
      </c>
      <c r="E38" s="294" t="str">
        <f t="shared" si="6"/>
        <v>-</v>
      </c>
      <c r="F38" s="295">
        <f t="shared" si="8"/>
        <v>0</v>
      </c>
      <c r="G38" s="294" t="str">
        <f t="shared" si="10"/>
        <v>-</v>
      </c>
      <c r="H38" s="295">
        <f t="shared" si="9"/>
        <v>0</v>
      </c>
      <c r="I38" s="295">
        <f t="shared" si="12"/>
        <v>0</v>
      </c>
    </row>
    <row r="39" spans="1:9" ht="18" hidden="1">
      <c r="A39" s="290">
        <f t="shared" si="7"/>
        <v>21</v>
      </c>
      <c r="B39" s="291">
        <v>0</v>
      </c>
      <c r="C39" s="292">
        <v>0</v>
      </c>
      <c r="D39" s="293">
        <f t="shared" si="5"/>
        <v>0</v>
      </c>
      <c r="E39" s="294" t="str">
        <f t="shared" si="6"/>
        <v>-</v>
      </c>
      <c r="F39" s="295">
        <f t="shared" si="8"/>
        <v>0</v>
      </c>
      <c r="G39" s="294" t="str">
        <f t="shared" si="10"/>
        <v>-</v>
      </c>
      <c r="H39" s="295">
        <f t="shared" si="9"/>
        <v>0</v>
      </c>
      <c r="I39" s="295">
        <f t="shared" si="12"/>
        <v>0</v>
      </c>
    </row>
    <row r="40" spans="1:9" ht="18" hidden="1">
      <c r="A40" s="290">
        <f t="shared" si="7"/>
        <v>22</v>
      </c>
      <c r="B40" s="291">
        <v>0</v>
      </c>
      <c r="C40" s="292">
        <v>0</v>
      </c>
      <c r="D40" s="293">
        <f t="shared" si="5"/>
        <v>0</v>
      </c>
      <c r="E40" s="294" t="str">
        <f t="shared" si="6"/>
        <v>-</v>
      </c>
      <c r="F40" s="295">
        <f t="shared" si="8"/>
        <v>0</v>
      </c>
      <c r="G40" s="294" t="str">
        <f t="shared" si="10"/>
        <v>-</v>
      </c>
      <c r="H40" s="295">
        <f t="shared" si="9"/>
        <v>0</v>
      </c>
      <c r="I40" s="295">
        <f t="shared" si="12"/>
        <v>0</v>
      </c>
    </row>
    <row r="41" spans="1:9" ht="18" hidden="1">
      <c r="A41" s="290">
        <f t="shared" si="7"/>
        <v>23</v>
      </c>
      <c r="B41" s="291">
        <v>0</v>
      </c>
      <c r="C41" s="292">
        <v>0</v>
      </c>
      <c r="D41" s="293">
        <f t="shared" si="5"/>
        <v>0</v>
      </c>
      <c r="E41" s="294" t="str">
        <f t="shared" si="6"/>
        <v>-</v>
      </c>
      <c r="F41" s="295">
        <f t="shared" si="8"/>
        <v>0</v>
      </c>
      <c r="G41" s="294" t="str">
        <f t="shared" si="10"/>
        <v>-</v>
      </c>
      <c r="H41" s="295">
        <f t="shared" si="9"/>
        <v>0</v>
      </c>
      <c r="I41" s="295">
        <f t="shared" si="12"/>
        <v>0</v>
      </c>
    </row>
    <row r="42" spans="1:9" ht="18" hidden="1">
      <c r="A42" s="290">
        <f t="shared" si="7"/>
        <v>24</v>
      </c>
      <c r="B42" s="291">
        <v>0</v>
      </c>
      <c r="C42" s="292">
        <v>0</v>
      </c>
      <c r="D42" s="293">
        <f t="shared" si="5"/>
        <v>0</v>
      </c>
      <c r="E42" s="294" t="str">
        <f t="shared" si="6"/>
        <v>-</v>
      </c>
      <c r="F42" s="295">
        <f t="shared" si="8"/>
        <v>0</v>
      </c>
      <c r="G42" s="294" t="str">
        <f t="shared" si="10"/>
        <v>-</v>
      </c>
      <c r="H42" s="295">
        <f t="shared" si="9"/>
        <v>0</v>
      </c>
      <c r="I42" s="295">
        <f t="shared" si="12"/>
        <v>0</v>
      </c>
    </row>
    <row r="43" spans="1:9" ht="18" hidden="1">
      <c r="A43" s="290">
        <f t="shared" si="7"/>
        <v>25</v>
      </c>
      <c r="B43" s="291">
        <v>0</v>
      </c>
      <c r="C43" s="292">
        <v>0</v>
      </c>
      <c r="D43" s="293">
        <f t="shared" si="5"/>
        <v>0</v>
      </c>
      <c r="E43" s="294" t="str">
        <f t="shared" si="6"/>
        <v>-</v>
      </c>
      <c r="F43" s="295">
        <f t="shared" si="8"/>
        <v>0</v>
      </c>
      <c r="G43" s="294" t="str">
        <f t="shared" si="10"/>
        <v>-</v>
      </c>
      <c r="H43" s="295">
        <f t="shared" si="9"/>
        <v>0</v>
      </c>
      <c r="I43" s="295">
        <f t="shared" si="12"/>
        <v>0</v>
      </c>
    </row>
    <row r="44" spans="1:9" ht="18" hidden="1">
      <c r="A44" s="290">
        <f t="shared" si="7"/>
        <v>26</v>
      </c>
      <c r="B44" s="291">
        <v>0</v>
      </c>
      <c r="C44" s="292">
        <v>0</v>
      </c>
      <c r="D44" s="293">
        <f t="shared" si="5"/>
        <v>0</v>
      </c>
      <c r="E44" s="294" t="str">
        <f t="shared" si="6"/>
        <v>-</v>
      </c>
      <c r="F44" s="295">
        <f t="shared" si="8"/>
        <v>0</v>
      </c>
      <c r="G44" s="294" t="str">
        <f t="shared" si="10"/>
        <v>-</v>
      </c>
      <c r="H44" s="295">
        <f t="shared" si="9"/>
        <v>0</v>
      </c>
      <c r="I44" s="295">
        <f t="shared" si="12"/>
        <v>0</v>
      </c>
    </row>
    <row r="45" spans="1:9" ht="18" hidden="1">
      <c r="A45" s="290">
        <f t="shared" si="7"/>
        <v>27</v>
      </c>
      <c r="B45" s="291">
        <v>0</v>
      </c>
      <c r="C45" s="292">
        <v>0</v>
      </c>
      <c r="D45" s="293">
        <f t="shared" si="5"/>
        <v>0</v>
      </c>
      <c r="E45" s="294" t="str">
        <f t="shared" si="6"/>
        <v>-</v>
      </c>
      <c r="F45" s="295">
        <f t="shared" si="8"/>
        <v>0</v>
      </c>
      <c r="G45" s="294" t="str">
        <f t="shared" si="10"/>
        <v>-</v>
      </c>
      <c r="H45" s="295">
        <f t="shared" si="9"/>
        <v>0</v>
      </c>
      <c r="I45" s="295">
        <f t="shared" si="12"/>
        <v>0</v>
      </c>
    </row>
    <row r="46" spans="1:9" ht="18" hidden="1">
      <c r="A46" s="290">
        <f t="shared" si="7"/>
        <v>28</v>
      </c>
      <c r="B46" s="291">
        <v>0</v>
      </c>
      <c r="C46" s="292">
        <v>0</v>
      </c>
      <c r="D46" s="293">
        <f t="shared" si="5"/>
        <v>0</v>
      </c>
      <c r="E46" s="294" t="str">
        <f t="shared" si="6"/>
        <v>-</v>
      </c>
      <c r="F46" s="295">
        <f t="shared" si="8"/>
        <v>0</v>
      </c>
      <c r="G46" s="294" t="str">
        <f t="shared" si="10"/>
        <v>-</v>
      </c>
      <c r="H46" s="295">
        <f t="shared" si="9"/>
        <v>0</v>
      </c>
      <c r="I46" s="295">
        <f t="shared" si="12"/>
        <v>0</v>
      </c>
    </row>
    <row r="47" spans="1:9" ht="18" hidden="1">
      <c r="A47" s="290">
        <f t="shared" si="7"/>
        <v>29</v>
      </c>
      <c r="B47" s="291">
        <v>0</v>
      </c>
      <c r="C47" s="292">
        <v>0</v>
      </c>
      <c r="D47" s="293">
        <f t="shared" si="5"/>
        <v>0</v>
      </c>
      <c r="E47" s="294" t="str">
        <f t="shared" si="6"/>
        <v>-</v>
      </c>
      <c r="F47" s="295">
        <f t="shared" si="8"/>
        <v>0</v>
      </c>
      <c r="G47" s="294" t="str">
        <f t="shared" si="10"/>
        <v>-</v>
      </c>
      <c r="H47" s="295">
        <f t="shared" si="9"/>
        <v>0</v>
      </c>
      <c r="I47" s="295">
        <f t="shared" si="12"/>
        <v>0</v>
      </c>
    </row>
    <row r="48" spans="1:9" ht="18" hidden="1">
      <c r="A48" s="290">
        <f t="shared" si="7"/>
        <v>30</v>
      </c>
      <c r="B48" s="291">
        <v>0</v>
      </c>
      <c r="C48" s="292">
        <v>0</v>
      </c>
      <c r="D48" s="293">
        <f t="shared" si="5"/>
        <v>0</v>
      </c>
      <c r="E48" s="294" t="str">
        <f t="shared" si="6"/>
        <v>-</v>
      </c>
      <c r="F48" s="295">
        <f t="shared" si="8"/>
        <v>0</v>
      </c>
      <c r="G48" s="294" t="str">
        <f t="shared" si="10"/>
        <v>-</v>
      </c>
      <c r="H48" s="295">
        <f t="shared" si="9"/>
        <v>0</v>
      </c>
      <c r="I48" s="295">
        <f t="shared" si="12"/>
        <v>0</v>
      </c>
    </row>
    <row r="49" spans="1:9" ht="18" hidden="1">
      <c r="A49" s="290">
        <f t="shared" si="7"/>
        <v>31</v>
      </c>
      <c r="B49" s="291">
        <v>0</v>
      </c>
      <c r="C49" s="292">
        <v>0</v>
      </c>
      <c r="D49" s="293">
        <f t="shared" si="5"/>
        <v>0</v>
      </c>
      <c r="E49" s="294" t="str">
        <f t="shared" si="6"/>
        <v>-</v>
      </c>
      <c r="F49" s="295">
        <f t="shared" si="8"/>
        <v>0</v>
      </c>
      <c r="G49" s="294" t="str">
        <f t="shared" si="10"/>
        <v>-</v>
      </c>
      <c r="H49" s="295">
        <f t="shared" si="9"/>
        <v>0</v>
      </c>
      <c r="I49" s="295">
        <f t="shared" si="12"/>
        <v>0</v>
      </c>
    </row>
    <row r="50" spans="1:9" ht="18" hidden="1">
      <c r="A50" s="290">
        <f t="shared" si="7"/>
        <v>32</v>
      </c>
      <c r="B50" s="291">
        <v>0</v>
      </c>
      <c r="C50" s="292">
        <v>0</v>
      </c>
      <c r="D50" s="293">
        <f t="shared" si="5"/>
        <v>0</v>
      </c>
      <c r="E50" s="294" t="str">
        <f t="shared" si="6"/>
        <v>-</v>
      </c>
      <c r="F50" s="295">
        <f t="shared" si="8"/>
        <v>0</v>
      </c>
      <c r="G50" s="294" t="str">
        <f t="shared" si="10"/>
        <v>-</v>
      </c>
      <c r="H50" s="295">
        <f t="shared" si="9"/>
        <v>0</v>
      </c>
      <c r="I50" s="295">
        <f t="shared" si="12"/>
        <v>0</v>
      </c>
    </row>
    <row r="51" spans="1:9" ht="18" hidden="1">
      <c r="A51" s="290">
        <f t="shared" si="7"/>
        <v>33</v>
      </c>
      <c r="B51" s="291">
        <v>0</v>
      </c>
      <c r="C51" s="292">
        <v>0</v>
      </c>
      <c r="D51" s="293">
        <f t="shared" si="5"/>
        <v>0</v>
      </c>
      <c r="E51" s="294" t="str">
        <f t="shared" si="6"/>
        <v>-</v>
      </c>
      <c r="F51" s="295">
        <f t="shared" si="8"/>
        <v>0</v>
      </c>
      <c r="G51" s="294" t="str">
        <f t="shared" si="10"/>
        <v>-</v>
      </c>
      <c r="H51" s="295">
        <f t="shared" si="9"/>
        <v>0</v>
      </c>
      <c r="I51" s="295">
        <f t="shared" si="12"/>
        <v>0</v>
      </c>
    </row>
    <row r="52" spans="1:9" ht="18" hidden="1">
      <c r="A52" s="290">
        <f t="shared" si="7"/>
        <v>34</v>
      </c>
      <c r="B52" s="291">
        <v>0</v>
      </c>
      <c r="C52" s="292">
        <v>0</v>
      </c>
      <c r="D52" s="293">
        <f t="shared" si="5"/>
        <v>0</v>
      </c>
      <c r="E52" s="294" t="str">
        <f t="shared" si="6"/>
        <v>-</v>
      </c>
      <c r="F52" s="295">
        <f t="shared" si="8"/>
        <v>0</v>
      </c>
      <c r="G52" s="294" t="str">
        <f t="shared" si="10"/>
        <v>-</v>
      </c>
      <c r="H52" s="295">
        <f t="shared" si="9"/>
        <v>0</v>
      </c>
      <c r="I52" s="295">
        <f t="shared" si="12"/>
        <v>0</v>
      </c>
    </row>
    <row r="53" spans="1:9" ht="18" hidden="1">
      <c r="A53" s="290">
        <f t="shared" si="7"/>
        <v>35</v>
      </c>
      <c r="B53" s="291">
        <v>0</v>
      </c>
      <c r="C53" s="292">
        <v>0</v>
      </c>
      <c r="D53" s="293">
        <f t="shared" si="5"/>
        <v>0</v>
      </c>
      <c r="E53" s="294" t="str">
        <f t="shared" si="6"/>
        <v>-</v>
      </c>
      <c r="F53" s="295">
        <f t="shared" si="8"/>
        <v>0</v>
      </c>
      <c r="G53" s="294" t="str">
        <f t="shared" si="10"/>
        <v>-</v>
      </c>
      <c r="H53" s="295">
        <f t="shared" si="9"/>
        <v>0</v>
      </c>
      <c r="I53" s="295">
        <f t="shared" si="12"/>
        <v>0</v>
      </c>
    </row>
    <row r="54" spans="1:9" ht="18" hidden="1">
      <c r="A54" s="290">
        <f t="shared" si="7"/>
        <v>36</v>
      </c>
      <c r="B54" s="291">
        <v>0</v>
      </c>
      <c r="C54" s="292">
        <v>0</v>
      </c>
      <c r="D54" s="293">
        <f t="shared" si="5"/>
        <v>0</v>
      </c>
      <c r="E54" s="294" t="str">
        <f t="shared" si="6"/>
        <v>-</v>
      </c>
      <c r="F54" s="295">
        <f t="shared" si="8"/>
        <v>0</v>
      </c>
      <c r="G54" s="294" t="str">
        <f t="shared" si="10"/>
        <v>-</v>
      </c>
      <c r="H54" s="295">
        <f t="shared" si="9"/>
        <v>0</v>
      </c>
      <c r="I54" s="295">
        <f t="shared" si="12"/>
        <v>0</v>
      </c>
    </row>
    <row r="55" spans="1:9" ht="18" hidden="1">
      <c r="A55" s="290">
        <f t="shared" si="7"/>
        <v>37</v>
      </c>
      <c r="B55" s="291">
        <v>0</v>
      </c>
      <c r="C55" s="292">
        <v>0</v>
      </c>
      <c r="D55" s="293">
        <f t="shared" si="5"/>
        <v>0</v>
      </c>
      <c r="E55" s="294" t="str">
        <f t="shared" si="6"/>
        <v>-</v>
      </c>
      <c r="F55" s="295">
        <f t="shared" si="8"/>
        <v>0</v>
      </c>
      <c r="G55" s="294" t="str">
        <f t="shared" si="10"/>
        <v>-</v>
      </c>
      <c r="H55" s="295">
        <f t="shared" si="9"/>
        <v>0</v>
      </c>
      <c r="I55" s="295">
        <f t="shared" si="12"/>
        <v>0</v>
      </c>
    </row>
    <row r="56" spans="1:9" ht="18" hidden="1">
      <c r="A56" s="290">
        <f t="shared" si="7"/>
        <v>38</v>
      </c>
      <c r="B56" s="291">
        <v>0</v>
      </c>
      <c r="C56" s="292">
        <v>0</v>
      </c>
      <c r="D56" s="293">
        <f t="shared" si="5"/>
        <v>0</v>
      </c>
      <c r="E56" s="294" t="str">
        <f t="shared" si="6"/>
        <v>-</v>
      </c>
      <c r="F56" s="295">
        <f t="shared" si="8"/>
        <v>0</v>
      </c>
      <c r="G56" s="294" t="str">
        <f t="shared" si="10"/>
        <v>-</v>
      </c>
      <c r="H56" s="295">
        <f t="shared" si="9"/>
        <v>0</v>
      </c>
      <c r="I56" s="295">
        <f t="shared" si="12"/>
        <v>0</v>
      </c>
    </row>
    <row r="57" spans="1:9" ht="18" hidden="1">
      <c r="A57" s="290">
        <f t="shared" si="7"/>
        <v>39</v>
      </c>
      <c r="B57" s="291">
        <v>0</v>
      </c>
      <c r="C57" s="292">
        <v>0</v>
      </c>
      <c r="D57" s="293">
        <f t="shared" si="5"/>
        <v>0</v>
      </c>
      <c r="E57" s="294" t="str">
        <f t="shared" si="6"/>
        <v>-</v>
      </c>
      <c r="F57" s="295">
        <f t="shared" si="8"/>
        <v>0</v>
      </c>
      <c r="G57" s="294" t="str">
        <f t="shared" si="10"/>
        <v>-</v>
      </c>
      <c r="H57" s="295">
        <f t="shared" si="9"/>
        <v>0</v>
      </c>
      <c r="I57" s="295">
        <f t="shared" si="12"/>
        <v>0</v>
      </c>
    </row>
    <row r="58" spans="1:9" ht="18" hidden="1">
      <c r="A58" s="290">
        <f t="shared" si="7"/>
        <v>40</v>
      </c>
      <c r="B58" s="291">
        <v>0</v>
      </c>
      <c r="C58" s="292">
        <v>0</v>
      </c>
      <c r="D58" s="293">
        <f t="shared" si="5"/>
        <v>0</v>
      </c>
      <c r="E58" s="294" t="str">
        <f t="shared" si="6"/>
        <v>-</v>
      </c>
      <c r="F58" s="295">
        <f t="shared" si="8"/>
        <v>0</v>
      </c>
      <c r="G58" s="294" t="str">
        <f t="shared" si="10"/>
        <v>-</v>
      </c>
      <c r="H58" s="295">
        <f t="shared" si="9"/>
        <v>0</v>
      </c>
      <c r="I58" s="295">
        <f t="shared" si="12"/>
        <v>0</v>
      </c>
    </row>
    <row r="59" spans="1:9" ht="18" hidden="1">
      <c r="A59" s="290">
        <f t="shared" si="7"/>
        <v>41</v>
      </c>
      <c r="B59" s="291">
        <v>0</v>
      </c>
      <c r="C59" s="292">
        <v>0</v>
      </c>
      <c r="D59" s="293">
        <f t="shared" si="5"/>
        <v>0</v>
      </c>
      <c r="E59" s="294" t="str">
        <f t="shared" si="6"/>
        <v>-</v>
      </c>
      <c r="F59" s="295">
        <f t="shared" si="8"/>
        <v>0</v>
      </c>
      <c r="G59" s="294" t="str">
        <f t="shared" si="10"/>
        <v>-</v>
      </c>
      <c r="H59" s="295">
        <f t="shared" si="9"/>
        <v>0</v>
      </c>
      <c r="I59" s="295">
        <f t="shared" si="12"/>
        <v>0</v>
      </c>
    </row>
    <row r="60" spans="1:9" ht="18" hidden="1">
      <c r="A60" s="290">
        <f t="shared" si="7"/>
        <v>42</v>
      </c>
      <c r="B60" s="291">
        <v>0</v>
      </c>
      <c r="C60" s="292">
        <v>0</v>
      </c>
      <c r="D60" s="293">
        <f t="shared" si="5"/>
        <v>0</v>
      </c>
      <c r="E60" s="294" t="str">
        <f t="shared" si="6"/>
        <v>-</v>
      </c>
      <c r="F60" s="295">
        <f t="shared" si="8"/>
        <v>0</v>
      </c>
      <c r="G60" s="294" t="str">
        <f t="shared" si="10"/>
        <v>-</v>
      </c>
      <c r="H60" s="295">
        <f t="shared" si="9"/>
        <v>0</v>
      </c>
      <c r="I60" s="295">
        <f t="shared" si="12"/>
        <v>0</v>
      </c>
    </row>
    <row r="61" spans="1:9" ht="18" hidden="1">
      <c r="A61" s="290">
        <f t="shared" si="7"/>
        <v>43</v>
      </c>
      <c r="B61" s="291">
        <v>0</v>
      </c>
      <c r="C61" s="292">
        <v>0</v>
      </c>
      <c r="D61" s="293">
        <f t="shared" si="5"/>
        <v>0</v>
      </c>
      <c r="E61" s="294" t="str">
        <f t="shared" si="6"/>
        <v>-</v>
      </c>
      <c r="F61" s="295">
        <f t="shared" si="8"/>
        <v>0</v>
      </c>
      <c r="G61" s="294" t="str">
        <f t="shared" si="10"/>
        <v>-</v>
      </c>
      <c r="H61" s="295">
        <f t="shared" si="9"/>
        <v>0</v>
      </c>
      <c r="I61" s="295">
        <f t="shared" si="12"/>
        <v>0</v>
      </c>
    </row>
    <row r="62" spans="1:9" ht="18" hidden="1">
      <c r="A62" s="290">
        <f t="shared" si="7"/>
        <v>44</v>
      </c>
      <c r="B62" s="291">
        <v>0</v>
      </c>
      <c r="C62" s="292">
        <v>0</v>
      </c>
      <c r="D62" s="293">
        <f t="shared" si="5"/>
        <v>0</v>
      </c>
      <c r="E62" s="294" t="str">
        <f t="shared" si="6"/>
        <v>-</v>
      </c>
      <c r="F62" s="295">
        <f t="shared" si="8"/>
        <v>0</v>
      </c>
      <c r="G62" s="294" t="str">
        <f t="shared" si="10"/>
        <v>-</v>
      </c>
      <c r="H62" s="295">
        <f t="shared" si="9"/>
        <v>0</v>
      </c>
      <c r="I62" s="295">
        <f t="shared" si="12"/>
        <v>0</v>
      </c>
    </row>
    <row r="63" spans="1:9" ht="18" hidden="1">
      <c r="A63" s="290">
        <f t="shared" si="7"/>
        <v>45</v>
      </c>
      <c r="B63" s="291">
        <v>0</v>
      </c>
      <c r="C63" s="292">
        <v>0</v>
      </c>
      <c r="D63" s="293">
        <f t="shared" si="5"/>
        <v>0</v>
      </c>
      <c r="E63" s="294" t="str">
        <f t="shared" si="6"/>
        <v>-</v>
      </c>
      <c r="F63" s="295">
        <f t="shared" si="8"/>
        <v>0</v>
      </c>
      <c r="G63" s="294" t="str">
        <f t="shared" si="10"/>
        <v>-</v>
      </c>
      <c r="H63" s="295">
        <f t="shared" si="9"/>
        <v>0</v>
      </c>
      <c r="I63" s="295">
        <f t="shared" si="12"/>
        <v>0</v>
      </c>
    </row>
    <row r="64" spans="1:9" ht="18" hidden="1">
      <c r="A64" s="290">
        <f t="shared" si="7"/>
        <v>46</v>
      </c>
      <c r="B64" s="291">
        <v>0</v>
      </c>
      <c r="C64" s="292">
        <v>0</v>
      </c>
      <c r="D64" s="293">
        <f t="shared" si="5"/>
        <v>0</v>
      </c>
      <c r="E64" s="294" t="str">
        <f t="shared" si="6"/>
        <v>-</v>
      </c>
      <c r="F64" s="295">
        <f t="shared" si="8"/>
        <v>0</v>
      </c>
      <c r="G64" s="294" t="str">
        <f t="shared" si="10"/>
        <v>-</v>
      </c>
      <c r="H64" s="295">
        <f t="shared" si="9"/>
        <v>0</v>
      </c>
      <c r="I64" s="295">
        <f t="shared" si="12"/>
        <v>0</v>
      </c>
    </row>
    <row r="65" spans="1:9" ht="18" hidden="1">
      <c r="A65" s="290">
        <f t="shared" si="7"/>
        <v>47</v>
      </c>
      <c r="B65" s="291">
        <v>0</v>
      </c>
      <c r="C65" s="292">
        <v>0</v>
      </c>
      <c r="D65" s="293">
        <f t="shared" si="5"/>
        <v>0</v>
      </c>
      <c r="E65" s="294" t="str">
        <f t="shared" si="6"/>
        <v>-</v>
      </c>
      <c r="F65" s="295">
        <f t="shared" si="8"/>
        <v>0</v>
      </c>
      <c r="G65" s="294" t="str">
        <f t="shared" si="10"/>
        <v>-</v>
      </c>
      <c r="H65" s="295">
        <f t="shared" si="9"/>
        <v>0</v>
      </c>
      <c r="I65" s="295">
        <f t="shared" si="12"/>
        <v>0</v>
      </c>
    </row>
    <row r="66" spans="1:9" ht="18" hidden="1">
      <c r="A66" s="290">
        <f t="shared" si="7"/>
        <v>48</v>
      </c>
      <c r="B66" s="291">
        <v>0</v>
      </c>
      <c r="C66" s="292">
        <v>0</v>
      </c>
      <c r="D66" s="293">
        <f t="shared" si="5"/>
        <v>0</v>
      </c>
      <c r="E66" s="294" t="str">
        <f t="shared" si="6"/>
        <v>-</v>
      </c>
      <c r="F66" s="295">
        <f t="shared" si="8"/>
        <v>0</v>
      </c>
      <c r="G66" s="294" t="str">
        <f t="shared" si="10"/>
        <v>-</v>
      </c>
      <c r="H66" s="295">
        <f t="shared" si="9"/>
        <v>0</v>
      </c>
      <c r="I66" s="295">
        <f t="shared" si="12"/>
        <v>0</v>
      </c>
    </row>
    <row r="67" spans="1:9" ht="18" hidden="1">
      <c r="A67" s="290">
        <f t="shared" si="7"/>
        <v>49</v>
      </c>
      <c r="B67" s="291">
        <v>0</v>
      </c>
      <c r="C67" s="292">
        <v>0</v>
      </c>
      <c r="D67" s="293">
        <f t="shared" si="5"/>
        <v>0</v>
      </c>
      <c r="E67" s="294" t="str">
        <f t="shared" si="6"/>
        <v>-</v>
      </c>
      <c r="F67" s="295">
        <f t="shared" si="8"/>
        <v>0</v>
      </c>
      <c r="G67" s="294" t="str">
        <f t="shared" si="10"/>
        <v>-</v>
      </c>
      <c r="H67" s="295">
        <f t="shared" si="9"/>
        <v>0</v>
      </c>
      <c r="I67" s="295">
        <f t="shared" si="12"/>
        <v>0</v>
      </c>
    </row>
    <row r="68" spans="1:9" ht="18.75" hidden="1" thickBot="1">
      <c r="A68" s="297">
        <f t="shared" si="7"/>
        <v>50</v>
      </c>
      <c r="B68" s="298">
        <v>0</v>
      </c>
      <c r="C68" s="299">
        <v>0</v>
      </c>
      <c r="D68" s="300">
        <f t="shared" si="5"/>
        <v>0</v>
      </c>
      <c r="E68" s="301" t="str">
        <f t="shared" si="6"/>
        <v>-</v>
      </c>
      <c r="F68" s="302">
        <f t="shared" si="8"/>
        <v>0</v>
      </c>
      <c r="G68" s="301" t="str">
        <f t="shared" si="10"/>
        <v>-</v>
      </c>
      <c r="H68" s="302">
        <f t="shared" si="9"/>
        <v>0</v>
      </c>
      <c r="I68" s="302">
        <f t="shared" si="12"/>
        <v>0</v>
      </c>
    </row>
    <row r="69" spans="1:9" ht="18.75" thickBot="1">
      <c r="A69" s="303" t="s">
        <v>89</v>
      </c>
      <c r="B69" s="304"/>
      <c r="C69" s="304"/>
      <c r="D69" s="304"/>
      <c r="E69" s="304"/>
      <c r="F69" s="305">
        <f>SUM(F18:F68)</f>
        <v>-2.3283064365386963E-9</v>
      </c>
      <c r="G69" s="306"/>
      <c r="H69" s="307">
        <f>SUM(H18:H68)</f>
        <v>-2.3283064365386963E-9</v>
      </c>
      <c r="I69" s="149"/>
    </row>
    <row r="70" spans="1:9" ht="18.75" thickBot="1">
      <c r="A70" s="308" t="s">
        <v>90</v>
      </c>
      <c r="B70" s="309"/>
      <c r="C70" s="309"/>
      <c r="D70" s="309"/>
      <c r="E70" s="309"/>
      <c r="F70" s="310">
        <f>I19</f>
        <v>-6.1420137247709855E-10</v>
      </c>
      <c r="G70" s="311"/>
      <c r="H70" s="311"/>
      <c r="I70" s="149"/>
    </row>
    <row r="71" spans="1:9" ht="18.75" thickBot="1">
      <c r="A71" s="312" t="s">
        <v>91</v>
      </c>
      <c r="B71" s="313"/>
      <c r="C71" s="313"/>
      <c r="D71" s="313"/>
      <c r="E71" s="313"/>
      <c r="F71" s="314">
        <f>IRR(D18:D68)</f>
        <v>0.10000000000000002</v>
      </c>
      <c r="G71" s="315"/>
      <c r="H71" s="315"/>
      <c r="I71" s="149"/>
    </row>
    <row r="72" spans="1:9" ht="18.75" thickBot="1">
      <c r="A72" s="303" t="s">
        <v>92</v>
      </c>
      <c r="B72" s="304"/>
      <c r="C72" s="304"/>
      <c r="D72" s="304"/>
      <c r="E72" s="304"/>
      <c r="F72" s="316">
        <f>NPER(B16,F74,F18,0)</f>
        <v>5.0000000000000027</v>
      </c>
      <c r="G72" s="317"/>
      <c r="H72" s="317"/>
      <c r="I72" s="149"/>
    </row>
    <row r="73" spans="1:9" hidden="1">
      <c r="A73" s="318" t="s">
        <v>93</v>
      </c>
      <c r="F73" s="319">
        <f>SUM(F19:F68)</f>
        <v>9579999.9999999963</v>
      </c>
      <c r="G73" s="319"/>
      <c r="H73" s="319"/>
    </row>
    <row r="74" spans="1:9" hidden="1">
      <c r="A74" s="318" t="s">
        <v>94</v>
      </c>
      <c r="F74" s="320">
        <f>PMT(B16,B15,F73,0)*-1</f>
        <v>2527179.8660136582</v>
      </c>
      <c r="G74" s="320"/>
      <c r="H74" s="320"/>
    </row>
    <row r="75" spans="1:9" ht="18">
      <c r="A75" s="331" t="s">
        <v>121</v>
      </c>
    </row>
    <row r="76" spans="1:9" ht="18">
      <c r="A76" s="149" t="s">
        <v>95</v>
      </c>
    </row>
    <row r="77" spans="1:9" ht="78.599999999999994" customHeight="1">
      <c r="A77" s="321" t="s">
        <v>120</v>
      </c>
      <c r="B77" s="321"/>
      <c r="C77" s="321"/>
      <c r="D77" s="321"/>
      <c r="E77" s="321"/>
      <c r="F77" s="321"/>
    </row>
    <row r="78" spans="1:9" ht="18">
      <c r="A78" s="39" t="s">
        <v>122</v>
      </c>
      <c r="B78" s="22"/>
    </row>
    <row r="79" spans="1:9" ht="18">
      <c r="A79" s="274" t="s">
        <v>123</v>
      </c>
      <c r="B79" s="22"/>
    </row>
  </sheetData>
  <mergeCells count="2">
    <mergeCell ref="A1:C1"/>
    <mergeCell ref="A77:F77"/>
  </mergeCells>
  <pageMargins left="0.78740157480314965" right="0.39370078740157483" top="0.98425196850393704" bottom="0.98425196850393704" header="0" footer="0"/>
  <pageSetup paperSize="9" scale="86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2"/>
  <sheetViews>
    <sheetView zoomScale="125" workbookViewId="0">
      <selection activeCell="D21" sqref="D21"/>
    </sheetView>
  </sheetViews>
  <sheetFormatPr defaultRowHeight="12.75"/>
  <cols>
    <col min="1" max="1" width="25" customWidth="1"/>
    <col min="2" max="2" width="15.7109375" customWidth="1"/>
    <col min="3" max="3" width="8.140625" customWidth="1"/>
    <col min="4" max="4" width="9.28515625" customWidth="1"/>
    <col min="5" max="5" width="16.28515625" customWidth="1"/>
  </cols>
  <sheetData>
    <row r="1" spans="1:5" ht="24" thickBot="1">
      <c r="A1" s="373" t="s">
        <v>243</v>
      </c>
      <c r="B1" s="373"/>
      <c r="C1" s="373"/>
      <c r="D1" s="373"/>
      <c r="E1" s="374"/>
    </row>
    <row r="2" spans="1:5">
      <c r="A2" s="462"/>
      <c r="B2" s="463" t="s">
        <v>231</v>
      </c>
      <c r="C2" s="464" t="s">
        <v>232</v>
      </c>
      <c r="D2" s="465" t="s">
        <v>233</v>
      </c>
      <c r="E2" s="335" t="s">
        <v>126</v>
      </c>
    </row>
    <row r="3" spans="1:5">
      <c r="A3" s="318" t="s">
        <v>11</v>
      </c>
      <c r="B3" s="459">
        <v>5800</v>
      </c>
      <c r="C3" s="459">
        <v>5500</v>
      </c>
      <c r="D3" s="459">
        <v>5000</v>
      </c>
      <c r="E3" s="376">
        <f>B3+C3+D3</f>
        <v>16300</v>
      </c>
    </row>
    <row r="4" spans="1:5">
      <c r="A4" s="318" t="s">
        <v>145</v>
      </c>
      <c r="B4" s="459">
        <v>1740</v>
      </c>
      <c r="C4" s="459">
        <v>1650</v>
      </c>
      <c r="D4" s="459">
        <v>1500</v>
      </c>
      <c r="E4" s="376">
        <f>SUM(B4:D4)</f>
        <v>4890</v>
      </c>
    </row>
    <row r="5" spans="1:5">
      <c r="A5" s="318" t="s">
        <v>234</v>
      </c>
      <c r="B5" s="459">
        <f>B3*0.25</f>
        <v>1450</v>
      </c>
      <c r="C5" s="459">
        <f t="shared" ref="C5:D5" si="0">C3*0.25</f>
        <v>1375</v>
      </c>
      <c r="D5" s="459">
        <f t="shared" si="0"/>
        <v>1250</v>
      </c>
      <c r="E5" s="376">
        <f>B5+C5+D5</f>
        <v>4075</v>
      </c>
    </row>
    <row r="6" spans="1:5" hidden="1">
      <c r="A6" s="318" t="str">
        <f>IF(A5="Råvarer","Arbejdsløn","-")</f>
        <v>-</v>
      </c>
      <c r="B6" s="459">
        <v>0</v>
      </c>
      <c r="C6" s="459">
        <v>0</v>
      </c>
      <c r="D6" s="459">
        <f>IF(A6="arbejdsløn",D5,0)</f>
        <v>0</v>
      </c>
      <c r="E6" s="376">
        <f>B6*C6*D6</f>
        <v>0</v>
      </c>
    </row>
    <row r="7" spans="1:5">
      <c r="A7" s="418" t="s">
        <v>156</v>
      </c>
      <c r="B7" s="419">
        <f>B3-B4-B5</f>
        <v>2610</v>
      </c>
      <c r="C7" s="419">
        <f t="shared" ref="C7:E7" si="1">C3-C4-C5</f>
        <v>2475</v>
      </c>
      <c r="D7" s="419">
        <f t="shared" si="1"/>
        <v>2250</v>
      </c>
      <c r="E7" s="419">
        <f t="shared" si="1"/>
        <v>7335</v>
      </c>
    </row>
    <row r="8" spans="1:5">
      <c r="A8" s="318" t="s">
        <v>235</v>
      </c>
      <c r="B8" s="459">
        <f>B3*0.05</f>
        <v>290</v>
      </c>
      <c r="C8" s="459">
        <f t="shared" ref="C8:D8" si="2">C3*0.05</f>
        <v>275</v>
      </c>
      <c r="D8" s="459">
        <f t="shared" si="2"/>
        <v>250</v>
      </c>
      <c r="E8" s="376">
        <f>B8+C8+D8</f>
        <v>815</v>
      </c>
    </row>
    <row r="9" spans="1:5">
      <c r="A9" s="418" t="s">
        <v>58</v>
      </c>
      <c r="B9" s="419">
        <f>B7-B8</f>
        <v>2320</v>
      </c>
      <c r="C9" s="419">
        <f t="shared" ref="C9:D9" si="3">C7-C8</f>
        <v>2200</v>
      </c>
      <c r="D9" s="419">
        <f t="shared" si="3"/>
        <v>2000</v>
      </c>
      <c r="E9" s="379">
        <f>E7-E8</f>
        <v>6520</v>
      </c>
    </row>
    <row r="10" spans="1:5" hidden="1">
      <c r="A10" s="318" t="s">
        <v>157</v>
      </c>
      <c r="B10" s="459">
        <v>0</v>
      </c>
      <c r="C10" s="459">
        <v>0</v>
      </c>
      <c r="D10" s="459"/>
      <c r="E10" s="376">
        <f>B10*C10</f>
        <v>0</v>
      </c>
    </row>
    <row r="11" spans="1:5" hidden="1">
      <c r="A11" s="418" t="s">
        <v>158</v>
      </c>
      <c r="B11" s="419">
        <f>B9-B10</f>
        <v>2320</v>
      </c>
      <c r="C11" s="419">
        <f t="shared" ref="C11:D11" si="4">C9-C10</f>
        <v>2200</v>
      </c>
      <c r="D11" s="419">
        <f t="shared" si="4"/>
        <v>2000</v>
      </c>
      <c r="E11" s="379">
        <f>E9-E10</f>
        <v>6520</v>
      </c>
    </row>
    <row r="12" spans="1:5">
      <c r="A12" s="318" t="s">
        <v>159</v>
      </c>
      <c r="B12" s="459">
        <v>1000</v>
      </c>
      <c r="C12" s="459">
        <v>1000</v>
      </c>
      <c r="D12" s="459">
        <v>1000</v>
      </c>
      <c r="E12" s="376">
        <f>B12+C12+D12</f>
        <v>3000</v>
      </c>
    </row>
    <row r="13" spans="1:5" hidden="1">
      <c r="A13" s="318" t="s">
        <v>160</v>
      </c>
      <c r="B13" s="459">
        <v>0</v>
      </c>
      <c r="C13" s="459">
        <v>1</v>
      </c>
      <c r="D13" s="459"/>
      <c r="E13" s="376">
        <f>B13*C13</f>
        <v>0</v>
      </c>
    </row>
    <row r="14" spans="1:5" hidden="1">
      <c r="A14" s="318" t="s">
        <v>161</v>
      </c>
      <c r="B14" s="459">
        <v>0</v>
      </c>
      <c r="C14" s="459">
        <v>1</v>
      </c>
      <c r="D14" s="459"/>
      <c r="E14" s="376">
        <f>B14*C14</f>
        <v>0</v>
      </c>
    </row>
    <row r="15" spans="1:5" hidden="1">
      <c r="A15" s="318"/>
      <c r="B15" s="459">
        <v>0</v>
      </c>
      <c r="C15" s="459"/>
      <c r="D15" s="459"/>
      <c r="E15" s="376"/>
    </row>
    <row r="16" spans="1:5" hidden="1">
      <c r="A16" s="318" t="s">
        <v>162</v>
      </c>
      <c r="B16" s="459">
        <v>0</v>
      </c>
      <c r="C16" s="459">
        <v>1</v>
      </c>
      <c r="D16" s="459"/>
      <c r="E16" s="376">
        <f>B16*C16</f>
        <v>0</v>
      </c>
    </row>
    <row r="17" spans="1:6">
      <c r="A17" s="418" t="s">
        <v>163</v>
      </c>
      <c r="B17" s="419">
        <f>B11-B12</f>
        <v>1320</v>
      </c>
      <c r="C17" s="419">
        <f>C11-C12</f>
        <v>1200</v>
      </c>
      <c r="D17" s="419">
        <f t="shared" ref="C17:D17" si="5">D11-SUM(D12:D16)</f>
        <v>1000</v>
      </c>
      <c r="E17" s="378">
        <f>E11-SUM(E12:E16)</f>
        <v>3520</v>
      </c>
    </row>
    <row r="18" spans="1:6">
      <c r="A18" s="318" t="s">
        <v>164</v>
      </c>
      <c r="B18" s="459">
        <v>450</v>
      </c>
      <c r="C18" s="459">
        <v>450</v>
      </c>
      <c r="D18" s="459">
        <v>450</v>
      </c>
      <c r="E18" s="376">
        <f>B18+C18+D18</f>
        <v>1350</v>
      </c>
    </row>
    <row r="19" spans="1:6">
      <c r="A19" s="318" t="s">
        <v>236</v>
      </c>
      <c r="B19" s="459">
        <f>(1800/6)/12</f>
        <v>25</v>
      </c>
      <c r="C19" s="459">
        <f>B19</f>
        <v>25</v>
      </c>
      <c r="D19" s="459">
        <f>C19</f>
        <v>25</v>
      </c>
      <c r="E19" s="376">
        <f>B19+C19+D19</f>
        <v>75</v>
      </c>
    </row>
    <row r="20" spans="1:6">
      <c r="A20" s="418" t="s">
        <v>165</v>
      </c>
      <c r="B20" s="466">
        <f>B17-B18-B19</f>
        <v>845</v>
      </c>
      <c r="C20" s="466">
        <f t="shared" ref="C20:D20" si="6">C17-C18-C19</f>
        <v>725</v>
      </c>
      <c r="D20" s="466">
        <f t="shared" si="6"/>
        <v>525</v>
      </c>
      <c r="E20" s="381">
        <f>E17-E18-E19</f>
        <v>2095</v>
      </c>
      <c r="F20" s="246"/>
    </row>
    <row r="21" spans="1:6">
      <c r="A21" s="318" t="s">
        <v>166</v>
      </c>
      <c r="B21" s="459">
        <v>0</v>
      </c>
      <c r="C21" s="459">
        <v>0</v>
      </c>
      <c r="D21" s="459">
        <v>330</v>
      </c>
      <c r="E21" s="376">
        <f>SUM(B21:D21)</f>
        <v>330</v>
      </c>
    </row>
    <row r="22" spans="1:6" hidden="1">
      <c r="A22" s="318" t="s">
        <v>167</v>
      </c>
      <c r="B22" s="459">
        <v>0</v>
      </c>
      <c r="C22" s="459">
        <v>0</v>
      </c>
      <c r="D22" s="459"/>
      <c r="E22" s="376">
        <f>B22*C22</f>
        <v>0</v>
      </c>
    </row>
    <row r="23" spans="1:6">
      <c r="A23" s="418" t="s">
        <v>237</v>
      </c>
      <c r="B23" s="466">
        <f>B20-B21</f>
        <v>845</v>
      </c>
      <c r="C23" s="466">
        <f t="shared" ref="C23:D23" si="7">C20-C21</f>
        <v>725</v>
      </c>
      <c r="D23" s="466">
        <f t="shared" si="7"/>
        <v>195</v>
      </c>
      <c r="E23" s="381">
        <f>E20-E21+E22</f>
        <v>1765</v>
      </c>
    </row>
    <row r="24" spans="1:6" hidden="1">
      <c r="A24" s="38" t="s">
        <v>168</v>
      </c>
      <c r="B24" s="375">
        <v>0</v>
      </c>
      <c r="C24" s="375">
        <v>0</v>
      </c>
      <c r="D24" s="402"/>
      <c r="E24" s="376">
        <f>B24*C24</f>
        <v>0</v>
      </c>
    </row>
    <row r="25" spans="1:6" hidden="1">
      <c r="A25" s="377" t="s">
        <v>169</v>
      </c>
      <c r="B25" s="380">
        <f>B23-B24</f>
        <v>845</v>
      </c>
      <c r="C25" s="380"/>
      <c r="D25" s="380"/>
      <c r="E25" s="381">
        <f>E23-E24</f>
        <v>1765</v>
      </c>
    </row>
    <row r="26" spans="1:6" hidden="1">
      <c r="A26" s="38" t="s">
        <v>170</v>
      </c>
      <c r="B26" s="382">
        <v>0</v>
      </c>
      <c r="C26" s="460"/>
      <c r="D26" s="461">
        <v>0.34</v>
      </c>
      <c r="E26" s="381">
        <v>0</v>
      </c>
    </row>
    <row r="27" spans="1:6" ht="13.5" hidden="1" thickBot="1">
      <c r="A27" s="383" t="s">
        <v>66</v>
      </c>
      <c r="B27" s="384">
        <f>B25-B26</f>
        <v>845</v>
      </c>
      <c r="C27" s="442"/>
      <c r="D27" s="442"/>
      <c r="E27" s="385">
        <f>E25-E26</f>
        <v>1765</v>
      </c>
    </row>
    <row r="29" spans="1:6" hidden="1">
      <c r="A29" s="155" t="s">
        <v>171</v>
      </c>
    </row>
    <row r="30" spans="1:6" hidden="1">
      <c r="A30" t="s">
        <v>172</v>
      </c>
      <c r="B30" s="386">
        <v>0</v>
      </c>
      <c r="E30" s="386">
        <v>0</v>
      </c>
    </row>
    <row r="31" spans="1:6" hidden="1">
      <c r="A31" s="155" t="s">
        <v>173</v>
      </c>
      <c r="B31" s="386">
        <v>0</v>
      </c>
      <c r="E31" s="386">
        <v>0</v>
      </c>
    </row>
    <row r="32" spans="1:6" hidden="1">
      <c r="B32" s="387">
        <f>SUM(B30:B31)</f>
        <v>0</v>
      </c>
      <c r="E32" s="388">
        <f>SUM(E30:E31)</f>
        <v>0</v>
      </c>
    </row>
    <row r="33" spans="1:5" hidden="1">
      <c r="A33" s="155"/>
      <c r="E33" s="106"/>
    </row>
    <row r="34" spans="1:5" hidden="1">
      <c r="A34" s="155"/>
      <c r="E34" s="106"/>
    </row>
    <row r="35" spans="1:5" hidden="1">
      <c r="B35" t="str">
        <f>B2</f>
        <v>Juli</v>
      </c>
      <c r="C35" s="136" t="s">
        <v>174</v>
      </c>
      <c r="D35" s="136"/>
      <c r="E35" t="e">
        <f>B35+1</f>
        <v>#VALUE!</v>
      </c>
    </row>
    <row r="36" spans="1:5" hidden="1">
      <c r="A36" t="s">
        <v>175</v>
      </c>
      <c r="B36" s="389">
        <v>10000</v>
      </c>
      <c r="C36" s="390">
        <v>0</v>
      </c>
      <c r="D36" s="390"/>
      <c r="E36" s="160">
        <f>B36+C36</f>
        <v>10000</v>
      </c>
    </row>
    <row r="37" spans="1:5" hidden="1"/>
    <row r="38" spans="1:5" hidden="1">
      <c r="A38" s="391" t="s">
        <v>176</v>
      </c>
      <c r="B38" s="392" t="str">
        <f>IF(C38&gt;0,"incl. moms","excl. moms")</f>
        <v>excl. moms</v>
      </c>
      <c r="C38" s="393">
        <v>0</v>
      </c>
      <c r="D38" s="164"/>
    </row>
    <row r="39" spans="1:5" hidden="1"/>
    <row r="40" spans="1:5" hidden="1">
      <c r="A40" s="155" t="s">
        <v>177</v>
      </c>
      <c r="C40" s="394">
        <v>0</v>
      </c>
      <c r="D40" s="394"/>
    </row>
    <row r="41" spans="1:5" hidden="1"/>
    <row r="42" spans="1:5" hidden="1"/>
  </sheetData>
  <mergeCells count="5">
    <mergeCell ref="A1:E1"/>
    <mergeCell ref="C35:D35"/>
    <mergeCell ref="C36:D36"/>
    <mergeCell ref="C38:D38"/>
    <mergeCell ref="C40:D40"/>
  </mergeCells>
  <pageMargins left="0.59055118110236227" right="0.39370078740157483" top="0.98425196850393704" bottom="0.98425196850393704" header="0" footer="0"/>
  <pageSetup paperSize="9" scale="118" orientation="portrait" r:id="rId1"/>
  <headerFooter alignWithMargins="0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0"/>
  <sheetViews>
    <sheetView workbookViewId="0">
      <pane xSplit="1" ySplit="2" topLeftCell="B5" activePane="bottomRight" state="frozen"/>
      <selection pane="topRight" activeCell="B1" sqref="B1"/>
      <selection pane="bottomLeft" activeCell="A2" sqref="A2"/>
      <selection pane="bottomRight" activeCell="U11" sqref="U11"/>
    </sheetView>
  </sheetViews>
  <sheetFormatPr defaultRowHeight="12.75"/>
  <cols>
    <col min="1" max="1" width="27.85546875" customWidth="1"/>
    <col min="2" max="2" width="14" customWidth="1"/>
    <col min="3" max="3" width="0" hidden="1" customWidth="1"/>
    <col min="4" max="4" width="11.140625" hidden="1" customWidth="1"/>
    <col min="5" max="9" width="10.42578125" hidden="1" customWidth="1"/>
    <col min="10" max="10" width="11.140625" bestFit="1" customWidth="1"/>
    <col min="11" max="12" width="10.42578125" bestFit="1" customWidth="1"/>
    <col min="13" max="15" width="10.42578125" hidden="1" customWidth="1"/>
  </cols>
  <sheetData>
    <row r="1" spans="1:16" ht="21" thickBot="1">
      <c r="A1" s="332" t="s">
        <v>144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</row>
    <row r="2" spans="1:16" ht="18">
      <c r="A2" s="333" t="s">
        <v>124</v>
      </c>
      <c r="B2" s="334" t="s">
        <v>125</v>
      </c>
      <c r="C2" s="334" t="s">
        <v>126</v>
      </c>
      <c r="D2" s="334" t="s">
        <v>127</v>
      </c>
      <c r="E2" s="334" t="s">
        <v>128</v>
      </c>
      <c r="F2" s="334" t="s">
        <v>129</v>
      </c>
      <c r="G2" s="334" t="s">
        <v>130</v>
      </c>
      <c r="H2" s="334" t="s">
        <v>131</v>
      </c>
      <c r="I2" s="334" t="s">
        <v>132</v>
      </c>
      <c r="J2" s="334" t="s">
        <v>133</v>
      </c>
      <c r="K2" s="334" t="s">
        <v>134</v>
      </c>
      <c r="L2" s="334" t="s">
        <v>135</v>
      </c>
      <c r="M2" s="334" t="s">
        <v>136</v>
      </c>
      <c r="N2" s="334" t="s">
        <v>137</v>
      </c>
      <c r="O2" s="335" t="s">
        <v>138</v>
      </c>
      <c r="P2" s="424" t="s">
        <v>244</v>
      </c>
    </row>
    <row r="3" spans="1:16">
      <c r="A3" s="336" t="s">
        <v>146</v>
      </c>
      <c r="B3" s="337"/>
      <c r="C3" s="338">
        <f t="shared" ref="C3:C36" si="0">SUM(D3:O3)</f>
        <v>2022</v>
      </c>
      <c r="D3" s="339"/>
      <c r="E3" s="339"/>
      <c r="F3" s="339"/>
      <c r="G3" s="339">
        <f>1500*0.2</f>
        <v>300</v>
      </c>
      <c r="H3" s="339">
        <f>1800*0.2</f>
        <v>360</v>
      </c>
      <c r="I3" s="339">
        <f>1920*0.2</f>
        <v>384</v>
      </c>
      <c r="J3" s="372">
        <f>1740*0.2</f>
        <v>348</v>
      </c>
      <c r="K3" s="372">
        <f>1650*0.2</f>
        <v>330</v>
      </c>
      <c r="L3" s="372">
        <f>1500*0.2</f>
        <v>300</v>
      </c>
      <c r="M3" s="339"/>
      <c r="N3" s="339"/>
      <c r="O3" s="340"/>
    </row>
    <row r="4" spans="1:16">
      <c r="A4" s="336" t="s">
        <v>147</v>
      </c>
      <c r="B4" s="337"/>
      <c r="C4" s="338">
        <f>SUM(D4:O4)</f>
        <v>8088</v>
      </c>
      <c r="D4" s="339"/>
      <c r="E4" s="339"/>
      <c r="F4" s="339"/>
      <c r="G4" s="339"/>
      <c r="H4" s="339"/>
      <c r="I4" s="339"/>
      <c r="J4" s="339">
        <f>1500*0.8</f>
        <v>1200</v>
      </c>
      <c r="K4" s="339">
        <f>1800*0.8</f>
        <v>1440</v>
      </c>
      <c r="L4" s="339">
        <f>1920*0.8</f>
        <v>1536</v>
      </c>
      <c r="M4" s="339">
        <f>1740*0.8</f>
        <v>1392</v>
      </c>
      <c r="N4" s="339">
        <f>1650*0.8</f>
        <v>1320</v>
      </c>
      <c r="O4" s="340">
        <f>1500*0.8</f>
        <v>1200</v>
      </c>
      <c r="P4" s="467">
        <f>SUM(M4:O4)</f>
        <v>3912</v>
      </c>
    </row>
    <row r="5" spans="1:16">
      <c r="A5" s="336" t="s">
        <v>148</v>
      </c>
      <c r="B5" s="337"/>
      <c r="C5" s="338">
        <f>SUM(D5:O5)</f>
        <v>8425</v>
      </c>
      <c r="D5" s="339"/>
      <c r="E5" s="339"/>
      <c r="F5" s="339"/>
      <c r="G5" s="339">
        <f>5000*0.25</f>
        <v>1250</v>
      </c>
      <c r="H5" s="339">
        <f>6000*0.25</f>
        <v>1500</v>
      </c>
      <c r="I5" s="339">
        <f>6400*0.25</f>
        <v>1600</v>
      </c>
      <c r="J5" s="339">
        <f>5800*0.25</f>
        <v>1450</v>
      </c>
      <c r="K5" s="339">
        <f>5500*0.25</f>
        <v>1375</v>
      </c>
      <c r="L5" s="339">
        <f>5000*0.25</f>
        <v>1250</v>
      </c>
      <c r="M5" s="339"/>
      <c r="N5" s="339"/>
      <c r="O5" s="340"/>
    </row>
    <row r="6" spans="1:16">
      <c r="A6" s="336" t="s">
        <v>149</v>
      </c>
      <c r="B6" s="337"/>
      <c r="C6" s="338">
        <f>SUM(D6:O6)</f>
        <v>1685</v>
      </c>
      <c r="D6" s="339"/>
      <c r="E6" s="339"/>
      <c r="F6" s="339"/>
      <c r="G6" s="339">
        <f>5000*0.05</f>
        <v>250</v>
      </c>
      <c r="H6" s="339">
        <f>6000*0.05</f>
        <v>300</v>
      </c>
      <c r="I6" s="339">
        <f>6400*0.05</f>
        <v>320</v>
      </c>
      <c r="J6" s="339">
        <f>5800*0.05</f>
        <v>290</v>
      </c>
      <c r="K6" s="339">
        <f>5500*0.05</f>
        <v>275</v>
      </c>
      <c r="L6" s="339">
        <f>5000*0.05</f>
        <v>250</v>
      </c>
      <c r="M6" s="339"/>
      <c r="N6" s="339"/>
      <c r="O6" s="340"/>
    </row>
    <row r="7" spans="1:16">
      <c r="A7" s="336" t="s">
        <v>152</v>
      </c>
      <c r="B7" s="337"/>
      <c r="C7" s="338">
        <f t="shared" si="0"/>
        <v>3000</v>
      </c>
      <c r="D7" s="339"/>
      <c r="E7" s="339"/>
      <c r="F7" s="339"/>
      <c r="G7" s="339"/>
      <c r="H7" s="339"/>
      <c r="I7" s="339"/>
      <c r="J7" s="339">
        <v>1000</v>
      </c>
      <c r="K7" s="339">
        <v>1000</v>
      </c>
      <c r="L7" s="339">
        <v>1000</v>
      </c>
      <c r="M7" s="339"/>
      <c r="N7" s="339"/>
      <c r="O7" s="340"/>
    </row>
    <row r="8" spans="1:16">
      <c r="A8" s="336" t="s">
        <v>153</v>
      </c>
      <c r="B8" s="337"/>
      <c r="C8" s="338">
        <f>SUM(D8:O8)</f>
        <v>1800</v>
      </c>
      <c r="D8" s="339"/>
      <c r="E8" s="339"/>
      <c r="F8" s="339"/>
      <c r="G8" s="339"/>
      <c r="H8" s="339"/>
      <c r="I8" s="339"/>
      <c r="J8" s="339">
        <v>900</v>
      </c>
      <c r="K8" s="339"/>
      <c r="L8" s="339"/>
      <c r="M8" s="339">
        <v>900</v>
      </c>
      <c r="N8" s="339"/>
      <c r="O8" s="340"/>
      <c r="P8" s="467">
        <f>M8</f>
        <v>900</v>
      </c>
    </row>
    <row r="9" spans="1:16">
      <c r="A9" s="336" t="s">
        <v>154</v>
      </c>
      <c r="B9" s="337"/>
      <c r="C9" s="338">
        <f t="shared" si="0"/>
        <v>330</v>
      </c>
      <c r="D9" s="339"/>
      <c r="E9" s="339"/>
      <c r="F9" s="339"/>
      <c r="G9" s="339"/>
      <c r="H9" s="339"/>
      <c r="I9" s="339"/>
      <c r="J9" s="339"/>
      <c r="K9" s="339"/>
      <c r="L9" s="339">
        <v>330</v>
      </c>
      <c r="M9" s="339"/>
      <c r="N9" s="339"/>
      <c r="O9" s="340"/>
    </row>
    <row r="10" spans="1:16">
      <c r="A10" s="336" t="s">
        <v>155</v>
      </c>
      <c r="B10" s="337"/>
      <c r="C10" s="338">
        <f t="shared" si="0"/>
        <v>250</v>
      </c>
      <c r="D10" s="339"/>
      <c r="E10" s="339"/>
      <c r="F10" s="339"/>
      <c r="G10" s="339"/>
      <c r="H10" s="339"/>
      <c r="I10" s="339"/>
      <c r="J10" s="339"/>
      <c r="K10" s="339"/>
      <c r="L10" s="339">
        <v>250</v>
      </c>
      <c r="M10" s="339"/>
      <c r="N10" s="339"/>
      <c r="O10" s="340"/>
    </row>
    <row r="11" spans="1:16">
      <c r="A11" s="336"/>
      <c r="B11" s="337"/>
      <c r="C11" s="338">
        <f>SUM(D11:O11)</f>
        <v>0</v>
      </c>
      <c r="D11" s="339"/>
      <c r="E11" s="339"/>
      <c r="F11" s="339"/>
      <c r="G11" s="339"/>
      <c r="H11" s="339"/>
      <c r="I11" s="339"/>
      <c r="J11" s="339"/>
      <c r="K11" s="339"/>
      <c r="L11" s="339"/>
      <c r="M11" s="339"/>
      <c r="N11" s="339"/>
      <c r="O11" s="340"/>
    </row>
    <row r="12" spans="1:16">
      <c r="A12" s="336"/>
      <c r="B12" s="337"/>
      <c r="C12" s="338">
        <f t="shared" si="0"/>
        <v>0</v>
      </c>
      <c r="D12" s="339"/>
      <c r="E12" s="339"/>
      <c r="F12" s="339"/>
      <c r="G12" s="339"/>
      <c r="H12" s="339"/>
      <c r="I12" s="339"/>
      <c r="J12" s="339"/>
      <c r="K12" s="339"/>
      <c r="L12" s="339"/>
      <c r="M12" s="339"/>
      <c r="N12" s="339"/>
      <c r="O12" s="340"/>
    </row>
    <row r="13" spans="1:16">
      <c r="A13" s="336"/>
      <c r="B13" s="337"/>
      <c r="C13" s="338">
        <f t="shared" si="0"/>
        <v>0</v>
      </c>
      <c r="D13" s="339"/>
      <c r="E13" s="339"/>
      <c r="F13" s="339"/>
      <c r="G13" s="339"/>
      <c r="H13" s="339"/>
      <c r="I13" s="339"/>
      <c r="J13" s="339"/>
      <c r="K13" s="339"/>
      <c r="L13" s="339"/>
      <c r="M13" s="339"/>
      <c r="N13" s="339"/>
      <c r="O13" s="340"/>
    </row>
    <row r="14" spans="1:16">
      <c r="A14" s="336"/>
      <c r="B14" s="337"/>
      <c r="C14" s="338">
        <f t="shared" si="0"/>
        <v>0</v>
      </c>
      <c r="D14" s="339"/>
      <c r="E14" s="339"/>
      <c r="F14" s="339"/>
      <c r="G14" s="339"/>
      <c r="H14" s="339"/>
      <c r="I14" s="339"/>
      <c r="J14" s="339"/>
      <c r="K14" s="339"/>
      <c r="L14" s="339"/>
      <c r="M14" s="339"/>
      <c r="N14" s="339"/>
      <c r="O14" s="340"/>
    </row>
    <row r="15" spans="1:16">
      <c r="A15" s="341"/>
      <c r="B15" s="342"/>
      <c r="C15" s="343">
        <f t="shared" si="0"/>
        <v>0</v>
      </c>
      <c r="D15" s="344"/>
      <c r="E15" s="344"/>
      <c r="F15" s="344"/>
      <c r="G15" s="344"/>
      <c r="H15" s="344"/>
      <c r="I15" s="344"/>
      <c r="J15" s="344"/>
      <c r="K15" s="344"/>
      <c r="L15" s="344"/>
      <c r="M15" s="344"/>
      <c r="N15" s="344"/>
      <c r="O15" s="345"/>
    </row>
    <row r="16" spans="1:16">
      <c r="A16" s="336"/>
      <c r="B16" s="337"/>
      <c r="C16" s="338">
        <f t="shared" si="0"/>
        <v>0</v>
      </c>
      <c r="D16" s="339"/>
      <c r="E16" s="339"/>
      <c r="F16" s="339"/>
      <c r="G16" s="339"/>
      <c r="H16" s="339"/>
      <c r="I16" s="339"/>
      <c r="J16" s="339"/>
      <c r="K16" s="339"/>
      <c r="L16" s="339"/>
      <c r="M16" s="339"/>
      <c r="N16" s="339"/>
      <c r="O16" s="340"/>
    </row>
    <row r="17" spans="1:15">
      <c r="A17" s="336"/>
      <c r="B17" s="337"/>
      <c r="C17" s="338">
        <f t="shared" si="0"/>
        <v>0</v>
      </c>
      <c r="D17" s="339"/>
      <c r="E17" s="339"/>
      <c r="F17" s="339"/>
      <c r="G17" s="339"/>
      <c r="H17" s="339"/>
      <c r="I17" s="339"/>
      <c r="J17" s="339"/>
      <c r="K17" s="339"/>
      <c r="L17" s="339"/>
      <c r="M17" s="339"/>
      <c r="N17" s="339"/>
      <c r="O17" s="340"/>
    </row>
    <row r="18" spans="1:15">
      <c r="A18" s="336"/>
      <c r="B18" s="337"/>
      <c r="C18" s="338">
        <f t="shared" si="0"/>
        <v>0</v>
      </c>
      <c r="D18" s="339"/>
      <c r="E18" s="339"/>
      <c r="F18" s="339"/>
      <c r="G18" s="339"/>
      <c r="H18" s="339"/>
      <c r="I18" s="339"/>
      <c r="J18" s="339"/>
      <c r="K18" s="339"/>
      <c r="L18" s="339"/>
      <c r="M18" s="339"/>
      <c r="N18" s="339"/>
      <c r="O18" s="340"/>
    </row>
    <row r="19" spans="1:15">
      <c r="A19" s="336"/>
      <c r="B19" s="337"/>
      <c r="C19" s="338">
        <f t="shared" si="0"/>
        <v>0</v>
      </c>
      <c r="D19" s="339"/>
      <c r="E19" s="339"/>
      <c r="F19" s="339"/>
      <c r="G19" s="339"/>
      <c r="H19" s="339"/>
      <c r="I19" s="339"/>
      <c r="J19" s="339"/>
      <c r="K19" s="339"/>
      <c r="L19" s="339"/>
      <c r="M19" s="339"/>
      <c r="N19" s="339"/>
      <c r="O19" s="340"/>
    </row>
    <row r="20" spans="1:15" ht="13.5" thickBot="1">
      <c r="A20" s="336"/>
      <c r="B20" s="337"/>
      <c r="C20" s="338">
        <f t="shared" si="0"/>
        <v>0</v>
      </c>
      <c r="D20" s="339"/>
      <c r="E20" s="339"/>
      <c r="F20" s="339"/>
      <c r="G20" s="339"/>
      <c r="H20" s="339"/>
      <c r="I20" s="339"/>
      <c r="J20" s="339"/>
      <c r="K20" s="339"/>
      <c r="L20" s="339"/>
      <c r="M20" s="339"/>
      <c r="N20" s="339"/>
      <c r="O20" s="340"/>
    </row>
    <row r="21" spans="1:15" ht="13.5" hidden="1" thickBot="1">
      <c r="A21" s="336"/>
      <c r="B21" s="337"/>
      <c r="C21" s="338">
        <f t="shared" si="0"/>
        <v>0</v>
      </c>
      <c r="D21" s="339"/>
      <c r="E21" s="339"/>
      <c r="F21" s="339"/>
      <c r="G21" s="339"/>
      <c r="H21" s="339"/>
      <c r="I21" s="339"/>
      <c r="J21" s="339"/>
      <c r="K21" s="339"/>
      <c r="L21" s="339"/>
      <c r="M21" s="339"/>
      <c r="N21" s="339"/>
      <c r="O21" s="340"/>
    </row>
    <row r="22" spans="1:15" ht="13.5" hidden="1" thickBot="1">
      <c r="A22" s="336"/>
      <c r="B22" s="337"/>
      <c r="C22" s="338">
        <f>SUM(D22:O22)</f>
        <v>0</v>
      </c>
      <c r="D22" s="339"/>
      <c r="E22" s="339"/>
      <c r="F22" s="339"/>
      <c r="G22" s="339"/>
      <c r="H22" s="339"/>
      <c r="I22" s="339"/>
      <c r="J22" s="339"/>
      <c r="K22" s="339"/>
      <c r="L22" s="339"/>
      <c r="M22" s="339"/>
      <c r="N22" s="339"/>
      <c r="O22" s="340"/>
    </row>
    <row r="23" spans="1:15" ht="13.5" hidden="1" thickBot="1">
      <c r="A23" s="336"/>
      <c r="B23" s="337"/>
      <c r="C23" s="338">
        <f t="shared" si="0"/>
        <v>0</v>
      </c>
      <c r="D23" s="339"/>
      <c r="E23" s="339"/>
      <c r="F23" s="339"/>
      <c r="G23" s="339"/>
      <c r="H23" s="339"/>
      <c r="I23" s="339"/>
      <c r="J23" s="339"/>
      <c r="K23" s="339"/>
      <c r="L23" s="339"/>
      <c r="M23" s="339"/>
      <c r="N23" s="339"/>
      <c r="O23" s="340"/>
    </row>
    <row r="24" spans="1:15" ht="13.5" hidden="1" thickBot="1">
      <c r="A24" s="346"/>
      <c r="B24" s="347"/>
      <c r="C24" s="348">
        <f t="shared" si="0"/>
        <v>0</v>
      </c>
      <c r="D24" s="349"/>
      <c r="E24" s="349"/>
      <c r="F24" s="349"/>
      <c r="G24" s="349"/>
      <c r="H24" s="349"/>
      <c r="I24" s="349"/>
      <c r="J24" s="349"/>
      <c r="K24" s="349"/>
      <c r="L24" s="349"/>
      <c r="M24" s="349"/>
      <c r="N24" s="349"/>
      <c r="O24" s="350"/>
    </row>
    <row r="25" spans="1:15" ht="13.5" hidden="1" thickBot="1">
      <c r="A25" s="336"/>
      <c r="B25" s="337"/>
      <c r="C25" s="338">
        <f t="shared" si="0"/>
        <v>0</v>
      </c>
      <c r="D25" s="339"/>
      <c r="E25" s="339"/>
      <c r="F25" s="339"/>
      <c r="G25" s="339"/>
      <c r="H25" s="339"/>
      <c r="I25" s="339"/>
      <c r="J25" s="339"/>
      <c r="K25" s="339"/>
      <c r="L25" s="339"/>
      <c r="M25" s="339"/>
      <c r="N25" s="339"/>
      <c r="O25" s="340"/>
    </row>
    <row r="26" spans="1:15" ht="13.5" hidden="1" thickBot="1">
      <c r="A26" s="341"/>
      <c r="B26" s="342"/>
      <c r="C26" s="343">
        <f t="shared" si="0"/>
        <v>0</v>
      </c>
      <c r="D26" s="344"/>
      <c r="E26" s="344"/>
      <c r="F26" s="344"/>
      <c r="G26" s="344"/>
      <c r="H26" s="344"/>
      <c r="I26" s="344"/>
      <c r="J26" s="344"/>
      <c r="K26" s="344"/>
      <c r="L26" s="344"/>
      <c r="M26" s="344"/>
      <c r="N26" s="344"/>
      <c r="O26" s="345"/>
    </row>
    <row r="27" spans="1:15" ht="13.5" hidden="1" thickBot="1">
      <c r="A27" s="336"/>
      <c r="B27" s="337"/>
      <c r="C27" s="338">
        <f t="shared" si="0"/>
        <v>0</v>
      </c>
      <c r="D27" s="339"/>
      <c r="E27" s="339"/>
      <c r="F27" s="339"/>
      <c r="G27" s="339"/>
      <c r="H27" s="339"/>
      <c r="I27" s="339"/>
      <c r="J27" s="339"/>
      <c r="K27" s="339"/>
      <c r="L27" s="339"/>
      <c r="M27" s="339"/>
      <c r="N27" s="339"/>
      <c r="O27" s="340"/>
    </row>
    <row r="28" spans="1:15" ht="13.5" hidden="1" thickBot="1">
      <c r="A28" s="336"/>
      <c r="B28" s="337"/>
      <c r="C28" s="338">
        <f t="shared" si="0"/>
        <v>0</v>
      </c>
      <c r="D28" s="339"/>
      <c r="E28" s="339"/>
      <c r="F28" s="339"/>
      <c r="G28" s="339"/>
      <c r="H28" s="339"/>
      <c r="I28" s="339"/>
      <c r="J28" s="339"/>
      <c r="K28" s="339"/>
      <c r="L28" s="339"/>
      <c r="M28" s="339"/>
      <c r="N28" s="339"/>
      <c r="O28" s="340"/>
    </row>
    <row r="29" spans="1:15" ht="13.5" hidden="1" thickBot="1">
      <c r="A29" s="336"/>
      <c r="B29" s="337"/>
      <c r="C29" s="338">
        <f>SUM(D29:O29)</f>
        <v>0</v>
      </c>
      <c r="D29" s="339"/>
      <c r="E29" s="339"/>
      <c r="F29" s="339"/>
      <c r="G29" s="339"/>
      <c r="H29" s="339"/>
      <c r="I29" s="339"/>
      <c r="J29" s="339"/>
      <c r="K29" s="339"/>
      <c r="L29" s="339"/>
      <c r="M29" s="339"/>
      <c r="N29" s="339"/>
      <c r="O29" s="340"/>
    </row>
    <row r="30" spans="1:15" ht="13.5" hidden="1" thickBot="1">
      <c r="A30" s="341"/>
      <c r="B30" s="342"/>
      <c r="C30" s="343">
        <f>SUM(D30:O30)</f>
        <v>0</v>
      </c>
      <c r="D30" s="344"/>
      <c r="E30" s="344"/>
      <c r="F30" s="344"/>
      <c r="G30" s="344"/>
      <c r="H30" s="344"/>
      <c r="I30" s="344"/>
      <c r="J30" s="344"/>
      <c r="K30" s="344"/>
      <c r="L30" s="344"/>
      <c r="M30" s="344"/>
      <c r="N30" s="344"/>
      <c r="O30" s="345"/>
    </row>
    <row r="31" spans="1:15" ht="13.5" hidden="1" thickBot="1">
      <c r="A31" s="336"/>
      <c r="B31" s="337"/>
      <c r="C31" s="338">
        <f t="shared" si="0"/>
        <v>0</v>
      </c>
      <c r="D31" s="339"/>
      <c r="E31" s="339"/>
      <c r="F31" s="339"/>
      <c r="G31" s="339"/>
      <c r="H31" s="339"/>
      <c r="I31" s="339"/>
      <c r="J31" s="339"/>
      <c r="K31" s="339"/>
      <c r="L31" s="339"/>
      <c r="M31" s="339"/>
      <c r="N31" s="339"/>
      <c r="O31" s="340"/>
    </row>
    <row r="32" spans="1:15" ht="13.5" hidden="1" thickBot="1">
      <c r="A32" s="336"/>
      <c r="B32" s="337"/>
      <c r="C32" s="338">
        <f t="shared" si="0"/>
        <v>0</v>
      </c>
      <c r="D32" s="339"/>
      <c r="E32" s="339"/>
      <c r="F32" s="339"/>
      <c r="G32" s="339"/>
      <c r="H32" s="339"/>
      <c r="I32" s="339"/>
      <c r="J32" s="339"/>
      <c r="K32" s="339"/>
      <c r="L32" s="339"/>
      <c r="M32" s="339"/>
      <c r="N32" s="339"/>
      <c r="O32" s="340"/>
    </row>
    <row r="33" spans="1:16" ht="13.5" hidden="1" thickBot="1">
      <c r="A33" s="336"/>
      <c r="B33" s="337"/>
      <c r="C33" s="338">
        <f t="shared" si="0"/>
        <v>0</v>
      </c>
      <c r="D33" s="339"/>
      <c r="E33" s="339"/>
      <c r="F33" s="339"/>
      <c r="G33" s="339"/>
      <c r="H33" s="339"/>
      <c r="I33" s="339"/>
      <c r="J33" s="339"/>
      <c r="K33" s="339"/>
      <c r="L33" s="339"/>
      <c r="M33" s="339"/>
      <c r="N33" s="339"/>
      <c r="O33" s="340"/>
    </row>
    <row r="34" spans="1:16" ht="13.5" hidden="1" thickBot="1">
      <c r="A34" s="336"/>
      <c r="B34" s="337"/>
      <c r="C34" s="338">
        <f t="shared" si="0"/>
        <v>0</v>
      </c>
      <c r="D34" s="339"/>
      <c r="E34" s="339"/>
      <c r="F34" s="339"/>
      <c r="G34" s="339"/>
      <c r="H34" s="339"/>
      <c r="I34" s="339"/>
      <c r="J34" s="339"/>
      <c r="K34" s="339"/>
      <c r="L34" s="339"/>
      <c r="M34" s="339"/>
      <c r="N34" s="339"/>
      <c r="O34" s="340"/>
    </row>
    <row r="35" spans="1:16" ht="13.5" hidden="1" thickBot="1">
      <c r="A35" s="336"/>
      <c r="B35" s="337"/>
      <c r="C35" s="338">
        <f t="shared" si="0"/>
        <v>0</v>
      </c>
      <c r="D35" s="339"/>
      <c r="E35" s="339"/>
      <c r="F35" s="339"/>
      <c r="G35" s="339"/>
      <c r="H35" s="339"/>
      <c r="I35" s="339"/>
      <c r="J35" s="339"/>
      <c r="K35" s="339"/>
      <c r="L35" s="339"/>
      <c r="M35" s="339"/>
      <c r="N35" s="339"/>
      <c r="O35" s="340"/>
    </row>
    <row r="36" spans="1:16" ht="13.5" hidden="1" thickBot="1">
      <c r="A36" s="341"/>
      <c r="B36" s="342"/>
      <c r="C36" s="343">
        <f t="shared" si="0"/>
        <v>0</v>
      </c>
      <c r="D36" s="344"/>
      <c r="E36" s="344"/>
      <c r="F36" s="344"/>
      <c r="G36" s="344"/>
      <c r="H36" s="344"/>
      <c r="I36" s="344"/>
      <c r="J36" s="344"/>
      <c r="K36" s="344"/>
      <c r="L36" s="344"/>
      <c r="M36" s="344"/>
      <c r="N36" s="344"/>
      <c r="O36" s="345"/>
    </row>
    <row r="37" spans="1:16" ht="18">
      <c r="A37" s="351" t="s">
        <v>139</v>
      </c>
      <c r="B37" s="352"/>
      <c r="C37" s="353">
        <f t="shared" ref="C37:O37" si="1">SUM(C3:C36)</f>
        <v>25600</v>
      </c>
      <c r="D37" s="354">
        <f t="shared" si="1"/>
        <v>0</v>
      </c>
      <c r="E37" s="354">
        <f t="shared" si="1"/>
        <v>0</v>
      </c>
      <c r="F37" s="354">
        <f t="shared" si="1"/>
        <v>0</v>
      </c>
      <c r="G37" s="354">
        <f t="shared" si="1"/>
        <v>1800</v>
      </c>
      <c r="H37" s="354">
        <f t="shared" si="1"/>
        <v>2160</v>
      </c>
      <c r="I37" s="354">
        <f t="shared" si="1"/>
        <v>2304</v>
      </c>
      <c r="J37" s="354">
        <f>SUM(J3:J20)</f>
        <v>5188</v>
      </c>
      <c r="K37" s="354">
        <f t="shared" ref="K37:L37" si="2">SUM(K3:K20)</f>
        <v>4420</v>
      </c>
      <c r="L37" s="354">
        <f t="shared" si="2"/>
        <v>4916</v>
      </c>
      <c r="M37" s="354">
        <f t="shared" si="1"/>
        <v>2292</v>
      </c>
      <c r="N37" s="354">
        <f t="shared" si="1"/>
        <v>1320</v>
      </c>
      <c r="O37" s="355">
        <f t="shared" si="1"/>
        <v>1200</v>
      </c>
    </row>
    <row r="38" spans="1:16" ht="18">
      <c r="A38" s="356" t="s">
        <v>140</v>
      </c>
      <c r="B38" s="357"/>
      <c r="C38" s="338"/>
      <c r="D38" s="358"/>
      <c r="E38" s="358"/>
      <c r="F38" s="358"/>
      <c r="G38" s="358"/>
      <c r="H38" s="358"/>
      <c r="I38" s="358"/>
      <c r="J38" s="358"/>
      <c r="K38" s="358"/>
      <c r="L38" s="358"/>
      <c r="M38" s="358"/>
      <c r="N38" s="358"/>
      <c r="O38" s="359"/>
    </row>
    <row r="39" spans="1:16">
      <c r="A39" s="360" t="s">
        <v>150</v>
      </c>
      <c r="B39" s="361"/>
      <c r="C39" s="338">
        <f t="shared" ref="C39:C44" si="3">SUM(D39:O39)</f>
        <v>16850</v>
      </c>
      <c r="D39" s="362"/>
      <c r="E39" s="362"/>
      <c r="F39" s="362"/>
      <c r="G39" s="362"/>
      <c r="H39" s="362">
        <f>5000*0.5</f>
        <v>2500</v>
      </c>
      <c r="I39" s="362">
        <v>3000</v>
      </c>
      <c r="J39" s="362">
        <f>6400/2</f>
        <v>3200</v>
      </c>
      <c r="K39" s="362">
        <f>5800/2</f>
        <v>2900</v>
      </c>
      <c r="L39" s="362">
        <f>5500/2</f>
        <v>2750</v>
      </c>
      <c r="M39" s="362">
        <v>2500</v>
      </c>
      <c r="N39" s="362"/>
      <c r="O39" s="363"/>
      <c r="P39" s="467">
        <f>SUM(M39:N40)</f>
        <v>7750</v>
      </c>
    </row>
    <row r="40" spans="1:16">
      <c r="A40" s="360" t="s">
        <v>151</v>
      </c>
      <c r="B40" s="361"/>
      <c r="C40" s="338">
        <f t="shared" si="3"/>
        <v>16850</v>
      </c>
      <c r="D40" s="362"/>
      <c r="E40" s="362"/>
      <c r="F40" s="362"/>
      <c r="G40" s="362"/>
      <c r="H40" s="362"/>
      <c r="I40" s="362">
        <f>H39</f>
        <v>2500</v>
      </c>
      <c r="J40" s="362">
        <f t="shared" ref="J40:N40" si="4">I39</f>
        <v>3000</v>
      </c>
      <c r="K40" s="362">
        <f t="shared" si="4"/>
        <v>3200</v>
      </c>
      <c r="L40" s="362">
        <f t="shared" si="4"/>
        <v>2900</v>
      </c>
      <c r="M40" s="362">
        <f t="shared" si="4"/>
        <v>2750</v>
      </c>
      <c r="N40" s="362">
        <f t="shared" si="4"/>
        <v>2500</v>
      </c>
      <c r="O40" s="363"/>
    </row>
    <row r="41" spans="1:16">
      <c r="A41" s="360"/>
      <c r="B41" s="361"/>
      <c r="C41" s="338">
        <f t="shared" si="3"/>
        <v>0</v>
      </c>
      <c r="D41" s="362"/>
      <c r="E41" s="362"/>
      <c r="F41" s="362"/>
      <c r="G41" s="362"/>
      <c r="H41" s="362"/>
      <c r="I41" s="362"/>
      <c r="J41" s="362"/>
      <c r="K41" s="362"/>
      <c r="L41" s="362"/>
      <c r="M41" s="362"/>
      <c r="N41" s="362"/>
      <c r="O41" s="363"/>
    </row>
    <row r="42" spans="1:16">
      <c r="A42" s="360"/>
      <c r="B42" s="361"/>
      <c r="C42" s="338">
        <f t="shared" si="3"/>
        <v>0</v>
      </c>
      <c r="D42" s="362"/>
      <c r="E42" s="362"/>
      <c r="F42" s="362"/>
      <c r="G42" s="362"/>
      <c r="H42" s="362"/>
      <c r="I42" s="362"/>
      <c r="J42" s="362"/>
      <c r="K42" s="362"/>
      <c r="L42" s="362"/>
      <c r="M42" s="362"/>
      <c r="N42" s="362"/>
      <c r="O42" s="363"/>
    </row>
    <row r="43" spans="1:16">
      <c r="A43" s="360"/>
      <c r="B43" s="361"/>
      <c r="C43" s="338">
        <f t="shared" si="3"/>
        <v>0</v>
      </c>
      <c r="D43" s="362"/>
      <c r="E43" s="362"/>
      <c r="F43" s="362"/>
      <c r="G43" s="362"/>
      <c r="H43" s="362"/>
      <c r="I43" s="362"/>
      <c r="J43" s="362"/>
      <c r="K43" s="362"/>
      <c r="L43" s="362"/>
      <c r="M43" s="362"/>
      <c r="N43" s="362"/>
      <c r="O43" s="363"/>
    </row>
    <row r="44" spans="1:16">
      <c r="A44" s="360"/>
      <c r="B44" s="361"/>
      <c r="C44" s="338">
        <f t="shared" si="3"/>
        <v>0</v>
      </c>
      <c r="D44" s="362"/>
      <c r="E44" s="362"/>
      <c r="F44" s="362"/>
      <c r="G44" s="362"/>
      <c r="H44" s="362"/>
      <c r="I44" s="362"/>
      <c r="J44" s="362"/>
      <c r="K44" s="362"/>
      <c r="L44" s="362"/>
      <c r="M44" s="362"/>
      <c r="N44" s="362"/>
      <c r="O44" s="363"/>
    </row>
    <row r="45" spans="1:16" ht="18.75" thickBot="1">
      <c r="A45" s="364" t="s">
        <v>141</v>
      </c>
      <c r="B45" s="365"/>
      <c r="C45" s="366">
        <f>SUM(C39:C44)</f>
        <v>33700</v>
      </c>
      <c r="D45" s="366">
        <f t="shared" ref="D45:O45" si="5">SUM(D39:D44)</f>
        <v>0</v>
      </c>
      <c r="E45" s="366">
        <f t="shared" si="5"/>
        <v>0</v>
      </c>
      <c r="F45" s="366">
        <f t="shared" si="5"/>
        <v>0</v>
      </c>
      <c r="G45" s="366">
        <f t="shared" si="5"/>
        <v>0</v>
      </c>
      <c r="H45" s="366">
        <f t="shared" si="5"/>
        <v>2500</v>
      </c>
      <c r="I45" s="366">
        <f t="shared" si="5"/>
        <v>5500</v>
      </c>
      <c r="J45" s="366">
        <f t="shared" si="5"/>
        <v>6200</v>
      </c>
      <c r="K45" s="366">
        <f t="shared" si="5"/>
        <v>6100</v>
      </c>
      <c r="L45" s="366">
        <f t="shared" si="5"/>
        <v>5650</v>
      </c>
      <c r="M45" s="366">
        <f t="shared" si="5"/>
        <v>5250</v>
      </c>
      <c r="N45" s="366">
        <f t="shared" si="5"/>
        <v>2500</v>
      </c>
      <c r="O45" s="367">
        <f t="shared" si="5"/>
        <v>0</v>
      </c>
    </row>
    <row r="46" spans="1:16" ht="18.75" thickBot="1">
      <c r="A46" s="351" t="s">
        <v>142</v>
      </c>
      <c r="B46" s="352"/>
      <c r="C46" s="354">
        <f>C45-C37</f>
        <v>8100</v>
      </c>
      <c r="D46" s="354">
        <f>D45-D37</f>
        <v>0</v>
      </c>
      <c r="E46" s="354">
        <f t="shared" ref="E46:O46" si="6">E45-E37</f>
        <v>0</v>
      </c>
      <c r="F46" s="354">
        <f t="shared" si="6"/>
        <v>0</v>
      </c>
      <c r="G46" s="354">
        <f t="shared" si="6"/>
        <v>-1800</v>
      </c>
      <c r="H46" s="354">
        <f t="shared" si="6"/>
        <v>340</v>
      </c>
      <c r="I46" s="354">
        <f t="shared" si="6"/>
        <v>3196</v>
      </c>
      <c r="J46" s="354">
        <f t="shared" si="6"/>
        <v>1012</v>
      </c>
      <c r="K46" s="354">
        <f t="shared" si="6"/>
        <v>1680</v>
      </c>
      <c r="L46" s="354">
        <f t="shared" si="6"/>
        <v>734</v>
      </c>
      <c r="M46" s="354">
        <f t="shared" si="6"/>
        <v>2958</v>
      </c>
      <c r="N46" s="354">
        <f t="shared" si="6"/>
        <v>1180</v>
      </c>
      <c r="O46" s="355">
        <f t="shared" si="6"/>
        <v>-1200</v>
      </c>
    </row>
    <row r="47" spans="1:16" ht="18.75" thickBot="1">
      <c r="A47" s="368" t="s">
        <v>245</v>
      </c>
      <c r="B47" s="369"/>
      <c r="C47" s="370"/>
      <c r="D47" s="370">
        <v>0</v>
      </c>
      <c r="E47" s="370">
        <f>D46+D47+E46</f>
        <v>0</v>
      </c>
      <c r="F47" s="370">
        <f t="shared" ref="F47:O47" si="7">E47+F46</f>
        <v>0</v>
      </c>
      <c r="G47" s="370">
        <f t="shared" si="7"/>
        <v>-1800</v>
      </c>
      <c r="H47" s="370">
        <f t="shared" si="7"/>
        <v>-1460</v>
      </c>
      <c r="I47" s="370">
        <f t="shared" si="7"/>
        <v>1736</v>
      </c>
      <c r="J47" s="370">
        <v>30</v>
      </c>
      <c r="K47" s="370"/>
      <c r="L47" s="370"/>
      <c r="M47" s="370">
        <f t="shared" si="7"/>
        <v>2958</v>
      </c>
      <c r="N47" s="370">
        <f t="shared" si="7"/>
        <v>4138</v>
      </c>
      <c r="O47" s="371">
        <f t="shared" si="7"/>
        <v>2938</v>
      </c>
    </row>
    <row r="48" spans="1:16" ht="18" hidden="1">
      <c r="A48" s="472" t="s">
        <v>143</v>
      </c>
      <c r="B48" s="22"/>
      <c r="C48" s="473">
        <f>C37/12</f>
        <v>2133.3333333333335</v>
      </c>
    </row>
    <row r="49" spans="1:15" ht="18">
      <c r="A49" s="474" t="s">
        <v>246</v>
      </c>
      <c r="B49" s="357"/>
      <c r="C49" s="357"/>
      <c r="D49" s="357"/>
      <c r="E49" s="357"/>
      <c r="F49" s="357"/>
      <c r="G49" s="357"/>
      <c r="H49" s="357"/>
      <c r="I49" s="357"/>
      <c r="J49" s="357">
        <v>-7904</v>
      </c>
      <c r="K49" s="338">
        <f>J50</f>
        <v>-6862</v>
      </c>
      <c r="L49" s="338">
        <f>K50</f>
        <v>-5182</v>
      </c>
    </row>
    <row r="50" spans="1:15" ht="18">
      <c r="A50" s="474" t="s">
        <v>247</v>
      </c>
      <c r="B50" s="357"/>
      <c r="C50" s="357"/>
      <c r="D50" s="357"/>
      <c r="E50" s="357"/>
      <c r="F50" s="357"/>
      <c r="G50" s="357"/>
      <c r="H50" s="357"/>
      <c r="I50" s="357"/>
      <c r="J50" s="338">
        <f>J49+J47+J46</f>
        <v>-6862</v>
      </c>
      <c r="K50" s="338">
        <f>K49+K47+K46</f>
        <v>-5182</v>
      </c>
      <c r="L50" s="338">
        <f t="shared" ref="L50:O50" si="8">L49+L47+L46</f>
        <v>-4448</v>
      </c>
      <c r="M50" s="467">
        <f t="shared" si="8"/>
        <v>5916</v>
      </c>
      <c r="N50" s="467">
        <f t="shared" si="8"/>
        <v>5318</v>
      </c>
      <c r="O50" s="467">
        <f t="shared" si="8"/>
        <v>1738</v>
      </c>
    </row>
  </sheetData>
  <mergeCells count="1">
    <mergeCell ref="A1:O1"/>
  </mergeCells>
  <pageMargins left="0.39370078740157483" right="0.39370078740157483" top="0.78740157480314965" bottom="0.78740157480314965" header="0" footer="0"/>
  <pageSetup paperSize="9" scale="7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15</vt:i4>
      </vt:variant>
      <vt:variant>
        <vt:lpstr>Diagrammer</vt:lpstr>
      </vt:variant>
      <vt:variant>
        <vt:i4>2</vt:i4>
      </vt:variant>
    </vt:vector>
  </HeadingPairs>
  <TitlesOfParts>
    <vt:vector size="17" baseType="lpstr">
      <vt:lpstr>MR=MC produkt 1</vt:lpstr>
      <vt:lpstr>Data til graf produkt 1</vt:lpstr>
      <vt:lpstr>MR=MC produkt 2</vt:lpstr>
      <vt:lpstr>Data til graf produkt 2</vt:lpstr>
      <vt:lpstr>investering 50 år</vt:lpstr>
      <vt:lpstr>Lommeregneren TI-83</vt:lpstr>
      <vt:lpstr>investering 50 år 2.3</vt:lpstr>
      <vt:lpstr>Resultatbudget</vt:lpstr>
      <vt:lpstr>Likvidietetsbudget cash flow</vt:lpstr>
      <vt:lpstr>Balance</vt:lpstr>
      <vt:lpstr>Likviditetsbudget</vt:lpstr>
      <vt:lpstr>Resultatopgørelse til analyse</vt:lpstr>
      <vt:lpstr>Balance til analyse</vt:lpstr>
      <vt:lpstr>beregning af nøgletal</vt:lpstr>
      <vt:lpstr>Kommentarer</vt:lpstr>
      <vt:lpstr>Graf produkt 1</vt:lpstr>
      <vt:lpstr>Graf produkt 2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</dc:creator>
  <cp:lastModifiedBy>Gustav</cp:lastModifiedBy>
  <dcterms:created xsi:type="dcterms:W3CDTF">2010-06-20T07:07:42Z</dcterms:created>
  <dcterms:modified xsi:type="dcterms:W3CDTF">2010-06-20T15:41:54Z</dcterms:modified>
</cp:coreProperties>
</file>