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omments8.xml" ContentType="application/vnd.openxmlformats-officedocument.spreadsheetml.comments+xml"/>
  <Override PartName="/xl/worksheets/sheet8.xml" ContentType="application/vnd.openxmlformats-officedocument.spreadsheetml.worksheet+xml"/>
  <Override PartName="/xl/comments9.xml" ContentType="application/vnd.openxmlformats-officedocument.spreadsheetml.comments+xml"/>
  <Override PartName="/xl/worksheets/sheet9.xml" ContentType="application/vnd.openxmlformats-officedocument.spreadsheetml.worksheet+xml"/>
  <Override PartName="/xl/comments10.xml" ContentType="application/vnd.openxmlformats-officedocument.spreadsheetml.comments+xml"/>
  <Override PartName="/xl/worksheets/sheet10.xml" ContentType="application/vnd.openxmlformats-officedocument.spreadsheetml.worksheet+xml"/>
  <Override PartName="/xl/comments11.xml" ContentType="application/vnd.openxmlformats-officedocument.spreadsheetml.comments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859" activeTab="0"/>
  </bookViews>
  <sheets>
    <sheet name="Resultatbudget" sheetId="1" r:id="rId1"/>
    <sheet name="Balance" sheetId="2" r:id="rId2"/>
    <sheet name="Likviditetsbudget" sheetId="3" r:id="rId3"/>
    <sheet name="ind-udbetalingsmodellen" sheetId="4" r:id="rId4"/>
    <sheet name="investering opg 2" sheetId="5" r:id="rId5"/>
    <sheet name="MR=MC produkt 3.1" sheetId="6" r:id="rId6"/>
    <sheet name="Graf produkt 3.1" sheetId="7" r:id="rId7"/>
    <sheet name="MR=MC produkt 1" sheetId="8" r:id="rId8"/>
    <sheet name="Resultatopgørelse til analyse" sheetId="9" r:id="rId9"/>
    <sheet name="Balance til analyse" sheetId="10" r:id="rId10"/>
    <sheet name="beregning af nøgletal" sheetId="11" r:id="rId11"/>
    <sheet name="Kommentarer" sheetId="12" r:id="rId12"/>
    <sheet name="opg 4" sheetId="13" r:id="rId13"/>
  </sheets>
  <externalReferences>
    <externalReference r:id="rId16"/>
  </externalReferences>
  <definedNames/>
  <calcPr fullCalcOnLoad="1"/>
</workbook>
</file>

<file path=xl/comments1.xml><?xml version="1.0" encoding="utf-8"?>
<comments xmlns="http://schemas.openxmlformats.org/spreadsheetml/2006/main">
  <authors>
    <author>IT Afdelingen</author>
    <author>Roskilde Handelsskole</author>
    <author>IT afdelingen</author>
  </authors>
  <commentList>
    <comment ref="B2" authorId="0">
      <text>
        <r>
          <rPr>
            <b/>
            <sz val="8"/>
            <rFont val="Tahoma"/>
            <family val="0"/>
          </rPr>
          <t>Her indtastes årstal for regnskabsåret, de andre årstal justeres i forhold til dette</t>
        </r>
      </text>
    </comment>
    <comment ref="A4" authorId="1">
      <text>
        <r>
          <rPr>
            <b/>
            <sz val="14"/>
            <rFont val="Tahoma"/>
            <family val="2"/>
          </rPr>
          <t xml:space="preserve">Her skal du bestemme om det er en produktions eller en handelsvirksomhed.
Hvis det er en produktionsvirksomhed skriver du </t>
        </r>
        <r>
          <rPr>
            <b/>
            <i/>
            <sz val="16"/>
            <rFont val="Tahoma"/>
            <family val="2"/>
          </rPr>
          <t>Råvarer</t>
        </r>
        <r>
          <rPr>
            <b/>
            <sz val="14"/>
            <rFont val="Tahoma"/>
            <family val="2"/>
          </rPr>
          <t xml:space="preserve">.
Hvis det er en handelsvirksomhed skriver du </t>
        </r>
        <r>
          <rPr>
            <b/>
            <i/>
            <sz val="16"/>
            <rFont val="Tahoma"/>
            <family val="2"/>
          </rPr>
          <t>Vareforbrug</t>
        </r>
      </text>
    </comment>
    <comment ref="B34" authorId="2">
      <text>
        <r>
          <rPr>
            <b/>
            <sz val="8"/>
            <rFont val="Tahoma"/>
            <family val="0"/>
          </rPr>
          <t>Hvis der er en kassekredit i opgaven skal der angives et max. Hvis der ikke er angivet et max. i opgaven kan max sættes til primo saldoen.</t>
        </r>
        <r>
          <rPr>
            <sz val="8"/>
            <rFont val="Tahoma"/>
            <family val="0"/>
          </rPr>
          <t xml:space="preserve">
</t>
        </r>
      </text>
    </comment>
    <comment ref="C36" authorId="2">
      <text>
        <r>
          <rPr>
            <b/>
            <sz val="12"/>
            <rFont val="Tahoma"/>
            <family val="2"/>
          </rPr>
          <t>Her skal du bestemme om opgaven skal udarbejdes exclusiv eller inclklusiv moms.
Hvis du vil lave opgaven exclusiv moms tastes: 0</t>
        </r>
        <r>
          <rPr>
            <b/>
            <sz val="12"/>
            <rFont val="Tahoma"/>
            <family val="2"/>
          </rPr>
          <t xml:space="preserve">
Hvis du vil lave opgaven inclusiv moms tastes en momsprocent. I Danmark 25%,
tast: 25</t>
        </r>
        <r>
          <rPr>
            <sz val="12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Roskilde Handelsskole</author>
    <author>Brygger</author>
    <author>Jesper Brygger</author>
  </authors>
  <commentList>
    <comment ref="D17" authorId="0">
      <text>
        <r>
          <rPr>
            <b/>
            <sz val="8"/>
            <color indexed="8"/>
            <rFont val="Tahoma"/>
            <family val="2"/>
          </rPr>
          <t>Der skal ikke indtastes beløb her
(Dette er en beregningscelle)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8"/>
            <color indexed="8"/>
            <rFont val="Tahoma"/>
            <family val="2"/>
          </rPr>
          <t>Indtast ikke i felter markeret med fed</t>
        </r>
      </text>
    </comment>
    <comment ref="D25" authorId="1">
      <text>
        <r>
          <rPr>
            <b/>
            <sz val="8"/>
            <rFont val="Tahoma"/>
            <family val="0"/>
          </rPr>
          <t>Hvis gælden ikke er udspecificeret kan den indtastes her som samlet kortfristet gæld</t>
        </r>
        <r>
          <rPr>
            <sz val="8"/>
            <rFont val="Tahoma"/>
            <family val="0"/>
          </rPr>
          <t xml:space="preserve">
</t>
        </r>
      </text>
    </comment>
    <comment ref="D24" authorId="1">
      <text>
        <r>
          <rPr>
            <b/>
            <sz val="8"/>
            <rFont val="Tahoma"/>
            <family val="0"/>
          </rPr>
          <t>Indtast ikke her</t>
        </r>
        <r>
          <rPr>
            <sz val="8"/>
            <rFont val="Tahoma"/>
            <family val="0"/>
          </rPr>
          <t xml:space="preserve">
</t>
        </r>
      </text>
    </comment>
    <comment ref="D21" authorId="1">
      <text>
        <r>
          <rPr>
            <sz val="8"/>
            <rFont val="Tahoma"/>
            <family val="0"/>
          </rPr>
          <t xml:space="preserve">Hvis langfristet gæld  ikke er udspecificeret kan den indtastes her som samlet langfristet gæld
</t>
        </r>
      </text>
    </comment>
    <comment ref="D19" authorId="1">
      <text>
        <r>
          <rPr>
            <b/>
            <sz val="8"/>
            <rFont val="Tahoma"/>
            <family val="0"/>
          </rPr>
          <t>Indtast her</t>
        </r>
        <r>
          <rPr>
            <sz val="8"/>
            <rFont val="Tahoma"/>
            <family val="0"/>
          </rPr>
          <t xml:space="preserve">
</t>
        </r>
      </text>
    </comment>
    <comment ref="A8" authorId="1">
      <text>
        <r>
          <rPr>
            <b/>
            <sz val="8"/>
            <rFont val="Tahoma"/>
            <family val="0"/>
          </rPr>
          <t>Varelageret må ikke laves om da det danner grundlag for omsætningshastigheden på varelageret</t>
        </r>
      </text>
    </comment>
    <comment ref="A9" authorId="1">
      <text>
        <r>
          <rPr>
            <b/>
            <sz val="8"/>
            <rFont val="Tahoma"/>
            <family val="2"/>
          </rPr>
          <t xml:space="preserve">Varedebitorerne må ikke laves om da det danner grundlag for omsætningshastigheden på varedebitorer
</t>
        </r>
        <r>
          <rPr>
            <sz val="8"/>
            <rFont val="Tahoma"/>
            <family val="0"/>
          </rPr>
          <t xml:space="preserve">
</t>
        </r>
      </text>
    </comment>
    <comment ref="A26" authorId="1">
      <text>
        <r>
          <rPr>
            <b/>
            <sz val="8"/>
            <rFont val="Tahoma"/>
            <family val="0"/>
          </rPr>
          <t>Varekreditorerne må ikke laves om da det danner grundlag for omsætningshastigheden på varekreditorer og kreditdage</t>
        </r>
        <r>
          <rPr>
            <sz val="8"/>
            <rFont val="Tahoma"/>
            <family val="0"/>
          </rPr>
          <t xml:space="preserve">
</t>
        </r>
      </text>
    </comment>
    <comment ref="F1" authorId="2">
      <text>
        <r>
          <rPr>
            <b/>
            <sz val="8"/>
            <rFont val="Tahoma"/>
            <family val="0"/>
          </rPr>
          <t>Du kan få vist kolonne G og H ved at markere kolonne F og I,
Venstre klikke på musen og vælge vis.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Roskilde Handelsskole</author>
    <author>Brygger</author>
  </authors>
  <commentList>
    <comment ref="J27" authorId="0">
      <text>
        <r>
          <rPr>
            <sz val="12"/>
            <color indexed="8"/>
            <rFont val="Tahoma"/>
            <family val="2"/>
          </rPr>
          <t>Hvis resultatet er over 1 er der overskud.
Hvis resultatet er under 1 er der underskud. Jo større jo bedre.</t>
        </r>
      </text>
    </comment>
    <comment ref="H66" authorId="1">
      <text>
        <r>
          <rPr>
            <sz val="12"/>
            <rFont val="Tahoma"/>
            <family val="2"/>
          </rPr>
          <t>Skal helst være over 100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Brygger</author>
    <author>Roskilde Handelsskole</author>
    <author>IT afdelingen</author>
    <author>Per</author>
  </authors>
  <commentList>
    <comment ref="A15" authorId="0">
      <text>
        <r>
          <rPr>
            <b/>
            <sz val="8"/>
            <rFont val="Tahoma"/>
            <family val="0"/>
          </rPr>
          <t>Varelageret må ikke laves om da det danner grundlag for omsætningshastigheden på varelageret</t>
        </r>
      </text>
    </comment>
    <comment ref="A18" authorId="0">
      <text>
        <r>
          <rPr>
            <b/>
            <sz val="8"/>
            <rFont val="Tahoma"/>
            <family val="2"/>
          </rPr>
          <t xml:space="preserve">Varedebitorerne må ikke laves om da det danner grundlag for omsætningshastigheden på varedebitorer
</t>
        </r>
        <r>
          <rPr>
            <sz val="8"/>
            <rFont val="Tahoma"/>
            <family val="0"/>
          </rPr>
          <t xml:space="preserve">
</t>
        </r>
      </text>
    </comment>
    <comment ref="B24" authorId="1">
      <text>
        <r>
          <rPr>
            <b/>
            <sz val="8"/>
            <color indexed="8"/>
            <rFont val="Tahoma"/>
            <family val="2"/>
          </rPr>
          <t>Indtast ikke i felter markeret med fed</t>
        </r>
      </text>
    </comment>
    <comment ref="F15" authorId="0">
      <text>
        <r>
          <rPr>
            <b/>
            <sz val="8"/>
            <rFont val="Tahoma"/>
            <family val="0"/>
          </rPr>
          <t>Varekreditorerne må ikke laves om da det danner grundlag for omsætningshastigheden på varekreditorer og kreditdage</t>
        </r>
        <r>
          <rPr>
            <sz val="8"/>
            <rFont val="Tahoma"/>
            <family val="0"/>
          </rPr>
          <t xml:space="preserve">
</t>
        </r>
      </text>
    </comment>
    <comment ref="G22" authorId="2">
      <text>
        <r>
          <rPr>
            <b/>
            <sz val="16"/>
            <rFont val="Tahoma"/>
            <family val="2"/>
          </rPr>
          <t xml:space="preserve">Hvis der indtastes en kassekredit skal der også indtastes et max. Hvis intet max. er oplyst kan det sættes til saldoen på kassekreditten primo
</t>
        </r>
        <r>
          <rPr>
            <sz val="8"/>
            <rFont val="Tahoma"/>
            <family val="0"/>
          </rPr>
          <t xml:space="preserve">
</t>
        </r>
      </text>
    </comment>
    <comment ref="H11" authorId="2">
      <text>
        <r>
          <rPr>
            <b/>
            <sz val="14"/>
            <rFont val="Tahoma"/>
            <family val="2"/>
          </rPr>
          <t>Når der afdrages på gælden skal der tastes minus foran tallet.</t>
        </r>
      </text>
    </comment>
    <comment ref="A16" authorId="2">
      <text>
        <r>
          <rPr>
            <b/>
            <sz val="8"/>
            <rFont val="Tahoma"/>
            <family val="0"/>
          </rPr>
          <t>Tast ikke her, det er en celle til produktionen(VUF) i en produktionsvirksomhed</t>
        </r>
      </text>
    </comment>
    <comment ref="A17" authorId="2">
      <text>
        <r>
          <rPr>
            <b/>
            <sz val="8"/>
            <rFont val="Tahoma"/>
            <family val="0"/>
          </rPr>
          <t xml:space="preserve">Tast ikke her, 
det er en celle til færdigvarerlageret i en produktionsvirksomhed
</t>
        </r>
      </text>
    </comment>
    <comment ref="I6" authorId="3">
      <text>
        <r>
          <rPr>
            <b/>
            <sz val="8"/>
            <rFont val="Tahoma"/>
            <family val="0"/>
          </rPr>
          <t>Der skal ikke tastes minus foran privatforbruget</t>
        </r>
        <r>
          <rPr>
            <sz val="8"/>
            <rFont val="Tahoma"/>
            <family val="0"/>
          </rPr>
          <t xml:space="preserve">
</t>
        </r>
      </text>
    </comment>
    <comment ref="F4" authorId="3">
      <text>
        <r>
          <rPr>
            <sz val="8"/>
            <rFont val="Tahoma"/>
            <family val="0"/>
          </rPr>
          <t xml:space="preserve">Teksten ændrer sig. Hvis der tastes 0 i reserver i resultat budgettet bliver teksten til Egenkapital ellers aktiekapital.
</t>
        </r>
      </text>
    </comment>
  </commentList>
</comments>
</file>

<file path=xl/comments6.xml><?xml version="1.0" encoding="utf-8"?>
<comments xmlns="http://schemas.openxmlformats.org/spreadsheetml/2006/main">
  <authors>
    <author>Brygger</author>
  </authors>
  <commentList>
    <comment ref="N5" authorId="0">
      <text>
        <r>
          <rPr>
            <b/>
            <sz val="20"/>
            <rFont val="Tahoma"/>
            <family val="2"/>
          </rPr>
          <t xml:space="preserve">Hvis der ikke er nogen hældning på MC - kurven dvs. den er vandret skal der stå 0 her.
</t>
        </r>
        <r>
          <rPr>
            <sz val="2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20"/>
            <rFont val="Tahoma"/>
            <family val="2"/>
          </rPr>
          <t xml:space="preserve">Hvis der ikke er nogen hældning på MC - kurven dvs. den er vandret skal der stå 1 her.
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sz val="20"/>
            <rFont val="Tahoma"/>
            <family val="2"/>
          </rPr>
          <t>I</t>
        </r>
        <r>
          <rPr>
            <b/>
            <sz val="20"/>
            <rFont val="Tahoma"/>
            <family val="2"/>
          </rPr>
          <t>ndtast tælleren i brøken. Hvis det ikke er en brøk 
indtastes det hele tal her.
Hvis der ikke er nogen hældning, dvs. hvis afsætningskurven er vandret skal der stå 0 her</t>
        </r>
      </text>
    </comment>
    <comment ref="E4" authorId="0">
      <text>
        <r>
          <rPr>
            <b/>
            <sz val="20"/>
            <rFont val="Tahoma"/>
            <family val="2"/>
          </rPr>
          <t>Indtast nævneren i brøken. Hvis hældningskoefficienten er et helt tal tastes 1 her.
Hvis der ikke er nogen hældning på MR - kurven dvs. den er vandret skal der også stå 1 her.</t>
        </r>
        <r>
          <rPr>
            <sz val="20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Brygger</author>
  </authors>
  <commentList>
    <comment ref="N5" authorId="0">
      <text>
        <r>
          <rPr>
            <b/>
            <sz val="20"/>
            <rFont val="Tahoma"/>
            <family val="2"/>
          </rPr>
          <t xml:space="preserve">Hvis der ikke er nogen hældning på MC - kurven dvs. den er vandret skal der stå 0 her.
</t>
        </r>
        <r>
          <rPr>
            <sz val="20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20"/>
            <rFont val="Tahoma"/>
            <family val="2"/>
          </rPr>
          <t xml:space="preserve">Hvis der ikke er nogen hældning på MC - kurven dvs. den er vandret skal der stå 1 her.
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sz val="20"/>
            <rFont val="Tahoma"/>
            <family val="2"/>
          </rPr>
          <t>I</t>
        </r>
        <r>
          <rPr>
            <b/>
            <sz val="20"/>
            <rFont val="Tahoma"/>
            <family val="2"/>
          </rPr>
          <t>ndtast tælleren i brøken. Hvis det ikke er en brøk 
indtastes det hele tal her.
Hvis der ikke er nogen hældning, dvs. hvis afsætningskurven er vandret skal der stå 0 her</t>
        </r>
      </text>
    </comment>
    <comment ref="E4" authorId="0">
      <text>
        <r>
          <rPr>
            <b/>
            <sz val="20"/>
            <rFont val="Tahoma"/>
            <family val="2"/>
          </rPr>
          <t>Indtast nævneren i brøken. Hvis hældningskoefficienten er et helt tal tastes 1 her.
Hvis der ikke er nogen hældning på MR - kurven dvs. den er vandret skal der også stå 1 her.</t>
        </r>
        <r>
          <rPr>
            <sz val="20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Brygger</author>
    <author>Roskilde Handelsskole</author>
    <author>jesper</author>
  </authors>
  <commentList>
    <comment ref="B2" authorId="0">
      <text>
        <r>
          <rPr>
            <sz val="8"/>
            <color indexed="8"/>
            <rFont val="Tahoma"/>
            <family val="2"/>
          </rPr>
          <t>Indsæt årstal. De andre årstal i opgaven justeres efter dette årstal.
Der skal ikke tastes minus foran udgifterne. 
Der må ikke indtastes i beregningscellerne som er markeret med</t>
        </r>
        <r>
          <rPr>
            <b/>
            <sz val="8"/>
            <color indexed="8"/>
            <rFont val="Tahoma"/>
            <family val="2"/>
          </rPr>
          <t xml:space="preserve"> fed</t>
        </r>
        <r>
          <rPr>
            <sz val="8"/>
            <color indexed="8"/>
            <rFont val="Tahoma"/>
            <family val="2"/>
          </rPr>
          <t xml:space="preserve"> (Dækningsbidrag, IB, osv.)</t>
        </r>
      </text>
    </comment>
    <comment ref="B20" authorId="1">
      <text>
        <r>
          <rPr>
            <b/>
            <sz val="8"/>
            <color indexed="58"/>
            <rFont val="Tahoma"/>
            <family val="2"/>
          </rPr>
          <t>Der skal ikke tastes minus foran renteudgifterne</t>
        </r>
      </text>
    </comment>
    <comment ref="A1" authorId="1">
      <text>
        <r>
          <rPr>
            <b/>
            <sz val="16"/>
            <rFont val="Tahoma"/>
            <family val="2"/>
          </rPr>
          <t>Indtast et firmanavn, der må kun indtastes i de gule celler - du ønskes en behagelig indtastning! Brug aldrig rusmidler kun lettere opkvikkende stoffer!</t>
        </r>
      </text>
    </comment>
    <comment ref="A3" authorId="2">
      <text>
        <r>
          <rPr>
            <b/>
            <sz val="16"/>
            <rFont val="Tahoma"/>
            <family val="2"/>
          </rPr>
          <t xml:space="preserve">Man må meget gerne skjule rækker hvis der ikke er brug for indtastning i alle rækker </t>
        </r>
      </text>
    </comment>
    <comment ref="A4" authorId="2">
      <text>
        <r>
          <rPr>
            <b/>
            <sz val="16"/>
            <rFont val="Tahoma"/>
            <family val="2"/>
          </rPr>
          <t>Hvis det er produktionsvirksomhed tastes produktionsomkostninger.
Hvis det er en handelsvirksomhed tastes vareforbrug</t>
        </r>
      </text>
    </comment>
    <comment ref="A6" authorId="2">
      <text>
        <r>
          <rPr>
            <b/>
            <sz val="16"/>
            <rFont val="Tahoma"/>
            <family val="2"/>
          </rPr>
          <t>Denne række er lavet til at man kan indtaste andre variable omkostninger f.eks.
Salgsprovision eller
arbejdsløn i produktionen</t>
        </r>
      </text>
    </comment>
    <comment ref="A8" authorId="2">
      <text>
        <r>
          <rPr>
            <b/>
            <sz val="16"/>
            <rFont val="Tahoma"/>
            <family val="2"/>
          </rPr>
          <t>Her kan man taste salsfremmende omkostninger ofte er de benævnt i opgaverne som markedsføringsomkostninger</t>
        </r>
      </text>
    </comment>
    <comment ref="A21" authorId="2">
      <text>
        <r>
          <rPr>
            <b/>
            <sz val="16"/>
            <rFont val="Tahoma"/>
            <family val="2"/>
          </rPr>
          <t>Er det samme som resultat før skat eller resultat før ekstraordinære poster</t>
        </r>
      </text>
    </comment>
    <comment ref="A20" authorId="2">
      <text>
        <r>
          <rPr>
            <b/>
            <sz val="9"/>
            <rFont val="Tahoma"/>
            <family val="2"/>
          </rPr>
          <t>Her indtastes de finansielle poster som er det samme som rente omkostninger, hvis der kun findes finansielle poster netto skal man lige se efter om det er omkostninger eller indtægter</t>
        </r>
      </text>
    </comment>
    <comment ref="A10" authorId="2">
      <text>
        <r>
          <rPr>
            <b/>
            <sz val="16"/>
            <rFont val="Tahoma"/>
            <family val="2"/>
          </rPr>
          <t>Her indtastes de faste omkostninger, der er mulighed for at indtaste op til 6 forskellige faste omkostninger. Faste omkostninger kaldes også kontante kapacitetsomkostninger eller nogle gange bare kapacitetsomkostninger.</t>
        </r>
        <r>
          <rPr>
            <sz val="16"/>
            <rFont val="Tahoma"/>
            <family val="2"/>
          </rPr>
          <t xml:space="preserve">
</t>
        </r>
      </text>
    </comment>
    <comment ref="A7" authorId="2">
      <text>
        <r>
          <rPr>
            <sz val="9"/>
            <rFont val="Tahoma"/>
            <family val="2"/>
          </rPr>
          <t xml:space="preserve">Husk dækningsbidraget er salget/omsætningen fratrukket alle de variable omkostninger
</t>
        </r>
      </text>
    </comment>
  </commentList>
</comments>
</file>

<file path=xl/sharedStrings.xml><?xml version="1.0" encoding="utf-8"?>
<sst xmlns="http://schemas.openxmlformats.org/spreadsheetml/2006/main" count="662" uniqueCount="452">
  <si>
    <t>i alt</t>
  </si>
  <si>
    <t>januar</t>
  </si>
  <si>
    <t>februar</t>
  </si>
  <si>
    <t>april</t>
  </si>
  <si>
    <t>maj</t>
  </si>
  <si>
    <t>juli</t>
  </si>
  <si>
    <t>august</t>
  </si>
  <si>
    <t>oktober</t>
  </si>
  <si>
    <t>november</t>
  </si>
  <si>
    <t>Net cash flow</t>
  </si>
  <si>
    <t>G.snit udgifter pr. md.</t>
  </si>
  <si>
    <t xml:space="preserve">Saldo </t>
  </si>
  <si>
    <t>Indtægter i alt</t>
  </si>
  <si>
    <t>Kommentar</t>
  </si>
  <si>
    <t xml:space="preserve">Udgifter  </t>
  </si>
  <si>
    <t>Udgifter i alt</t>
  </si>
  <si>
    <t>Indtægter:</t>
  </si>
  <si>
    <t>Ændring pris</t>
  </si>
  <si>
    <t>Omsætning</t>
  </si>
  <si>
    <t>Vareforbrug</t>
  </si>
  <si>
    <t>Bruttofortjeneste</t>
  </si>
  <si>
    <t>Salgsprovision</t>
  </si>
  <si>
    <t>Dækningsbidrag</t>
  </si>
  <si>
    <t>Salgsfremmende omk.</t>
  </si>
  <si>
    <t>Markedsføringsbidrag</t>
  </si>
  <si>
    <t>Kontantekapacitets omk.</t>
  </si>
  <si>
    <t>Lokale omk.</t>
  </si>
  <si>
    <t>Gager</t>
  </si>
  <si>
    <t>Øvrige omk.</t>
  </si>
  <si>
    <t>Indtjeningsbidrag</t>
  </si>
  <si>
    <t>Afskrivninger</t>
  </si>
  <si>
    <t>Resultat før renter</t>
  </si>
  <si>
    <t>Renteomkostninger</t>
  </si>
  <si>
    <t>Renteindtægter</t>
  </si>
  <si>
    <t>Resultat før eks. omk.</t>
  </si>
  <si>
    <t>Ekstraordinære omk.</t>
  </si>
  <si>
    <t>Resultat før skat</t>
  </si>
  <si>
    <t>Skat</t>
  </si>
  <si>
    <t>Resultat</t>
  </si>
  <si>
    <t>Resultat fordeling</t>
  </si>
  <si>
    <t>Udbytte</t>
  </si>
  <si>
    <t>Reserver</t>
  </si>
  <si>
    <t>Ændring</t>
  </si>
  <si>
    <t>Kassekredit max.</t>
  </si>
  <si>
    <t xml:space="preserve">Beregningerne er foretaget </t>
  </si>
  <si>
    <t>Aktie emmision</t>
  </si>
  <si>
    <t>Budgetteret Balance</t>
  </si>
  <si>
    <t>Aktiver:</t>
  </si>
  <si>
    <t>Passiver:</t>
  </si>
  <si>
    <t>Anlægsaktiver:</t>
  </si>
  <si>
    <t>køb</t>
  </si>
  <si>
    <t>Afskrivning</t>
  </si>
  <si>
    <t>Egenkapital:</t>
  </si>
  <si>
    <t>Anlægsaktiver</t>
  </si>
  <si>
    <t>Grunde &amp; bygninger</t>
  </si>
  <si>
    <t>Egenkapital ultimo</t>
  </si>
  <si>
    <t>Hensættelser</t>
  </si>
  <si>
    <t>Tekniske anlæg</t>
  </si>
  <si>
    <t>Langfristet gæld:</t>
  </si>
  <si>
    <t>Nyt lån til investeringer</t>
  </si>
  <si>
    <t>Biler</t>
  </si>
  <si>
    <t>Realkreditinstitutter</t>
  </si>
  <si>
    <t>Anlægsaktiver i alt</t>
  </si>
  <si>
    <t>Langfristet gæld i alt</t>
  </si>
  <si>
    <t xml:space="preserve">Omsætningsaktiver: </t>
  </si>
  <si>
    <t>Kortfristet gæld:</t>
  </si>
  <si>
    <t>Varekreditorer</t>
  </si>
  <si>
    <t>Forudbetalinger</t>
  </si>
  <si>
    <t>Varedebitorer</t>
  </si>
  <si>
    <t>Anden gæld</t>
  </si>
  <si>
    <t>Periodeafg.</t>
  </si>
  <si>
    <t>-</t>
  </si>
  <si>
    <t>Værdipapirer</t>
  </si>
  <si>
    <t>Øvrig kortfristet gæld</t>
  </si>
  <si>
    <t>Andre debitorer</t>
  </si>
  <si>
    <t>Likvide midler</t>
  </si>
  <si>
    <t xml:space="preserve">Omsætningsaktiver i alt </t>
  </si>
  <si>
    <t>Kortfristet gæld i alt</t>
  </si>
  <si>
    <t>Aktiver i alt</t>
  </si>
  <si>
    <t>Passiver i alt</t>
  </si>
  <si>
    <t>Omsætningshastigheder:</t>
  </si>
  <si>
    <t>Formel:</t>
  </si>
  <si>
    <t>*Varekøb  =</t>
  </si>
  <si>
    <t xml:space="preserve">Likviditetsbudget </t>
  </si>
  <si>
    <t>Ændringer i omsætningsaktiver:</t>
  </si>
  <si>
    <t>Primo</t>
  </si>
  <si>
    <t>Ultimo</t>
  </si>
  <si>
    <t>Ændringer i kortfristet gæld:</t>
  </si>
  <si>
    <t>Driftens likviditetsvirkning</t>
  </si>
  <si>
    <t>Anlægsinvesteringer:</t>
  </si>
  <si>
    <t>Køb af anlægsaktiver</t>
  </si>
  <si>
    <t>Finansielle indbetalinger:</t>
  </si>
  <si>
    <t>Finansielle udbetalinger:</t>
  </si>
  <si>
    <t>Periodens Likviditetsforskydning</t>
  </si>
  <si>
    <t>Likvide beholdninger Primo:</t>
  </si>
  <si>
    <t>Træk på kassekredit</t>
  </si>
  <si>
    <t>likvide beholdninger</t>
  </si>
  <si>
    <t>Likvide beholdninger Ultimo</t>
  </si>
  <si>
    <t>Salg fra 2010</t>
  </si>
  <si>
    <t>Kontant salg 20%</t>
  </si>
  <si>
    <t>Kreditsalg 1/3</t>
  </si>
  <si>
    <t>Kreditsalg 2/3</t>
  </si>
  <si>
    <t>Bankgæld</t>
  </si>
  <si>
    <t>Varekøb 2010</t>
  </si>
  <si>
    <t>Varekøb 2011 90 dages kredit</t>
  </si>
  <si>
    <t>Salgsprovision 5%</t>
  </si>
  <si>
    <t>Kontante kapacitetsomk.</t>
  </si>
  <si>
    <t>Afdrag på banklån</t>
  </si>
  <si>
    <t>likvider primo</t>
  </si>
  <si>
    <t>udbytte</t>
  </si>
  <si>
    <t>til balancen</t>
  </si>
  <si>
    <t>Investering</t>
  </si>
  <si>
    <t>1 kvartal</t>
  </si>
  <si>
    <t>2 kvartal</t>
  </si>
  <si>
    <t>3 kvartal</t>
  </si>
  <si>
    <t>4 kvartal</t>
  </si>
  <si>
    <t>1.3 i andet kvartal har vi behov for en kassekredit på 740.000</t>
  </si>
  <si>
    <t>Opgave 2</t>
  </si>
  <si>
    <t>år</t>
  </si>
  <si>
    <t>rente</t>
  </si>
  <si>
    <t>Tid / År</t>
  </si>
  <si>
    <t>Indbetalinger</t>
  </si>
  <si>
    <t>Udbetalinger</t>
  </si>
  <si>
    <t>Net Cash-Flow</t>
  </si>
  <si>
    <t>2.1</t>
  </si>
  <si>
    <t>NPV, nutidsværdimetoden, kapitalværdienmetoden</t>
  </si>
  <si>
    <t>Annuitetsmetoden (Det årlige resultat)/PMT</t>
  </si>
  <si>
    <t>2.2</t>
  </si>
  <si>
    <t>Den interne rente (IRR)</t>
  </si>
  <si>
    <t>Tilbagebetalingstiden i år (pay -back)</t>
  </si>
  <si>
    <t>nutidsværdi</t>
  </si>
  <si>
    <t>omregnet til en annuitet</t>
  </si>
  <si>
    <t>Kommentarer:</t>
  </si>
  <si>
    <r>
      <t>Diskonteringsfaktoren Rentetabel 2  (1+r)</t>
    </r>
    <r>
      <rPr>
        <b/>
        <vertAlign val="superscript"/>
        <sz val="12"/>
        <rFont val="Arial"/>
        <family val="2"/>
      </rPr>
      <t>-n</t>
    </r>
  </si>
  <si>
    <r>
      <t xml:space="preserve">Nutidsværdi </t>
    </r>
    <r>
      <rPr>
        <b/>
        <vertAlign val="superscript"/>
        <sz val="12"/>
        <rFont val="Arial"/>
        <family val="2"/>
      </rPr>
      <t xml:space="preserve"> Diskonteringsfaktoren * Net cash-flow</t>
    </r>
  </si>
  <si>
    <r>
      <t>Diskonteringsfaktoren   (1+r)</t>
    </r>
    <r>
      <rPr>
        <b/>
        <vertAlign val="superscript"/>
        <sz val="12"/>
        <rFont val="Arial"/>
        <family val="2"/>
      </rPr>
      <t xml:space="preserve">-n </t>
    </r>
    <r>
      <rPr>
        <b/>
        <sz val="12"/>
        <rFont val="Arial"/>
        <family val="2"/>
      </rPr>
      <t>ved IRR</t>
    </r>
  </si>
  <si>
    <r>
      <t>NPV omregnet til en  annuitet = ((1+r)</t>
    </r>
    <r>
      <rPr>
        <b/>
        <vertAlign val="superscript"/>
        <sz val="12"/>
        <rFont val="Arial"/>
        <family val="2"/>
      </rPr>
      <t xml:space="preserve">n </t>
    </r>
    <r>
      <rPr>
        <b/>
        <sz val="12"/>
        <rFont val="Arial"/>
        <family val="2"/>
      </rPr>
      <t>*r) / ((1+r)</t>
    </r>
    <r>
      <rPr>
        <b/>
        <vertAlign val="superscript"/>
        <sz val="12"/>
        <rFont val="Arial"/>
        <family val="2"/>
      </rPr>
      <t>n</t>
    </r>
    <r>
      <rPr>
        <b/>
        <sz val="12"/>
        <rFont val="Arial"/>
        <family val="2"/>
      </rPr>
      <t>-1)</t>
    </r>
  </si>
  <si>
    <t>2.3</t>
  </si>
  <si>
    <t>divideret med 150</t>
  </si>
  <si>
    <t>billetter kan sælges mindre end de 10.000 stk. som er inkalkuleret i ovenstående beregning</t>
  </si>
  <si>
    <t>billetter for at investeringen er rentabel med 8% i rente.</t>
  </si>
  <si>
    <t xml:space="preserve">dvs. der skal mindst sælges </t>
  </si>
  <si>
    <t>2.4</t>
  </si>
  <si>
    <t xml:space="preserve">Renten er variabel det skal der tages højde for, kan vi ikke få låst den fast? </t>
  </si>
  <si>
    <t>Ekstra salg i forbindelse med kampene, alle skal have lidt at drikke evt. en pølse det giver omsætning til klubben</t>
  </si>
  <si>
    <t>Hvad med reklamer? Er der ikke en lokal virksomhed som vil betale lidt ekstra for reklamer når der kommer flere mennesker til vores kampe?</t>
  </si>
  <si>
    <t>Finland</t>
  </si>
  <si>
    <t>Prisoptimering</t>
  </si>
  <si>
    <t>Ligninger for Indtægterne:</t>
  </si>
  <si>
    <t>Ligninger for omkostningerne:</t>
  </si>
  <si>
    <t>Afsætning</t>
  </si>
  <si>
    <t>P</t>
  </si>
  <si>
    <t>=</t>
  </si>
  <si>
    <t>X</t>
  </si>
  <si>
    <t>+</t>
  </si>
  <si>
    <t>FO</t>
  </si>
  <si>
    <t>VO</t>
  </si>
  <si>
    <t>TO</t>
  </si>
  <si>
    <t>MR</t>
  </si>
  <si>
    <t xml:space="preserve">indtil </t>
  </si>
  <si>
    <t>Max.kapacitet</t>
  </si>
  <si>
    <t>Løsning</t>
  </si>
  <si>
    <t>Udregning af løsninger:</t>
  </si>
  <si>
    <t>Mængde beregnet</t>
  </si>
  <si>
    <t>Mængde max. MC</t>
  </si>
  <si>
    <t>Mængde min. MC</t>
  </si>
  <si>
    <t>Samlet mængde max.</t>
  </si>
  <si>
    <t>Optimal mængde</t>
  </si>
  <si>
    <t>Pris</t>
  </si>
  <si>
    <t>omsætning</t>
  </si>
  <si>
    <t>vo(1)</t>
  </si>
  <si>
    <t>Vo(2)</t>
  </si>
  <si>
    <t>Vo(3)</t>
  </si>
  <si>
    <t>DB</t>
  </si>
  <si>
    <t>Max DB</t>
  </si>
  <si>
    <t>Faste</t>
  </si>
  <si>
    <t>Overskud</t>
  </si>
  <si>
    <t>For at finde det optimale/maksimale Dækningsbidrag skal vi sætte MR lig med MC, derved finder vi den optimale mængde:</t>
  </si>
  <si>
    <t>indsættes i afsætningsfunktionen og man får prisen til:</t>
  </si>
  <si>
    <t>Resultatopgørelse</t>
  </si>
  <si>
    <t>*</t>
  </si>
  <si>
    <t>-VO</t>
  </si>
  <si>
    <t>Priselasticitet i optimum:</t>
  </si>
  <si>
    <t>Formel (nedre p-akse / øvre p-akse)*-1</t>
  </si>
  <si>
    <t>/</t>
  </si>
  <si>
    <t>Tabel løsning prisoptimering</t>
  </si>
  <si>
    <t>Mængde</t>
  </si>
  <si>
    <t xml:space="preserve">VO </t>
  </si>
  <si>
    <t>Faste omk.</t>
  </si>
  <si>
    <t>MC</t>
  </si>
  <si>
    <t>(MR-MC)</t>
  </si>
  <si>
    <r>
      <t>MC</t>
    </r>
    <r>
      <rPr>
        <b/>
        <vertAlign val="subscript"/>
        <sz val="10"/>
        <rFont val="Arial"/>
        <family val="2"/>
      </rPr>
      <t>(1)</t>
    </r>
  </si>
  <si>
    <r>
      <t>VO</t>
    </r>
    <r>
      <rPr>
        <b/>
        <vertAlign val="subscript"/>
        <sz val="10"/>
        <rFont val="Arial"/>
        <family val="2"/>
      </rPr>
      <t>(2)</t>
    </r>
  </si>
  <si>
    <r>
      <t>MC</t>
    </r>
    <r>
      <rPr>
        <b/>
        <vertAlign val="subscript"/>
        <sz val="10"/>
        <rFont val="Arial"/>
        <family val="2"/>
      </rPr>
      <t>(2)</t>
    </r>
  </si>
  <si>
    <r>
      <t>VO</t>
    </r>
    <r>
      <rPr>
        <b/>
        <vertAlign val="subscript"/>
        <sz val="10"/>
        <rFont val="Arial"/>
        <family val="2"/>
      </rPr>
      <t>(3)</t>
    </r>
  </si>
  <si>
    <r>
      <t>MC</t>
    </r>
    <r>
      <rPr>
        <b/>
        <vertAlign val="subscript"/>
        <sz val="10"/>
        <rFont val="Arial"/>
        <family val="2"/>
      </rPr>
      <t>(3)</t>
    </r>
  </si>
  <si>
    <t>For at finde det optimale/maksimale Dækningsbidrag i DK skal vi sætte MR dk lig med MR udenlandsk, derved finder vi den optimale mængde:</t>
  </si>
  <si>
    <t>stk.</t>
  </si>
  <si>
    <t>DK Omsætning</t>
  </si>
  <si>
    <t>Udenlandsk omsætning</t>
  </si>
  <si>
    <t>-VO 1</t>
  </si>
  <si>
    <t>-VO 2</t>
  </si>
  <si>
    <t>-VO 3 fragt og emballage</t>
  </si>
  <si>
    <t>3.3</t>
  </si>
  <si>
    <t>Kunderne skal kunne holdes adskilt, så de ikke opdager at produktet kan købes billigere</t>
  </si>
  <si>
    <t xml:space="preserve">et andet sted. </t>
  </si>
  <si>
    <t>Hvad med konkurrenterne, kan vi selv prisfastsætte?</t>
  </si>
  <si>
    <t xml:space="preserve">Måske kunne vi ændre lidt på produktet for at retfærdiggøre den høje pris i DK eller bruge ekstra penge på </t>
  </si>
  <si>
    <t>relkame.</t>
  </si>
  <si>
    <t>Resultatopgørelse til analysebrug</t>
  </si>
  <si>
    <t>Årstal</t>
  </si>
  <si>
    <t xml:space="preserve">Ændring </t>
  </si>
  <si>
    <t>% ændring</t>
  </si>
  <si>
    <t>Nettoomsætning</t>
  </si>
  <si>
    <t>Produktions omk.</t>
  </si>
  <si>
    <t>Bruttoresultat</t>
  </si>
  <si>
    <t>salgsprovision</t>
  </si>
  <si>
    <t>Markedsføringsomkostninger</t>
  </si>
  <si>
    <t>Markedsføringbidrag</t>
  </si>
  <si>
    <t>Distributionsomk</t>
  </si>
  <si>
    <t>Admomk</t>
  </si>
  <si>
    <t>Andre driftsposter netto</t>
  </si>
  <si>
    <t>Resultat før renter (EBIT)</t>
  </si>
  <si>
    <t>Rente indtægter</t>
  </si>
  <si>
    <t>Rente omkostninger</t>
  </si>
  <si>
    <t>Resultat efter renter</t>
  </si>
  <si>
    <t>Koncernresultat</t>
  </si>
  <si>
    <t>Minoritetsinteresser</t>
  </si>
  <si>
    <t>Resultat for Carlsberg A/S</t>
  </si>
  <si>
    <t>Yderligere oplysninger:</t>
  </si>
  <si>
    <t>Antal ansatte</t>
  </si>
  <si>
    <t>Antal aktier</t>
  </si>
  <si>
    <t>Børskurs</t>
  </si>
  <si>
    <t>Balance til analysebrug</t>
  </si>
  <si>
    <t>Balance</t>
  </si>
  <si>
    <t>%ændring</t>
  </si>
  <si>
    <t>Varelager</t>
  </si>
  <si>
    <t>Likvide</t>
  </si>
  <si>
    <t>Egenkapital</t>
  </si>
  <si>
    <t>Gæld i alt</t>
  </si>
  <si>
    <t>difference</t>
  </si>
  <si>
    <t xml:space="preserve">Regnskabsanalyse </t>
  </si>
  <si>
    <t>Rentabilitet:</t>
  </si>
  <si>
    <t>Formler</t>
  </si>
  <si>
    <t>Beregning for</t>
  </si>
  <si>
    <t>Afkastningsgrad</t>
  </si>
  <si>
    <t>*100</t>
  </si>
  <si>
    <t>Overskudsgrad</t>
  </si>
  <si>
    <t>Aktivernes omh.</t>
  </si>
  <si>
    <t>Gældsrente</t>
  </si>
  <si>
    <t>Gæld incl. Hensættelser</t>
  </si>
  <si>
    <t>Egenkapital forrentning</t>
  </si>
  <si>
    <t>før skat</t>
  </si>
  <si>
    <t>Egenkapitalen primo</t>
  </si>
  <si>
    <t>efter skat</t>
  </si>
  <si>
    <t>Indtjeningsevne:</t>
  </si>
  <si>
    <t>overskudsgrad</t>
  </si>
  <si>
    <t>Bruttomargin</t>
  </si>
  <si>
    <t>Dækningsgrad</t>
  </si>
  <si>
    <t>Markdesføringsgraden</t>
  </si>
  <si>
    <t>Indtjeningsgraden</t>
  </si>
  <si>
    <t>Kapacitetsgraden</t>
  </si>
  <si>
    <t>Kapacitetsomk incl afskrivninger</t>
  </si>
  <si>
    <t>Nulpunktsomsætning</t>
  </si>
  <si>
    <t xml:space="preserve">Sikkerhedsmargin </t>
  </si>
  <si>
    <t>Omsætning - Nulpunktoms.</t>
  </si>
  <si>
    <t>Indeks:</t>
  </si>
  <si>
    <t>= 100  basisåret</t>
  </si>
  <si>
    <t>Eksempel for året</t>
  </si>
  <si>
    <t>Årets tal</t>
  </si>
  <si>
    <t>Basisårets tal</t>
  </si>
  <si>
    <t>Kapitaltilpasningen</t>
  </si>
  <si>
    <t>Varelagerets omh.</t>
  </si>
  <si>
    <t>lagerdage</t>
  </si>
  <si>
    <t>Varedebitorerne omh.</t>
  </si>
  <si>
    <t>*1,25</t>
  </si>
  <si>
    <t>Forudsætning: 100% kreditsalg</t>
  </si>
  <si>
    <t>Skylddage</t>
  </si>
  <si>
    <t>Varekreditorernes omh</t>
  </si>
  <si>
    <r>
      <t>¤</t>
    </r>
    <r>
      <rPr>
        <sz val="10"/>
        <rFont val="Arial"/>
        <family val="0"/>
      </rPr>
      <t xml:space="preserve"> Kreditkøb er defineret som varforbrug + ultimo lager - primo lager</t>
    </r>
  </si>
  <si>
    <t>Det forudsættes at der ikke er lagerændringer det første år.</t>
  </si>
  <si>
    <t>kreditdage</t>
  </si>
  <si>
    <t>Likviditetsgrad II</t>
  </si>
  <si>
    <t>Oms. Aktiver ex. Varelager</t>
  </si>
  <si>
    <t>Acid test</t>
  </si>
  <si>
    <t>Kortfristet gæld</t>
  </si>
  <si>
    <t>Likviditetsgrad I</t>
  </si>
  <si>
    <t>Omsætningsaktiver</t>
  </si>
  <si>
    <t>Current ratio</t>
  </si>
  <si>
    <t>Soliditetsgrad I</t>
  </si>
  <si>
    <t>Samlet kapital</t>
  </si>
  <si>
    <t xml:space="preserve">Gearingen </t>
  </si>
  <si>
    <t>Gæld</t>
  </si>
  <si>
    <t>Rente marginalen</t>
  </si>
  <si>
    <t>Børsrelaterede nøgletal og øvrige nøgletal:</t>
  </si>
  <si>
    <t>Resultat pr. aktie</t>
  </si>
  <si>
    <t>(EPS)</t>
  </si>
  <si>
    <t>P/E-værdi</t>
  </si>
  <si>
    <t>(Price/earnings</t>
  </si>
  <si>
    <t>Indre værdi pr. aktie</t>
  </si>
  <si>
    <t>Kurs/indre værdi</t>
  </si>
  <si>
    <t>Omsætning. Pr. beskæftiget</t>
  </si>
  <si>
    <t xml:space="preserve">Indeks:  </t>
  </si>
  <si>
    <t>= 100 ,basisår</t>
  </si>
  <si>
    <t>Kommentarer til rentabiliteten:</t>
  </si>
  <si>
    <t>Afkastningsgraden (AG):</t>
  </si>
  <si>
    <t xml:space="preserve">Afkastningsgraden ligger i </t>
  </si>
  <si>
    <t>på</t>
  </si>
  <si>
    <t xml:space="preserve">hvilket er et </t>
  </si>
  <si>
    <t xml:space="preserve">niveau sammenlignet   </t>
  </si>
  <si>
    <t xml:space="preserve">med dansk industri* som ligger på </t>
  </si>
  <si>
    <t xml:space="preserve">. Afkastningsgraden er i perioden </t>
  </si>
  <si>
    <t>med</t>
  </si>
  <si>
    <t>. Udviklingen skyldes primært</t>
  </si>
  <si>
    <t>i</t>
  </si>
  <si>
    <t>.</t>
  </si>
  <si>
    <t>(Husk sammenhængen AG=OG*AOH)</t>
  </si>
  <si>
    <t>Overskudsgraden (OG):</t>
  </si>
  <si>
    <t xml:space="preserve">Overskudsgraden er "hovednøgletal" for indtjeningsevnen. Niveauet for overskudsgraden ligger i </t>
  </si>
  <si>
    <t>dvs.</t>
  </si>
  <si>
    <t>tjener</t>
  </si>
  <si>
    <t>kr. i resultat før renter</t>
  </si>
  <si>
    <t>pr. 100 kroners salg/omsætning.</t>
  </si>
  <si>
    <t xml:space="preserve">Ved benchmarking med dansk industri*  bør overskudsgraden </t>
  </si>
  <si>
    <t>ligge på</t>
  </si>
  <si>
    <t xml:space="preserve">. Niveauet er dermed </t>
  </si>
  <si>
    <t xml:space="preserve">Udviklingen i overskudsgraden er </t>
  </si>
  <si>
    <t xml:space="preserve">med  </t>
  </si>
  <si>
    <t>Aktivernes omsætningshastighed (AOH):</t>
  </si>
  <si>
    <t xml:space="preserve">omsætter i </t>
  </si>
  <si>
    <t>sine aktiver</t>
  </si>
  <si>
    <t xml:space="preserve">gange. Niveauet bør </t>
  </si>
  <si>
    <t xml:space="preserve">ligge på </t>
  </si>
  <si>
    <t>gange ifølge dansk industri*</t>
  </si>
  <si>
    <t>. Niveauet må derfor betegnes som</t>
  </si>
  <si>
    <t>AOH har i perioden udviklet sig</t>
  </si>
  <si>
    <t>hvilket har bidraget til at</t>
  </si>
  <si>
    <t>den samlede rentabilitet (AG).</t>
  </si>
  <si>
    <t>I alt er</t>
  </si>
  <si>
    <t>i AOH på</t>
  </si>
  <si>
    <t>i perioden.</t>
  </si>
  <si>
    <t>Egenkapitalens forrentning (EKF), gældsrenten, gearing og soliditet:</t>
  </si>
  <si>
    <t>Niveauet for EKF ligger på</t>
  </si>
  <si>
    <t xml:space="preserve">sammenlignet med dansk industri* som i gennemsnit ligger på </t>
  </si>
  <si>
    <t xml:space="preserve">er dette </t>
  </si>
  <si>
    <t xml:space="preserve">Gældsrenten ligger i </t>
  </si>
  <si>
    <t xml:space="preserve">på </t>
  </si>
  <si>
    <t xml:space="preserve">hvilket er </t>
  </si>
  <si>
    <t>afkastningsgraden dvs. vi</t>
  </si>
  <si>
    <t>på fremmedkapitalen.</t>
  </si>
  <si>
    <t>Marginalrenten (AG - gældsrenten) er på ca.</t>
  </si>
  <si>
    <t xml:space="preserve">. Reglen må derfor være at jo </t>
  </si>
  <si>
    <t xml:space="preserve">gearing, jo bedre. </t>
  </si>
  <si>
    <t xml:space="preserve">har gearet deres egenkapital </t>
  </si>
  <si>
    <t xml:space="preserve">gange </t>
  </si>
  <si>
    <t xml:space="preserve">.Soliditeten er på </t>
  </si>
  <si>
    <t xml:space="preserve">. Dette ligger </t>
  </si>
  <si>
    <t>normtallet for dansk industri*</t>
  </si>
  <si>
    <t>som ligger på ca.</t>
  </si>
  <si>
    <t>. Gearingen kan derfor</t>
  </si>
  <si>
    <t xml:space="preserve">og soliditeten </t>
  </si>
  <si>
    <t>Indtjeningsevnen:</t>
  </si>
  <si>
    <t>Overskudsgraden er i perioden</t>
  </si>
  <si>
    <t>fra</t>
  </si>
  <si>
    <t xml:space="preserve">til </t>
  </si>
  <si>
    <t xml:space="preserve">Omsætningen/salget er </t>
  </si>
  <si>
    <t>er</t>
  </si>
  <si>
    <t xml:space="preserve">Dette bevirker at </t>
  </si>
  <si>
    <t xml:space="preserve">dækningsgraden </t>
  </si>
  <si>
    <t>til</t>
  </si>
  <si>
    <t xml:space="preserve">hvilket medfører at  </t>
  </si>
  <si>
    <t xml:space="preserve">de variable omkostninger påvirker indtjeningsevnen i </t>
  </si>
  <si>
    <t>retning.</t>
  </si>
  <si>
    <t>Nulpunktsomsætningen er</t>
  </si>
  <si>
    <t>og ligger nu på kr.</t>
  </si>
  <si>
    <t>. Sikkerhedsmargen er på</t>
  </si>
  <si>
    <t xml:space="preserve">dvs. hvis omsætningen falder med </t>
  </si>
  <si>
    <t xml:space="preserve">har </t>
  </si>
  <si>
    <t>"nul i overskud/resultat før renter."</t>
  </si>
  <si>
    <t>Kommentarer til de faste omkostninger:</t>
  </si>
  <si>
    <t xml:space="preserve">Markedsføringsomkostningerne  </t>
  </si>
  <si>
    <t xml:space="preserve">med </t>
  </si>
  <si>
    <t xml:space="preserve">hvilket har  </t>
  </si>
  <si>
    <t>indtjeningen.</t>
  </si>
  <si>
    <t>Kapitaltilpasningen:</t>
  </si>
  <si>
    <t xml:space="preserve">"Hovednøgletallet" for kapitaltilpasningen er AOH. AOH er i perioden </t>
  </si>
  <si>
    <t xml:space="preserve">Niveauet ligger på </t>
  </si>
  <si>
    <t>gange.</t>
  </si>
  <si>
    <t>Hvilket må betegnes som</t>
  </si>
  <si>
    <t>Varelagerets omsætningshastighed (VLOH):</t>
  </si>
  <si>
    <t>VLOH er</t>
  </si>
  <si>
    <t xml:space="preserve">fra </t>
  </si>
  <si>
    <t>gange til</t>
  </si>
  <si>
    <t xml:space="preserve">Det vil sige at varerne ligger </t>
  </si>
  <si>
    <t xml:space="preserve">tid på lager. </t>
  </si>
  <si>
    <t xml:space="preserve">Lagerdagene er </t>
  </si>
  <si>
    <t>og ligger nu på</t>
  </si>
  <si>
    <t>dage</t>
  </si>
  <si>
    <t>vareforbrug er</t>
  </si>
  <si>
    <t xml:space="preserve">samtidig er lageret blevet </t>
  </si>
  <si>
    <t>Dette har</t>
  </si>
  <si>
    <t>lageromsætningshastigheden og dermed AOH.</t>
  </si>
  <si>
    <t>Varedebitorernes omsætningshastighed (VDOH):</t>
  </si>
  <si>
    <t xml:space="preserve">Kredittiden til kunderne er </t>
  </si>
  <si>
    <t xml:space="preserve">dage til </t>
  </si>
  <si>
    <t>dage.</t>
  </si>
  <si>
    <t xml:space="preserve">Dette har </t>
  </si>
  <si>
    <t>likviditeten samt aktivernes omsætningshastighed.</t>
  </si>
  <si>
    <t>Varekreditorernes omsætningshastighed (VKOH):</t>
  </si>
  <si>
    <t xml:space="preserve">Kredittiden fra leverandørerne er </t>
  </si>
  <si>
    <t xml:space="preserve">Alt andet lige har dette medført at likviditeten og aktivernes omsætningshastighed er </t>
  </si>
  <si>
    <t>Likviditeten:</t>
  </si>
  <si>
    <t xml:space="preserve">er </t>
  </si>
  <si>
    <t>gennem perioden og ligger nu på</t>
  </si>
  <si>
    <t xml:space="preserve">. Niveauet er </t>
  </si>
  <si>
    <t>Likviditetsgraden bør ligge på ca. 100.</t>
  </si>
  <si>
    <t>Konklusionen:</t>
  </si>
  <si>
    <t xml:space="preserve">Rentabiliteten har i perioden udviklet sig </t>
  </si>
  <si>
    <t>idet AG er</t>
  </si>
  <si>
    <t xml:space="preserve">Udviklingen skyldes primært </t>
  </si>
  <si>
    <t>Niveauet for rentabiliteten er</t>
  </si>
  <si>
    <t>sammenlignet med dansk industri.*</t>
  </si>
  <si>
    <t xml:space="preserve">Niveauet for indtjeningsevnen er </t>
  </si>
  <si>
    <t>Niveauet for kapitaltilpasningen er</t>
  </si>
  <si>
    <t xml:space="preserve">Niveauet for egenkapitalens forrentning er </t>
  </si>
  <si>
    <t>penge på fremmedkapitalen, idet gældsrenten ligger</t>
  </si>
  <si>
    <t>afkastningsgraden</t>
  </si>
  <si>
    <t>* Kilde: Danmarks statistiske 10 år oversigt 2003 side 92</t>
  </si>
  <si>
    <r>
      <t xml:space="preserve">Kreditkøb  </t>
    </r>
    <r>
      <rPr>
        <b/>
        <sz val="10"/>
        <rFont val="Arial"/>
        <family val="2"/>
      </rPr>
      <t>¤</t>
    </r>
  </si>
  <si>
    <r>
      <t xml:space="preserve">Afkastningsgrad </t>
    </r>
    <r>
      <rPr>
        <sz val="11"/>
        <rFont val="Arial"/>
        <family val="2"/>
      </rPr>
      <t>-</t>
    </r>
    <r>
      <rPr>
        <sz val="10"/>
        <rFont val="Arial"/>
        <family val="0"/>
      </rPr>
      <t>gældsrente</t>
    </r>
  </si>
  <si>
    <t xml:space="preserve">resultat </t>
  </si>
  <si>
    <t>resultat pr. Aktie</t>
  </si>
  <si>
    <t>Antal aktier i 1000 stk.</t>
  </si>
  <si>
    <t>4.5</t>
  </si>
  <si>
    <t>Earning</t>
  </si>
  <si>
    <t>Price (earning * 16,3)</t>
  </si>
  <si>
    <t>Værdi pr. Aktie</t>
  </si>
  <si>
    <t>4.4</t>
  </si>
  <si>
    <t>4.6</t>
  </si>
  <si>
    <t>Årets afskrivninger påvirker ikke årets pengestrømme.</t>
  </si>
  <si>
    <t>4.7</t>
  </si>
  <si>
    <t>Forøget deres kreditorgæld,</t>
  </si>
  <si>
    <t>eller formindsket kundetilgodehavender.</t>
  </si>
  <si>
    <t>4.8</t>
  </si>
  <si>
    <t>4.9</t>
  </si>
  <si>
    <t>Kapitaludvidelse ved salg af nye aktier (29.938 mio.)</t>
  </si>
  <si>
    <t>Resten fremmedfinansiering</t>
  </si>
  <si>
    <t>Carlsberg har brugt pengene på køb af aktiver 3.000 mio.</t>
  </si>
  <si>
    <t xml:space="preserve">og afbetaling på gæld ca. 9.000 mio. Lidt udbytte 540 mio og </t>
  </si>
  <si>
    <t>betaling til minoritetsinteresser på 591 mio. Ialt ca. 13.000 mio.</t>
  </si>
  <si>
    <t>Carlsberg kan have nedbragt deres lagre</t>
  </si>
  <si>
    <t>Carlsberg</t>
  </si>
</sst>
</file>

<file path=xl/styles.xml><?xml version="1.0" encoding="utf-8"?>
<styleSheet xmlns="http://schemas.openxmlformats.org/spreadsheetml/2006/main">
  <numFmts count="63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0.0000"/>
    <numFmt numFmtId="179" formatCode="0.000"/>
    <numFmt numFmtId="180" formatCode="0.0"/>
    <numFmt numFmtId="181" formatCode="_(* #,##0.0_);_(* \(#,##0.0\);_(* &quot;-&quot;??_);_(@_)"/>
    <numFmt numFmtId="182" formatCode="_(* #,##0_);_(* \(#,##0\);_(* &quot;-&quot;??_);_(@_)"/>
    <numFmt numFmtId="183" formatCode="dd\.mm\.yyyy"/>
    <numFmt numFmtId="184" formatCode="mmm/yyyy"/>
    <numFmt numFmtId="185" formatCode="####"/>
    <numFmt numFmtId="186" formatCode="#,##0.0"/>
    <numFmt numFmtId="187" formatCode="#,##0.000_);\(#,##0.000\)"/>
    <numFmt numFmtId="188" formatCode="#,##0.0_);\(#,##0.0\)"/>
    <numFmt numFmtId="189" formatCode="#,##0.000"/>
    <numFmt numFmtId="190" formatCode="#,##0.0000"/>
    <numFmt numFmtId="191" formatCode="&quot;Ja&quot;;&quot;Ja&quot;;&quot;Nej&quot;"/>
    <numFmt numFmtId="192" formatCode="&quot;Sand&quot;;&quot;Sand&quot;;&quot;Falsk&quot;"/>
    <numFmt numFmtId="193" formatCode="&quot;Til&quot;;&quot;Til&quot;;&quot;Fra&quot;"/>
    <numFmt numFmtId="194" formatCode="[$€-2]\ #.##000_);[Red]\([$€-2]\ #.##000\)"/>
    <numFmt numFmtId="195" formatCode="&quot;kr&quot;\ #,##0.0_);[Red]\(&quot;kr&quot;\ #,##0.0\)"/>
    <numFmt numFmtId="196" formatCode="&quot;kr&quot;\ #,##0.000_);[Red]\(&quot;kr&quot;\ #,##0.000\)"/>
    <numFmt numFmtId="197" formatCode="&quot;kr&quot;\ #,##0.0000_);[Red]\(&quot;kr&quot;\ #,##0.0000\)"/>
    <numFmt numFmtId="198" formatCode="0.0%"/>
    <numFmt numFmtId="199" formatCode="0.00000000"/>
    <numFmt numFmtId="200" formatCode="0.0000000"/>
    <numFmt numFmtId="201" formatCode="0.000000"/>
    <numFmt numFmtId="202" formatCode="0.00000"/>
    <numFmt numFmtId="203" formatCode="0.000%"/>
    <numFmt numFmtId="204" formatCode="0.0000%"/>
    <numFmt numFmtId="205" formatCode="0.00000%"/>
    <numFmt numFmtId="206" formatCode="0.000000%"/>
    <numFmt numFmtId="207" formatCode="#,##0.00000"/>
    <numFmt numFmtId="208" formatCode="[$-406]d\.\ mmmm\ yyyy"/>
    <numFmt numFmtId="209" formatCode="0.0000000000"/>
    <numFmt numFmtId="210" formatCode="0.000000000"/>
    <numFmt numFmtId="211" formatCode="_(* #,##0.000_);_(* \(#,##0.000\);_(* &quot;-&quot;??_);_(@_)"/>
    <numFmt numFmtId="212" formatCode="_(* #,##0.0000_);_(* \(#,##0.0000\);_(* &quot;-&quot;??_);_(@_)"/>
    <numFmt numFmtId="213" formatCode="_(* #,##0.00000_);_(* \(#,##0.00000\);_(* &quot;-&quot;??_);_(@_)"/>
    <numFmt numFmtId="214" formatCode="_(* #,##0.000000_);_(* \(#,##0.000000\);_(* &quot;-&quot;??_);_(@_)"/>
    <numFmt numFmtId="215" formatCode="0.00_);\(0.00\)"/>
    <numFmt numFmtId="216" formatCode="0.0_);\(0.0\)"/>
    <numFmt numFmtId="217" formatCode="0_);\(0\)"/>
    <numFmt numFmtId="218" formatCode="_(* #,##0.0_);_(* \(#,##0.0\);_(* &quot;-&quot;?_);_(@_)"/>
  </numFmts>
  <fonts count="62">
    <font>
      <sz val="10"/>
      <name val="Arial"/>
      <family val="0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8"/>
      <name val="Tahoma"/>
      <family val="0"/>
    </font>
    <font>
      <b/>
      <sz val="14"/>
      <name val="Tahoma"/>
      <family val="2"/>
    </font>
    <font>
      <b/>
      <i/>
      <sz val="16"/>
      <name val="Tahoma"/>
      <family val="2"/>
    </font>
    <font>
      <sz val="8"/>
      <name val="Tahoma"/>
      <family val="0"/>
    </font>
    <font>
      <b/>
      <sz val="12"/>
      <name val="Tahoma"/>
      <family val="2"/>
    </font>
    <font>
      <sz val="12"/>
      <name val="Tahoma"/>
      <family val="2"/>
    </font>
    <font>
      <b/>
      <sz val="8"/>
      <color indexed="8"/>
      <name val="Tahoma"/>
      <family val="2"/>
    </font>
    <font>
      <b/>
      <sz val="16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sz val="14"/>
      <color indexed="13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vertAlign val="superscript"/>
      <sz val="14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sz val="11.25"/>
      <color indexed="8"/>
      <name val="Arial"/>
      <family val="0"/>
    </font>
    <font>
      <b/>
      <sz val="9.5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b/>
      <sz val="20"/>
      <name val="Tahoma"/>
      <family val="2"/>
    </font>
    <font>
      <sz val="20"/>
      <name val="Tahoma"/>
      <family val="2"/>
    </font>
    <font>
      <b/>
      <sz val="13"/>
      <name val="Arial"/>
      <family val="2"/>
    </font>
    <font>
      <b/>
      <sz val="10"/>
      <color indexed="8"/>
      <name val="Arial"/>
      <family val="2"/>
    </font>
    <font>
      <u val="single"/>
      <sz val="12"/>
      <name val="Arial"/>
      <family val="2"/>
    </font>
    <font>
      <sz val="8"/>
      <color indexed="8"/>
      <name val="Tahoma"/>
      <family val="2"/>
    </font>
    <font>
      <b/>
      <sz val="8"/>
      <color indexed="58"/>
      <name val="Tahoma"/>
      <family val="2"/>
    </font>
    <font>
      <b/>
      <sz val="9"/>
      <name val="Tahoma"/>
      <family val="2"/>
    </font>
    <font>
      <sz val="16"/>
      <name val="Tahoma"/>
      <family val="2"/>
    </font>
    <font>
      <sz val="9"/>
      <name val="Tahoma"/>
      <family val="2"/>
    </font>
    <font>
      <sz val="12"/>
      <color indexed="8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16" borderId="1" applyNumberFormat="0" applyFont="0" applyAlignment="0" applyProtection="0"/>
    <xf numFmtId="0" fontId="1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7" borderId="2" applyNumberFormat="0" applyAlignment="0" applyProtection="0"/>
    <xf numFmtId="0" fontId="15" fillId="18" borderId="3" applyNumberFormat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12" fillId="17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3" borderId="0" applyNumberFormat="0" applyBorder="0" applyAlignment="0" applyProtection="0"/>
  </cellStyleXfs>
  <cellXfs count="718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5" xfId="36" applyNumberFormat="1" applyFont="1" applyBorder="1" applyAlignment="1">
      <alignment/>
    </xf>
    <xf numFmtId="3" fontId="0" fillId="0" borderId="16" xfId="36" applyNumberFormat="1" applyFont="1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7" xfId="36" applyNumberFormat="1" applyFont="1" applyBorder="1" applyAlignment="1">
      <alignment/>
    </xf>
    <xf numFmtId="3" fontId="0" fillId="0" borderId="18" xfId="36" applyNumberFormat="1" applyFont="1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0" fontId="0" fillId="24" borderId="10" xfId="0" applyFill="1" applyBorder="1" applyAlignment="1">
      <alignment/>
    </xf>
    <xf numFmtId="0" fontId="0" fillId="24" borderId="14" xfId="0" applyFill="1" applyBorder="1" applyAlignment="1">
      <alignment/>
    </xf>
    <xf numFmtId="3" fontId="0" fillId="24" borderId="10" xfId="0" applyNumberFormat="1" applyFill="1" applyBorder="1" applyAlignment="1">
      <alignment/>
    </xf>
    <xf numFmtId="3" fontId="0" fillId="24" borderId="21" xfId="0" applyNumberFormat="1" applyFill="1" applyBorder="1" applyAlignment="1">
      <alignment/>
    </xf>
    <xf numFmtId="3" fontId="0" fillId="24" borderId="14" xfId="0" applyNumberFormat="1" applyFill="1" applyBorder="1" applyAlignment="1">
      <alignment/>
    </xf>
    <xf numFmtId="3" fontId="0" fillId="24" borderId="22" xfId="0" applyNumberFormat="1" applyFill="1" applyBorder="1" applyAlignment="1">
      <alignment/>
    </xf>
    <xf numFmtId="3" fontId="0" fillId="24" borderId="13" xfId="0" applyNumberFormat="1" applyFill="1" applyBorder="1" applyAlignment="1">
      <alignment/>
    </xf>
    <xf numFmtId="3" fontId="0" fillId="24" borderId="23" xfId="0" applyNumberFormat="1" applyFill="1" applyBorder="1" applyAlignment="1">
      <alignment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10" xfId="36" applyNumberFormat="1" applyFont="1" applyBorder="1" applyAlignment="1">
      <alignment/>
    </xf>
    <xf numFmtId="3" fontId="0" fillId="10" borderId="10" xfId="36" applyNumberFormat="1" applyFont="1" applyFill="1" applyBorder="1" applyAlignment="1">
      <alignment/>
    </xf>
    <xf numFmtId="3" fontId="0" fillId="0" borderId="21" xfId="36" applyNumberFormat="1" applyFont="1" applyBorder="1" applyAlignment="1">
      <alignment/>
    </xf>
    <xf numFmtId="3" fontId="0" fillId="10" borderId="21" xfId="36" applyNumberFormat="1" applyFont="1" applyFill="1" applyBorder="1" applyAlignment="1">
      <alignment/>
    </xf>
    <xf numFmtId="3" fontId="0" fillId="0" borderId="25" xfId="0" applyNumberFormat="1" applyBorder="1" applyAlignment="1">
      <alignment/>
    </xf>
    <xf numFmtId="0" fontId="0" fillId="24" borderId="26" xfId="0" applyFill="1" applyBorder="1" applyAlignment="1">
      <alignment/>
    </xf>
    <xf numFmtId="0" fontId="0" fillId="24" borderId="27" xfId="0" applyFill="1" applyBorder="1" applyAlignment="1">
      <alignment/>
    </xf>
    <xf numFmtId="0" fontId="0" fillId="10" borderId="26" xfId="0" applyFill="1" applyBorder="1" applyAlignment="1">
      <alignment/>
    </xf>
    <xf numFmtId="0" fontId="0" fillId="10" borderId="10" xfId="0" applyFill="1" applyBorder="1" applyAlignment="1">
      <alignment/>
    </xf>
    <xf numFmtId="0" fontId="0" fillId="24" borderId="28" xfId="0" applyFill="1" applyBorder="1" applyAlignment="1">
      <alignment/>
    </xf>
    <xf numFmtId="0" fontId="0" fillId="24" borderId="13" xfId="0" applyFill="1" applyBorder="1" applyAlignment="1">
      <alignment/>
    </xf>
    <xf numFmtId="0" fontId="2" fillId="0" borderId="29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/>
    </xf>
    <xf numFmtId="0" fontId="0" fillId="24" borderId="11" xfId="0" applyFill="1" applyBorder="1" applyAlignment="1">
      <alignment/>
    </xf>
    <xf numFmtId="49" fontId="0" fillId="0" borderId="11" xfId="0" applyNumberForma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34" xfId="0" applyBorder="1" applyAlignment="1">
      <alignment/>
    </xf>
    <xf numFmtId="182" fontId="0" fillId="24" borderId="35" xfId="36" applyNumberFormat="1" applyFill="1" applyBorder="1" applyAlignment="1">
      <alignment/>
    </xf>
    <xf numFmtId="2" fontId="0" fillId="24" borderId="35" xfId="0" applyNumberFormat="1" applyFill="1" applyBorder="1" applyAlignment="1">
      <alignment/>
    </xf>
    <xf numFmtId="182" fontId="0" fillId="0" borderId="36" xfId="36" applyNumberFormat="1" applyBorder="1" applyAlignment="1">
      <alignment/>
    </xf>
    <xf numFmtId="0" fontId="0" fillId="24" borderId="34" xfId="0" applyFill="1" applyBorder="1" applyAlignment="1">
      <alignment/>
    </xf>
    <xf numFmtId="2" fontId="0" fillId="0" borderId="35" xfId="0" applyNumberFormat="1" applyFill="1" applyBorder="1" applyAlignment="1">
      <alignment/>
    </xf>
    <xf numFmtId="0" fontId="24" fillId="0" borderId="37" xfId="0" applyFont="1" applyBorder="1" applyAlignment="1">
      <alignment/>
    </xf>
    <xf numFmtId="182" fontId="24" fillId="0" borderId="10" xfId="36" applyNumberFormat="1" applyFont="1" applyBorder="1" applyAlignment="1">
      <alignment/>
    </xf>
    <xf numFmtId="2" fontId="24" fillId="0" borderId="10" xfId="0" applyNumberFormat="1" applyFont="1" applyBorder="1" applyAlignment="1">
      <alignment/>
    </xf>
    <xf numFmtId="182" fontId="24" fillId="0" borderId="21" xfId="36" applyNumberFormat="1" applyFont="1" applyBorder="1" applyAlignment="1">
      <alignment/>
    </xf>
    <xf numFmtId="2" fontId="0" fillId="0" borderId="35" xfId="0" applyNumberFormat="1" applyBorder="1" applyAlignment="1">
      <alignment/>
    </xf>
    <xf numFmtId="182" fontId="0" fillId="0" borderId="10" xfId="36" applyNumberFormat="1" applyBorder="1" applyAlignment="1">
      <alignment/>
    </xf>
    <xf numFmtId="2" fontId="0" fillId="0" borderId="10" xfId="0" applyNumberFormat="1" applyBorder="1" applyAlignment="1">
      <alignment/>
    </xf>
    <xf numFmtId="182" fontId="0" fillId="0" borderId="21" xfId="36" applyNumberFormat="1" applyBorder="1" applyAlignment="1">
      <alignment/>
    </xf>
    <xf numFmtId="182" fontId="0" fillId="24" borderId="10" xfId="36" applyNumberFormat="1" applyFill="1" applyBorder="1" applyAlignment="1">
      <alignment/>
    </xf>
    <xf numFmtId="2" fontId="0" fillId="0" borderId="38" xfId="0" applyNumberFormat="1" applyBorder="1" applyAlignment="1">
      <alignment/>
    </xf>
    <xf numFmtId="9" fontId="0" fillId="24" borderId="39" xfId="59" applyFill="1" applyBorder="1" applyAlignment="1">
      <alignment/>
    </xf>
    <xf numFmtId="0" fontId="24" fillId="0" borderId="40" xfId="0" applyFont="1" applyBorder="1" applyAlignment="1">
      <alignment/>
    </xf>
    <xf numFmtId="182" fontId="0" fillId="0" borderId="41" xfId="36" applyNumberFormat="1" applyBorder="1" applyAlignment="1">
      <alignment/>
    </xf>
    <xf numFmtId="2" fontId="0" fillId="0" borderId="42" xfId="0" applyNumberFormat="1" applyBorder="1" applyAlignment="1">
      <alignment/>
    </xf>
    <xf numFmtId="182" fontId="0" fillId="0" borderId="43" xfId="36" applyNumberFormat="1" applyBorder="1" applyAlignment="1">
      <alignment/>
    </xf>
    <xf numFmtId="0" fontId="24" fillId="0" borderId="0" xfId="0" applyFont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182" fontId="0" fillId="24" borderId="0" xfId="36" applyNumberFormat="1" applyFill="1" applyAlignment="1">
      <alignment/>
    </xf>
    <xf numFmtId="182" fontId="0" fillId="0" borderId="0" xfId="36" applyNumberFormat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24" fillId="0" borderId="46" xfId="0" applyFont="1" applyFill="1" applyBorder="1" applyAlignment="1">
      <alignment/>
    </xf>
    <xf numFmtId="182" fontId="0" fillId="0" borderId="47" xfId="36" applyNumberFormat="1" applyBorder="1" applyAlignment="1">
      <alignment/>
    </xf>
    <xf numFmtId="182" fontId="0" fillId="0" borderId="49" xfId="36" applyNumberFormat="1" applyBorder="1" applyAlignment="1">
      <alignment/>
    </xf>
    <xf numFmtId="182" fontId="0" fillId="0" borderId="35" xfId="36" applyNumberFormat="1" applyBorder="1" applyAlignment="1">
      <alignment/>
    </xf>
    <xf numFmtId="182" fontId="0" fillId="0" borderId="0" xfId="36" applyNumberFormat="1" applyBorder="1" applyAlignment="1">
      <alignment/>
    </xf>
    <xf numFmtId="0" fontId="24" fillId="0" borderId="50" xfId="0" applyFont="1" applyFill="1" applyBorder="1" applyAlignment="1">
      <alignment/>
    </xf>
    <xf numFmtId="182" fontId="0" fillId="24" borderId="45" xfId="36" applyNumberFormat="1" applyFill="1" applyBorder="1" applyAlignment="1">
      <alignment/>
    </xf>
    <xf numFmtId="0" fontId="39" fillId="0" borderId="51" xfId="0" applyFont="1" applyBorder="1" applyAlignment="1">
      <alignment horizontal="center" vertical="center"/>
    </xf>
    <xf numFmtId="182" fontId="0" fillId="0" borderId="45" xfId="36" applyNumberFormat="1" applyBorder="1" applyAlignment="1">
      <alignment/>
    </xf>
    <xf numFmtId="182" fontId="0" fillId="0" borderId="52" xfId="36" applyNumberFormat="1" applyBorder="1" applyAlignment="1">
      <alignment/>
    </xf>
    <xf numFmtId="0" fontId="0" fillId="0" borderId="34" xfId="0" applyFill="1" applyBorder="1" applyAlignment="1">
      <alignment/>
    </xf>
    <xf numFmtId="0" fontId="0" fillId="0" borderId="34" xfId="0" applyNumberFormat="1" applyBorder="1" applyAlignment="1">
      <alignment/>
    </xf>
    <xf numFmtId="182" fontId="0" fillId="24" borderId="0" xfId="36" applyNumberFormat="1" applyFont="1" applyFill="1" applyBorder="1" applyAlignment="1">
      <alignment/>
    </xf>
    <xf numFmtId="182" fontId="0" fillId="0" borderId="53" xfId="36" applyNumberFormat="1" applyBorder="1" applyAlignment="1">
      <alignment/>
    </xf>
    <xf numFmtId="182" fontId="0" fillId="24" borderId="0" xfId="36" applyNumberFormat="1" applyFill="1" applyBorder="1" applyAlignment="1">
      <alignment/>
    </xf>
    <xf numFmtId="182" fontId="0" fillId="24" borderId="53" xfId="36" applyNumberFormat="1" applyFill="1" applyBorder="1" applyAlignment="1">
      <alignment/>
    </xf>
    <xf numFmtId="49" fontId="0" fillId="0" borderId="37" xfId="0" applyNumberFormat="1" applyBorder="1" applyAlignment="1">
      <alignment/>
    </xf>
    <xf numFmtId="182" fontId="0" fillId="0" borderId="44" xfId="36" applyNumberFormat="1" applyBorder="1" applyAlignment="1">
      <alignment/>
    </xf>
    <xf numFmtId="182" fontId="0" fillId="0" borderId="54" xfId="36" applyNumberFormat="1" applyBorder="1" applyAlignment="1">
      <alignment/>
    </xf>
    <xf numFmtId="49" fontId="0" fillId="0" borderId="34" xfId="0" applyNumberFormat="1" applyBorder="1" applyAlignment="1">
      <alignment/>
    </xf>
    <xf numFmtId="0" fontId="24" fillId="0" borderId="3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24" fillId="0" borderId="37" xfId="0" applyFont="1" applyFill="1" applyBorder="1" applyAlignment="1">
      <alignment/>
    </xf>
    <xf numFmtId="182" fontId="24" fillId="0" borderId="10" xfId="36" applyNumberFormat="1" applyFont="1" applyFill="1" applyBorder="1" applyAlignment="1">
      <alignment/>
    </xf>
    <xf numFmtId="0" fontId="0" fillId="0" borderId="55" xfId="0" applyFill="1" applyBorder="1" applyAlignment="1">
      <alignment/>
    </xf>
    <xf numFmtId="182" fontId="0" fillId="0" borderId="14" xfId="36" applyNumberFormat="1" applyFill="1" applyBorder="1" applyAlignment="1">
      <alignment/>
    </xf>
    <xf numFmtId="0" fontId="0" fillId="0" borderId="56" xfId="0" applyFill="1" applyBorder="1" applyAlignment="1">
      <alignment/>
    </xf>
    <xf numFmtId="0" fontId="0" fillId="24" borderId="35" xfId="0" applyFill="1" applyBorder="1" applyAlignment="1">
      <alignment/>
    </xf>
    <xf numFmtId="182" fontId="0" fillId="0" borderId="0" xfId="36" applyNumberFormat="1" applyFill="1" applyBorder="1" applyAlignment="1">
      <alignment/>
    </xf>
    <xf numFmtId="182" fontId="24" fillId="0" borderId="55" xfId="36" applyNumberFormat="1" applyFont="1" applyFill="1" applyBorder="1" applyAlignment="1">
      <alignment/>
    </xf>
    <xf numFmtId="182" fontId="24" fillId="0" borderId="45" xfId="36" applyNumberFormat="1" applyFont="1" applyFill="1" applyBorder="1" applyAlignment="1">
      <alignment/>
    </xf>
    <xf numFmtId="0" fontId="24" fillId="0" borderId="57" xfId="0" applyFont="1" applyFill="1" applyBorder="1" applyAlignment="1">
      <alignment/>
    </xf>
    <xf numFmtId="182" fontId="0" fillId="0" borderId="58" xfId="36" applyNumberFormat="1" applyBorder="1" applyAlignment="1">
      <alignment/>
    </xf>
    <xf numFmtId="182" fontId="0" fillId="0" borderId="59" xfId="36" applyNumberFormat="1" applyBorder="1" applyAlignment="1">
      <alignment/>
    </xf>
    <xf numFmtId="0" fontId="24" fillId="0" borderId="40" xfId="0" applyFont="1" applyFill="1" applyBorder="1" applyAlignment="1">
      <alignment/>
    </xf>
    <xf numFmtId="182" fontId="24" fillId="0" borderId="60" xfId="36" applyNumberFormat="1" applyFont="1" applyFill="1" applyBorder="1" applyAlignment="1">
      <alignment/>
    </xf>
    <xf numFmtId="182" fontId="24" fillId="0" borderId="42" xfId="36" applyNumberFormat="1" applyFont="1" applyFill="1" applyBorder="1" applyAlignment="1">
      <alignment/>
    </xf>
    <xf numFmtId="182" fontId="24" fillId="0" borderId="42" xfId="36" applyNumberFormat="1" applyFont="1" applyBorder="1" applyAlignment="1">
      <alignment/>
    </xf>
    <xf numFmtId="182" fontId="0" fillId="0" borderId="42" xfId="36" applyNumberFormat="1" applyBorder="1" applyAlignment="1">
      <alignment/>
    </xf>
    <xf numFmtId="182" fontId="24" fillId="0" borderId="61" xfId="36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182" fontId="24" fillId="0" borderId="0" xfId="36" applyNumberFormat="1" applyFont="1" applyFill="1" applyBorder="1" applyAlignment="1">
      <alignment/>
    </xf>
    <xf numFmtId="182" fontId="0" fillId="0" borderId="0" xfId="36" applyNumberFormat="1" applyFont="1" applyBorder="1" applyAlignment="1">
      <alignment horizontal="center"/>
    </xf>
    <xf numFmtId="182" fontId="0" fillId="0" borderId="0" xfId="36" applyNumberFormat="1" applyBorder="1" applyAlignment="1">
      <alignment horizontal="center"/>
    </xf>
    <xf numFmtId="182" fontId="24" fillId="0" borderId="0" xfId="36" applyNumberFormat="1" applyFont="1" applyBorder="1" applyAlignment="1">
      <alignment/>
    </xf>
    <xf numFmtId="0" fontId="0" fillId="0" borderId="19" xfId="0" applyBorder="1" applyAlignment="1">
      <alignment/>
    </xf>
    <xf numFmtId="4" fontId="0" fillId="0" borderId="0" xfId="36" applyNumberFormat="1" applyBorder="1" applyAlignment="1">
      <alignment horizontal="left"/>
    </xf>
    <xf numFmtId="43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Border="1" applyAlignment="1">
      <alignment/>
    </xf>
    <xf numFmtId="182" fontId="0" fillId="0" borderId="19" xfId="0" applyNumberFormat="1" applyBorder="1" applyAlignment="1">
      <alignment/>
    </xf>
    <xf numFmtId="43" fontId="0" fillId="0" borderId="0" xfId="36" applyAlignment="1">
      <alignment/>
    </xf>
    <xf numFmtId="0" fontId="24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36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3" fontId="3" fillId="0" borderId="0" xfId="36" applyNumberFormat="1" applyFont="1" applyAlignment="1">
      <alignment/>
    </xf>
    <xf numFmtId="0" fontId="3" fillId="0" borderId="0" xfId="0" applyFont="1" applyAlignment="1">
      <alignment/>
    </xf>
    <xf numFmtId="3" fontId="2" fillId="0" borderId="44" xfId="36" applyNumberFormat="1" applyFont="1" applyBorder="1" applyAlignment="1">
      <alignment/>
    </xf>
    <xf numFmtId="0" fontId="24" fillId="0" borderId="19" xfId="0" applyFont="1" applyBorder="1" applyAlignment="1">
      <alignment horizontal="center"/>
    </xf>
    <xf numFmtId="0" fontId="39" fillId="0" borderId="19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3" fontId="2" fillId="0" borderId="44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3" fontId="2" fillId="0" borderId="42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182" fontId="3" fillId="0" borderId="0" xfId="36" applyNumberFormat="1" applyFont="1" applyBorder="1" applyAlignment="1">
      <alignment/>
    </xf>
    <xf numFmtId="3" fontId="0" fillId="0" borderId="0" xfId="0" applyNumberFormat="1" applyAlignment="1">
      <alignment/>
    </xf>
    <xf numFmtId="182" fontId="0" fillId="0" borderId="0" xfId="36" applyNumberFormat="1" applyAlignment="1">
      <alignment/>
    </xf>
    <xf numFmtId="182" fontId="0" fillId="24" borderId="0" xfId="36" applyNumberFormat="1" applyFill="1" applyAlignment="1">
      <alignment/>
    </xf>
    <xf numFmtId="182" fontId="0" fillId="0" borderId="45" xfId="36" applyNumberForma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182" fontId="0" fillId="0" borderId="44" xfId="36" applyNumberFormat="1" applyBorder="1" applyAlignment="1">
      <alignment/>
    </xf>
    <xf numFmtId="0" fontId="3" fillId="0" borderId="0" xfId="0" applyFont="1" applyFill="1" applyBorder="1" applyAlignment="1">
      <alignment/>
    </xf>
    <xf numFmtId="0" fontId="34" fillId="0" borderId="0" xfId="0" applyFont="1" applyAlignment="1">
      <alignment/>
    </xf>
    <xf numFmtId="0" fontId="35" fillId="4" borderId="0" xfId="0" applyFont="1" applyFill="1" applyAlignment="1">
      <alignment horizontal="left" indent="1"/>
    </xf>
    <xf numFmtId="10" fontId="35" fillId="4" borderId="0" xfId="0" applyNumberFormat="1" applyFont="1" applyFill="1" applyAlignment="1">
      <alignment horizontal="left" indent="1"/>
    </xf>
    <xf numFmtId="0" fontId="34" fillId="0" borderId="62" xfId="0" applyFont="1" applyBorder="1" applyAlignment="1">
      <alignment wrapText="1"/>
    </xf>
    <xf numFmtId="0" fontId="34" fillId="4" borderId="63" xfId="0" applyFont="1" applyFill="1" applyBorder="1" applyAlignment="1">
      <alignment/>
    </xf>
    <xf numFmtId="0" fontId="34" fillId="4" borderId="62" xfId="0" applyFont="1" applyFill="1" applyBorder="1" applyAlignment="1">
      <alignment/>
    </xf>
    <xf numFmtId="0" fontId="34" fillId="0" borderId="63" xfId="0" applyFont="1" applyBorder="1" applyAlignment="1">
      <alignment wrapText="1"/>
    </xf>
    <xf numFmtId="0" fontId="3" fillId="0" borderId="64" xfId="0" applyFont="1" applyBorder="1" applyAlignment="1">
      <alignment/>
    </xf>
    <xf numFmtId="3" fontId="3" fillId="4" borderId="51" xfId="0" applyNumberFormat="1" applyFont="1" applyFill="1" applyBorder="1" applyAlignment="1">
      <alignment/>
    </xf>
    <xf numFmtId="3" fontId="3" fillId="4" borderId="64" xfId="0" applyNumberFormat="1" applyFont="1" applyFill="1" applyBorder="1" applyAlignment="1">
      <alignment/>
    </xf>
    <xf numFmtId="3" fontId="3" fillId="0" borderId="64" xfId="0" applyNumberFormat="1" applyFont="1" applyBorder="1" applyAlignment="1">
      <alignment/>
    </xf>
    <xf numFmtId="207" fontId="3" fillId="0" borderId="64" xfId="0" applyNumberFormat="1" applyFont="1" applyBorder="1" applyAlignment="1">
      <alignment horizontal="right"/>
    </xf>
    <xf numFmtId="4" fontId="3" fillId="0" borderId="64" xfId="0" applyNumberFormat="1" applyFont="1" applyBorder="1" applyAlignment="1">
      <alignment/>
    </xf>
    <xf numFmtId="0" fontId="3" fillId="0" borderId="65" xfId="0" applyFont="1" applyBorder="1" applyAlignment="1">
      <alignment/>
    </xf>
    <xf numFmtId="3" fontId="3" fillId="4" borderId="0" xfId="0" applyNumberFormat="1" applyFont="1" applyFill="1" applyBorder="1" applyAlignment="1">
      <alignment/>
    </xf>
    <xf numFmtId="3" fontId="3" fillId="4" borderId="65" xfId="0" applyNumberFormat="1" applyFont="1" applyFill="1" applyBorder="1" applyAlignment="1">
      <alignment/>
    </xf>
    <xf numFmtId="3" fontId="3" fillId="0" borderId="65" xfId="0" applyNumberFormat="1" applyFont="1" applyBorder="1" applyAlignment="1">
      <alignment/>
    </xf>
    <xf numFmtId="207" fontId="3" fillId="0" borderId="65" xfId="0" applyNumberFormat="1" applyFont="1" applyBorder="1" applyAlignment="1">
      <alignment horizontal="right"/>
    </xf>
    <xf numFmtId="4" fontId="3" fillId="0" borderId="65" xfId="0" applyNumberFormat="1" applyFont="1" applyBorder="1" applyAlignment="1">
      <alignment/>
    </xf>
    <xf numFmtId="9" fontId="0" fillId="0" borderId="0" xfId="0" applyNumberFormat="1" applyAlignment="1">
      <alignment/>
    </xf>
    <xf numFmtId="0" fontId="3" fillId="0" borderId="66" xfId="0" applyFont="1" applyBorder="1" applyAlignment="1">
      <alignment/>
    </xf>
    <xf numFmtId="3" fontId="3" fillId="4" borderId="19" xfId="0" applyNumberFormat="1" applyFont="1" applyFill="1" applyBorder="1" applyAlignment="1">
      <alignment/>
    </xf>
    <xf numFmtId="3" fontId="3" fillId="4" borderId="66" xfId="0" applyNumberFormat="1" applyFont="1" applyFill="1" applyBorder="1" applyAlignment="1">
      <alignment/>
    </xf>
    <xf numFmtId="3" fontId="3" fillId="0" borderId="66" xfId="0" applyNumberFormat="1" applyFont="1" applyBorder="1" applyAlignment="1">
      <alignment/>
    </xf>
    <xf numFmtId="207" fontId="3" fillId="0" borderId="66" xfId="0" applyNumberFormat="1" applyFont="1" applyBorder="1" applyAlignment="1">
      <alignment horizontal="right"/>
    </xf>
    <xf numFmtId="4" fontId="3" fillId="0" borderId="66" xfId="0" applyNumberFormat="1" applyFont="1" applyBorder="1" applyAlignment="1">
      <alignment/>
    </xf>
    <xf numFmtId="0" fontId="3" fillId="23" borderId="33" xfId="0" applyFont="1" applyFill="1" applyBorder="1" applyAlignment="1">
      <alignment/>
    </xf>
    <xf numFmtId="0" fontId="3" fillId="23" borderId="19" xfId="0" applyFont="1" applyFill="1" applyBorder="1" applyAlignment="1">
      <alignment/>
    </xf>
    <xf numFmtId="4" fontId="3" fillId="23" borderId="20" xfId="0" applyNumberFormat="1" applyFont="1" applyFill="1" applyBorder="1" applyAlignment="1">
      <alignment/>
    </xf>
    <xf numFmtId="40" fontId="3" fillId="0" borderId="0" xfId="0" applyNumberFormat="1" applyFont="1" applyFill="1" applyBorder="1" applyAlignment="1">
      <alignment/>
    </xf>
    <xf numFmtId="40" fontId="3" fillId="23" borderId="66" xfId="0" applyNumberFormat="1" applyFont="1" applyFill="1" applyBorder="1" applyAlignment="1">
      <alignment/>
    </xf>
    <xf numFmtId="0" fontId="3" fillId="23" borderId="34" xfId="0" applyFont="1" applyFill="1" applyBorder="1" applyAlignment="1">
      <alignment/>
    </xf>
    <xf numFmtId="0" fontId="37" fillId="23" borderId="0" xfId="0" applyFont="1" applyFill="1" applyBorder="1" applyAlignment="1">
      <alignment/>
    </xf>
    <xf numFmtId="4" fontId="3" fillId="23" borderId="53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23" borderId="67" xfId="0" applyFont="1" applyFill="1" applyBorder="1" applyAlignment="1">
      <alignment/>
    </xf>
    <xf numFmtId="0" fontId="3" fillId="23" borderId="68" xfId="0" applyFont="1" applyFill="1" applyBorder="1" applyAlignment="1">
      <alignment/>
    </xf>
    <xf numFmtId="10" fontId="3" fillId="23" borderId="63" xfId="0" applyNumberFormat="1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2" fontId="3" fillId="23" borderId="2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3" fillId="0" borderId="0" xfId="0" applyFont="1" applyAlignment="1">
      <alignment/>
    </xf>
    <xf numFmtId="4" fontId="3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182" fontId="35" fillId="0" borderId="0" xfId="36" applyNumberFormat="1" applyFont="1" applyAlignment="1">
      <alignment/>
    </xf>
    <xf numFmtId="0" fontId="35" fillId="0" borderId="0" xfId="0" applyFont="1" applyAlignment="1">
      <alignment/>
    </xf>
    <xf numFmtId="0" fontId="35" fillId="0" borderId="69" xfId="0" applyFont="1" applyBorder="1" applyAlignment="1">
      <alignment/>
    </xf>
    <xf numFmtId="182" fontId="35" fillId="0" borderId="69" xfId="36" applyNumberFormat="1" applyFont="1" applyBorder="1" applyAlignment="1">
      <alignment/>
    </xf>
    <xf numFmtId="0" fontId="0" fillId="23" borderId="0" xfId="0" applyFill="1" applyAlignment="1">
      <alignment/>
    </xf>
    <xf numFmtId="0" fontId="38" fillId="0" borderId="0" xfId="0" applyFont="1" applyAlignment="1">
      <alignment/>
    </xf>
    <xf numFmtId="0" fontId="0" fillId="0" borderId="51" xfId="0" applyBorder="1" applyAlignment="1">
      <alignment/>
    </xf>
    <xf numFmtId="0" fontId="24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23" borderId="19" xfId="0" applyNumberFormat="1" applyFill="1" applyBorder="1" applyAlignment="1">
      <alignment horizontal="distributed"/>
    </xf>
    <xf numFmtId="0" fontId="0" fillId="23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3" xfId="0" applyBorder="1" applyAlignment="1">
      <alignment/>
    </xf>
    <xf numFmtId="0" fontId="0" fillId="23" borderId="0" xfId="36" applyNumberFormat="1" applyFill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0" fillId="0" borderId="53" xfId="0" applyBorder="1" applyAlignment="1">
      <alignment/>
    </xf>
    <xf numFmtId="0" fontId="24" fillId="0" borderId="3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23" borderId="58" xfId="0" applyFill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23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43" fillId="0" borderId="0" xfId="0" applyFont="1" applyBorder="1" applyAlignment="1">
      <alignment horizontal="center" vertical="top"/>
    </xf>
    <xf numFmtId="182" fontId="0" fillId="0" borderId="0" xfId="0" applyNumberFormat="1" applyBorder="1" applyAlignment="1">
      <alignment/>
    </xf>
    <xf numFmtId="0" fontId="44" fillId="0" borderId="0" xfId="0" applyFont="1" applyBorder="1" applyAlignment="1">
      <alignment horizontal="right"/>
    </xf>
    <xf numFmtId="0" fontId="4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center"/>
    </xf>
    <xf numFmtId="0" fontId="24" fillId="0" borderId="34" xfId="0" applyFont="1" applyBorder="1" applyAlignment="1">
      <alignment/>
    </xf>
    <xf numFmtId="0" fontId="24" fillId="0" borderId="0" xfId="0" applyFont="1" applyBorder="1" applyAlignment="1">
      <alignment/>
    </xf>
    <xf numFmtId="0" fontId="41" fillId="0" borderId="0" xfId="0" applyFont="1" applyBorder="1" applyAlignment="1">
      <alignment horizontal="left" vertical="top"/>
    </xf>
    <xf numFmtId="0" fontId="44" fillId="0" borderId="0" xfId="0" applyFont="1" applyBorder="1" applyAlignment="1">
      <alignment/>
    </xf>
    <xf numFmtId="0" fontId="24" fillId="0" borderId="33" xfId="0" applyFont="1" applyBorder="1" applyAlignment="1">
      <alignment horizontal="center" vertical="center"/>
    </xf>
    <xf numFmtId="0" fontId="0" fillId="0" borderId="51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1" fillId="0" borderId="51" xfId="0" applyFont="1" applyFill="1" applyBorder="1" applyAlignment="1">
      <alignment horizontal="center" vertical="top"/>
    </xf>
    <xf numFmtId="0" fontId="41" fillId="0" borderId="19" xfId="0" applyFont="1" applyFill="1" applyBorder="1" applyAlignment="1">
      <alignment horizontal="center" vertical="top"/>
    </xf>
    <xf numFmtId="0" fontId="0" fillId="23" borderId="51" xfId="0" applyNumberFormat="1" applyFill="1" applyBorder="1" applyAlignment="1">
      <alignment horizontal="center" vertical="center"/>
    </xf>
    <xf numFmtId="0" fontId="0" fillId="23" borderId="0" xfId="0" applyNumberFormat="1" applyFill="1" applyBorder="1" applyAlignment="1">
      <alignment horizontal="center" vertical="center"/>
    </xf>
    <xf numFmtId="0" fontId="0" fillId="0" borderId="19" xfId="0" applyNumberForma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0" fillId="23" borderId="19" xfId="0" applyFill="1" applyBorder="1" applyAlignment="1">
      <alignment/>
    </xf>
    <xf numFmtId="0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4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3" borderId="47" xfId="0" applyFill="1" applyBorder="1" applyAlignment="1">
      <alignment horizontal="center"/>
    </xf>
    <xf numFmtId="0" fontId="0" fillId="0" borderId="70" xfId="0" applyBorder="1" applyAlignment="1">
      <alignment/>
    </xf>
    <xf numFmtId="0" fontId="0" fillId="0" borderId="19" xfId="0" applyFill="1" applyBorder="1" applyAlignment="1">
      <alignment horizontal="center"/>
    </xf>
    <xf numFmtId="0" fontId="24" fillId="0" borderId="0" xfId="0" applyFont="1" applyBorder="1" applyAlignment="1">
      <alignment/>
    </xf>
    <xf numFmtId="182" fontId="0" fillId="23" borderId="0" xfId="36" applyNumberFormat="1" applyFill="1" applyBorder="1" applyAlignment="1">
      <alignment/>
    </xf>
    <xf numFmtId="0" fontId="24" fillId="0" borderId="33" xfId="0" applyFont="1" applyBorder="1" applyAlignment="1">
      <alignment horizontal="center" vertical="center"/>
    </xf>
    <xf numFmtId="49" fontId="39" fillId="0" borderId="51" xfId="0" applyNumberFormat="1" applyFont="1" applyBorder="1" applyAlignment="1">
      <alignment horizontal="center" vertical="center"/>
    </xf>
    <xf numFmtId="49" fontId="39" fillId="0" borderId="1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4" fillId="0" borderId="33" xfId="0" applyFont="1" applyBorder="1" applyAlignment="1">
      <alignment/>
    </xf>
    <xf numFmtId="49" fontId="24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4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82" fontId="3" fillId="0" borderId="62" xfId="36" applyNumberFormat="1" applyFont="1" applyFill="1" applyBorder="1" applyAlignment="1">
      <alignment horizontal="center"/>
    </xf>
    <xf numFmtId="182" fontId="3" fillId="0" borderId="0" xfId="36" applyNumberFormat="1" applyFont="1" applyFill="1" applyBorder="1" applyAlignment="1">
      <alignment horizontal="center"/>
    </xf>
    <xf numFmtId="0" fontId="24" fillId="0" borderId="65" xfId="0" applyFont="1" applyFill="1" applyBorder="1" applyAlignment="1">
      <alignment/>
    </xf>
    <xf numFmtId="182" fontId="0" fillId="0" borderId="65" xfId="0" applyNumberFormat="1" applyFill="1" applyBorder="1" applyAlignment="1">
      <alignment/>
    </xf>
    <xf numFmtId="182" fontId="0" fillId="0" borderId="34" xfId="0" applyNumberFormat="1" applyFill="1" applyBorder="1" applyAlignment="1">
      <alignment/>
    </xf>
    <xf numFmtId="182" fontId="0" fillId="0" borderId="53" xfId="0" applyNumberFormat="1" applyFill="1" applyBorder="1" applyAlignment="1">
      <alignment/>
    </xf>
    <xf numFmtId="182" fontId="24" fillId="0" borderId="65" xfId="36" applyNumberFormat="1" applyFont="1" applyFill="1" applyBorder="1" applyAlignment="1">
      <alignment/>
    </xf>
    <xf numFmtId="182" fontId="24" fillId="0" borderId="0" xfId="0" applyNumberFormat="1" applyFont="1" applyFill="1" applyBorder="1" applyAlignment="1">
      <alignment/>
    </xf>
    <xf numFmtId="182" fontId="0" fillId="0" borderId="65" xfId="36" applyNumberFormat="1" applyFont="1" applyFill="1" applyBorder="1" applyAlignment="1">
      <alignment/>
    </xf>
    <xf numFmtId="0" fontId="0" fillId="0" borderId="65" xfId="0" applyFill="1" applyBorder="1" applyAlignment="1">
      <alignment/>
    </xf>
    <xf numFmtId="182" fontId="24" fillId="0" borderId="62" xfId="36" applyNumberFormat="1" applyFont="1" applyFill="1" applyBorder="1" applyAlignment="1">
      <alignment/>
    </xf>
    <xf numFmtId="182" fontId="0" fillId="0" borderId="66" xfId="0" applyNumberFormat="1" applyFill="1" applyBorder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9" fillId="0" borderId="0" xfId="0" applyFont="1" applyBorder="1" applyAlignment="1">
      <alignment horizontal="center"/>
    </xf>
    <xf numFmtId="0" fontId="24" fillId="0" borderId="69" xfId="0" applyFont="1" applyBorder="1" applyAlignment="1">
      <alignment/>
    </xf>
    <xf numFmtId="0" fontId="39" fillId="0" borderId="69" xfId="0" applyFont="1" applyBorder="1" applyAlignment="1">
      <alignment horizontal="center"/>
    </xf>
    <xf numFmtId="0" fontId="1" fillId="0" borderId="0" xfId="0" applyFont="1" applyAlignment="1">
      <alignment vertic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39" fillId="0" borderId="69" xfId="0" applyFont="1" applyBorder="1" applyAlignment="1">
      <alignment/>
    </xf>
    <xf numFmtId="0" fontId="39" fillId="0" borderId="69" xfId="0" applyFont="1" applyBorder="1" applyAlignment="1">
      <alignment horizontal="center"/>
    </xf>
    <xf numFmtId="0" fontId="1" fillId="0" borderId="0" xfId="0" applyFont="1" applyAlignment="1">
      <alignment/>
    </xf>
    <xf numFmtId="182" fontId="34" fillId="0" borderId="0" xfId="36" applyNumberFormat="1" applyFont="1" applyAlignment="1">
      <alignment/>
    </xf>
    <xf numFmtId="49" fontId="3" fillId="0" borderId="0" xfId="0" applyNumberFormat="1" applyFont="1" applyAlignment="1">
      <alignment/>
    </xf>
    <xf numFmtId="182" fontId="34" fillId="0" borderId="0" xfId="36" applyNumberFormat="1" applyFont="1" applyBorder="1" applyAlignment="1">
      <alignment horizontal="center"/>
    </xf>
    <xf numFmtId="0" fontId="2" fillId="0" borderId="0" xfId="0" applyFont="1" applyAlignment="1">
      <alignment/>
    </xf>
    <xf numFmtId="182" fontId="34" fillId="0" borderId="44" xfId="36" applyNumberFormat="1" applyFont="1" applyBorder="1" applyAlignment="1">
      <alignment/>
    </xf>
    <xf numFmtId="182" fontId="34" fillId="0" borderId="42" xfId="36" applyNumberFormat="1" applyFont="1" applyBorder="1" applyAlignment="1">
      <alignment/>
    </xf>
    <xf numFmtId="182" fontId="0" fillId="0" borderId="0" xfId="36" applyNumberFormat="1" applyFont="1" applyAlignment="1">
      <alignment/>
    </xf>
    <xf numFmtId="2" fontId="0" fillId="0" borderId="0" xfId="59" applyNumberFormat="1" applyAlignment="1">
      <alignment/>
    </xf>
    <xf numFmtId="0" fontId="24" fillId="0" borderId="15" xfId="0" applyFont="1" applyBorder="1" applyAlignment="1">
      <alignment/>
    </xf>
    <xf numFmtId="0" fontId="1" fillId="0" borderId="5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71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/>
    </xf>
    <xf numFmtId="182" fontId="0" fillId="0" borderId="72" xfId="36" applyNumberFormat="1" applyBorder="1" applyAlignment="1">
      <alignment/>
    </xf>
    <xf numFmtId="182" fontId="0" fillId="0" borderId="72" xfId="0" applyNumberFormat="1" applyBorder="1" applyAlignment="1">
      <alignment/>
    </xf>
    <xf numFmtId="43" fontId="0" fillId="0" borderId="72" xfId="0" applyNumberFormat="1" applyBorder="1" applyAlignment="1">
      <alignment/>
    </xf>
    <xf numFmtId="43" fontId="0" fillId="0" borderId="73" xfId="0" applyNumberFormat="1" applyBorder="1" applyAlignment="1">
      <alignment/>
    </xf>
    <xf numFmtId="182" fontId="0" fillId="0" borderId="10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21" xfId="0" applyNumberFormat="1" applyBorder="1" applyAlignment="1">
      <alignment/>
    </xf>
    <xf numFmtId="182" fontId="0" fillId="0" borderId="10" xfId="36" applyNumberFormat="1" applyFill="1" applyBorder="1" applyAlignment="1">
      <alignment/>
    </xf>
    <xf numFmtId="182" fontId="0" fillId="0" borderId="10" xfId="0" applyNumberFormat="1" applyFill="1" applyBorder="1" applyAlignment="1">
      <alignment/>
    </xf>
    <xf numFmtId="43" fontId="0" fillId="0" borderId="10" xfId="0" applyNumberFormat="1" applyFill="1" applyBorder="1" applyAlignment="1">
      <alignment/>
    </xf>
    <xf numFmtId="43" fontId="0" fillId="0" borderId="21" xfId="0" applyNumberFormat="1" applyFill="1" applyBorder="1" applyAlignment="1">
      <alignment/>
    </xf>
    <xf numFmtId="182" fontId="0" fillId="0" borderId="13" xfId="36" applyNumberFormat="1" applyBorder="1" applyAlignment="1">
      <alignment/>
    </xf>
    <xf numFmtId="182" fontId="0" fillId="0" borderId="13" xfId="0" applyNumberFormat="1" applyBorder="1" applyAlignment="1">
      <alignment/>
    </xf>
    <xf numFmtId="43" fontId="0" fillId="0" borderId="13" xfId="0" applyNumberFormat="1" applyBorder="1" applyAlignment="1">
      <alignment/>
    </xf>
    <xf numFmtId="43" fontId="0" fillId="0" borderId="23" xfId="0" applyNumberFormat="1" applyBorder="1" applyAlignment="1">
      <alignment/>
    </xf>
    <xf numFmtId="0" fontId="35" fillId="0" borderId="0" xfId="0" applyFont="1" applyAlignment="1">
      <alignment/>
    </xf>
    <xf numFmtId="0" fontId="34" fillId="0" borderId="71" xfId="0" applyFont="1" applyFill="1" applyBorder="1" applyAlignment="1">
      <alignment/>
    </xf>
    <xf numFmtId="0" fontId="52" fillId="0" borderId="51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0" fillId="0" borderId="70" xfId="0" applyFill="1" applyBorder="1" applyAlignment="1">
      <alignment/>
    </xf>
    <xf numFmtId="0" fontId="0" fillId="0" borderId="64" xfId="0" applyFill="1" applyBorder="1" applyAlignment="1">
      <alignment/>
    </xf>
    <xf numFmtId="0" fontId="24" fillId="0" borderId="37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24" fillId="0" borderId="20" xfId="0" applyFont="1" applyFill="1" applyBorder="1" applyAlignment="1">
      <alignment horizontal="center"/>
    </xf>
    <xf numFmtId="0" fontId="24" fillId="0" borderId="66" xfId="0" applyFont="1" applyFill="1" applyBorder="1" applyAlignment="1">
      <alignment horizontal="center"/>
    </xf>
    <xf numFmtId="0" fontId="0" fillId="0" borderId="34" xfId="0" applyFill="1" applyBorder="1" applyAlignment="1">
      <alignment/>
    </xf>
    <xf numFmtId="182" fontId="0" fillId="0" borderId="35" xfId="36" applyNumberFormat="1" applyFont="1" applyFill="1" applyBorder="1" applyAlignment="1">
      <alignment/>
    </xf>
    <xf numFmtId="182" fontId="0" fillId="0" borderId="0" xfId="36" applyNumberFormat="1" applyFont="1" applyFill="1" applyBorder="1" applyAlignment="1">
      <alignment/>
    </xf>
    <xf numFmtId="182" fontId="0" fillId="0" borderId="36" xfId="36" applyNumberFormat="1" applyFont="1" applyFill="1" applyBorder="1" applyAlignment="1">
      <alignment/>
    </xf>
    <xf numFmtId="182" fontId="0" fillId="0" borderId="53" xfId="36" applyNumberFormat="1" applyFont="1" applyFill="1" applyBorder="1" applyAlignment="1">
      <alignment/>
    </xf>
    <xf numFmtId="9" fontId="0" fillId="0" borderId="65" xfId="59" applyFont="1" applyFill="1" applyBorder="1" applyAlignment="1">
      <alignment/>
    </xf>
    <xf numFmtId="182" fontId="0" fillId="0" borderId="72" xfId="36" applyNumberFormat="1" applyFont="1" applyFill="1" applyBorder="1" applyAlignment="1">
      <alignment/>
    </xf>
    <xf numFmtId="0" fontId="3" fillId="0" borderId="0" xfId="0" applyFont="1" applyBorder="1" applyAlignment="1">
      <alignment horizontal="left" vertical="top" wrapText="1"/>
    </xf>
    <xf numFmtId="182" fontId="0" fillId="0" borderId="58" xfId="36" applyNumberFormat="1" applyFont="1" applyFill="1" applyBorder="1" applyAlignment="1">
      <alignment/>
    </xf>
    <xf numFmtId="182" fontId="0" fillId="0" borderId="73" xfId="36" applyNumberFormat="1" applyFont="1" applyFill="1" applyBorder="1" applyAlignment="1">
      <alignment/>
    </xf>
    <xf numFmtId="182" fontId="24" fillId="0" borderId="72" xfId="36" applyNumberFormat="1" applyFont="1" applyFill="1" applyBorder="1" applyAlignment="1">
      <alignment/>
    </xf>
    <xf numFmtId="182" fontId="24" fillId="0" borderId="58" xfId="36" applyNumberFormat="1" applyFont="1" applyFill="1" applyBorder="1" applyAlignment="1">
      <alignment/>
    </xf>
    <xf numFmtId="182" fontId="24" fillId="0" borderId="73" xfId="36" applyNumberFormat="1" applyFont="1" applyFill="1" applyBorder="1" applyAlignment="1">
      <alignment/>
    </xf>
    <xf numFmtId="182" fontId="0" fillId="0" borderId="54" xfId="36" applyNumberFormat="1" applyFont="1" applyFill="1" applyBorder="1" applyAlignment="1">
      <alignment/>
    </xf>
    <xf numFmtId="9" fontId="0" fillId="0" borderId="74" xfId="59" applyFont="1" applyFill="1" applyBorder="1" applyAlignment="1">
      <alignment/>
    </xf>
    <xf numFmtId="0" fontId="0" fillId="0" borderId="34" xfId="0" applyFont="1" applyFill="1" applyBorder="1" applyAlignment="1">
      <alignment/>
    </xf>
    <xf numFmtId="182" fontId="0" fillId="0" borderId="35" xfId="36" applyNumberFormat="1" applyFont="1" applyFill="1" applyBorder="1" applyAlignment="1">
      <alignment/>
    </xf>
    <xf numFmtId="182" fontId="0" fillId="0" borderId="0" xfId="36" applyNumberFormat="1" applyFont="1" applyFill="1" applyBorder="1" applyAlignment="1">
      <alignment/>
    </xf>
    <xf numFmtId="182" fontId="0" fillId="0" borderId="36" xfId="36" applyNumberFormat="1" applyFont="1" applyFill="1" applyBorder="1" applyAlignment="1">
      <alignment/>
    </xf>
    <xf numFmtId="182" fontId="24" fillId="0" borderId="21" xfId="36" applyNumberFormat="1" applyFont="1" applyFill="1" applyBorder="1" applyAlignment="1">
      <alignment/>
    </xf>
    <xf numFmtId="0" fontId="53" fillId="0" borderId="37" xfId="0" applyFont="1" applyFill="1" applyBorder="1" applyAlignment="1">
      <alignment/>
    </xf>
    <xf numFmtId="182" fontId="53" fillId="0" borderId="10" xfId="36" applyNumberFormat="1" applyFont="1" applyFill="1" applyBorder="1" applyAlignment="1">
      <alignment/>
    </xf>
    <xf numFmtId="182" fontId="53" fillId="0" borderId="21" xfId="36" applyNumberFormat="1" applyFont="1" applyFill="1" applyBorder="1" applyAlignment="1">
      <alignment/>
    </xf>
    <xf numFmtId="182" fontId="24" fillId="0" borderId="44" xfId="36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6" xfId="0" applyFill="1" applyBorder="1" applyAlignment="1">
      <alignment/>
    </xf>
    <xf numFmtId="182" fontId="24" fillId="0" borderId="14" xfId="36" applyNumberFormat="1" applyFont="1" applyFill="1" applyBorder="1" applyAlignment="1">
      <alignment/>
    </xf>
    <xf numFmtId="182" fontId="24" fillId="0" borderId="22" xfId="36" applyNumberFormat="1" applyFont="1" applyFill="1" applyBorder="1" applyAlignment="1">
      <alignment/>
    </xf>
    <xf numFmtId="182" fontId="0" fillId="0" borderId="52" xfId="36" applyNumberFormat="1" applyFont="1" applyFill="1" applyBorder="1" applyAlignment="1">
      <alignment/>
    </xf>
    <xf numFmtId="9" fontId="0" fillId="0" borderId="75" xfId="59" applyFont="1" applyFill="1" applyBorder="1" applyAlignment="1">
      <alignment/>
    </xf>
    <xf numFmtId="0" fontId="0" fillId="0" borderId="26" xfId="0" applyFill="1" applyBorder="1" applyAlignment="1">
      <alignment/>
    </xf>
    <xf numFmtId="182" fontId="0" fillId="0" borderId="10" xfId="36" applyNumberFormat="1" applyFont="1" applyFill="1" applyBorder="1" applyAlignment="1">
      <alignment/>
    </xf>
    <xf numFmtId="9" fontId="0" fillId="0" borderId="21" xfId="59" applyFont="1" applyFill="1" applyBorder="1" applyAlignment="1">
      <alignment/>
    </xf>
    <xf numFmtId="0" fontId="0" fillId="0" borderId="76" xfId="0" applyFill="1" applyBorder="1" applyAlignment="1">
      <alignment/>
    </xf>
    <xf numFmtId="182" fontId="0" fillId="0" borderId="41" xfId="36" applyNumberFormat="1" applyFill="1" applyBorder="1" applyAlignment="1">
      <alignment/>
    </xf>
    <xf numFmtId="182" fontId="0" fillId="0" borderId="41" xfId="36" applyNumberFormat="1" applyFont="1" applyFill="1" applyBorder="1" applyAlignment="1">
      <alignment/>
    </xf>
    <xf numFmtId="9" fontId="0" fillId="0" borderId="43" xfId="59" applyFont="1" applyFill="1" applyBorder="1" applyAlignment="1">
      <alignment/>
    </xf>
    <xf numFmtId="182" fontId="0" fillId="0" borderId="0" xfId="36" applyNumberFormat="1" applyFont="1" applyFill="1" applyBorder="1" applyAlignment="1">
      <alignment/>
    </xf>
    <xf numFmtId="9" fontId="0" fillId="0" borderId="0" xfId="59" applyFont="1" applyBorder="1" applyAlignment="1">
      <alignment/>
    </xf>
    <xf numFmtId="0" fontId="0" fillId="24" borderId="55" xfId="0" applyFill="1" applyBorder="1" applyAlignment="1">
      <alignment/>
    </xf>
    <xf numFmtId="0" fontId="0" fillId="24" borderId="45" xfId="0" applyFill="1" applyBorder="1" applyAlignment="1">
      <alignment/>
    </xf>
    <xf numFmtId="0" fontId="0" fillId="24" borderId="77" xfId="0" applyFill="1" applyBorder="1" applyAlignment="1">
      <alignment/>
    </xf>
    <xf numFmtId="9" fontId="0" fillId="0" borderId="77" xfId="59" applyFont="1" applyBorder="1" applyAlignment="1">
      <alignment/>
    </xf>
    <xf numFmtId="0" fontId="0" fillId="24" borderId="56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78" xfId="0" applyFill="1" applyBorder="1" applyAlignment="1">
      <alignment/>
    </xf>
    <xf numFmtId="9" fontId="0" fillId="0" borderId="78" xfId="59" applyFont="1" applyBorder="1" applyAlignment="1">
      <alignment/>
    </xf>
    <xf numFmtId="0" fontId="0" fillId="24" borderId="39" xfId="0" applyFill="1" applyBorder="1" applyAlignment="1">
      <alignment/>
    </xf>
    <xf numFmtId="0" fontId="0" fillId="24" borderId="58" xfId="0" applyFill="1" applyBorder="1" applyAlignment="1">
      <alignment/>
    </xf>
    <xf numFmtId="0" fontId="0" fillId="24" borderId="38" xfId="0" applyFill="1" applyBorder="1" applyAlignment="1">
      <alignment/>
    </xf>
    <xf numFmtId="9" fontId="0" fillId="0" borderId="38" xfId="59" applyFont="1" applyBorder="1" applyAlignment="1">
      <alignment/>
    </xf>
    <xf numFmtId="0" fontId="2" fillId="0" borderId="51" xfId="0" applyFont="1" applyBorder="1" applyAlignment="1">
      <alignment/>
    </xf>
    <xf numFmtId="0" fontId="0" fillId="0" borderId="64" xfId="0" applyBorder="1" applyAlignment="1">
      <alignment/>
    </xf>
    <xf numFmtId="0" fontId="0" fillId="24" borderId="67" xfId="0" applyFill="1" applyBorder="1" applyAlignment="1">
      <alignment/>
    </xf>
    <xf numFmtId="0" fontId="0" fillId="24" borderId="68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62" xfId="0" applyFill="1" applyBorder="1" applyAlignment="1">
      <alignment horizontal="center"/>
    </xf>
    <xf numFmtId="182" fontId="0" fillId="0" borderId="35" xfId="36" applyNumberFormat="1" applyFont="1" applyFill="1" applyBorder="1" applyAlignment="1">
      <alignment/>
    </xf>
    <xf numFmtId="182" fontId="0" fillId="0" borderId="36" xfId="36" applyNumberFormat="1" applyFont="1" applyFill="1" applyBorder="1" applyAlignment="1">
      <alignment/>
    </xf>
    <xf numFmtId="9" fontId="0" fillId="0" borderId="65" xfId="59" applyFont="1" applyBorder="1" applyAlignment="1">
      <alignment/>
    </xf>
    <xf numFmtId="0" fontId="24" fillId="0" borderId="44" xfId="0" applyFont="1" applyFill="1" applyBorder="1" applyAlignment="1">
      <alignment/>
    </xf>
    <xf numFmtId="182" fontId="0" fillId="0" borderId="74" xfId="36" applyNumberFormat="1" applyFont="1" applyFill="1" applyBorder="1" applyAlignment="1">
      <alignment/>
    </xf>
    <xf numFmtId="9" fontId="0" fillId="0" borderId="74" xfId="59" applyFont="1" applyBorder="1" applyAlignment="1">
      <alignment/>
    </xf>
    <xf numFmtId="0" fontId="24" fillId="0" borderId="42" xfId="0" applyFont="1" applyFill="1" applyBorder="1" applyAlignment="1">
      <alignment/>
    </xf>
    <xf numFmtId="182" fontId="24" fillId="0" borderId="41" xfId="36" applyNumberFormat="1" applyFont="1" applyFill="1" applyBorder="1" applyAlignment="1">
      <alignment/>
    </xf>
    <xf numFmtId="182" fontId="24" fillId="0" borderId="43" xfId="36" applyNumberFormat="1" applyFont="1" applyFill="1" applyBorder="1" applyAlignment="1">
      <alignment/>
    </xf>
    <xf numFmtId="182" fontId="0" fillId="0" borderId="79" xfId="36" applyNumberFormat="1" applyFont="1" applyFill="1" applyBorder="1" applyAlignment="1">
      <alignment/>
    </xf>
    <xf numFmtId="9" fontId="0" fillId="0" borderId="79" xfId="59" applyFont="1" applyBorder="1" applyAlignment="1">
      <alignment/>
    </xf>
    <xf numFmtId="0" fontId="24" fillId="0" borderId="47" xfId="0" applyFont="1" applyFill="1" applyBorder="1" applyAlignment="1">
      <alignment/>
    </xf>
    <xf numFmtId="182" fontId="24" fillId="0" borderId="11" xfId="36" applyNumberFormat="1" applyFont="1" applyFill="1" applyBorder="1" applyAlignment="1">
      <alignment/>
    </xf>
    <xf numFmtId="182" fontId="24" fillId="0" borderId="47" xfId="36" applyNumberFormat="1" applyFont="1" applyFill="1" applyBorder="1" applyAlignment="1">
      <alignment/>
    </xf>
    <xf numFmtId="182" fontId="24" fillId="0" borderId="12" xfId="36" applyNumberFormat="1" applyFont="1" applyFill="1" applyBorder="1" applyAlignment="1">
      <alignment/>
    </xf>
    <xf numFmtId="182" fontId="0" fillId="0" borderId="80" xfId="36" applyNumberFormat="1" applyFont="1" applyFill="1" applyBorder="1" applyAlignment="1">
      <alignment/>
    </xf>
    <xf numFmtId="9" fontId="0" fillId="0" borderId="80" xfId="59" applyFont="1" applyBorder="1" applyAlignment="1">
      <alignment/>
    </xf>
    <xf numFmtId="182" fontId="24" fillId="0" borderId="35" xfId="36" applyNumberFormat="1" applyFont="1" applyFill="1" applyBorder="1" applyAlignment="1">
      <alignment/>
    </xf>
    <xf numFmtId="182" fontId="24" fillId="0" borderId="36" xfId="36" applyNumberFormat="1" applyFont="1" applyFill="1" applyBorder="1" applyAlignment="1">
      <alignment/>
    </xf>
    <xf numFmtId="182" fontId="0" fillId="0" borderId="35" xfId="36" applyNumberFormat="1" applyFont="1" applyFill="1" applyBorder="1" applyAlignment="1">
      <alignment/>
    </xf>
    <xf numFmtId="182" fontId="0" fillId="0" borderId="0" xfId="36" applyNumberFormat="1" applyFont="1" applyFill="1" applyBorder="1" applyAlignment="1">
      <alignment/>
    </xf>
    <xf numFmtId="182" fontId="0" fillId="0" borderId="36" xfId="36" applyNumberFormat="1" applyFont="1" applyFill="1" applyBorder="1" applyAlignment="1">
      <alignment/>
    </xf>
    <xf numFmtId="0" fontId="0" fillId="0" borderId="44" xfId="0" applyFill="1" applyBorder="1" applyAlignment="1">
      <alignment/>
    </xf>
    <xf numFmtId="182" fontId="0" fillId="0" borderId="44" xfId="36" applyNumberFormat="1" applyFont="1" applyFill="1" applyBorder="1" applyAlignment="1">
      <alignment horizontal="left"/>
    </xf>
    <xf numFmtId="182" fontId="0" fillId="0" borderId="44" xfId="36" applyNumberFormat="1" applyFont="1" applyFill="1" applyBorder="1" applyAlignment="1">
      <alignment/>
    </xf>
    <xf numFmtId="182" fontId="0" fillId="0" borderId="21" xfId="36" applyNumberFormat="1" applyFont="1" applyFill="1" applyBorder="1" applyAlignment="1">
      <alignment/>
    </xf>
    <xf numFmtId="182" fontId="0" fillId="0" borderId="0" xfId="36" applyNumberFormat="1" applyFont="1" applyFill="1" applyBorder="1" applyAlignment="1">
      <alignment horizontal="left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182" fontId="24" fillId="0" borderId="41" xfId="0" applyNumberFormat="1" applyFont="1" applyFill="1" applyBorder="1" applyAlignment="1">
      <alignment/>
    </xf>
    <xf numFmtId="182" fontId="24" fillId="0" borderId="42" xfId="0" applyNumberFormat="1" applyFont="1" applyFill="1" applyBorder="1" applyAlignment="1">
      <alignment/>
    </xf>
    <xf numFmtId="182" fontId="24" fillId="0" borderId="43" xfId="0" applyNumberFormat="1" applyFont="1" applyFill="1" applyBorder="1" applyAlignment="1">
      <alignment/>
    </xf>
    <xf numFmtId="0" fontId="0" fillId="0" borderId="71" xfId="0" applyBorder="1" applyAlignment="1">
      <alignment/>
    </xf>
    <xf numFmtId="0" fontId="38" fillId="0" borderId="51" xfId="0" applyFont="1" applyFill="1" applyBorder="1" applyAlignment="1">
      <alignment/>
    </xf>
    <xf numFmtId="0" fontId="0" fillId="0" borderId="63" xfId="0" applyFill="1" applyBorder="1" applyAlignment="1">
      <alignment/>
    </xf>
    <xf numFmtId="0" fontId="34" fillId="0" borderId="46" xfId="0" applyFont="1" applyFill="1" applyBorder="1" applyAlignment="1">
      <alignment/>
    </xf>
    <xf numFmtId="0" fontId="34" fillId="0" borderId="47" xfId="0" applyFont="1" applyFill="1" applyBorder="1" applyAlignment="1">
      <alignment/>
    </xf>
    <xf numFmtId="0" fontId="0" fillId="0" borderId="47" xfId="0" applyFill="1" applyBorder="1" applyAlignment="1">
      <alignment/>
    </xf>
    <xf numFmtId="0" fontId="34" fillId="0" borderId="11" xfId="0" applyFont="1" applyFill="1" applyBorder="1" applyAlignment="1">
      <alignment/>
    </xf>
    <xf numFmtId="0" fontId="34" fillId="0" borderId="48" xfId="0" applyFont="1" applyFill="1" applyBorder="1" applyAlignment="1">
      <alignment/>
    </xf>
    <xf numFmtId="0" fontId="34" fillId="0" borderId="80" xfId="0" applyFont="1" applyFill="1" applyBorder="1" applyAlignment="1">
      <alignment/>
    </xf>
    <xf numFmtId="0" fontId="34" fillId="8" borderId="34" xfId="0" applyFont="1" applyFill="1" applyBorder="1" applyAlignment="1">
      <alignment/>
    </xf>
    <xf numFmtId="0" fontId="34" fillId="8" borderId="0" xfId="0" applyFont="1" applyFill="1" applyBorder="1" applyAlignment="1">
      <alignment/>
    </xf>
    <xf numFmtId="0" fontId="0" fillId="8" borderId="0" xfId="0" applyFill="1" applyBorder="1" applyAlignment="1">
      <alignment horizontal="center"/>
    </xf>
    <xf numFmtId="0" fontId="0" fillId="8" borderId="0" xfId="0" applyFill="1" applyBorder="1" applyAlignment="1">
      <alignment horizontal="right"/>
    </xf>
    <xf numFmtId="0" fontId="0" fillId="8" borderId="0" xfId="0" applyFill="1" applyBorder="1" applyAlignment="1">
      <alignment horizontal="left"/>
    </xf>
    <xf numFmtId="0" fontId="0" fillId="8" borderId="35" xfId="0" applyFill="1" applyBorder="1" applyAlignment="1">
      <alignment/>
    </xf>
    <xf numFmtId="0" fontId="0" fillId="8" borderId="56" xfId="0" applyFill="1" applyBorder="1" applyAlignment="1">
      <alignment/>
    </xf>
    <xf numFmtId="0" fontId="0" fillId="8" borderId="65" xfId="0" applyFill="1" applyBorder="1" applyAlignment="1">
      <alignment/>
    </xf>
    <xf numFmtId="0" fontId="0" fillId="0" borderId="50" xfId="0" applyBorder="1" applyAlignment="1">
      <alignment/>
    </xf>
    <xf numFmtId="0" fontId="0" fillId="0" borderId="81" xfId="0" applyBorder="1" applyAlignment="1">
      <alignment horizontal="center"/>
    </xf>
    <xf numFmtId="0" fontId="0" fillId="0" borderId="81" xfId="0" applyBorder="1" applyAlignment="1">
      <alignment/>
    </xf>
    <xf numFmtId="182" fontId="0" fillId="0" borderId="81" xfId="36" applyNumberFormat="1" applyFont="1" applyBorder="1" applyAlignment="1">
      <alignment horizontal="center"/>
    </xf>
    <xf numFmtId="0" fontId="0" fillId="0" borderId="81" xfId="0" applyBorder="1" applyAlignment="1">
      <alignment horizontal="left"/>
    </xf>
    <xf numFmtId="10" fontId="0" fillId="0" borderId="14" xfId="59" applyNumberFormat="1" applyFont="1" applyBorder="1" applyAlignment="1">
      <alignment/>
    </xf>
    <xf numFmtId="10" fontId="0" fillId="0" borderId="55" xfId="59" applyNumberFormat="1" applyFont="1" applyBorder="1" applyAlignment="1">
      <alignment/>
    </xf>
    <xf numFmtId="198" fontId="0" fillId="0" borderId="75" xfId="59" applyNumberFormat="1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8" xfId="0" applyBorder="1" applyAlignment="1">
      <alignment horizontal="center"/>
    </xf>
    <xf numFmtId="0" fontId="0" fillId="0" borderId="72" xfId="0" applyBorder="1" applyAlignment="1">
      <alignment/>
    </xf>
    <xf numFmtId="0" fontId="0" fillId="0" borderId="39" xfId="0" applyBorder="1" applyAlignment="1">
      <alignment/>
    </xf>
    <xf numFmtId="198" fontId="0" fillId="0" borderId="82" xfId="59" applyNumberFormat="1" applyFont="1" applyBorder="1" applyAlignment="1">
      <alignment/>
    </xf>
    <xf numFmtId="0" fontId="0" fillId="0" borderId="45" xfId="0" applyBorder="1" applyAlignment="1">
      <alignment horizontal="center"/>
    </xf>
    <xf numFmtId="182" fontId="0" fillId="0" borderId="58" xfId="36" applyNumberFormat="1" applyFont="1" applyBorder="1" applyAlignment="1">
      <alignment horizontal="center"/>
    </xf>
    <xf numFmtId="182" fontId="0" fillId="0" borderId="81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55" xfId="0" applyNumberFormat="1" applyBorder="1" applyAlignment="1">
      <alignment/>
    </xf>
    <xf numFmtId="37" fontId="0" fillId="0" borderId="58" xfId="0" applyNumberFormat="1" applyBorder="1" applyAlignment="1">
      <alignment/>
    </xf>
    <xf numFmtId="10" fontId="0" fillId="0" borderId="35" xfId="59" applyNumberFormat="1" applyFont="1" applyBorder="1" applyAlignment="1">
      <alignment/>
    </xf>
    <xf numFmtId="10" fontId="0" fillId="0" borderId="56" xfId="59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35" xfId="0" applyBorder="1" applyAlignment="1">
      <alignment/>
    </xf>
    <xf numFmtId="0" fontId="0" fillId="0" borderId="56" xfId="0" applyBorder="1" applyAlignment="1">
      <alignment/>
    </xf>
    <xf numFmtId="182" fontId="0" fillId="0" borderId="81" xfId="36" applyNumberFormat="1" applyFont="1" applyBorder="1" applyAlignment="1">
      <alignment horizontal="right"/>
    </xf>
    <xf numFmtId="182" fontId="0" fillId="0" borderId="58" xfId="36" applyNumberFormat="1" applyFont="1" applyBorder="1" applyAlignment="1">
      <alignment/>
    </xf>
    <xf numFmtId="182" fontId="0" fillId="0" borderId="81" xfId="36" applyNumberFormat="1" applyFont="1" applyBorder="1" applyAlignment="1">
      <alignment/>
    </xf>
    <xf numFmtId="0" fontId="34" fillId="25" borderId="37" xfId="0" applyFont="1" applyFill="1" applyBorder="1" applyAlignment="1">
      <alignment/>
    </xf>
    <xf numFmtId="0" fontId="34" fillId="25" borderId="44" xfId="0" applyFont="1" applyFill="1" applyBorder="1" applyAlignment="1">
      <alignment/>
    </xf>
    <xf numFmtId="0" fontId="0" fillId="25" borderId="44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83" xfId="0" applyFill="1" applyBorder="1" applyAlignment="1">
      <alignment/>
    </xf>
    <xf numFmtId="198" fontId="0" fillId="25" borderId="74" xfId="59" applyNumberFormat="1" applyFont="1" applyFill="1" applyBorder="1" applyAlignment="1">
      <alignment/>
    </xf>
    <xf numFmtId="2" fontId="0" fillId="0" borderId="72" xfId="0" applyNumberFormat="1" applyBorder="1" applyAlignment="1">
      <alignment/>
    </xf>
    <xf numFmtId="2" fontId="0" fillId="0" borderId="39" xfId="0" applyNumberFormat="1" applyBorder="1" applyAlignment="1">
      <alignment/>
    </xf>
    <xf numFmtId="198" fontId="0" fillId="0" borderId="65" xfId="59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84" xfId="0" applyBorder="1" applyAlignment="1">
      <alignment/>
    </xf>
    <xf numFmtId="2" fontId="0" fillId="0" borderId="56" xfId="0" applyNumberFormat="1" applyBorder="1" applyAlignment="1">
      <alignment/>
    </xf>
    <xf numFmtId="182" fontId="0" fillId="0" borderId="58" xfId="0" applyNumberFormat="1" applyBorder="1" applyAlignment="1">
      <alignment/>
    </xf>
    <xf numFmtId="1" fontId="0" fillId="0" borderId="81" xfId="36" applyNumberFormat="1" applyFont="1" applyBorder="1" applyAlignment="1">
      <alignment/>
    </xf>
    <xf numFmtId="1" fontId="0" fillId="0" borderId="81" xfId="0" applyNumberFormat="1" applyBorder="1" applyAlignment="1">
      <alignment/>
    </xf>
    <xf numFmtId="182" fontId="0" fillId="0" borderId="14" xfId="36" applyNumberFormat="1" applyFont="1" applyBorder="1" applyAlignment="1">
      <alignment/>
    </xf>
    <xf numFmtId="182" fontId="0" fillId="0" borderId="55" xfId="36" applyNumberFormat="1" applyFont="1" applyBorder="1" applyAlignment="1">
      <alignment/>
    </xf>
    <xf numFmtId="2" fontId="0" fillId="0" borderId="58" xfId="0" applyNumberFormat="1" applyBorder="1" applyAlignment="1">
      <alignment horizontal="right"/>
    </xf>
    <xf numFmtId="1" fontId="0" fillId="0" borderId="81" xfId="0" applyNumberFormat="1" applyBorder="1" applyAlignment="1">
      <alignment horizontal="left"/>
    </xf>
    <xf numFmtId="9" fontId="0" fillId="0" borderId="14" xfId="59" applyNumberFormat="1" applyFont="1" applyBorder="1" applyAlignment="1">
      <alignment/>
    </xf>
    <xf numFmtId="9" fontId="0" fillId="0" borderId="55" xfId="59" applyNumberFormat="1" applyFont="1" applyBorder="1" applyAlignment="1">
      <alignment/>
    </xf>
    <xf numFmtId="0" fontId="24" fillId="0" borderId="44" xfId="0" applyFont="1" applyBorder="1" applyAlignment="1">
      <alignment/>
    </xf>
    <xf numFmtId="49" fontId="24" fillId="0" borderId="44" xfId="0" applyNumberFormat="1" applyFont="1" applyBorder="1" applyAlignment="1">
      <alignment/>
    </xf>
    <xf numFmtId="0" fontId="24" fillId="0" borderId="44" xfId="0" applyFont="1" applyBorder="1" applyAlignment="1">
      <alignment horizontal="left"/>
    </xf>
    <xf numFmtId="0" fontId="24" fillId="0" borderId="10" xfId="0" applyFont="1" applyBorder="1" applyAlignment="1">
      <alignment/>
    </xf>
    <xf numFmtId="0" fontId="24" fillId="0" borderId="83" xfId="0" applyFont="1" applyBorder="1" applyAlignment="1">
      <alignment/>
    </xf>
    <xf numFmtId="198" fontId="0" fillId="0" borderId="74" xfId="59" applyNumberFormat="1" applyFont="1" applyBorder="1" applyAlignment="1">
      <alignment/>
    </xf>
    <xf numFmtId="1" fontId="0" fillId="0" borderId="14" xfId="0" applyNumberFormat="1" applyBorder="1" applyAlignment="1">
      <alignment/>
    </xf>
    <xf numFmtId="1" fontId="0" fillId="0" borderId="55" xfId="0" applyNumberFormat="1" applyBorder="1" applyAlignment="1">
      <alignment/>
    </xf>
    <xf numFmtId="1" fontId="0" fillId="0" borderId="72" xfId="0" applyNumberFormat="1" applyBorder="1" applyAlignment="1">
      <alignment/>
    </xf>
    <xf numFmtId="1" fontId="0" fillId="0" borderId="39" xfId="0" applyNumberFormat="1" applyBorder="1" applyAlignment="1">
      <alignment/>
    </xf>
    <xf numFmtId="0" fontId="0" fillId="0" borderId="37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83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56" xfId="0" applyNumberFormat="1" applyBorder="1" applyAlignment="1">
      <alignment/>
    </xf>
    <xf numFmtId="0" fontId="0" fillId="0" borderId="85" xfId="0" applyBorder="1" applyAlignment="1">
      <alignment/>
    </xf>
    <xf numFmtId="1" fontId="0" fillId="0" borderId="13" xfId="0" applyNumberFormat="1" applyBorder="1" applyAlignment="1">
      <alignment/>
    </xf>
    <xf numFmtId="1" fontId="0" fillId="0" borderId="86" xfId="0" applyNumberFormat="1" applyBorder="1" applyAlignment="1">
      <alignment/>
    </xf>
    <xf numFmtId="198" fontId="0" fillId="0" borderId="87" xfId="59" applyNumberFormat="1" applyFont="1" applyBorder="1" applyAlignment="1">
      <alignment/>
    </xf>
    <xf numFmtId="0" fontId="34" fillId="4" borderId="71" xfId="0" applyFont="1" applyFill="1" applyBorder="1" applyAlignment="1">
      <alignment/>
    </xf>
    <xf numFmtId="0" fontId="34" fillId="4" borderId="51" xfId="0" applyFont="1" applyFill="1" applyBorder="1" applyAlignment="1">
      <alignment/>
    </xf>
    <xf numFmtId="0" fontId="0" fillId="4" borderId="51" xfId="0" applyFill="1" applyBorder="1" applyAlignment="1">
      <alignment/>
    </xf>
    <xf numFmtId="0" fontId="34" fillId="4" borderId="17" xfId="0" applyFont="1" applyFill="1" applyBorder="1" applyAlignment="1">
      <alignment/>
    </xf>
    <xf numFmtId="0" fontId="34" fillId="4" borderId="88" xfId="0" applyFont="1" applyFill="1" applyBorder="1" applyAlignment="1">
      <alignment/>
    </xf>
    <xf numFmtId="198" fontId="0" fillId="4" borderId="80" xfId="59" applyNumberFormat="1" applyFont="1" applyFill="1" applyBorder="1" applyAlignment="1">
      <alignment/>
    </xf>
    <xf numFmtId="1" fontId="0" fillId="0" borderId="14" xfId="36" applyNumberFormat="1" applyFont="1" applyBorder="1" applyAlignment="1">
      <alignment horizontal="right"/>
    </xf>
    <xf numFmtId="1" fontId="0" fillId="0" borderId="55" xfId="36" applyNumberFormat="1" applyFont="1" applyBorder="1" applyAlignment="1">
      <alignment horizontal="right"/>
    </xf>
    <xf numFmtId="2" fontId="0" fillId="0" borderId="58" xfId="0" applyNumberFormat="1" applyBorder="1" applyAlignment="1">
      <alignment/>
    </xf>
    <xf numFmtId="43" fontId="0" fillId="0" borderId="72" xfId="36" applyFont="1" applyBorder="1" applyAlignment="1">
      <alignment horizontal="left" indent="4"/>
    </xf>
    <xf numFmtId="180" fontId="0" fillId="0" borderId="35" xfId="0" applyNumberFormat="1" applyBorder="1" applyAlignment="1">
      <alignment/>
    </xf>
    <xf numFmtId="180" fontId="0" fillId="0" borderId="56" xfId="0" applyNumberFormat="1" applyBorder="1" applyAlignment="1">
      <alignment/>
    </xf>
    <xf numFmtId="180" fontId="0" fillId="0" borderId="72" xfId="0" applyNumberFormat="1" applyBorder="1" applyAlignment="1">
      <alignment/>
    </xf>
    <xf numFmtId="180" fontId="0" fillId="0" borderId="39" xfId="0" applyNumberFormat="1" applyBorder="1" applyAlignment="1">
      <alignment/>
    </xf>
    <xf numFmtId="0" fontId="0" fillId="0" borderId="50" xfId="0" applyFill="1" applyBorder="1" applyAlignment="1">
      <alignment/>
    </xf>
    <xf numFmtId="182" fontId="0" fillId="0" borderId="81" xfId="0" applyNumberFormat="1" applyBorder="1" applyAlignment="1">
      <alignment horizontal="right"/>
    </xf>
    <xf numFmtId="180" fontId="0" fillId="0" borderId="14" xfId="0" applyNumberFormat="1" applyBorder="1" applyAlignment="1">
      <alignment/>
    </xf>
    <xf numFmtId="180" fontId="0" fillId="0" borderId="55" xfId="0" applyNumberFormat="1" applyBorder="1" applyAlignment="1">
      <alignment/>
    </xf>
    <xf numFmtId="180" fontId="0" fillId="0" borderId="58" xfId="0" applyNumberFormat="1" applyBorder="1" applyAlignment="1">
      <alignment horizontal="right"/>
    </xf>
    <xf numFmtId="0" fontId="0" fillId="0" borderId="81" xfId="0" applyBorder="1" applyAlignment="1">
      <alignment horizontal="right"/>
    </xf>
    <xf numFmtId="43" fontId="0" fillId="0" borderId="0" xfId="36" applyFont="1" applyBorder="1" applyAlignment="1">
      <alignment/>
    </xf>
    <xf numFmtId="180" fontId="0" fillId="0" borderId="58" xfId="0" applyNumberFormat="1" applyBorder="1" applyAlignment="1">
      <alignment/>
    </xf>
    <xf numFmtId="0" fontId="0" fillId="0" borderId="57" xfId="0" applyFill="1" applyBorder="1" applyAlignment="1">
      <alignment/>
    </xf>
    <xf numFmtId="0" fontId="0" fillId="0" borderId="81" xfId="0" applyFill="1" applyBorder="1" applyAlignment="1">
      <alignment horizontal="center"/>
    </xf>
    <xf numFmtId="181" fontId="0" fillId="0" borderId="14" xfId="36" applyNumberFormat="1" applyFont="1" applyBorder="1" applyAlignment="1">
      <alignment/>
    </xf>
    <xf numFmtId="181" fontId="0" fillId="0" borderId="55" xfId="36" applyNumberFormat="1" applyFont="1" applyBorder="1" applyAlignment="1">
      <alignment/>
    </xf>
    <xf numFmtId="43" fontId="0" fillId="0" borderId="35" xfId="36" applyFont="1" applyBorder="1" applyAlignment="1">
      <alignment/>
    </xf>
    <xf numFmtId="0" fontId="0" fillId="0" borderId="58" xfId="0" applyFill="1" applyBorder="1" applyAlignment="1">
      <alignment horizontal="center"/>
    </xf>
    <xf numFmtId="43" fontId="0" fillId="0" borderId="72" xfId="36" applyFont="1" applyBorder="1" applyAlignment="1">
      <alignment/>
    </xf>
    <xf numFmtId="0" fontId="0" fillId="0" borderId="45" xfId="0" applyFill="1" applyBorder="1" applyAlignment="1">
      <alignment horizontal="center"/>
    </xf>
    <xf numFmtId="10" fontId="0" fillId="0" borderId="45" xfId="0" applyNumberFormat="1" applyBorder="1" applyAlignment="1">
      <alignment/>
    </xf>
    <xf numFmtId="10" fontId="0" fillId="0" borderId="45" xfId="59" applyNumberFormat="1" applyFont="1" applyBorder="1" applyAlignment="1">
      <alignment/>
    </xf>
    <xf numFmtId="10" fontId="0" fillId="0" borderId="14" xfId="36" applyNumberFormat="1" applyFont="1" applyBorder="1" applyAlignment="1">
      <alignment/>
    </xf>
    <xf numFmtId="10" fontId="0" fillId="0" borderId="55" xfId="36" applyNumberFormat="1" applyFont="1" applyBorder="1" applyAlignment="1">
      <alignment/>
    </xf>
    <xf numFmtId="0" fontId="3" fillId="7" borderId="83" xfId="0" applyFont="1" applyFill="1" applyBorder="1" applyAlignment="1">
      <alignment/>
    </xf>
    <xf numFmtId="0" fontId="0" fillId="7" borderId="44" xfId="0" applyFill="1" applyBorder="1" applyAlignment="1">
      <alignment/>
    </xf>
    <xf numFmtId="0" fontId="0" fillId="7" borderId="44" xfId="0" applyFill="1" applyBorder="1" applyAlignment="1">
      <alignment horizontal="center"/>
    </xf>
    <xf numFmtId="43" fontId="0" fillId="7" borderId="10" xfId="36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7" borderId="83" xfId="0" applyFill="1" applyBorder="1" applyAlignment="1">
      <alignment/>
    </xf>
    <xf numFmtId="198" fontId="0" fillId="7" borderId="74" xfId="59" applyNumberFormat="1" applyFont="1" applyFill="1" applyBorder="1" applyAlignment="1">
      <alignment/>
    </xf>
    <xf numFmtId="43" fontId="0" fillId="0" borderId="14" xfId="36" applyFont="1" applyBorder="1" applyAlignment="1">
      <alignment/>
    </xf>
    <xf numFmtId="43" fontId="0" fillId="0" borderId="55" xfId="36" applyFont="1" applyBorder="1" applyAlignment="1">
      <alignment/>
    </xf>
    <xf numFmtId="43" fontId="0" fillId="0" borderId="14" xfId="0" applyNumberFormat="1" applyBorder="1" applyAlignment="1">
      <alignment/>
    </xf>
    <xf numFmtId="43" fontId="0" fillId="0" borderId="55" xfId="0" applyNumberFormat="1" applyBorder="1" applyAlignment="1">
      <alignment/>
    </xf>
    <xf numFmtId="43" fontId="0" fillId="0" borderId="58" xfId="0" applyNumberFormat="1" applyBorder="1" applyAlignment="1">
      <alignment/>
    </xf>
    <xf numFmtId="182" fontId="0" fillId="0" borderId="72" xfId="36" applyNumberFormat="1" applyFont="1" applyBorder="1" applyAlignment="1">
      <alignment/>
    </xf>
    <xf numFmtId="182" fontId="0" fillId="0" borderId="39" xfId="36" applyNumberFormat="1" applyFont="1" applyBorder="1" applyAlignment="1">
      <alignment/>
    </xf>
    <xf numFmtId="43" fontId="0" fillId="0" borderId="14" xfId="36" applyNumberFormat="1" applyFont="1" applyBorder="1" applyAlignment="1">
      <alignment/>
    </xf>
    <xf numFmtId="43" fontId="0" fillId="0" borderId="55" xfId="36" applyNumberFormat="1" applyFont="1" applyBorder="1" applyAlignment="1">
      <alignment/>
    </xf>
    <xf numFmtId="182" fontId="0" fillId="0" borderId="81" xfId="0" applyNumberFormat="1" applyBorder="1" applyAlignment="1">
      <alignment/>
    </xf>
    <xf numFmtId="182" fontId="0" fillId="0" borderId="58" xfId="36" applyNumberFormat="1" applyFont="1" applyBorder="1" applyAlignment="1">
      <alignment horizontal="right"/>
    </xf>
    <xf numFmtId="0" fontId="24" fillId="0" borderId="50" xfId="0" applyFont="1" applyBorder="1" applyAlignment="1">
      <alignment/>
    </xf>
    <xf numFmtId="0" fontId="24" fillId="0" borderId="45" xfId="0" applyFont="1" applyBorder="1" applyAlignment="1">
      <alignment/>
    </xf>
    <xf numFmtId="49" fontId="24" fillId="0" borderId="45" xfId="0" applyNumberFormat="1" applyFont="1" applyBorder="1" applyAlignment="1">
      <alignment/>
    </xf>
    <xf numFmtId="0" fontId="24" fillId="0" borderId="45" xfId="0" applyFont="1" applyBorder="1" applyAlignment="1">
      <alignment horizontal="left"/>
    </xf>
    <xf numFmtId="0" fontId="24" fillId="0" borderId="14" xfId="0" applyFont="1" applyBorder="1" applyAlignment="1">
      <alignment/>
    </xf>
    <xf numFmtId="182" fontId="24" fillId="0" borderId="14" xfId="36" applyNumberFormat="1" applyFont="1" applyBorder="1" applyAlignment="1">
      <alignment/>
    </xf>
    <xf numFmtId="182" fontId="24" fillId="0" borderId="45" xfId="36" applyNumberFormat="1" applyFont="1" applyBorder="1" applyAlignment="1">
      <alignment/>
    </xf>
    <xf numFmtId="0" fontId="0" fillId="0" borderId="14" xfId="0" applyBorder="1" applyAlignment="1">
      <alignment/>
    </xf>
    <xf numFmtId="182" fontId="0" fillId="0" borderId="45" xfId="36" applyNumberFormat="1" applyFont="1" applyBorder="1" applyAlignment="1">
      <alignment/>
    </xf>
    <xf numFmtId="182" fontId="0" fillId="0" borderId="35" xfId="36" applyNumberFormat="1" applyFont="1" applyBorder="1" applyAlignment="1">
      <alignment/>
    </xf>
    <xf numFmtId="182" fontId="0" fillId="0" borderId="0" xfId="36" applyNumberFormat="1" applyFont="1" applyBorder="1" applyAlignment="1">
      <alignment/>
    </xf>
    <xf numFmtId="182" fontId="0" fillId="0" borderId="10" xfId="36" applyNumberFormat="1" applyFont="1" applyBorder="1" applyAlignment="1">
      <alignment/>
    </xf>
    <xf numFmtId="182" fontId="0" fillId="0" borderId="44" xfId="36" applyNumberFormat="1" applyFont="1" applyBorder="1" applyAlignment="1">
      <alignment/>
    </xf>
    <xf numFmtId="0" fontId="0" fillId="0" borderId="13" xfId="0" applyBorder="1" applyAlignment="1">
      <alignment/>
    </xf>
    <xf numFmtId="182" fontId="0" fillId="0" borderId="13" xfId="36" applyNumberFormat="1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198" fontId="35" fillId="0" borderId="0" xfId="0" applyNumberFormat="1" applyFont="1" applyAlignment="1">
      <alignment horizontal="center"/>
    </xf>
    <xf numFmtId="198" fontId="35" fillId="24" borderId="0" xfId="0" applyNumberFormat="1" applyFont="1" applyFill="1" applyAlignment="1">
      <alignment horizontal="center"/>
    </xf>
    <xf numFmtId="9" fontId="35" fillId="0" borderId="0" xfId="59" applyFont="1" applyAlignment="1">
      <alignment horizontal="left"/>
    </xf>
    <xf numFmtId="0" fontId="35" fillId="0" borderId="0" xfId="0" applyNumberFormat="1" applyFont="1" applyAlignment="1">
      <alignment horizontal="left"/>
    </xf>
    <xf numFmtId="198" fontId="35" fillId="0" borderId="0" xfId="0" applyNumberFormat="1" applyFont="1" applyAlignment="1">
      <alignment/>
    </xf>
    <xf numFmtId="180" fontId="35" fillId="0" borderId="0" xfId="0" applyNumberFormat="1" applyFont="1" applyAlignment="1">
      <alignment/>
    </xf>
    <xf numFmtId="180" fontId="35" fillId="0" borderId="0" xfId="59" applyNumberFormat="1" applyFont="1" applyAlignment="1">
      <alignment/>
    </xf>
    <xf numFmtId="198" fontId="35" fillId="24" borderId="0" xfId="0" applyNumberFormat="1" applyFont="1" applyFill="1" applyAlignment="1">
      <alignment/>
    </xf>
    <xf numFmtId="9" fontId="35" fillId="0" borderId="0" xfId="59" applyFont="1" applyAlignment="1">
      <alignment/>
    </xf>
    <xf numFmtId="180" fontId="35" fillId="0" borderId="0" xfId="0" applyNumberFormat="1" applyFont="1" applyAlignment="1">
      <alignment horizontal="center"/>
    </xf>
    <xf numFmtId="180" fontId="35" fillId="24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198" fontId="35" fillId="24" borderId="0" xfId="59" applyNumberFormat="1" applyFont="1" applyFill="1" applyAlignment="1">
      <alignment horizontal="left"/>
    </xf>
    <xf numFmtId="1" fontId="35" fillId="0" borderId="0" xfId="0" applyNumberFormat="1" applyFont="1" applyAlignment="1">
      <alignment/>
    </xf>
    <xf numFmtId="9" fontId="35" fillId="0" borderId="0" xfId="0" applyNumberFormat="1" applyFont="1" applyAlignment="1">
      <alignment/>
    </xf>
    <xf numFmtId="1" fontId="35" fillId="0" borderId="0" xfId="0" applyNumberFormat="1" applyFont="1" applyAlignment="1">
      <alignment/>
    </xf>
    <xf numFmtId="9" fontId="35" fillId="24" borderId="0" xfId="0" applyNumberFormat="1" applyFont="1" applyFill="1" applyAlignment="1">
      <alignment/>
    </xf>
    <xf numFmtId="9" fontId="35" fillId="0" borderId="0" xfId="0" applyNumberFormat="1" applyFont="1" applyFill="1" applyAlignment="1">
      <alignment/>
    </xf>
    <xf numFmtId="182" fontId="35" fillId="0" borderId="0" xfId="36" applyNumberFormat="1" applyFont="1" applyAlignment="1">
      <alignment/>
    </xf>
    <xf numFmtId="0" fontId="35" fillId="0" borderId="58" xfId="0" applyFont="1" applyBorder="1" applyAlignment="1">
      <alignment/>
    </xf>
    <xf numFmtId="0" fontId="54" fillId="0" borderId="0" xfId="0" applyFont="1" applyAlignment="1">
      <alignment/>
    </xf>
    <xf numFmtId="0" fontId="2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82" fontId="0" fillId="24" borderId="0" xfId="36" applyNumberFormat="1" applyFill="1" applyAlignment="1">
      <alignment/>
    </xf>
    <xf numFmtId="0" fontId="0" fillId="0" borderId="0" xfId="0" applyAlignment="1">
      <alignment horizontal="center"/>
    </xf>
    <xf numFmtId="182" fontId="0" fillId="24" borderId="0" xfId="36" applyNumberFormat="1" applyFill="1" applyAlignment="1">
      <alignment horizontal="center"/>
    </xf>
    <xf numFmtId="9" fontId="24" fillId="24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182" fontId="0" fillId="0" borderId="56" xfId="36" applyNumberFormat="1" applyFont="1" applyBorder="1" applyAlignment="1">
      <alignment horizontal="center"/>
    </xf>
    <xf numFmtId="182" fontId="0" fillId="0" borderId="78" xfId="36" applyNumberFormat="1" applyBorder="1" applyAlignment="1">
      <alignment horizontal="center"/>
    </xf>
    <xf numFmtId="182" fontId="0" fillId="24" borderId="56" xfId="36" applyNumberFormat="1" applyFont="1" applyFill="1" applyBorder="1" applyAlignment="1">
      <alignment horizontal="center"/>
    </xf>
    <xf numFmtId="182" fontId="0" fillId="24" borderId="78" xfId="36" applyNumberFormat="1" applyFill="1" applyBorder="1" applyAlignment="1">
      <alignment horizontal="center"/>
    </xf>
    <xf numFmtId="182" fontId="0" fillId="0" borderId="55" xfId="36" applyNumberFormat="1" applyFont="1" applyBorder="1" applyAlignment="1">
      <alignment horizontal="center"/>
    </xf>
    <xf numFmtId="182" fontId="0" fillId="0" borderId="77" xfId="36" applyNumberFormat="1" applyBorder="1" applyAlignment="1">
      <alignment horizontal="center"/>
    </xf>
    <xf numFmtId="0" fontId="25" fillId="0" borderId="0" xfId="0" applyFont="1" applyAlignment="1">
      <alignment horizontal="center"/>
    </xf>
    <xf numFmtId="182" fontId="0" fillId="0" borderId="60" xfId="36" applyNumberFormat="1" applyFont="1" applyBorder="1" applyAlignment="1">
      <alignment horizontal="center"/>
    </xf>
    <xf numFmtId="182" fontId="0" fillId="0" borderId="89" xfId="36" applyNumberFormat="1" applyBorder="1" applyAlignment="1">
      <alignment horizontal="center"/>
    </xf>
    <xf numFmtId="0" fontId="24" fillId="0" borderId="0" xfId="0" applyFont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43" fontId="0" fillId="0" borderId="72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0" xfId="0" applyNumberFormat="1" applyFill="1" applyBorder="1" applyAlignment="1">
      <alignment/>
    </xf>
    <xf numFmtId="182" fontId="0" fillId="0" borderId="86" xfId="0" applyNumberFormat="1" applyBorder="1" applyAlignment="1">
      <alignment/>
    </xf>
    <xf numFmtId="0" fontId="0" fillId="0" borderId="81" xfId="0" applyBorder="1" applyAlignment="1">
      <alignment/>
    </xf>
    <xf numFmtId="0" fontId="0" fillId="0" borderId="84" xfId="0" applyBorder="1" applyAlignment="1">
      <alignment/>
    </xf>
    <xf numFmtId="18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2" fontId="0" fillId="0" borderId="83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90" xfId="0" applyBorder="1" applyAlignment="1">
      <alignment/>
    </xf>
    <xf numFmtId="182" fontId="0" fillId="0" borderId="83" xfId="0" applyNumberFormat="1" applyFill="1" applyBorder="1" applyAlignment="1">
      <alignment/>
    </xf>
    <xf numFmtId="0" fontId="0" fillId="0" borderId="44" xfId="0" applyFill="1" applyBorder="1" applyAlignment="1">
      <alignment/>
    </xf>
    <xf numFmtId="0" fontId="24" fillId="0" borderId="91" xfId="0" applyFont="1" applyBorder="1" applyAlignment="1">
      <alignment/>
    </xf>
    <xf numFmtId="0" fontId="24" fillId="0" borderId="68" xfId="0" applyFont="1" applyBorder="1" applyAlignment="1">
      <alignment/>
    </xf>
    <xf numFmtId="0" fontId="0" fillId="0" borderId="92" xfId="0" applyBorder="1" applyAlignment="1">
      <alignment/>
    </xf>
    <xf numFmtId="182" fontId="0" fillId="0" borderId="48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93" xfId="0" applyBorder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182" fontId="0" fillId="0" borderId="53" xfId="36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182" fontId="0" fillId="23" borderId="0" xfId="36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top"/>
    </xf>
    <xf numFmtId="0" fontId="1" fillId="23" borderId="0" xfId="0" applyFont="1" applyFill="1" applyBorder="1" applyAlignment="1">
      <alignment horizontal="center" vertical="center"/>
    </xf>
    <xf numFmtId="0" fontId="0" fillId="23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top"/>
    </xf>
    <xf numFmtId="0" fontId="24" fillId="0" borderId="19" xfId="0" applyFont="1" applyBorder="1" applyAlignment="1">
      <alignment horizontal="center" vertical="center"/>
    </xf>
    <xf numFmtId="0" fontId="24" fillId="0" borderId="15" xfId="0" applyFont="1" applyBorder="1" applyAlignment="1">
      <alignment/>
    </xf>
    <xf numFmtId="18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82" fontId="0" fillId="0" borderId="72" xfId="0" applyNumberFormat="1" applyBorder="1" applyAlignment="1">
      <alignment/>
    </xf>
    <xf numFmtId="0" fontId="0" fillId="0" borderId="72" xfId="0" applyBorder="1" applyAlignment="1">
      <alignment/>
    </xf>
    <xf numFmtId="43" fontId="0" fillId="0" borderId="13" xfId="0" applyNumberFormat="1" applyBorder="1" applyAlignment="1">
      <alignment/>
    </xf>
    <xf numFmtId="18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24" fillId="0" borderId="71" xfId="0" applyFont="1" applyBorder="1" applyAlignment="1">
      <alignment/>
    </xf>
    <xf numFmtId="0" fontId="0" fillId="0" borderId="51" xfId="0" applyBorder="1" applyAlignment="1">
      <alignment/>
    </xf>
    <xf numFmtId="0" fontId="24" fillId="0" borderId="51" xfId="0" applyFont="1" applyBorder="1" applyAlignment="1">
      <alignment/>
    </xf>
    <xf numFmtId="0" fontId="0" fillId="0" borderId="70" xfId="0" applyBorder="1" applyAlignment="1">
      <alignment/>
    </xf>
    <xf numFmtId="182" fontId="44" fillId="0" borderId="26" xfId="0" applyNumberFormat="1" applyFont="1" applyFill="1" applyBorder="1" applyAlignment="1">
      <alignment/>
    </xf>
    <xf numFmtId="0" fontId="24" fillId="0" borderId="32" xfId="0" applyFont="1" applyBorder="1" applyAlignment="1">
      <alignment/>
    </xf>
    <xf numFmtId="182" fontId="44" fillId="0" borderId="94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24" fillId="0" borderId="0" xfId="0" applyFont="1" applyFill="1" applyBorder="1" applyAlignment="1">
      <alignment horizontal="left"/>
    </xf>
    <xf numFmtId="182" fontId="44" fillId="0" borderId="28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37" fontId="0" fillId="0" borderId="47" xfId="36" applyNumberFormat="1" applyFont="1" applyBorder="1" applyAlignment="1">
      <alignment horizontal="center"/>
    </xf>
    <xf numFmtId="0" fontId="38" fillId="0" borderId="68" xfId="0" applyFont="1" applyFill="1" applyBorder="1" applyAlignment="1">
      <alignment/>
    </xf>
    <xf numFmtId="0" fontId="38" fillId="0" borderId="68" xfId="0" applyFont="1" applyBorder="1" applyAlignment="1">
      <alignment/>
    </xf>
    <xf numFmtId="0" fontId="38" fillId="0" borderId="63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198" fontId="35" fillId="0" borderId="0" xfId="0" applyNumberFormat="1" applyFont="1" applyAlignment="1">
      <alignment/>
    </xf>
    <xf numFmtId="9" fontId="35" fillId="0" borderId="0" xfId="59" applyFont="1" applyAlignment="1">
      <alignment/>
    </xf>
    <xf numFmtId="43" fontId="0" fillId="0" borderId="0" xfId="36" applyAlignment="1">
      <alignment/>
    </xf>
    <xf numFmtId="181" fontId="0" fillId="0" borderId="0" xfId="36" applyNumberFormat="1" applyAlignment="1">
      <alignment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Comma" xfId="36"/>
    <cellStyle name="Comma [0]" xfId="37"/>
    <cellStyle name="Currency" xfId="38"/>
    <cellStyle name="Currency [0]" xfId="39"/>
    <cellStyle name="Followed Hyperlink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Normal 2" xfId="53"/>
    <cellStyle name="Output" xfId="54"/>
    <cellStyle name="Overskrift 1" xfId="55"/>
    <cellStyle name="Overskrift 2" xfId="56"/>
    <cellStyle name="Overskrift 3" xfId="57"/>
    <cellStyle name="Overskrift 4" xfId="58"/>
    <cellStyle name="Percent" xfId="59"/>
    <cellStyle name="Procent 2" xfId="60"/>
    <cellStyle name="Sammenkædet celle" xfId="61"/>
    <cellStyle name="Titel" xfId="62"/>
    <cellStyle name="Total" xfId="63"/>
    <cellStyle name="Ugyldig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Optimal pris og mængde er der hvor MR og MC har skæringspunkt</a:t>
            </a:r>
          </a:p>
        </c:rich>
      </c:tx>
      <c:layout>
        <c:manualLayout>
          <c:xMode val="factor"/>
          <c:yMode val="factor"/>
          <c:x val="-0.015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06"/>
          <c:w val="0.81875"/>
          <c:h val="0.82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'[1]Data til graf produkt 1'!$A$2</c:f>
              <c:strCache>
                <c:ptCount val="1"/>
                <c:pt idx="0">
                  <c:v>Afsætning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xVal>
            <c:numRef>
              <c:f>'[1]Data til graf produkt 1'!$B$4:$B$5</c:f>
              <c:numCache>
                <c:ptCount val="2"/>
                <c:pt idx="0">
                  <c:v>0</c:v>
                </c:pt>
                <c:pt idx="1">
                  <c:v>2000</c:v>
                </c:pt>
              </c:numCache>
            </c:numRef>
          </c:xVal>
          <c:yVal>
            <c:numRef>
              <c:f>'[1]Data til graf produkt 1'!$A$4:$A$5</c:f>
              <c:numCache>
                <c:ptCount val="2"/>
                <c:pt idx="0">
                  <c:v>1000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'[1]Data til graf produkt 1'!$C$2</c:f>
              <c:strCache>
                <c:ptCount val="1"/>
                <c:pt idx="0">
                  <c:v>MR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xVal>
            <c:numRef>
              <c:f>'[1]Data til graf produkt 1'!$D$4:$D$5</c:f>
              <c:numCach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xVal>
          <c:yVal>
            <c:numRef>
              <c:f>'[1]Data til graf produkt 1'!$C$4:$C$5</c:f>
              <c:numCache>
                <c:ptCount val="2"/>
                <c:pt idx="0">
                  <c:v>1000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'[1]Data til graf produkt 1'!$E$2:$F$2</c:f>
              <c:strCache>
                <c:ptCount val="1"/>
                <c:pt idx="0">
                  <c:v>MC(1) indtil 1300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xVal>
            <c:numRef>
              <c:f>'[1]Data til graf produkt 1'!$F$4:$F$5</c:f>
              <c:numCache>
                <c:ptCount val="2"/>
                <c:pt idx="0">
                  <c:v>0</c:v>
                </c:pt>
                <c:pt idx="1">
                  <c:v>1300</c:v>
                </c:pt>
              </c:numCache>
            </c:numRef>
          </c:xVal>
          <c:yVal>
            <c:numRef>
              <c:f>'[1]Data til graf produkt 1'!$E$4:$E$5</c:f>
              <c:numCache>
                <c:ptCount val="2"/>
                <c:pt idx="0">
                  <c:v>500</c:v>
                </c:pt>
                <c:pt idx="1">
                  <c:v>500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'[1]Data til graf produkt 1'!$G$2</c:f>
              <c:strCache>
                <c:ptCount val="1"/>
                <c:pt idx="0">
                  <c:v>Max.kapacitet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'[1]Data til graf produkt 1'!$H$4:$H$5</c:f>
              <c:numCache>
                <c:ptCount val="2"/>
                <c:pt idx="0">
                  <c:v>1300</c:v>
                </c:pt>
                <c:pt idx="1">
                  <c:v>1300</c:v>
                </c:pt>
              </c:numCache>
            </c:numRef>
          </c:xVal>
          <c:yVal>
            <c:numRef>
              <c:f>'[1]Data til graf produkt 1'!$G$4:$G$5</c:f>
              <c:numCache>
                <c:ptCount val="2"/>
                <c:pt idx="0">
                  <c:v>1000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Optimal pris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'[1]Data til graf produkt 1'!$J$4:$J$5</c:f>
              <c:numCach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xVal>
          <c:yVal>
            <c:numRef>
              <c:f>'[1]Data til graf produkt 1'!$I$4:$I$5</c:f>
              <c:numCache>
                <c:ptCount val="2"/>
                <c:pt idx="0">
                  <c:v>750</c:v>
                </c:pt>
                <c:pt idx="1">
                  <c:v>750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'[1]Data til graf produkt 1'!$K$2</c:f>
              <c:strCache>
                <c:ptCount val="1"/>
                <c:pt idx="0">
                  <c:v>Optimal mængde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'[1]Data til graf produkt 1'!$L$4:$L$5</c:f>
              <c:numCache>
                <c:ptCount val="2"/>
                <c:pt idx="0">
                  <c:v>500</c:v>
                </c:pt>
                <c:pt idx="1">
                  <c:v>500</c:v>
                </c:pt>
              </c:numCache>
            </c:numRef>
          </c:xVal>
          <c:yVal>
            <c:numRef>
              <c:f>'[1]Data til graf produkt 1'!$K$4:$K$5</c:f>
              <c:numCache>
                <c:ptCount val="2"/>
                <c:pt idx="0">
                  <c:v>0</c:v>
                </c:pt>
                <c:pt idx="1">
                  <c:v>750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'[1]Data til graf produkt 1'!$E$6:$F$6</c:f>
              <c:strCache>
                <c:ptCount val="1"/>
                <c:pt idx="0">
                  <c:v>MC(2) indtil 0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'[1]Data til graf produkt 1'!$F$8:$F$9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'[1]Data til graf produkt 1'!$E$8:$E$9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'[1]Data til graf produkt 1'!$E$10:$F$10</c:f>
              <c:strCache>
                <c:ptCount val="1"/>
                <c:pt idx="0">
                  <c:v>MC(3) indtil 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'[1]Data til graf produkt 1'!$F$12:$F$13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'[1]Data til graf produkt 1'!$E$12:$E$13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'[1]Data til graf produkt 1'!$G$6:$H$6</c:f>
              <c:strCache>
                <c:ptCount val="1"/>
                <c:pt idx="0">
                  <c:v>relation MC(1) og MC(2)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'[1]Data til graf produkt 1'!$H$8:$H$9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'[1]Data til graf produkt 1'!$G$8:$G$9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'[1]Data til graf produkt 1'!$G$10:$H$10</c:f>
              <c:strCache>
                <c:ptCount val="1"/>
                <c:pt idx="0">
                  <c:v>relation MC(2) og MC(3)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'[1]Data til graf produkt 1'!$H$12:$H$13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'[1]Data til graf produkt 1'!$G$12:$G$13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4799490"/>
        <c:axId val="43195411"/>
      </c:scatterChart>
      <c:valAx>
        <c:axId val="4799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Mængde</a:t>
                </a:r>
              </a:p>
            </c:rich>
          </c:tx>
          <c:layout>
            <c:manualLayout>
              <c:xMode val="factor"/>
              <c:yMode val="factor"/>
              <c:x val="0.01225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95411"/>
        <c:crosses val="autoZero"/>
        <c:crossBetween val="midCat"/>
        <c:dispUnits/>
      </c:valAx>
      <c:valAx>
        <c:axId val="43195411"/>
        <c:scaling>
          <c:orientation val="minMax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Pris</a:t>
                </a:r>
              </a:p>
            </c:rich>
          </c:tx>
          <c:layout>
            <c:manualLayout>
              <c:xMode val="factor"/>
              <c:yMode val="factor"/>
              <c:x val="0.007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949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75"/>
          <c:y val="0.1045"/>
          <c:w val="0.16425"/>
          <c:h val="0.5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7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876300</xdr:colOff>
      <xdr:row>22</xdr:row>
      <xdr:rowOff>9525</xdr:rowOff>
    </xdr:from>
    <xdr:ext cx="914400" cy="257175"/>
    <xdr:sp fLocksText="0">
      <xdr:nvSpPr>
        <xdr:cNvPr id="1" name="Tekstboks 1"/>
        <xdr:cNvSpPr txBox="1">
          <a:spLocks noChangeArrowheads="1"/>
        </xdr:cNvSpPr>
      </xdr:nvSpPr>
      <xdr:spPr>
        <a:xfrm>
          <a:off x="7724775" y="3981450"/>
          <a:ext cx="914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jde\Roskilde%20Handelsskole\Drifts&#248;konomi\Filer\MR%20=%20MC%20kn&#230;k%20i%20M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R=MC produkt 1"/>
      <sheetName val="Graf produkt 1"/>
      <sheetName val="Data til graf produkt 1"/>
    </sheetNames>
    <sheetDataSet>
      <sheetData sheetId="2">
        <row r="2">
          <cell r="A2" t="str">
            <v>Afsætning</v>
          </cell>
          <cell r="C2" t="str">
            <v>MR</v>
          </cell>
          <cell r="E2" t="str">
            <v>MC(1) indtil 1300</v>
          </cell>
          <cell r="G2" t="str">
            <v>Max.kapacitet</v>
          </cell>
          <cell r="K2" t="str">
            <v>Optimal mængde</v>
          </cell>
        </row>
        <row r="4">
          <cell r="A4">
            <v>1000</v>
          </cell>
          <cell r="B4">
            <v>0</v>
          </cell>
          <cell r="C4">
            <v>1000</v>
          </cell>
          <cell r="D4">
            <v>0</v>
          </cell>
          <cell r="E4">
            <v>500</v>
          </cell>
          <cell r="F4">
            <v>0</v>
          </cell>
          <cell r="G4">
            <v>1000</v>
          </cell>
          <cell r="H4">
            <v>1300</v>
          </cell>
          <cell r="I4">
            <v>750</v>
          </cell>
          <cell r="J4">
            <v>0</v>
          </cell>
          <cell r="K4">
            <v>0</v>
          </cell>
          <cell r="L4">
            <v>500</v>
          </cell>
        </row>
        <row r="5">
          <cell r="A5">
            <v>0</v>
          </cell>
          <cell r="B5">
            <v>2000</v>
          </cell>
          <cell r="C5">
            <v>0</v>
          </cell>
          <cell r="D5">
            <v>1000</v>
          </cell>
          <cell r="E5">
            <v>500</v>
          </cell>
          <cell r="F5">
            <v>1300</v>
          </cell>
          <cell r="G5">
            <v>0</v>
          </cell>
          <cell r="H5">
            <v>1300</v>
          </cell>
          <cell r="I5">
            <v>750</v>
          </cell>
          <cell r="J5">
            <v>500</v>
          </cell>
          <cell r="K5">
            <v>750</v>
          </cell>
          <cell r="L5">
            <v>500</v>
          </cell>
        </row>
        <row r="6">
          <cell r="E6" t="str">
            <v>MC(2) indtil 0</v>
          </cell>
          <cell r="G6" t="str">
            <v>relation MC(1) og MC(2)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MC(3) indtil 0</v>
          </cell>
          <cell r="G10" t="str">
            <v>relation MC(2) og MC(3)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125" zoomScaleNormal="125" workbookViewId="0" topLeftCell="A1">
      <selection activeCell="A1" sqref="A1:E1"/>
    </sheetView>
  </sheetViews>
  <sheetFormatPr defaultColWidth="9.140625" defaultRowHeight="12.75"/>
  <cols>
    <col min="1" max="1" width="25.00390625" style="0" customWidth="1"/>
    <col min="2" max="2" width="15.7109375" style="0" hidden="1" customWidth="1"/>
    <col min="3" max="3" width="8.140625" style="0" hidden="1" customWidth="1"/>
    <col min="4" max="4" width="9.28125" style="0" customWidth="1"/>
    <col min="5" max="5" width="16.28125" style="0" customWidth="1"/>
  </cols>
  <sheetData>
    <row r="1" spans="1:5" ht="24" thickBot="1">
      <c r="A1" s="618" t="str">
        <f>CONCATENATE("Resultatbudget for"," ",B2+1)</f>
        <v>Resultatbudget for 2011</v>
      </c>
      <c r="B1" s="618"/>
      <c r="C1" s="618"/>
      <c r="D1" s="618"/>
      <c r="E1" s="619"/>
    </row>
    <row r="2" spans="1:5" ht="25.5">
      <c r="A2" s="45"/>
      <c r="B2" s="46">
        <v>2010</v>
      </c>
      <c r="C2" s="47" t="s">
        <v>17</v>
      </c>
      <c r="D2" s="48"/>
      <c r="E2" s="4" t="str">
        <f>CONCATENATE("Budget",B2+1)</f>
        <v>Budget2011</v>
      </c>
    </row>
    <row r="3" spans="1:5" ht="12.75">
      <c r="A3" s="49" t="s">
        <v>18</v>
      </c>
      <c r="B3" s="50">
        <v>0</v>
      </c>
      <c r="C3" s="51">
        <v>1</v>
      </c>
      <c r="D3" s="54"/>
      <c r="E3" s="52">
        <f>7500000+9000000+9000000+10500000</f>
        <v>36000000</v>
      </c>
    </row>
    <row r="4" spans="1:5" ht="12.75">
      <c r="A4" s="53" t="s">
        <v>19</v>
      </c>
      <c r="B4" s="50">
        <v>0</v>
      </c>
      <c r="C4" s="51">
        <v>1</v>
      </c>
      <c r="D4" s="54"/>
      <c r="E4" s="52">
        <f>E3*0.6</f>
        <v>21600000</v>
      </c>
    </row>
    <row r="5" spans="1:5" ht="12.75" hidden="1">
      <c r="A5" s="49" t="str">
        <f>IF(A4="Råvarer","Arbejdsløn","-")</f>
        <v>-</v>
      </c>
      <c r="B5" s="50">
        <v>0</v>
      </c>
      <c r="C5" s="51">
        <v>0</v>
      </c>
      <c r="D5" s="54">
        <f>IF(A5="arbejdsløn",D4,0)</f>
        <v>0</v>
      </c>
      <c r="E5" s="52">
        <f>B5*C5*D5</f>
        <v>0</v>
      </c>
    </row>
    <row r="6" spans="1:5" ht="12.75">
      <c r="A6" s="55" t="s">
        <v>20</v>
      </c>
      <c r="B6" s="56">
        <f>B3-B4-B5</f>
        <v>0</v>
      </c>
      <c r="C6" s="57"/>
      <c r="D6" s="57"/>
      <c r="E6" s="58">
        <f>E3-E5-E4</f>
        <v>14400000</v>
      </c>
    </row>
    <row r="7" spans="1:5" ht="12.75">
      <c r="A7" s="49" t="s">
        <v>21</v>
      </c>
      <c r="B7" s="50">
        <v>0</v>
      </c>
      <c r="C7" s="51">
        <v>1</v>
      </c>
      <c r="D7" s="59"/>
      <c r="E7" s="52">
        <f>E3*0.05</f>
        <v>1800000</v>
      </c>
    </row>
    <row r="8" spans="1:5" ht="12.75">
      <c r="A8" s="55" t="s">
        <v>22</v>
      </c>
      <c r="B8" s="56">
        <f>B6-B7</f>
        <v>0</v>
      </c>
      <c r="C8" s="57"/>
      <c r="D8" s="57"/>
      <c r="E8" s="58">
        <f>E6-E7</f>
        <v>12600000</v>
      </c>
    </row>
    <row r="9" spans="1:5" ht="12.75" hidden="1">
      <c r="A9" s="49" t="s">
        <v>23</v>
      </c>
      <c r="B9" s="50">
        <v>0</v>
      </c>
      <c r="C9" s="51">
        <v>1</v>
      </c>
      <c r="D9" s="59"/>
      <c r="E9" s="52">
        <f>B9*C9</f>
        <v>0</v>
      </c>
    </row>
    <row r="10" spans="1:5" ht="12.75" hidden="1">
      <c r="A10" s="55" t="s">
        <v>24</v>
      </c>
      <c r="B10" s="56">
        <f>B8-B9</f>
        <v>0</v>
      </c>
      <c r="C10" s="57"/>
      <c r="D10" s="57"/>
      <c r="E10" s="58">
        <f>E8-E9</f>
        <v>12600000</v>
      </c>
    </row>
    <row r="11" spans="1:5" ht="12.75">
      <c r="A11" s="49" t="s">
        <v>25</v>
      </c>
      <c r="B11" s="50">
        <v>0</v>
      </c>
      <c r="C11" s="51">
        <v>1</v>
      </c>
      <c r="D11" s="59"/>
      <c r="E11" s="52">
        <v>10000000</v>
      </c>
    </row>
    <row r="12" spans="1:5" ht="12.75" hidden="1">
      <c r="A12" s="49" t="s">
        <v>26</v>
      </c>
      <c r="B12" s="50">
        <v>0</v>
      </c>
      <c r="C12" s="51">
        <v>1</v>
      </c>
      <c r="D12" s="59"/>
      <c r="E12" s="52">
        <f>B12*C12</f>
        <v>0</v>
      </c>
    </row>
    <row r="13" spans="1:5" ht="12.75" hidden="1">
      <c r="A13" s="49" t="s">
        <v>27</v>
      </c>
      <c r="B13" s="50">
        <v>0</v>
      </c>
      <c r="C13" s="51">
        <v>1</v>
      </c>
      <c r="D13" s="59"/>
      <c r="E13" s="52">
        <f>B13*C13</f>
        <v>0</v>
      </c>
    </row>
    <row r="14" spans="1:5" ht="12.75" hidden="1">
      <c r="A14" s="49"/>
      <c r="B14" s="50">
        <v>0</v>
      </c>
      <c r="C14" s="51"/>
      <c r="D14" s="59"/>
      <c r="E14" s="52"/>
    </row>
    <row r="15" spans="1:5" ht="12.75" hidden="1">
      <c r="A15" s="49" t="s">
        <v>28</v>
      </c>
      <c r="B15" s="50">
        <v>0</v>
      </c>
      <c r="C15" s="51">
        <v>1</v>
      </c>
      <c r="D15" s="59"/>
      <c r="E15" s="52">
        <f>B15*C15</f>
        <v>0</v>
      </c>
    </row>
    <row r="16" spans="1:5" ht="12.75">
      <c r="A16" s="55" t="s">
        <v>29</v>
      </c>
      <c r="B16" s="56">
        <f>B10-SUM(B11:B15)</f>
        <v>0</v>
      </c>
      <c r="C16" s="56"/>
      <c r="D16" s="56"/>
      <c r="E16" s="56">
        <f>E10-SUM(E11:E15)</f>
        <v>2600000</v>
      </c>
    </row>
    <row r="17" spans="1:5" ht="12.75">
      <c r="A17" s="49" t="s">
        <v>30</v>
      </c>
      <c r="B17" s="50">
        <v>0</v>
      </c>
      <c r="C17" s="51">
        <v>1</v>
      </c>
      <c r="D17" s="59"/>
      <c r="E17" s="52">
        <v>900000</v>
      </c>
    </row>
    <row r="18" spans="1:5" ht="12.75">
      <c r="A18" s="55" t="s">
        <v>31</v>
      </c>
      <c r="B18" s="60">
        <f>B16-B17</f>
        <v>0</v>
      </c>
      <c r="C18" s="61"/>
      <c r="D18" s="61"/>
      <c r="E18" s="62">
        <f>E16-E17</f>
        <v>1700000</v>
      </c>
    </row>
    <row r="19" spans="1:5" ht="12.75">
      <c r="A19" s="49" t="s">
        <v>32</v>
      </c>
      <c r="B19" s="50">
        <v>0</v>
      </c>
      <c r="C19" s="51">
        <v>1</v>
      </c>
      <c r="D19" s="59"/>
      <c r="E19" s="52">
        <f>400000+380000</f>
        <v>780000</v>
      </c>
    </row>
    <row r="20" spans="1:5" ht="12.75" hidden="1">
      <c r="A20" s="49" t="s">
        <v>33</v>
      </c>
      <c r="B20" s="50">
        <v>0</v>
      </c>
      <c r="C20" s="51">
        <v>1</v>
      </c>
      <c r="D20" s="59"/>
      <c r="E20" s="52">
        <f>B20*C20</f>
        <v>0</v>
      </c>
    </row>
    <row r="21" spans="1:5" ht="12.75" hidden="1">
      <c r="A21" s="55" t="s">
        <v>34</v>
      </c>
      <c r="B21" s="60">
        <f>B18-B19+B20</f>
        <v>0</v>
      </c>
      <c r="C21" s="61"/>
      <c r="D21" s="61"/>
      <c r="E21" s="62">
        <f>E18-E19+E20</f>
        <v>920000</v>
      </c>
    </row>
    <row r="22" spans="1:5" ht="12.75" hidden="1">
      <c r="A22" s="49" t="s">
        <v>35</v>
      </c>
      <c r="B22" s="50">
        <v>0</v>
      </c>
      <c r="C22" s="51">
        <v>0</v>
      </c>
      <c r="D22" s="59"/>
      <c r="E22" s="52">
        <f>B22*C22</f>
        <v>0</v>
      </c>
    </row>
    <row r="23" spans="1:5" ht="12.75">
      <c r="A23" s="55" t="s">
        <v>36</v>
      </c>
      <c r="B23" s="60">
        <f>B21-B22</f>
        <v>0</v>
      </c>
      <c r="C23" s="61"/>
      <c r="D23" s="61"/>
      <c r="E23" s="62">
        <f>E21-E22</f>
        <v>920000</v>
      </c>
    </row>
    <row r="24" spans="1:5" ht="12.75">
      <c r="A24" s="49" t="s">
        <v>37</v>
      </c>
      <c r="B24" s="63">
        <v>0</v>
      </c>
      <c r="C24" s="64"/>
      <c r="D24" s="65">
        <v>0.25</v>
      </c>
      <c r="E24" s="62">
        <f>E23*D24</f>
        <v>230000</v>
      </c>
    </row>
    <row r="25" spans="1:5" ht="13.5" thickBot="1">
      <c r="A25" s="66" t="s">
        <v>38</v>
      </c>
      <c r="B25" s="67">
        <f>B23-B24</f>
        <v>0</v>
      </c>
      <c r="C25" s="68"/>
      <c r="D25" s="68"/>
      <c r="E25" s="69">
        <f>E23-E24</f>
        <v>690000</v>
      </c>
    </row>
    <row r="26" ht="13.5" thickTop="1"/>
    <row r="27" ht="12.75">
      <c r="A27" s="70" t="s">
        <v>39</v>
      </c>
    </row>
    <row r="28" spans="1:5" ht="12.75">
      <c r="A28" t="s">
        <v>40</v>
      </c>
      <c r="B28" s="154">
        <v>300000</v>
      </c>
      <c r="E28" s="154">
        <v>0</v>
      </c>
    </row>
    <row r="29" spans="1:5" ht="12.75">
      <c r="A29" s="70" t="s">
        <v>41</v>
      </c>
      <c r="B29" s="154">
        <v>0</v>
      </c>
      <c r="E29" s="154">
        <f>E25</f>
        <v>690000</v>
      </c>
    </row>
    <row r="30" spans="2:5" ht="12.75">
      <c r="B30" s="158">
        <f>SUM(B28:B29)</f>
        <v>300000</v>
      </c>
      <c r="E30" s="155">
        <f>SUM(E28:E29)</f>
        <v>690000</v>
      </c>
    </row>
    <row r="31" spans="1:5" ht="12.75">
      <c r="A31" s="70"/>
      <c r="E31" s="73"/>
    </row>
    <row r="32" spans="1:5" ht="12.75" hidden="1">
      <c r="A32" s="70"/>
      <c r="E32" s="73"/>
    </row>
    <row r="33" spans="2:5" ht="12.75" hidden="1">
      <c r="B33">
        <f>B2</f>
        <v>2010</v>
      </c>
      <c r="C33" s="621" t="s">
        <v>42</v>
      </c>
      <c r="D33" s="621"/>
      <c r="E33">
        <f>B33+1</f>
        <v>2011</v>
      </c>
    </row>
    <row r="34" spans="1:5" ht="12.75" hidden="1">
      <c r="A34" t="s">
        <v>43</v>
      </c>
      <c r="B34" s="75">
        <v>0</v>
      </c>
      <c r="C34" s="622">
        <v>0</v>
      </c>
      <c r="D34" s="622"/>
      <c r="E34" s="76">
        <f>B34+C34</f>
        <v>0</v>
      </c>
    </row>
    <row r="35" ht="12.75" hidden="1"/>
    <row r="36" spans="1:4" ht="12.75" hidden="1">
      <c r="A36" s="77" t="s">
        <v>44</v>
      </c>
      <c r="B36" s="78" t="str">
        <f>IF(C36&gt;0,"incl. moms","excl. moms")</f>
        <v>excl. moms</v>
      </c>
      <c r="C36" s="623">
        <v>0</v>
      </c>
      <c r="D36" s="624"/>
    </row>
    <row r="37" ht="12.75" hidden="1"/>
    <row r="38" spans="1:4" ht="12.75" hidden="1">
      <c r="A38" s="70" t="s">
        <v>45</v>
      </c>
      <c r="C38" s="620">
        <v>0</v>
      </c>
      <c r="D38" s="620"/>
    </row>
    <row r="39" ht="12.75" hidden="1"/>
  </sheetData>
  <mergeCells count="5">
    <mergeCell ref="A1:E1"/>
    <mergeCell ref="C38:D38"/>
    <mergeCell ref="C33:D33"/>
    <mergeCell ref="C34:D34"/>
    <mergeCell ref="C36:D36"/>
  </mergeCells>
  <printOptions/>
  <pageMargins left="0.5905511811023623" right="0.3937007874015748" top="0.984251968503937" bottom="0.984251968503937" header="0" footer="0"/>
  <pageSetup horizontalDpi="600" verticalDpi="600" orientation="portrait" paperSize="9" scale="11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06"/>
  <sheetViews>
    <sheetView zoomScale="150" zoomScaleNormal="150" workbookViewId="0" topLeftCell="A3">
      <selection activeCell="H72" sqref="H72:J72"/>
    </sheetView>
  </sheetViews>
  <sheetFormatPr defaultColWidth="9.140625" defaultRowHeight="12.75"/>
  <cols>
    <col min="2" max="2" width="15.140625" style="0" customWidth="1"/>
    <col min="3" max="3" width="27.28125" style="0" customWidth="1"/>
    <col min="4" max="4" width="6.28125" style="0" customWidth="1"/>
    <col min="5" max="5" width="3.7109375" style="0" customWidth="1"/>
    <col min="6" max="6" width="17.140625" style="0" bestFit="1" customWidth="1"/>
    <col min="7" max="7" width="10.28125" style="0" bestFit="1" customWidth="1"/>
    <col min="8" max="8" width="13.7109375" style="0" customWidth="1"/>
    <col min="9" max="9" width="12.28125" style="0" hidden="1" customWidth="1"/>
    <col min="10" max="10" width="14.57421875" style="0" customWidth="1"/>
    <col min="11" max="11" width="13.00390625" style="0" customWidth="1"/>
  </cols>
  <sheetData>
    <row r="1" spans="1:11" ht="27" thickBot="1">
      <c r="A1" s="442"/>
      <c r="B1" s="212"/>
      <c r="C1" s="443" t="s">
        <v>241</v>
      </c>
      <c r="D1" s="212"/>
      <c r="E1" s="212"/>
      <c r="F1" s="708" t="str">
        <f>'Resultatopgørelse til analyse'!A1</f>
        <v>Carlsberg</v>
      </c>
      <c r="G1" s="709"/>
      <c r="H1" s="709"/>
      <c r="I1" s="709"/>
      <c r="J1" s="710"/>
      <c r="K1" s="444"/>
    </row>
    <row r="2" spans="1:11" ht="15.75">
      <c r="A2" s="445"/>
      <c r="B2" s="446"/>
      <c r="C2" s="447"/>
      <c r="D2" s="447"/>
      <c r="E2" s="447"/>
      <c r="F2" s="447"/>
      <c r="G2" s="447"/>
      <c r="H2" s="448">
        <f>'Resultatopgørelse til analyse'!B2</f>
        <v>2008</v>
      </c>
      <c r="I2" s="448">
        <f>'Resultatopgørelse til analyse'!C2</f>
        <v>2009</v>
      </c>
      <c r="J2" s="449">
        <f>'Resultatopgørelse til analyse'!D2</f>
        <v>2009</v>
      </c>
      <c r="K2" s="450" t="s">
        <v>212</v>
      </c>
    </row>
    <row r="3" spans="1:11" ht="15.75">
      <c r="A3" s="451" t="s">
        <v>242</v>
      </c>
      <c r="B3" s="452"/>
      <c r="C3" s="453" t="s">
        <v>243</v>
      </c>
      <c r="D3" s="453"/>
      <c r="E3" s="453"/>
      <c r="F3" s="454" t="s">
        <v>244</v>
      </c>
      <c r="G3" s="455">
        <f>H2</f>
        <v>2008</v>
      </c>
      <c r="H3" s="456"/>
      <c r="I3" s="456"/>
      <c r="J3" s="457"/>
      <c r="K3" s="458"/>
    </row>
    <row r="4" spans="1:11" ht="13.5" thickBot="1">
      <c r="A4" s="459" t="s">
        <v>245</v>
      </c>
      <c r="B4" s="72"/>
      <c r="C4" s="460" t="str">
        <f>'Resultatopgørelse til analyse'!A18</f>
        <v>Resultat før renter (EBIT)</v>
      </c>
      <c r="D4" s="461" t="s">
        <v>246</v>
      </c>
      <c r="E4" s="72"/>
      <c r="F4" s="462">
        <f>'Resultatopgørelse til analyse'!B18</f>
        <v>6337</v>
      </c>
      <c r="G4" s="463" t="s">
        <v>246</v>
      </c>
      <c r="H4" s="464">
        <f>'Resultatopgørelse til analyse'!B18/'Balance til analyse'!D15</f>
        <v>0.044426839784350705</v>
      </c>
      <c r="I4" s="464" t="e">
        <f>'Resultatopgørelse til analyse'!C18/'Balance til analyse'!E15</f>
        <v>#DIV/0!</v>
      </c>
      <c r="J4" s="465">
        <f>'Resultatopgørelse til analyse'!D18/'Balance til analyse'!F15</f>
        <v>0.06463963126788834</v>
      </c>
      <c r="K4" s="466">
        <f>(J4-H4)/H4</f>
        <v>0.45496802342122844</v>
      </c>
    </row>
    <row r="5" spans="1:11" ht="12.75">
      <c r="A5" s="467"/>
      <c r="B5" s="468"/>
      <c r="C5" s="469" t="str">
        <f>'Balance til analyse'!A15</f>
        <v>Aktiver i alt</v>
      </c>
      <c r="D5" s="469"/>
      <c r="E5" s="469"/>
      <c r="F5" s="707">
        <f>'Balance til analyse'!D35</f>
        <v>142639</v>
      </c>
      <c r="G5" s="707"/>
      <c r="H5" s="470"/>
      <c r="I5" s="470"/>
      <c r="J5" s="471"/>
      <c r="K5" s="472"/>
    </row>
    <row r="6" spans="1:11" ht="15.75" customHeight="1" thickBot="1">
      <c r="A6" s="459" t="s">
        <v>247</v>
      </c>
      <c r="B6" s="72"/>
      <c r="C6" s="460" t="str">
        <f>C4</f>
        <v>Resultat før renter (EBIT)</v>
      </c>
      <c r="D6" s="463" t="str">
        <f>D4</f>
        <v>*100</v>
      </c>
      <c r="E6" s="473"/>
      <c r="F6" s="462">
        <f>F4</f>
        <v>6337</v>
      </c>
      <c r="G6" s="463" t="s">
        <v>246</v>
      </c>
      <c r="H6" s="464">
        <f>'Resultatopgørelse til analyse'!B18/'Resultatopgørelse til analyse'!B3</f>
        <v>0.10571533431202455</v>
      </c>
      <c r="I6" s="464" t="e">
        <f>'Resultatopgørelse til analyse'!C18/'Resultatopgørelse til analyse'!C3</f>
        <v>#DIV/0!</v>
      </c>
      <c r="J6" s="465">
        <f>'Resultatopgørelse til analyse'!D18/'Resultatopgørelse til analyse'!D3</f>
        <v>0.14642484254487892</v>
      </c>
      <c r="K6" s="466">
        <f>(J6-H6)/H6</f>
        <v>0.38508612300934547</v>
      </c>
    </row>
    <row r="7" spans="1:11" ht="12.75">
      <c r="A7" s="467"/>
      <c r="B7" s="468"/>
      <c r="C7" s="469" t="str">
        <f>'Resultatopgørelse til analyse'!A3</f>
        <v>Nettoomsætning</v>
      </c>
      <c r="D7" s="469"/>
      <c r="E7" s="469"/>
      <c r="F7" s="474">
        <f>'Resultatopgørelse til analyse'!B3</f>
        <v>59944</v>
      </c>
      <c r="G7" s="469"/>
      <c r="H7" s="470"/>
      <c r="I7" s="470"/>
      <c r="J7" s="471"/>
      <c r="K7" s="472"/>
    </row>
    <row r="8" spans="1:11" ht="13.5" thickBot="1">
      <c r="A8" s="459" t="s">
        <v>248</v>
      </c>
      <c r="B8" s="72"/>
      <c r="C8" s="460" t="str">
        <f>C7</f>
        <v>Nettoomsætning</v>
      </c>
      <c r="D8" s="460"/>
      <c r="E8" s="473"/>
      <c r="F8" s="475">
        <f>F7</f>
        <v>59944</v>
      </c>
      <c r="G8" s="461"/>
      <c r="H8" s="476">
        <f>'Resultatopgørelse til analyse'!B3/'Balance til analyse'!D15</f>
        <v>0.4202497213244625</v>
      </c>
      <c r="I8" s="476" t="e">
        <f>'Resultatopgørelse til analyse'!C3/'Balance til analyse'!E15</f>
        <v>#DIV/0!</v>
      </c>
      <c r="J8" s="477">
        <f>'Resultatopgørelse til analyse'!D3/'Balance til analyse'!F15</f>
        <v>0.4414526261011783</v>
      </c>
      <c r="K8" s="466">
        <f>(J8-H8)/H8</f>
        <v>0.05045310847534313</v>
      </c>
    </row>
    <row r="9" spans="1:11" ht="12.75">
      <c r="A9" s="467"/>
      <c r="B9" s="468"/>
      <c r="C9" s="469" t="str">
        <f>C5</f>
        <v>Aktiver i alt</v>
      </c>
      <c r="D9" s="469"/>
      <c r="E9" s="469"/>
      <c r="F9" s="478">
        <f>F5</f>
        <v>142639</v>
      </c>
      <c r="G9" s="468"/>
      <c r="H9" s="470"/>
      <c r="I9" s="470"/>
      <c r="J9" s="471"/>
      <c r="K9" s="472"/>
    </row>
    <row r="10" spans="1:11" ht="13.5" thickBot="1">
      <c r="A10" s="49" t="s">
        <v>249</v>
      </c>
      <c r="B10" s="132"/>
      <c r="C10" s="460" t="str">
        <f>'Resultatopgørelse til analyse'!A20</f>
        <v>Rente omkostninger</v>
      </c>
      <c r="D10" s="461" t="str">
        <f>D6</f>
        <v>*100</v>
      </c>
      <c r="E10" s="132"/>
      <c r="F10" s="14">
        <f>'Resultatopgørelse til analyse'!B20</f>
        <v>3456</v>
      </c>
      <c r="G10" s="14" t="str">
        <f>G6</f>
        <v>*100</v>
      </c>
      <c r="H10" s="479">
        <f>('Resultatopgørelse til analyse'!B20/('Balance til analyse'!D32))</f>
        <v>0.041770407793275156</v>
      </c>
      <c r="I10" s="479" t="e">
        <f>('Resultatopgørelse til analyse'!C20/('Balance til analyse'!E32))</f>
        <v>#DIV/0!</v>
      </c>
      <c r="J10" s="480">
        <f>('Resultatopgørelse til analyse'!D20/('Balance til analyse'!F32))</f>
        <v>0.039852851011649294</v>
      </c>
      <c r="K10" s="466">
        <f>(J10-H10)/H10</f>
        <v>-0.04590706394622702</v>
      </c>
    </row>
    <row r="11" spans="1:11" ht="12.75">
      <c r="A11" s="49"/>
      <c r="B11" s="132"/>
      <c r="C11" s="217" t="s">
        <v>250</v>
      </c>
      <c r="D11" s="217"/>
      <c r="E11" s="217"/>
      <c r="F11" s="132">
        <f>'Balance til analyse'!D32</f>
        <v>82738</v>
      </c>
      <c r="G11" s="481"/>
      <c r="H11" s="482"/>
      <c r="I11" s="482"/>
      <c r="J11" s="483"/>
      <c r="K11" s="472"/>
    </row>
    <row r="12" spans="1:11" ht="13.5" thickBot="1">
      <c r="A12" s="459" t="s">
        <v>251</v>
      </c>
      <c r="B12" s="72"/>
      <c r="C12" s="460" t="str">
        <f>'Resultatopgørelse til analyse'!A21</f>
        <v>Resultat efter renter</v>
      </c>
      <c r="D12" s="463" t="str">
        <f>D10</f>
        <v>*100</v>
      </c>
      <c r="E12" s="473"/>
      <c r="F12" s="484">
        <f>'Resultatopgørelse til analyse'!B21</f>
        <v>2881</v>
      </c>
      <c r="G12" s="461" t="s">
        <v>246</v>
      </c>
      <c r="H12" s="464">
        <f>'Resultatopgørelse til analyse'!B21/'Balance til analyse'!D17</f>
        <v>0.04809602510809503</v>
      </c>
      <c r="I12" s="464" t="e">
        <f>'Resultatopgørelse til analyse'!C21/'Balance til analyse'!E17</f>
        <v>#DIV/0!</v>
      </c>
      <c r="J12" s="465">
        <f>'Resultatopgørelse til analyse'!D21/'Balance til analyse'!F17</f>
        <v>0.09590008236816891</v>
      </c>
      <c r="K12" s="466">
        <f>(J12-H12)/H12</f>
        <v>0.9939294807135319</v>
      </c>
    </row>
    <row r="13" spans="1:11" ht="12.75">
      <c r="A13" s="467" t="s">
        <v>252</v>
      </c>
      <c r="B13" s="468"/>
      <c r="C13" s="469" t="s">
        <v>253</v>
      </c>
      <c r="D13" s="469"/>
      <c r="E13" s="469"/>
      <c r="F13" s="485">
        <f>'Balance til analyse'!D17</f>
        <v>59901</v>
      </c>
      <c r="G13" s="468"/>
      <c r="H13" s="470"/>
      <c r="I13" s="470"/>
      <c r="J13" s="471"/>
      <c r="K13" s="472"/>
    </row>
    <row r="14" spans="1:11" ht="13.5" thickBot="1">
      <c r="A14" s="459" t="str">
        <f>A12</f>
        <v>Egenkapital forrentning</v>
      </c>
      <c r="B14" s="72"/>
      <c r="C14" s="460" t="str">
        <f>'Resultatopgørelse til analyse'!A24</f>
        <v>Koncernresultat</v>
      </c>
      <c r="D14" s="463" t="str">
        <f>D12</f>
        <v>*100</v>
      </c>
      <c r="E14" s="473"/>
      <c r="F14" s="486">
        <f>'Resultatopgørelse til analyse'!B24</f>
        <v>3193</v>
      </c>
      <c r="G14" s="461" t="str">
        <f>G12</f>
        <v>*100</v>
      </c>
      <c r="H14" s="464">
        <f>'Resultatopgørelse til analyse'!B24/'Balance til analyse'!D17</f>
        <v>0.05330461928849268</v>
      </c>
      <c r="I14" s="464" t="e">
        <f>'Resultatopgørelse til analyse'!C24/'Balance til analyse'!E17</f>
        <v>#DIV/0!</v>
      </c>
      <c r="J14" s="465">
        <f>'Resultatopgørelse til analyse'!D24/'Balance til analyse'!F17</f>
        <v>0.07004656323017701</v>
      </c>
      <c r="K14" s="466">
        <f>(J14-H14)/H14</f>
        <v>0.3140805462107213</v>
      </c>
    </row>
    <row r="15" spans="1:11" ht="12.75">
      <c r="A15" s="467" t="s">
        <v>254</v>
      </c>
      <c r="B15" s="468"/>
      <c r="C15" s="469" t="str">
        <f>C13</f>
        <v>Egenkapitalen primo</v>
      </c>
      <c r="D15" s="469"/>
      <c r="E15" s="469"/>
      <c r="F15" s="485">
        <f>F13</f>
        <v>59901</v>
      </c>
      <c r="G15" s="468"/>
      <c r="H15" s="470"/>
      <c r="I15" s="470"/>
      <c r="J15" s="471"/>
      <c r="K15" s="472"/>
    </row>
    <row r="16" spans="1:11" ht="15.75">
      <c r="A16" s="487" t="s">
        <v>255</v>
      </c>
      <c r="B16" s="488"/>
      <c r="C16" s="489"/>
      <c r="D16" s="489"/>
      <c r="E16" s="489"/>
      <c r="F16" s="489"/>
      <c r="G16" s="489"/>
      <c r="H16" s="490"/>
      <c r="I16" s="490"/>
      <c r="J16" s="491"/>
      <c r="K16" s="492"/>
    </row>
    <row r="17" spans="1:11" ht="13.5" thickBot="1">
      <c r="A17" s="49" t="s">
        <v>256</v>
      </c>
      <c r="B17" s="132"/>
      <c r="C17" s="44" t="str">
        <f>C6</f>
        <v>Resultat før renter (EBIT)</v>
      </c>
      <c r="D17" s="14"/>
      <c r="E17" s="132"/>
      <c r="F17" s="14">
        <f>F6</f>
        <v>6337</v>
      </c>
      <c r="G17" s="14" t="str">
        <f>G6</f>
        <v>*100</v>
      </c>
      <c r="H17" s="479">
        <f>H6</f>
        <v>0.10571533431202455</v>
      </c>
      <c r="I17" s="479" t="e">
        <f>I6</f>
        <v>#DIV/0!</v>
      </c>
      <c r="J17" s="480">
        <f>J6</f>
        <v>0.14642484254487892</v>
      </c>
      <c r="K17" s="466">
        <f>(J17-H17)/H17</f>
        <v>0.38508612300934547</v>
      </c>
    </row>
    <row r="18" spans="1:11" ht="12.75">
      <c r="A18" s="467"/>
      <c r="B18" s="468"/>
      <c r="C18" s="469" t="str">
        <f>C7</f>
        <v>Nettoomsætning</v>
      </c>
      <c r="D18" s="217"/>
      <c r="E18" s="217"/>
      <c r="F18" s="468">
        <f>F7</f>
        <v>59944</v>
      </c>
      <c r="G18" s="468"/>
      <c r="H18" s="493"/>
      <c r="I18" s="493"/>
      <c r="J18" s="494"/>
      <c r="K18" s="495"/>
    </row>
    <row r="19" spans="1:11" ht="13.5" thickBot="1">
      <c r="A19" s="496" t="s">
        <v>257</v>
      </c>
      <c r="B19" s="132"/>
      <c r="C19" s="44" t="str">
        <f>'Resultatopgørelse til analyse'!A5</f>
        <v>Bruttoresultat</v>
      </c>
      <c r="D19" s="44" t="str">
        <f>D21</f>
        <v>*100</v>
      </c>
      <c r="E19" s="217"/>
      <c r="F19" s="461">
        <f>'Resultatopgørelse til analyse'!B5</f>
        <v>28695</v>
      </c>
      <c r="G19" s="497" t="str">
        <f>G21</f>
        <v>*100</v>
      </c>
      <c r="H19" s="479">
        <f>'Resultatopgørelse til analyse'!B5/'Resultatopgørelse til analyse'!B3</f>
        <v>0.47869678366475377</v>
      </c>
      <c r="I19" s="479" t="e">
        <f>'Resultatopgørelse til analyse'!C5/'Resultatopgørelse til analyse'!C3</f>
        <v>#DIV/0!</v>
      </c>
      <c r="J19" s="480">
        <f>'Resultatopgørelse til analyse'!D5/'Resultatopgørelse til analyse'!D3</f>
        <v>0.49147889932976324</v>
      </c>
      <c r="K19" s="466">
        <f>(J19-H19)/H19</f>
        <v>0.026701904214090535</v>
      </c>
    </row>
    <row r="20" spans="1:11" ht="12.75">
      <c r="A20" s="49"/>
      <c r="B20" s="132"/>
      <c r="C20" s="217" t="str">
        <f>'Resultatopgørelse til analyse'!A3</f>
        <v>Nettoomsætning</v>
      </c>
      <c r="D20" s="217"/>
      <c r="E20" s="217"/>
      <c r="F20" s="132">
        <f>'Resultatopgørelse til analyse'!B3</f>
        <v>59944</v>
      </c>
      <c r="G20" s="132"/>
      <c r="H20" s="59"/>
      <c r="I20" s="59"/>
      <c r="J20" s="498"/>
      <c r="K20" s="472"/>
    </row>
    <row r="21" spans="1:11" ht="13.5" thickBot="1">
      <c r="A21" s="459" t="s">
        <v>258</v>
      </c>
      <c r="B21" s="72"/>
      <c r="C21" s="460" t="str">
        <f>'Resultatopgørelse til analyse'!A7</f>
        <v>Dækningsbidrag</v>
      </c>
      <c r="D21" s="14" t="str">
        <f>D14</f>
        <v>*100</v>
      </c>
      <c r="E21" s="132"/>
      <c r="F21" s="486">
        <f>'Resultatopgørelse til analyse'!B7</f>
        <v>28695</v>
      </c>
      <c r="G21" s="461" t="s">
        <v>246</v>
      </c>
      <c r="H21" s="464">
        <f>'Resultatopgørelse til analyse'!B7/'Resultatopgørelse til analyse'!B3</f>
        <v>0.47869678366475377</v>
      </c>
      <c r="I21" s="464" t="e">
        <f>'Resultatopgørelse til analyse'!C7/'Resultatopgørelse til analyse'!C3</f>
        <v>#DIV/0!</v>
      </c>
      <c r="J21" s="465">
        <f>'Resultatopgørelse til analyse'!D7/'Resultatopgørelse til analyse'!D3</f>
        <v>0.49147889932976324</v>
      </c>
      <c r="K21" s="495">
        <f>(J21-H21)/H21</f>
        <v>0.026701904214090535</v>
      </c>
    </row>
    <row r="22" spans="1:11" ht="12.75">
      <c r="A22" s="467"/>
      <c r="B22" s="468"/>
      <c r="C22" s="469" t="str">
        <f>C18</f>
        <v>Nettoomsætning</v>
      </c>
      <c r="D22" s="469"/>
      <c r="E22" s="469"/>
      <c r="F22" s="499">
        <f>F7</f>
        <v>59944</v>
      </c>
      <c r="G22" s="468"/>
      <c r="H22" s="493"/>
      <c r="I22" s="493"/>
      <c r="J22" s="494"/>
      <c r="K22" s="472"/>
    </row>
    <row r="23" spans="1:11" ht="13.5" thickBot="1">
      <c r="A23" s="459" t="s">
        <v>259</v>
      </c>
      <c r="B23" s="72"/>
      <c r="C23" s="460" t="str">
        <f>'Resultatopgørelse til analyse'!A9</f>
        <v>Markedsføringbidrag</v>
      </c>
      <c r="D23" s="461" t="str">
        <f>D21</f>
        <v>*100</v>
      </c>
      <c r="E23" s="72"/>
      <c r="F23" s="486">
        <f>'Resultatopgørelse til analyse'!B9</f>
        <v>28695</v>
      </c>
      <c r="G23" s="500" t="str">
        <f>G21</f>
        <v>*100</v>
      </c>
      <c r="H23" s="464">
        <f>'Resultatopgørelse til analyse'!B9/'Resultatopgørelse til analyse'!B3</f>
        <v>0.47869678366475377</v>
      </c>
      <c r="I23" s="464" t="e">
        <f>'Resultatopgørelse til analyse'!C9/'Resultatopgørelse til analyse'!C3</f>
        <v>#DIV/0!</v>
      </c>
      <c r="J23" s="465">
        <f>'Resultatopgørelse til analyse'!D9/'Resultatopgørelse til analyse'!D3</f>
        <v>0.49147889932976324</v>
      </c>
      <c r="K23" s="466">
        <f>(J23-H23)/H23</f>
        <v>0.026701904214090535</v>
      </c>
    </row>
    <row r="24" spans="1:11" ht="12.75">
      <c r="A24" s="467"/>
      <c r="B24" s="468"/>
      <c r="C24" s="469" t="str">
        <f>C22</f>
        <v>Nettoomsætning</v>
      </c>
      <c r="D24" s="468"/>
      <c r="E24" s="468"/>
      <c r="F24" s="485">
        <f>'Resultatopgørelse til analyse'!B3</f>
        <v>59944</v>
      </c>
      <c r="G24" s="468"/>
      <c r="H24" s="493"/>
      <c r="I24" s="493"/>
      <c r="J24" s="494"/>
      <c r="K24" s="472"/>
    </row>
    <row r="25" spans="1:11" ht="13.5" thickBot="1">
      <c r="A25" s="459" t="s">
        <v>260</v>
      </c>
      <c r="B25" s="72"/>
      <c r="C25" s="460" t="str">
        <f>'Resultatopgørelse til analyse'!A16</f>
        <v>Indtjeningsbidrag</v>
      </c>
      <c r="D25" s="461" t="str">
        <f>D23</f>
        <v>*100</v>
      </c>
      <c r="E25" s="72"/>
      <c r="F25" s="486">
        <f>'Resultatopgørelse til analyse'!B16</f>
        <v>6337</v>
      </c>
      <c r="G25" s="501" t="str">
        <f>G23</f>
        <v>*100</v>
      </c>
      <c r="H25" s="464">
        <f>'Resultatopgørelse til analyse'!B16/'Resultatopgørelse til analyse'!B3</f>
        <v>0.10571533431202455</v>
      </c>
      <c r="I25" s="464" t="e">
        <f>'Resultatopgørelse til analyse'!C16/'Resultatopgørelse til analyse'!C3</f>
        <v>#DIV/0!</v>
      </c>
      <c r="J25" s="465">
        <f>'Resultatopgørelse til analyse'!D16/'Resultatopgørelse til analyse'!D3</f>
        <v>0.14642484254487892</v>
      </c>
      <c r="K25" s="466">
        <f>(J25-H25)/H25</f>
        <v>0.38508612300934547</v>
      </c>
    </row>
    <row r="26" spans="1:11" ht="12.75">
      <c r="A26" s="467"/>
      <c r="B26" s="468"/>
      <c r="C26" s="469" t="str">
        <f>C24</f>
        <v>Nettoomsætning</v>
      </c>
      <c r="D26" s="468"/>
      <c r="E26" s="468"/>
      <c r="F26" s="499">
        <f>F24</f>
        <v>59944</v>
      </c>
      <c r="G26" s="468"/>
      <c r="H26" s="493"/>
      <c r="I26" s="493"/>
      <c r="J26" s="494"/>
      <c r="K26" s="472"/>
    </row>
    <row r="27" spans="1:11" ht="13.5" thickBot="1">
      <c r="A27" s="459" t="s">
        <v>261</v>
      </c>
      <c r="B27" s="72"/>
      <c r="C27" s="460" t="str">
        <f>C21</f>
        <v>Dækningsbidrag</v>
      </c>
      <c r="D27" s="461" t="str">
        <f>D25</f>
        <v>*100</v>
      </c>
      <c r="E27" s="72"/>
      <c r="F27" s="486">
        <f>'Resultatopgørelse til analyse'!B5</f>
        <v>28695</v>
      </c>
      <c r="G27" s="501"/>
      <c r="H27" s="476">
        <f>'Resultatopgørelse til analyse'!B5/('Resultatopgørelse til analyse'!B8+'Resultatopgørelse til analyse'!B10+'Resultatopgørelse til analyse'!B11+'Resultatopgørelse til analyse'!B12+'Resultatopgørelse til analyse'!B13+'Resultatopgørelse til analyse'!B14+'Resultatopgørelse til analyse'!B15+'Resultatopgørelse til analyse'!B17)</f>
        <v>1.2834332230074246</v>
      </c>
      <c r="I27" s="476" t="e">
        <f>'Resultatopgørelse til analyse'!C5/('Resultatopgørelse til analyse'!C8+'Resultatopgørelse til analyse'!C10+'Resultatopgørelse til analyse'!C11+'Resultatopgørelse til analyse'!C12+'Resultatopgørelse til analyse'!C13+'Resultatopgørelse til analyse'!C14+'Resultatopgørelse til analyse'!C15+'Resultatopgørelse til analyse'!C17)</f>
        <v>#DIV/0!</v>
      </c>
      <c r="J27" s="477">
        <f>'Resultatopgørelse til analyse'!D5/('Resultatopgørelse til analyse'!D8+'Resultatopgørelse til analyse'!D10+'Resultatopgørelse til analyse'!D11+'Resultatopgørelse til analyse'!D12+'Resultatopgørelse til analyse'!D13+'Resultatopgørelse til analyse'!D14+'Resultatopgørelse til analyse'!D15+'Resultatopgørelse til analyse'!D17)</f>
        <v>1.4243533430941924</v>
      </c>
      <c r="K27" s="466">
        <f>(J27-H27)/H27</f>
        <v>0.10979933942847027</v>
      </c>
    </row>
    <row r="28" spans="1:11" ht="12.75">
      <c r="A28" s="467"/>
      <c r="B28" s="468"/>
      <c r="C28" s="468" t="s">
        <v>262</v>
      </c>
      <c r="D28" s="468"/>
      <c r="E28" s="468"/>
      <c r="F28" s="485">
        <f>'Resultatopgørelse til analyse'!B8+'Resultatopgørelse til analyse'!B10+'Resultatopgørelse til analyse'!B11+'Resultatopgørelse til analyse'!B12+'Resultatopgørelse til analyse'!B13+'Resultatopgørelse til analyse'!B14+'Resultatopgørelse til analyse'!B15+'Resultatopgørelse til analyse'!B17</f>
        <v>22358</v>
      </c>
      <c r="G28" s="468"/>
      <c r="H28" s="493"/>
      <c r="I28" s="493"/>
      <c r="J28" s="494"/>
      <c r="K28" s="472"/>
    </row>
    <row r="29" spans="1:11" ht="13.5" thickBot="1">
      <c r="A29" s="459" t="s">
        <v>263</v>
      </c>
      <c r="B29" s="72"/>
      <c r="C29" s="461" t="str">
        <f>C28</f>
        <v>Kapacitetsomk incl afskrivninger</v>
      </c>
      <c r="D29" s="461" t="str">
        <f>D27</f>
        <v>*100</v>
      </c>
      <c r="E29" s="72"/>
      <c r="F29" s="475">
        <f>F28</f>
        <v>22358</v>
      </c>
      <c r="G29" s="501" t="str">
        <f>G25</f>
        <v>*100</v>
      </c>
      <c r="H29" s="502">
        <f>('Resultatopgørelse til analyse'!B8+'Resultatopgørelse til analyse'!B10+'Resultatopgørelse til analyse'!B11+'Resultatopgørelse til analyse'!B12+'Resultatopgørelse til analyse'!B13+'Resultatopgørelse til analyse'!B14+'Resultatopgørelse til analyse'!B15+'Resultatopgørelse til analyse'!B17)/'beregning af nøgletal'!H21</f>
        <v>46705.9749782192</v>
      </c>
      <c r="I29" s="502" t="e">
        <f>('Resultatopgørelse til analyse'!C8+'Resultatopgørelse til analyse'!C10+'Resultatopgørelse til analyse'!C11+'Resultatopgørelse til analyse'!C12+'Resultatopgørelse til analyse'!C13+'Resultatopgørelse til analyse'!C14+'Resultatopgørelse til analyse'!C15+'Resultatopgørelse til analyse'!C17)/'beregning af nøgletal'!I21</f>
        <v>#DIV/0!</v>
      </c>
      <c r="J29" s="503">
        <f>('Resultatopgørelse til analyse'!D8+'Resultatopgørelse til analyse'!D10+'Resultatopgørelse til analyse'!D11+'Resultatopgørelse til analyse'!D12+'Resultatopgørelse til analyse'!D13+'Resultatopgørelse til analyse'!D14+'Resultatopgørelse til analyse'!D15+'Resultatopgørelse til analyse'!D17)/'beregning af nøgletal'!J21</f>
        <v>41690.49785848895</v>
      </c>
      <c r="K29" s="466">
        <f>(J29-H29)/H29</f>
        <v>-0.10738405786559782</v>
      </c>
    </row>
    <row r="30" spans="1:11" ht="12.75">
      <c r="A30" s="467"/>
      <c r="B30" s="468"/>
      <c r="C30" s="469" t="str">
        <f>A21</f>
        <v>Dækningsgrad</v>
      </c>
      <c r="D30" s="468"/>
      <c r="E30" s="468"/>
      <c r="F30" s="504">
        <f>H21*100</f>
        <v>47.86967836647538</v>
      </c>
      <c r="G30" s="468"/>
      <c r="H30" s="493"/>
      <c r="I30" s="493"/>
      <c r="J30" s="494"/>
      <c r="K30" s="472"/>
    </row>
    <row r="31" spans="1:11" ht="13.5" thickBot="1">
      <c r="A31" s="459" t="s">
        <v>264</v>
      </c>
      <c r="B31" s="72"/>
      <c r="C31" s="461" t="s">
        <v>265</v>
      </c>
      <c r="D31" s="461" t="str">
        <f>D29</f>
        <v>*100</v>
      </c>
      <c r="E31" s="72"/>
      <c r="F31" s="475">
        <f>F26</f>
        <v>59944</v>
      </c>
      <c r="G31" s="505">
        <f>H29*-1</f>
        <v>-46705.9749782192</v>
      </c>
      <c r="H31" s="506">
        <f>('Resultatopgørelse til analyse'!B3-'beregning af nøgletal'!H29)/'Resultatopgørelse til analyse'!B3</f>
        <v>0.22083986757274787</v>
      </c>
      <c r="I31" s="506" t="e">
        <f>('Resultatopgørelse til analyse'!C3-'beregning af nøgletal'!I29)/'Resultatopgørelse til analyse'!C3</f>
        <v>#DIV/0!</v>
      </c>
      <c r="J31" s="507">
        <f>('Resultatopgørelse til analyse'!D3-'beregning af nøgletal'!J29)/'Resultatopgørelse til analyse'!D3</f>
        <v>0.2979270173034093</v>
      </c>
      <c r="K31" s="466">
        <f>(J31-H31)/H31</f>
        <v>0.34906355712818843</v>
      </c>
    </row>
    <row r="32" spans="1:11" ht="12.75">
      <c r="A32" s="467"/>
      <c r="B32" s="468"/>
      <c r="C32" s="469" t="str">
        <f>C26</f>
        <v>Nettoomsætning</v>
      </c>
      <c r="D32" s="468"/>
      <c r="E32" s="468"/>
      <c r="F32" s="499">
        <f>F26</f>
        <v>59944</v>
      </c>
      <c r="G32" s="468"/>
      <c r="H32" s="493"/>
      <c r="I32" s="493"/>
      <c r="J32" s="494"/>
      <c r="K32" s="472"/>
    </row>
    <row r="33" spans="1:11" ht="12.75">
      <c r="A33" s="55" t="s">
        <v>266</v>
      </c>
      <c r="B33" s="508">
        <f>H2</f>
        <v>2008</v>
      </c>
      <c r="C33" s="509" t="s">
        <v>267</v>
      </c>
      <c r="D33" s="509"/>
      <c r="E33" s="509"/>
      <c r="F33" s="508" t="s">
        <v>268</v>
      </c>
      <c r="G33" s="510">
        <f>J2</f>
        <v>2009</v>
      </c>
      <c r="H33" s="511"/>
      <c r="I33" s="511"/>
      <c r="J33" s="512"/>
      <c r="K33" s="513"/>
    </row>
    <row r="34" spans="1:11" ht="13.5" thickBot="1">
      <c r="A34" s="459" t="str">
        <f>'Resultatopgørelse til analyse'!A3</f>
        <v>Nettoomsætning</v>
      </c>
      <c r="B34" s="72"/>
      <c r="C34" s="460" t="s">
        <v>269</v>
      </c>
      <c r="D34" s="461" t="s">
        <v>246</v>
      </c>
      <c r="E34" s="72"/>
      <c r="F34" s="475">
        <f>'Resultatopgørelse til analyse'!D3</f>
        <v>59382</v>
      </c>
      <c r="G34" s="501" t="str">
        <f>G29</f>
        <v>*100</v>
      </c>
      <c r="H34" s="514">
        <f>'Resultatopgørelse til analyse'!B3*100/'Resultatopgørelse til analyse'!$B$3</f>
        <v>100</v>
      </c>
      <c r="I34" s="514">
        <f>'Resultatopgørelse til analyse'!C3*100/'Resultatopgørelse til analyse'!$B$3</f>
        <v>0</v>
      </c>
      <c r="J34" s="515">
        <f>'Resultatopgørelse til analyse'!D3*100/'Resultatopgørelse til analyse'!$B$3</f>
        <v>99.06245829440812</v>
      </c>
      <c r="K34" s="466">
        <f>(J34-H34)/H34</f>
        <v>-0.00937541705591883</v>
      </c>
    </row>
    <row r="35" spans="1:11" ht="12.75">
      <c r="A35" s="467"/>
      <c r="B35" s="468"/>
      <c r="C35" s="469" t="s">
        <v>270</v>
      </c>
      <c r="D35" s="468"/>
      <c r="E35" s="468"/>
      <c r="F35" s="499">
        <f>F31</f>
        <v>59944</v>
      </c>
      <c r="G35" s="468"/>
      <c r="H35" s="516"/>
      <c r="I35" s="516"/>
      <c r="J35" s="517"/>
      <c r="K35" s="472"/>
    </row>
    <row r="36" spans="1:11" ht="12.75">
      <c r="A36" s="518" t="str">
        <f>'Resultatopgørelse til analyse'!A4</f>
        <v>Produktions omk.</v>
      </c>
      <c r="B36" s="71"/>
      <c r="C36" s="71"/>
      <c r="D36" s="71"/>
      <c r="E36" s="71"/>
      <c r="F36" s="71"/>
      <c r="G36" s="71"/>
      <c r="H36" s="519">
        <f>'Resultatopgørelse til analyse'!B4*100/'Resultatopgørelse til analyse'!$B$4</f>
        <v>100</v>
      </c>
      <c r="I36" s="519">
        <f>'Resultatopgørelse til analyse'!C4*100/'Resultatopgørelse til analyse'!$B$4</f>
        <v>0</v>
      </c>
      <c r="J36" s="520">
        <f>'Resultatopgørelse til analyse'!D4*100/'Resultatopgørelse til analyse'!$B$4</f>
        <v>96.6334922717527</v>
      </c>
      <c r="K36" s="513">
        <f aca="true" t="shared" si="0" ref="K36:K48">(J36-H36)/H36</f>
        <v>-0.03366507728247299</v>
      </c>
    </row>
    <row r="37" spans="1:11" ht="12.75" hidden="1">
      <c r="A37" s="518" t="str">
        <f>'Resultatopgørelse til analyse'!A8</f>
        <v>Markedsføringsomkostninger</v>
      </c>
      <c r="B37" s="71"/>
      <c r="C37" s="71"/>
      <c r="D37" s="71"/>
      <c r="E37" s="71"/>
      <c r="F37" s="71"/>
      <c r="G37" s="71"/>
      <c r="H37" s="519" t="e">
        <f>'Resultatopgørelse til analyse'!B8*100/'Resultatopgørelse til analyse'!B8</f>
        <v>#DIV/0!</v>
      </c>
      <c r="I37" s="519" t="e">
        <f>'Resultatopgørelse til analyse'!C8*100/'Resultatopgørelse til analyse'!$B$8</f>
        <v>#DIV/0!</v>
      </c>
      <c r="J37" s="520" t="e">
        <f>'Resultatopgørelse til analyse'!D8*100/'Resultatopgørelse til analyse'!$B$8</f>
        <v>#DIV/0!</v>
      </c>
      <c r="K37" s="513" t="e">
        <f t="shared" si="0"/>
        <v>#DIV/0!</v>
      </c>
    </row>
    <row r="38" spans="1:11" ht="12.75">
      <c r="A38" s="518" t="str">
        <f>'Resultatopgørelse til analyse'!A10</f>
        <v>Distributionsomk</v>
      </c>
      <c r="B38" s="71"/>
      <c r="C38" s="71"/>
      <c r="D38" s="71"/>
      <c r="E38" s="71"/>
      <c r="F38" s="71"/>
      <c r="G38" s="71"/>
      <c r="H38" s="519">
        <f>'Resultatopgørelse til analyse'!B10*100/'Resultatopgørelse til analyse'!$B$10</f>
        <v>100</v>
      </c>
      <c r="I38" s="519">
        <f>'Resultatopgørelse til analyse'!C10*100/'Resultatopgørelse til analyse'!$B$10</f>
        <v>0</v>
      </c>
      <c r="J38" s="520">
        <f>'Resultatopgørelse til analyse'!D10*100/'Resultatopgørelse til analyse'!$B$10</f>
        <v>90.88790359254206</v>
      </c>
      <c r="K38" s="513">
        <f t="shared" si="0"/>
        <v>-0.09112096407457941</v>
      </c>
    </row>
    <row r="39" spans="1:11" ht="12.75">
      <c r="A39" s="518" t="str">
        <f>'Resultatopgørelse til analyse'!A11</f>
        <v>Admomk</v>
      </c>
      <c r="B39" s="71"/>
      <c r="C39" s="71"/>
      <c r="D39" s="71"/>
      <c r="E39" s="71"/>
      <c r="F39" s="71"/>
      <c r="G39" s="71"/>
      <c r="H39" s="519">
        <f>'Resultatopgørelse til analyse'!B11*100/'Resultatopgørelse til analyse'!$B$11</f>
        <v>100</v>
      </c>
      <c r="I39" s="519">
        <f>'Resultatopgørelse til analyse'!C11*100/'Resultatopgørelse til analyse'!$B$11</f>
        <v>0</v>
      </c>
      <c r="J39" s="520">
        <f>'Resultatopgørelse til analyse'!D11*100/'Resultatopgørelse til analyse'!$B$11</f>
        <v>98.44941535332994</v>
      </c>
      <c r="K39" s="513">
        <f t="shared" si="0"/>
        <v>-0.015505846466700604</v>
      </c>
    </row>
    <row r="40" spans="1:11" ht="12.75">
      <c r="A40" s="518" t="str">
        <f>'Resultatopgørelse til analyse'!A12</f>
        <v>Andre driftsposter netto</v>
      </c>
      <c r="B40" s="71"/>
      <c r="C40" s="71"/>
      <c r="D40" s="71"/>
      <c r="E40" s="71"/>
      <c r="F40" s="71"/>
      <c r="G40" s="71"/>
      <c r="H40" s="519">
        <f>'Resultatopgørelse til analyse'!B12*100/'Resultatopgørelse til analyse'!$B$12</f>
        <v>100</v>
      </c>
      <c r="I40" s="519">
        <f>'Resultatopgørelse til analyse'!C12*100/'Resultatopgørelse til analyse'!$B$12</f>
        <v>0</v>
      </c>
      <c r="J40" s="520">
        <f>'Resultatopgørelse til analyse'!D12*100/'Resultatopgørelse til analyse'!$B$12</f>
        <v>75.48076923076923</v>
      </c>
      <c r="K40" s="513">
        <f t="shared" si="0"/>
        <v>-0.24519230769230774</v>
      </c>
    </row>
    <row r="41" spans="1:11" ht="12.75" hidden="1">
      <c r="A41" s="518" t="str">
        <f>'Resultatopgørelse til analyse'!A13</f>
        <v>-</v>
      </c>
      <c r="B41" s="71"/>
      <c r="C41" s="71"/>
      <c r="D41" s="71"/>
      <c r="E41" s="71"/>
      <c r="F41" s="71"/>
      <c r="G41" s="71"/>
      <c r="H41" s="519" t="e">
        <f>'Resultatopgørelse til analyse'!B13*100/'Resultatopgørelse til analyse'!$B$13</f>
        <v>#DIV/0!</v>
      </c>
      <c r="I41" s="519" t="e">
        <f>'Resultatopgørelse til analyse'!C13*100/'Resultatopgørelse til analyse'!$B$13</f>
        <v>#DIV/0!</v>
      </c>
      <c r="J41" s="520" t="e">
        <f>'Resultatopgørelse til analyse'!D13*100/'Resultatopgørelse til analyse'!$B$13</f>
        <v>#DIV/0!</v>
      </c>
      <c r="K41" s="513" t="e">
        <f t="shared" si="0"/>
        <v>#DIV/0!</v>
      </c>
    </row>
    <row r="42" spans="1:11" ht="12.75" hidden="1">
      <c r="A42" s="518" t="str">
        <f>'Resultatopgørelse til analyse'!A14</f>
        <v>-</v>
      </c>
      <c r="B42" s="71"/>
      <c r="C42" s="71"/>
      <c r="D42" s="71"/>
      <c r="E42" s="71"/>
      <c r="F42" s="71"/>
      <c r="G42" s="71"/>
      <c r="H42" s="519" t="e">
        <f>'Resultatopgørelse til analyse'!B14*100/'Resultatopgørelse til analyse'!$B$14</f>
        <v>#DIV/0!</v>
      </c>
      <c r="I42" s="519" t="e">
        <f>'Resultatopgørelse til analyse'!C14*100/'Resultatopgørelse til analyse'!$B$14</f>
        <v>#DIV/0!</v>
      </c>
      <c r="J42" s="520" t="e">
        <f>'Resultatopgørelse til analyse'!D14*100/'Resultatopgørelse til analyse'!$B$14</f>
        <v>#DIV/0!</v>
      </c>
      <c r="K42" s="513" t="e">
        <f t="shared" si="0"/>
        <v>#DIV/0!</v>
      </c>
    </row>
    <row r="43" spans="1:11" ht="12.75" hidden="1">
      <c r="A43" s="518" t="str">
        <f>'Resultatopgørelse til analyse'!A17</f>
        <v>Afskrivninger</v>
      </c>
      <c r="B43" s="71"/>
      <c r="C43" s="71"/>
      <c r="D43" s="71"/>
      <c r="E43" s="71"/>
      <c r="F43" s="71"/>
      <c r="G43" s="71"/>
      <c r="H43" s="519" t="e">
        <f>'Resultatopgørelse til analyse'!B17*100/'Resultatopgørelse til analyse'!$B$17</f>
        <v>#DIV/0!</v>
      </c>
      <c r="I43" s="519" t="e">
        <f>'Resultatopgørelse til analyse'!C17*100/'Resultatopgørelse til analyse'!$B$17</f>
        <v>#DIV/0!</v>
      </c>
      <c r="J43" s="520" t="e">
        <f>'Resultatopgørelse til analyse'!D17*100/'Resultatopgørelse til analyse'!$B$17</f>
        <v>#DIV/0!</v>
      </c>
      <c r="K43" s="513" t="e">
        <f t="shared" si="0"/>
        <v>#DIV/0!</v>
      </c>
    </row>
    <row r="44" spans="1:11" ht="12.75" hidden="1">
      <c r="A44" s="49" t="str">
        <f>'Resultatopgørelse til analyse'!A19</f>
        <v>Rente indtægter</v>
      </c>
      <c r="B44" s="132"/>
      <c r="C44" s="132"/>
      <c r="D44" s="132"/>
      <c r="E44" s="132"/>
      <c r="F44" s="132"/>
      <c r="G44" s="132"/>
      <c r="H44" s="519">
        <f>'Resultatopgørelse til analyse'!B16*100/'Resultatopgørelse til analyse'!B16</f>
        <v>100</v>
      </c>
      <c r="I44" s="521" t="e">
        <f>'Resultatopgørelse til analyse'!C19*100/'Resultatopgørelse til analyse'!$B$19</f>
        <v>#DIV/0!</v>
      </c>
      <c r="J44" s="522" t="e">
        <f>'Resultatopgørelse til analyse'!D19*100/'Resultatopgørelse til analyse'!$B$19</f>
        <v>#DIV/0!</v>
      </c>
      <c r="K44" s="513" t="e">
        <f t="shared" si="0"/>
        <v>#DIV/0!</v>
      </c>
    </row>
    <row r="45" spans="1:11" ht="12.75">
      <c r="A45" s="518" t="str">
        <f>'Resultatopgørelse til analyse'!A20</f>
        <v>Rente omkostninger</v>
      </c>
      <c r="B45" s="71"/>
      <c r="C45" s="71"/>
      <c r="D45" s="71"/>
      <c r="E45" s="71"/>
      <c r="F45" s="71"/>
      <c r="G45" s="71"/>
      <c r="H45" s="519">
        <f>'Resultatopgørelse til analyse'!B20*100/'Resultatopgørelse til analyse'!$B$20</f>
        <v>100</v>
      </c>
      <c r="I45" s="519">
        <f>'Resultatopgørelse til analyse'!C20*100/'Resultatopgørelse til analyse'!$B$20</f>
        <v>0</v>
      </c>
      <c r="J45" s="520">
        <f>'Resultatopgørelse til analyse'!D20*100/'Resultatopgørelse til analyse'!$B$20</f>
        <v>86.51620370370371</v>
      </c>
      <c r="K45" s="513">
        <f t="shared" si="0"/>
        <v>-0.1348379629629629</v>
      </c>
    </row>
    <row r="46" spans="1:11" ht="12.75" hidden="1">
      <c r="A46" s="518" t="str">
        <f>'Resultatopgørelse til analyse'!A22</f>
        <v>Ekstraordinære omk.</v>
      </c>
      <c r="B46" s="71"/>
      <c r="C46" s="71"/>
      <c r="D46" s="71"/>
      <c r="E46" s="71"/>
      <c r="F46" s="71"/>
      <c r="G46" s="71"/>
      <c r="H46" s="519" t="e">
        <f>'Resultatopgørelse til analyse'!B22*100/'Resultatopgørelse til analyse'!$B22</f>
        <v>#DIV/0!</v>
      </c>
      <c r="I46" s="519" t="e">
        <f>'Resultatopgørelse til analyse'!C22*100/'Resultatopgørelse til analyse'!$B$22</f>
        <v>#DIV/0!</v>
      </c>
      <c r="J46" s="520" t="e">
        <f>'Resultatopgørelse til analyse'!D22*100/'Resultatopgørelse til analyse'!$B$22</f>
        <v>#DIV/0!</v>
      </c>
      <c r="K46" s="513" t="e">
        <f t="shared" si="0"/>
        <v>#DIV/0!</v>
      </c>
    </row>
    <row r="47" spans="1:11" ht="12.75">
      <c r="A47" s="49" t="str">
        <f>'Resultatopgørelse til analyse'!A23</f>
        <v>Skat</v>
      </c>
      <c r="B47" s="132"/>
      <c r="C47" s="132"/>
      <c r="D47" s="132"/>
      <c r="E47" s="132"/>
      <c r="F47" s="132"/>
      <c r="G47" s="132"/>
      <c r="H47" s="521">
        <f>'Resultatopgørelse til analyse'!B23*100/'Resultatopgørelse til analyse'!$B$23</f>
        <v>100</v>
      </c>
      <c r="I47" s="521">
        <f>'Resultatopgørelse til analyse'!C23*100/'Resultatopgørelse til analyse'!$B$23</f>
        <v>0</v>
      </c>
      <c r="J47" s="522">
        <f>'Resultatopgørelse til analyse'!D23*100/'Resultatopgørelse til analyse'!$B$23</f>
        <v>-492.94871794871796</v>
      </c>
      <c r="K47" s="513">
        <f t="shared" si="0"/>
        <v>-5.92948717948718</v>
      </c>
    </row>
    <row r="48" spans="1:11" ht="13.5" thickBot="1">
      <c r="A48" s="523" t="str">
        <f>'Resultatopgørelse til analyse'!A24</f>
        <v>Koncernresultat</v>
      </c>
      <c r="B48" s="461"/>
      <c r="C48" s="461"/>
      <c r="D48" s="461"/>
      <c r="E48" s="461"/>
      <c r="F48" s="461"/>
      <c r="G48" s="461"/>
      <c r="H48" s="524">
        <f>'Resultatopgørelse til analyse'!B24*100/'Resultatopgørelse til analyse'!$B$24</f>
        <v>100</v>
      </c>
      <c r="I48" s="524">
        <f>'Resultatopgørelse til analyse'!C24*100/'Resultatopgørelse til analyse'!$B$24</f>
        <v>0</v>
      </c>
      <c r="J48" s="525">
        <f>'Resultatopgørelse til analyse'!D24*100/'Resultatopgørelse til analyse'!$B$24</f>
        <v>130.50422799874727</v>
      </c>
      <c r="K48" s="526">
        <f t="shared" si="0"/>
        <v>0.3050422799874727</v>
      </c>
    </row>
    <row r="49" spans="1:11" ht="15.75">
      <c r="A49" s="527" t="s">
        <v>271</v>
      </c>
      <c r="B49" s="528"/>
      <c r="C49" s="529"/>
      <c r="D49" s="529"/>
      <c r="E49" s="529"/>
      <c r="F49" s="529"/>
      <c r="G49" s="529"/>
      <c r="H49" s="530">
        <f>H2</f>
        <v>2008</v>
      </c>
      <c r="I49" s="530">
        <f>I2</f>
        <v>2009</v>
      </c>
      <c r="J49" s="531">
        <f>J2</f>
        <v>2009</v>
      </c>
      <c r="K49" s="532"/>
    </row>
    <row r="50" spans="1:11" ht="13.5" thickBot="1">
      <c r="A50" s="459" t="s">
        <v>248</v>
      </c>
      <c r="B50" s="72"/>
      <c r="C50" s="460" t="str">
        <f>C8</f>
        <v>Nettoomsætning</v>
      </c>
      <c r="D50" s="460"/>
      <c r="E50" s="473"/>
      <c r="F50" s="475">
        <f>F84</f>
        <v>59944</v>
      </c>
      <c r="G50" s="461"/>
      <c r="H50" s="476">
        <f>'Resultatopgørelse til analyse'!B3/'Balance til analyse'!D15</f>
        <v>0.4202497213244625</v>
      </c>
      <c r="I50" s="476" t="e">
        <f>'Resultatopgørelse til analyse'!C3/'Balance til analyse'!E15</f>
        <v>#DIV/0!</v>
      </c>
      <c r="J50" s="477">
        <f>'Resultatopgørelse til analyse'!D3/'Balance til analyse'!F15</f>
        <v>0.4414526261011783</v>
      </c>
      <c r="K50" s="466">
        <f>(J50-H50)/H50</f>
        <v>0.05045310847534313</v>
      </c>
    </row>
    <row r="51" spans="1:11" ht="12.75">
      <c r="A51" s="467"/>
      <c r="B51" s="468"/>
      <c r="C51" s="469" t="str">
        <f>C9</f>
        <v>Aktiver i alt</v>
      </c>
      <c r="D51" s="469"/>
      <c r="E51" s="469"/>
      <c r="F51" s="478">
        <f>F9</f>
        <v>142639</v>
      </c>
      <c r="G51" s="468"/>
      <c r="H51" s="470"/>
      <c r="I51" s="470"/>
      <c r="J51" s="471"/>
      <c r="K51" s="472"/>
    </row>
    <row r="52" spans="1:11" ht="13.5" hidden="1" thickBot="1">
      <c r="A52" s="459" t="s">
        <v>272</v>
      </c>
      <c r="B52" s="72"/>
      <c r="C52" s="460" t="str">
        <f>'Resultatopgørelse til analyse'!A4</f>
        <v>Produktions omk.</v>
      </c>
      <c r="D52" s="461"/>
      <c r="E52" s="72"/>
      <c r="F52" s="486">
        <f>'Resultatopgørelse til analyse'!B4</f>
        <v>31249</v>
      </c>
      <c r="G52" s="461"/>
      <c r="H52" s="476" t="e">
        <f>'Resultatopgørelse til analyse'!B4/'Balance til analyse'!D8</f>
        <v>#DIV/0!</v>
      </c>
      <c r="I52" s="476" t="e">
        <f>'Resultatopgørelse til analyse'!C4/'Balance til analyse'!E8</f>
        <v>#DIV/0!</v>
      </c>
      <c r="J52" s="477" t="e">
        <f>'Resultatopgørelse til analyse'!D4/'Balance til analyse'!F8</f>
        <v>#DIV/0!</v>
      </c>
      <c r="K52" s="466" t="e">
        <f>(J52-H52)/H52</f>
        <v>#DIV/0!</v>
      </c>
    </row>
    <row r="53" spans="1:11" ht="12.75" hidden="1">
      <c r="A53" s="467"/>
      <c r="B53" s="468"/>
      <c r="C53" s="469" t="str">
        <f>'Balance til analyse'!A8</f>
        <v>Varelager</v>
      </c>
      <c r="D53" s="468"/>
      <c r="E53" s="468"/>
      <c r="F53" s="485">
        <f>'Balance til analyse'!D8</f>
        <v>0</v>
      </c>
      <c r="G53" s="468"/>
      <c r="H53" s="493"/>
      <c r="I53" s="493"/>
      <c r="J53" s="494"/>
      <c r="K53" s="472"/>
    </row>
    <row r="54" spans="1:11" ht="13.5" hidden="1" thickBot="1">
      <c r="A54" s="459" t="s">
        <v>273</v>
      </c>
      <c r="B54" s="72"/>
      <c r="C54" s="460">
        <v>360</v>
      </c>
      <c r="D54" s="461"/>
      <c r="E54" s="72"/>
      <c r="F54" s="486">
        <v>360</v>
      </c>
      <c r="G54" s="461"/>
      <c r="H54" s="533" t="e">
        <f>$F$54/H52</f>
        <v>#DIV/0!</v>
      </c>
      <c r="I54" s="533" t="e">
        <f>$F$54/I52</f>
        <v>#DIV/0!</v>
      </c>
      <c r="J54" s="534" t="e">
        <f>$F$54/J52</f>
        <v>#DIV/0!</v>
      </c>
      <c r="K54" s="466" t="e">
        <f>(J54-H54)/H54</f>
        <v>#DIV/0!</v>
      </c>
    </row>
    <row r="55" spans="1:11" ht="12.75" hidden="1">
      <c r="A55" s="467"/>
      <c r="B55" s="468"/>
      <c r="C55" s="469" t="str">
        <f>A52</f>
        <v>Varelagerets omh.</v>
      </c>
      <c r="D55" s="468"/>
      <c r="E55" s="468"/>
      <c r="F55" s="535" t="e">
        <f>H52</f>
        <v>#DIV/0!</v>
      </c>
      <c r="G55" s="468"/>
      <c r="H55" s="536"/>
      <c r="I55" s="516"/>
      <c r="J55" s="517"/>
      <c r="K55" s="472"/>
    </row>
    <row r="56" spans="1:11" ht="13.5" hidden="1" thickBot="1">
      <c r="A56" s="49" t="s">
        <v>274</v>
      </c>
      <c r="B56" s="132"/>
      <c r="C56" s="44" t="str">
        <f>'Resultatopgørelse til analyse'!A3</f>
        <v>Nettoomsætning</v>
      </c>
      <c r="D56" s="14" t="s">
        <v>275</v>
      </c>
      <c r="E56" s="132"/>
      <c r="F56" s="133">
        <f>F84</f>
        <v>59944</v>
      </c>
      <c r="G56" s="14">
        <v>1.25</v>
      </c>
      <c r="H56" s="537" t="e">
        <f>'Resultatopgørelse til analyse'!B3*1.25/'Balance til analyse'!D9</f>
        <v>#DIV/0!</v>
      </c>
      <c r="I56" s="537" t="e">
        <f>'Resultatopgørelse til analyse'!C3*1.25/'Balance til analyse'!E9</f>
        <v>#DIV/0!</v>
      </c>
      <c r="J56" s="538" t="e">
        <f>'Resultatopgørelse til analyse'!D3*1.25/'Balance til analyse'!F9</f>
        <v>#DIV/0!</v>
      </c>
      <c r="K56" s="466" t="e">
        <f>(J56-H56)/H56</f>
        <v>#DIV/0!</v>
      </c>
    </row>
    <row r="57" spans="1:11" ht="12.75" hidden="1">
      <c r="A57" s="467" t="s">
        <v>276</v>
      </c>
      <c r="B57" s="468"/>
      <c r="C57" s="469" t="str">
        <f>'Balance til analyse'!A9</f>
        <v>Varedebitorer</v>
      </c>
      <c r="D57" s="468"/>
      <c r="E57" s="468"/>
      <c r="F57" s="485">
        <f>'Balance til analyse'!D9</f>
        <v>0</v>
      </c>
      <c r="G57" s="468"/>
      <c r="H57" s="539"/>
      <c r="I57" s="539"/>
      <c r="J57" s="540"/>
      <c r="K57" s="472"/>
    </row>
    <row r="58" spans="1:11" ht="13.5" hidden="1" thickBot="1">
      <c r="A58" s="541" t="s">
        <v>277</v>
      </c>
      <c r="B58" s="72"/>
      <c r="C58" s="460">
        <f>C54</f>
        <v>360</v>
      </c>
      <c r="D58" s="461"/>
      <c r="E58" s="72"/>
      <c r="F58" s="542">
        <f>F54</f>
        <v>360</v>
      </c>
      <c r="G58" s="461"/>
      <c r="H58" s="543" t="e">
        <f>$F$58/H56</f>
        <v>#DIV/0!</v>
      </c>
      <c r="I58" s="543" t="e">
        <f>$F$58/I56</f>
        <v>#DIV/0!</v>
      </c>
      <c r="J58" s="544" t="e">
        <f>$F$58/J56</f>
        <v>#DIV/0!</v>
      </c>
      <c r="K58" s="466" t="e">
        <f>(J58-H58)/H58</f>
        <v>#DIV/0!</v>
      </c>
    </row>
    <row r="59" spans="1:11" ht="12.75" hidden="1">
      <c r="A59" s="467"/>
      <c r="B59" s="468"/>
      <c r="C59" s="469" t="str">
        <f>A56</f>
        <v>Varedebitorerne omh.</v>
      </c>
      <c r="D59" s="468"/>
      <c r="E59" s="468"/>
      <c r="F59" s="545" t="e">
        <f>H56</f>
        <v>#DIV/0!</v>
      </c>
      <c r="G59" s="468"/>
      <c r="H59" s="539"/>
      <c r="I59" s="539"/>
      <c r="J59" s="540"/>
      <c r="K59" s="472"/>
    </row>
    <row r="60" spans="1:11" ht="13.5" hidden="1" thickBot="1">
      <c r="A60" s="459" t="s">
        <v>278</v>
      </c>
      <c r="B60" s="72"/>
      <c r="C60" s="460" t="s">
        <v>428</v>
      </c>
      <c r="D60" s="461" t="str">
        <f>D56</f>
        <v>*1,25</v>
      </c>
      <c r="E60" s="72"/>
      <c r="F60" s="461">
        <f>'Resultatopgørelse til analyse'!B4</f>
        <v>31249</v>
      </c>
      <c r="G60" s="546">
        <v>1.25</v>
      </c>
      <c r="H60" s="543" t="e">
        <f>'Resultatopgørelse til analyse'!B4*G60/'Balance til analyse'!D26</f>
        <v>#DIV/0!</v>
      </c>
      <c r="I60" s="543" t="e">
        <f>('Resultatopgørelse til analyse'!C4+'Balance til analyse'!E8-'Balance til analyse'!D8)*'beregning af nøgletal'!$G$60/'Balance til analyse'!E26</f>
        <v>#DIV/0!</v>
      </c>
      <c r="J60" s="544" t="e">
        <f>('Resultatopgørelse til analyse'!D4+'Balance til analyse'!F8-'Balance til analyse'!E8)*'beregning af nøgletal'!$G$60/'Balance til analyse'!F26</f>
        <v>#DIV/0!</v>
      </c>
      <c r="K60" s="466" t="e">
        <f>(J60-H60)/H60</f>
        <v>#DIV/0!</v>
      </c>
    </row>
    <row r="61" spans="1:11" ht="12.75" hidden="1">
      <c r="A61" s="49"/>
      <c r="B61" s="132"/>
      <c r="C61" s="217" t="str">
        <f>'Balance til analyse'!A26</f>
        <v>Varekreditorer</v>
      </c>
      <c r="D61" s="132"/>
      <c r="E61" s="132"/>
      <c r="F61" s="547">
        <f>'Balance til analyse'!D26</f>
        <v>0</v>
      </c>
      <c r="G61" s="132"/>
      <c r="H61" s="537"/>
      <c r="I61" s="537"/>
      <c r="J61" s="538"/>
      <c r="K61" s="495"/>
    </row>
    <row r="62" spans="1:11" ht="12.75" hidden="1">
      <c r="A62" s="240" t="s">
        <v>279</v>
      </c>
      <c r="B62" s="132"/>
      <c r="C62" s="132"/>
      <c r="D62" s="132"/>
      <c r="E62" s="132"/>
      <c r="F62" s="547"/>
      <c r="G62" s="132"/>
      <c r="H62" s="537"/>
      <c r="I62" s="537"/>
      <c r="J62" s="538"/>
      <c r="K62" s="495"/>
    </row>
    <row r="63" spans="1:11" ht="12.75" hidden="1">
      <c r="A63" s="49" t="s">
        <v>280</v>
      </c>
      <c r="B63" s="132"/>
      <c r="C63" s="132"/>
      <c r="D63" s="132"/>
      <c r="E63" s="132"/>
      <c r="F63" s="547"/>
      <c r="G63" s="132"/>
      <c r="H63" s="537"/>
      <c r="I63" s="537"/>
      <c r="J63" s="538"/>
      <c r="K63" s="472"/>
    </row>
    <row r="64" spans="1:11" ht="13.5" hidden="1" thickBot="1">
      <c r="A64" s="459" t="s">
        <v>281</v>
      </c>
      <c r="B64" s="72"/>
      <c r="C64" s="460">
        <f>C58</f>
        <v>360</v>
      </c>
      <c r="D64" s="461"/>
      <c r="E64" s="72"/>
      <c r="F64" s="461">
        <f>C64</f>
        <v>360</v>
      </c>
      <c r="G64" s="461"/>
      <c r="H64" s="514" t="e">
        <f>$C$64/H60</f>
        <v>#DIV/0!</v>
      </c>
      <c r="I64" s="514" t="e">
        <f>$C$64/I60</f>
        <v>#DIV/0!</v>
      </c>
      <c r="J64" s="515" t="e">
        <f>$C$64/J60</f>
        <v>#DIV/0!</v>
      </c>
      <c r="K64" s="466" t="e">
        <f>(J64-H64)/H64</f>
        <v>#DIV/0!</v>
      </c>
    </row>
    <row r="65" spans="1:11" ht="12.75" hidden="1">
      <c r="A65" s="467"/>
      <c r="B65" s="468"/>
      <c r="C65" s="469" t="str">
        <f>A60</f>
        <v>Varekreditorernes omh</v>
      </c>
      <c r="D65" s="468"/>
      <c r="E65" s="468"/>
      <c r="F65" s="548" t="e">
        <f>H60</f>
        <v>#DIV/0!</v>
      </c>
      <c r="G65" s="468"/>
      <c r="H65" s="470"/>
      <c r="I65" s="470"/>
      <c r="J65" s="471"/>
      <c r="K65" s="472"/>
    </row>
    <row r="66" spans="1:11" ht="13.5" thickBot="1">
      <c r="A66" s="459" t="s">
        <v>282</v>
      </c>
      <c r="B66" s="72"/>
      <c r="C66" s="460" t="s">
        <v>283</v>
      </c>
      <c r="D66" s="461" t="s">
        <v>246</v>
      </c>
      <c r="E66" s="72"/>
      <c r="F66" s="461">
        <f>'Balance til analyse'!D14-'Balance til analyse'!D8</f>
        <v>19191</v>
      </c>
      <c r="G66" s="501" t="str">
        <f>G34</f>
        <v>*100</v>
      </c>
      <c r="H66" s="502">
        <f>('Balance til analyse'!D14-'Balance til analyse'!D8)/'Balance til analyse'!D31*100</f>
        <v>23.194904397012255</v>
      </c>
      <c r="I66" s="502" t="e">
        <f>('Balance til analyse'!E14-'Balance til analyse'!E8)/'Balance til analyse'!E31*100</f>
        <v>#DIV/0!</v>
      </c>
      <c r="J66" s="503">
        <f>('Balance til analyse'!F14-'Balance til analyse'!F8)/'Balance til analyse'!F31*100</f>
        <v>20.29829659051529</v>
      </c>
      <c r="K66" s="466">
        <f>(J66-H66)/H66</f>
        <v>-0.12488121343022564</v>
      </c>
    </row>
    <row r="67" spans="1:11" ht="12.75">
      <c r="A67" s="467" t="s">
        <v>284</v>
      </c>
      <c r="B67" s="468"/>
      <c r="C67" s="469" t="s">
        <v>285</v>
      </c>
      <c r="D67" s="468"/>
      <c r="E67" s="468"/>
      <c r="F67" s="468">
        <f>'Balance til analyse'!D31</f>
        <v>82738</v>
      </c>
      <c r="G67" s="468"/>
      <c r="H67" s="470"/>
      <c r="I67" s="470"/>
      <c r="J67" s="471"/>
      <c r="K67" s="472"/>
    </row>
    <row r="68" spans="1:11" ht="13.5" thickBot="1">
      <c r="A68" s="541" t="s">
        <v>286</v>
      </c>
      <c r="B68" s="72"/>
      <c r="C68" s="460" t="s">
        <v>287</v>
      </c>
      <c r="D68" s="461" t="str">
        <f>D66</f>
        <v>*100</v>
      </c>
      <c r="E68" s="72"/>
      <c r="F68" s="461">
        <f>'Balance til analyse'!D14</f>
        <v>19191</v>
      </c>
      <c r="G68" s="501" t="str">
        <f>G66</f>
        <v>*100</v>
      </c>
      <c r="H68" s="502">
        <f>'Balance til analyse'!D14/'Balance til analyse'!D31*100</f>
        <v>23.194904397012255</v>
      </c>
      <c r="I68" s="502" t="e">
        <f>'Balance til analyse'!E14/'Balance til analyse'!E31*100</f>
        <v>#DIV/0!</v>
      </c>
      <c r="J68" s="503">
        <f>'Balance til analyse'!F14/'Balance til analyse'!F31*100</f>
        <v>20.29829659051529</v>
      </c>
      <c r="K68" s="466">
        <f>(J68-H68)/H68</f>
        <v>-0.12488121343022564</v>
      </c>
    </row>
    <row r="69" spans="1:11" ht="12.75">
      <c r="A69" s="549" t="s">
        <v>288</v>
      </c>
      <c r="B69" s="468"/>
      <c r="C69" s="469" t="str">
        <f>C67</f>
        <v>Kortfristet gæld</v>
      </c>
      <c r="D69" s="468"/>
      <c r="E69" s="468"/>
      <c r="F69" s="468">
        <f>'Balance til analyse'!D31</f>
        <v>82738</v>
      </c>
      <c r="G69" s="468"/>
      <c r="H69" s="470"/>
      <c r="I69" s="470"/>
      <c r="J69" s="471"/>
      <c r="K69" s="495"/>
    </row>
    <row r="70" spans="1:11" ht="13.5" thickBot="1">
      <c r="A70" s="541" t="s">
        <v>289</v>
      </c>
      <c r="B70" s="72"/>
      <c r="C70" s="550" t="s">
        <v>238</v>
      </c>
      <c r="D70" s="461" t="str">
        <f>D68</f>
        <v>*100</v>
      </c>
      <c r="E70" s="72"/>
      <c r="F70" s="461">
        <f>'Balance til analyse'!D17</f>
        <v>59901</v>
      </c>
      <c r="G70" s="461" t="s">
        <v>246</v>
      </c>
      <c r="H70" s="551">
        <f>'Balance til analyse'!D17/'Balance til analyse'!D15*100</f>
        <v>41.99482609945386</v>
      </c>
      <c r="I70" s="551" t="e">
        <f>'Balance til analyse'!E17/'Balance til analyse'!E15*100</f>
        <v>#DIV/0!</v>
      </c>
      <c r="J70" s="552">
        <f>'Balance til analyse'!F17/'Balance til analyse'!F15*100</f>
        <v>44.22480764227038</v>
      </c>
      <c r="K70" s="466">
        <f>(J70-H70)/H70</f>
        <v>0.053101340092119545</v>
      </c>
    </row>
    <row r="71" spans="1:11" ht="12.75">
      <c r="A71" s="49"/>
      <c r="B71" s="132"/>
      <c r="C71" s="261" t="s">
        <v>290</v>
      </c>
      <c r="D71" s="132"/>
      <c r="E71" s="132"/>
      <c r="F71" s="132">
        <f>'Balance til analyse'!D15</f>
        <v>142639</v>
      </c>
      <c r="G71" s="132"/>
      <c r="H71" s="553"/>
      <c r="I71" s="482"/>
      <c r="J71" s="483"/>
      <c r="K71" s="472"/>
    </row>
    <row r="72" spans="1:11" ht="13.5" thickBot="1">
      <c r="A72" s="459" t="s">
        <v>291</v>
      </c>
      <c r="B72" s="72"/>
      <c r="C72" s="550" t="s">
        <v>292</v>
      </c>
      <c r="D72" s="72"/>
      <c r="E72" s="72"/>
      <c r="F72" s="461">
        <f>'Balance til analyse'!D32</f>
        <v>82738</v>
      </c>
      <c r="G72" s="497"/>
      <c r="H72" s="575">
        <f>'Balance til analyse'!D32/'Balance til analyse'!D17</f>
        <v>1.3812457221081451</v>
      </c>
      <c r="I72" s="575" t="e">
        <f>'Balance til analyse'!E32/'Balance til analyse'!E17</f>
        <v>#DIV/0!</v>
      </c>
      <c r="J72" s="576">
        <f>'Balance til analyse'!F32/'Balance til analyse'!F17</f>
        <v>1.2611743347509623</v>
      </c>
      <c r="K72" s="466">
        <f>(J72-H72)/H72</f>
        <v>-0.08692978044045792</v>
      </c>
    </row>
    <row r="73" spans="1:11" ht="12.75">
      <c r="A73" s="467"/>
      <c r="B73" s="468"/>
      <c r="C73" s="554" t="str">
        <f>C70</f>
        <v>Egenkapital</v>
      </c>
      <c r="D73" s="468"/>
      <c r="E73" s="468"/>
      <c r="F73" s="468">
        <f>'Balance til analyse'!D17</f>
        <v>59901</v>
      </c>
      <c r="G73" s="468"/>
      <c r="H73" s="555"/>
      <c r="I73" s="470"/>
      <c r="J73" s="471"/>
      <c r="K73" s="472"/>
    </row>
    <row r="74" spans="1:11" ht="14.25">
      <c r="A74" s="459" t="s">
        <v>293</v>
      </c>
      <c r="B74" s="72"/>
      <c r="C74" s="556" t="s">
        <v>429</v>
      </c>
      <c r="D74" s="72"/>
      <c r="E74" s="72"/>
      <c r="F74" s="557">
        <f>H4</f>
        <v>0.044426839784350705</v>
      </c>
      <c r="G74" s="558">
        <f>H10*-1</f>
        <v>-0.041770407793275156</v>
      </c>
      <c r="H74" s="559">
        <f>H4-H10</f>
        <v>0.0026564319910755488</v>
      </c>
      <c r="I74" s="559" t="e">
        <f>I4-I10</f>
        <v>#DIV/0!</v>
      </c>
      <c r="J74" s="560">
        <f>J4-J10</f>
        <v>0.024786780256239045</v>
      </c>
      <c r="K74" s="466">
        <f>(J74-H74)/H74</f>
        <v>8.330854446683295</v>
      </c>
    </row>
    <row r="75" spans="1:11" ht="18">
      <c r="A75" s="561" t="s">
        <v>294</v>
      </c>
      <c r="B75" s="562"/>
      <c r="C75" s="563"/>
      <c r="D75" s="562"/>
      <c r="E75" s="562"/>
      <c r="F75" s="562"/>
      <c r="G75" s="562"/>
      <c r="H75" s="564"/>
      <c r="I75" s="565"/>
      <c r="J75" s="566"/>
      <c r="K75" s="567"/>
    </row>
    <row r="76" spans="1:11" ht="13.5" thickBot="1">
      <c r="A76" s="541" t="s">
        <v>295</v>
      </c>
      <c r="B76" s="72"/>
      <c r="C76" s="550" t="str">
        <f>'Resultatopgørelse til analyse'!A24</f>
        <v>Koncernresultat</v>
      </c>
      <c r="D76" s="461"/>
      <c r="E76" s="72"/>
      <c r="F76" s="486">
        <f>'Resultatopgørelse til analyse'!B24</f>
        <v>3193</v>
      </c>
      <c r="G76" s="461"/>
      <c r="H76" s="568">
        <v>22.1</v>
      </c>
      <c r="I76" s="568" t="e">
        <f>'Resultatopgørelse til analyse'!C24/'Resultatopgørelse til analyse'!C29</f>
        <v>#DIV/0!</v>
      </c>
      <c r="J76" s="569">
        <v>23.6</v>
      </c>
      <c r="K76" s="466">
        <f>(J76-H76)/H76</f>
        <v>0.06787330316742081</v>
      </c>
    </row>
    <row r="77" spans="1:11" ht="12.75">
      <c r="A77" s="467" t="s">
        <v>296</v>
      </c>
      <c r="B77" s="468"/>
      <c r="C77" s="469" t="str">
        <f>'Resultatopgørelse til analyse'!A29</f>
        <v>Antal aktier</v>
      </c>
      <c r="D77" s="468"/>
      <c r="E77" s="468"/>
      <c r="F77" s="485">
        <f>3193/22.1</f>
        <v>144.47963800904975</v>
      </c>
      <c r="G77" s="468"/>
      <c r="H77" s="539"/>
      <c r="I77" s="539"/>
      <c r="J77" s="540"/>
      <c r="K77" s="472"/>
    </row>
    <row r="78" spans="1:11" ht="13.5" hidden="1" thickBot="1">
      <c r="A78" s="459" t="s">
        <v>297</v>
      </c>
      <c r="B78" s="72"/>
      <c r="C78" s="460" t="str">
        <f>'Resultatopgørelse til analyse'!A30</f>
        <v>Børskurs</v>
      </c>
      <c r="D78" s="461"/>
      <c r="E78" s="72"/>
      <c r="F78" s="486">
        <f>'Resultatopgørelse til analyse'!B30</f>
        <v>0</v>
      </c>
      <c r="G78" s="461"/>
      <c r="H78" s="570">
        <f>'Resultatopgørelse til analyse'!B30/'beregning af nøgletal'!H76</f>
        <v>0</v>
      </c>
      <c r="I78" s="570" t="e">
        <f>'Resultatopgørelse til analyse'!C30/'beregning af nøgletal'!I76</f>
        <v>#DIV/0!</v>
      </c>
      <c r="J78" s="571">
        <f>'Resultatopgørelse til analyse'!D30/'beregning af nøgletal'!J76</f>
        <v>0</v>
      </c>
      <c r="K78" s="466" t="e">
        <f>(J78-H78)/H78</f>
        <v>#DIV/0!</v>
      </c>
    </row>
    <row r="79" spans="1:11" ht="12.75" hidden="1">
      <c r="A79" s="467" t="s">
        <v>298</v>
      </c>
      <c r="B79" s="468"/>
      <c r="C79" s="469" t="str">
        <f>A76</f>
        <v>Resultat pr. aktie</v>
      </c>
      <c r="D79" s="468"/>
      <c r="E79" s="468"/>
      <c r="F79" s="572">
        <f>H76</f>
        <v>22.1</v>
      </c>
      <c r="G79" s="468"/>
      <c r="H79" s="470"/>
      <c r="I79" s="470"/>
      <c r="J79" s="471"/>
      <c r="K79" s="472"/>
    </row>
    <row r="80" spans="1:11" ht="13.5" hidden="1" thickBot="1">
      <c r="A80" s="459" t="s">
        <v>299</v>
      </c>
      <c r="B80" s="72"/>
      <c r="C80" s="460" t="str">
        <f>'Balance til analyse'!A17</f>
        <v>Egenkapital</v>
      </c>
      <c r="D80" s="461"/>
      <c r="E80" s="72"/>
      <c r="F80" s="486">
        <f>'Balance til analyse'!D17</f>
        <v>59901</v>
      </c>
      <c r="G80" s="461"/>
      <c r="H80" s="502">
        <f>'Balance til analyse'!D17/'Resultatopgørelse til analyse'!B29</f>
        <v>516.3879310344828</v>
      </c>
      <c r="I80" s="502" t="e">
        <f>'Balance til analyse'!E17/'Resultatopgørelse til analyse'!C29</f>
        <v>#DIV/0!</v>
      </c>
      <c r="J80" s="503">
        <f>'Balance til analyse'!F17/'Resultatopgørelse til analyse'!D29</f>
        <v>512.8362068965517</v>
      </c>
      <c r="K80" s="466">
        <f>(J80-H80)/H80</f>
        <v>-0.006878015392063594</v>
      </c>
    </row>
    <row r="81" spans="1:11" ht="12.75" hidden="1">
      <c r="A81" s="467"/>
      <c r="B81" s="468"/>
      <c r="C81" s="469" t="str">
        <f>C77</f>
        <v>Antal aktier</v>
      </c>
      <c r="D81" s="468"/>
      <c r="E81" s="468"/>
      <c r="F81" s="485">
        <f>F77</f>
        <v>144.47963800904975</v>
      </c>
      <c r="G81" s="468"/>
      <c r="H81" s="470"/>
      <c r="I81" s="573"/>
      <c r="J81" s="574"/>
      <c r="K81" s="472"/>
    </row>
    <row r="82" spans="1:11" ht="13.5" hidden="1" thickBot="1">
      <c r="A82" s="459" t="s">
        <v>300</v>
      </c>
      <c r="B82" s="72"/>
      <c r="C82" s="460" t="str">
        <f>C78</f>
        <v>Børskurs</v>
      </c>
      <c r="D82" s="461"/>
      <c r="E82" s="72"/>
      <c r="F82" s="486">
        <f>F78</f>
        <v>0</v>
      </c>
      <c r="G82" s="461"/>
      <c r="H82" s="575">
        <f>'Resultatopgørelse til analyse'!B30/'beregning af nøgletal'!H80</f>
        <v>0</v>
      </c>
      <c r="I82" s="575" t="e">
        <f>'Resultatopgørelse til analyse'!C30/'beregning af nøgletal'!I80</f>
        <v>#DIV/0!</v>
      </c>
      <c r="J82" s="576">
        <f>'Resultatopgørelse til analyse'!D30/'beregning af nøgletal'!J80</f>
        <v>0</v>
      </c>
      <c r="K82" s="466" t="e">
        <f>(J82-H82)/H82</f>
        <v>#DIV/0!</v>
      </c>
    </row>
    <row r="83" spans="1:11" ht="12.75" hidden="1">
      <c r="A83" s="467"/>
      <c r="B83" s="468"/>
      <c r="C83" s="469" t="str">
        <f>A80</f>
        <v>Indre værdi pr. aktie</v>
      </c>
      <c r="D83" s="468"/>
      <c r="E83" s="468"/>
      <c r="F83" s="499">
        <f>H80</f>
        <v>516.3879310344828</v>
      </c>
      <c r="G83" s="468"/>
      <c r="H83" s="470"/>
      <c r="I83" s="573"/>
      <c r="J83" s="574"/>
      <c r="K83" s="472"/>
    </row>
    <row r="84" spans="1:11" ht="13.5" hidden="1" thickBot="1">
      <c r="A84" s="459" t="s">
        <v>301</v>
      </c>
      <c r="B84" s="72"/>
      <c r="C84" s="460" t="str">
        <f>C24</f>
        <v>Nettoomsætning</v>
      </c>
      <c r="D84" s="461"/>
      <c r="E84" s="72"/>
      <c r="F84" s="577">
        <f>F32</f>
        <v>59944</v>
      </c>
      <c r="G84" s="461"/>
      <c r="H84" s="502" t="e">
        <f>'Resultatopgørelse til analyse'!B3/'Resultatopgørelse til analyse'!B28</f>
        <v>#DIV/0!</v>
      </c>
      <c r="I84" s="502">
        <f>'Resultatopgørelse til analyse'!C3/'Resultatopgørelse til analyse'!C28</f>
        <v>0</v>
      </c>
      <c r="J84" s="503" t="e">
        <f>'Resultatopgørelse til analyse'!D3/'Resultatopgørelse til analyse'!D28</f>
        <v>#DIV/0!</v>
      </c>
      <c r="K84" s="466" t="e">
        <f>(J84-H84)/H84</f>
        <v>#DIV/0!</v>
      </c>
    </row>
    <row r="85" spans="1:11" ht="12.75" hidden="1">
      <c r="A85" s="467"/>
      <c r="B85" s="468"/>
      <c r="C85" s="469" t="str">
        <f>'Resultatopgørelse til analyse'!A28</f>
        <v>Antal ansatte</v>
      </c>
      <c r="D85" s="468"/>
      <c r="E85" s="468"/>
      <c r="F85" s="578">
        <f>'Resultatopgørelse til analyse'!B28</f>
        <v>0</v>
      </c>
      <c r="G85" s="468"/>
      <c r="H85" s="516"/>
      <c r="I85" s="516"/>
      <c r="J85" s="517"/>
      <c r="K85" s="472"/>
    </row>
    <row r="86" spans="1:11" ht="12.75">
      <c r="A86" s="579" t="s">
        <v>302</v>
      </c>
      <c r="B86" s="580">
        <f>B33</f>
        <v>2008</v>
      </c>
      <c r="C86" s="581" t="s">
        <v>303</v>
      </c>
      <c r="D86" s="580"/>
      <c r="E86" s="580"/>
      <c r="F86" s="580" t="str">
        <f>F33</f>
        <v>Eksempel for året</v>
      </c>
      <c r="G86" s="582">
        <f>G33</f>
        <v>2009</v>
      </c>
      <c r="H86" s="583"/>
      <c r="I86" s="584"/>
      <c r="J86" s="585"/>
      <c r="K86" s="513"/>
    </row>
    <row r="87" spans="1:11" ht="13.5" thickBot="1">
      <c r="A87" s="459" t="str">
        <f>'Balance til analyse'!A6</f>
        <v>Anlægsaktiver i alt</v>
      </c>
      <c r="B87" s="72"/>
      <c r="C87" s="460" t="str">
        <f>C34</f>
        <v>Årets tal</v>
      </c>
      <c r="D87" s="461" t="str">
        <f>D34</f>
        <v>*100</v>
      </c>
      <c r="E87" s="72"/>
      <c r="F87" s="486">
        <f>'Balance til analyse'!E6</f>
        <v>0</v>
      </c>
      <c r="G87" s="461" t="str">
        <f>D87</f>
        <v>*100</v>
      </c>
      <c r="H87" s="586">
        <f>'Balance til analyse'!D6/'Balance til analyse'!$D$6*100</f>
        <v>100</v>
      </c>
      <c r="I87" s="502">
        <f>'Balance til analyse'!E6/'Balance til analyse'!$D$6*100</f>
        <v>0</v>
      </c>
      <c r="J87" s="587">
        <f>'Balance til analyse'!F6/'Balance til analyse'!$D$6*100</f>
        <v>96.62853995204459</v>
      </c>
      <c r="K87" s="466">
        <f>(J87-H87)/H87</f>
        <v>-0.033714600479554095</v>
      </c>
    </row>
    <row r="88" spans="1:11" ht="12.75">
      <c r="A88" s="467"/>
      <c r="B88" s="468"/>
      <c r="C88" s="469" t="str">
        <f>C35</f>
        <v>Basisårets tal</v>
      </c>
      <c r="D88" s="468"/>
      <c r="E88" s="468"/>
      <c r="F88" s="485">
        <f>'Balance til analyse'!D6</f>
        <v>123448</v>
      </c>
      <c r="G88" s="468"/>
      <c r="H88" s="470"/>
      <c r="I88" s="470"/>
      <c r="J88" s="468"/>
      <c r="K88" s="472"/>
    </row>
    <row r="89" spans="1:11" ht="12.75">
      <c r="A89" s="467" t="str">
        <f>'Balance til analyse'!A14</f>
        <v>Omsætningsaktiver i alt </v>
      </c>
      <c r="B89" s="132"/>
      <c r="C89" s="132"/>
      <c r="D89" s="132"/>
      <c r="E89" s="132"/>
      <c r="F89" s="132"/>
      <c r="G89" s="132"/>
      <c r="H89" s="470">
        <f>'Balance til analyse'!D14/'Balance til analyse'!$D$14*100</f>
        <v>100</v>
      </c>
      <c r="I89" s="573">
        <f>'Balance til analyse'!E14/'Balance til analyse'!$D$14*100</f>
        <v>0</v>
      </c>
      <c r="J89" s="485">
        <f>'Balance til analyse'!F14/'Balance til analyse'!$D$14*100</f>
        <v>79.35490594549528</v>
      </c>
      <c r="K89" s="495">
        <f>(J89-H89)/H89</f>
        <v>-0.20645094054504726</v>
      </c>
    </row>
    <row r="90" spans="1:11" ht="12.75">
      <c r="A90" s="49" t="str">
        <f>'Balance til analyse'!A17</f>
        <v>Egenkapital</v>
      </c>
      <c r="B90" s="71"/>
      <c r="C90" s="71"/>
      <c r="D90" s="71"/>
      <c r="E90" s="71"/>
      <c r="F90" s="71"/>
      <c r="G90" s="71"/>
      <c r="H90" s="482">
        <f>'Balance til analyse'!D17/'Balance til analyse'!$D$17*100</f>
        <v>100</v>
      </c>
      <c r="I90" s="588">
        <f>'Balance til analyse'!E17/'Balance til analyse'!$D$17*100</f>
        <v>0</v>
      </c>
      <c r="J90" s="589">
        <f>'Balance til analyse'!F17/'Balance til analyse'!$D$17*100</f>
        <v>99.31219846079364</v>
      </c>
      <c r="K90" s="466">
        <f>(J90-H90)/H90</f>
        <v>-0.006878015392063616</v>
      </c>
    </row>
    <row r="91" spans="1:11" ht="12.75" hidden="1">
      <c r="A91" s="518" t="str">
        <f>'Balance til analyse'!A24</f>
        <v>Langfristet gæld i alt</v>
      </c>
      <c r="B91" s="71"/>
      <c r="C91" s="71"/>
      <c r="D91" s="71"/>
      <c r="E91" s="71"/>
      <c r="F91" s="71"/>
      <c r="G91" s="71"/>
      <c r="H91" s="1" t="e">
        <f>'Balance til analyse'!D24/'Balance til analyse'!$D$24*100</f>
        <v>#DIV/0!</v>
      </c>
      <c r="I91" s="590" t="e">
        <f>'Balance til analyse'!E24/'Balance til analyse'!$D$24*100</f>
        <v>#DIV/0!</v>
      </c>
      <c r="J91" s="591" t="e">
        <f>'Balance til analyse'!F24/'Balance til analyse'!$D$24*100</f>
        <v>#DIV/0!</v>
      </c>
      <c r="K91" s="466" t="e">
        <f>(J91-H91)/H91</f>
        <v>#DIV/0!</v>
      </c>
    </row>
    <row r="92" spans="1:11" ht="13.5" thickBot="1">
      <c r="A92" s="523" t="str">
        <f>'Balance til analyse'!A31</f>
        <v>Kortfristet gæld i alt</v>
      </c>
      <c r="B92" s="14"/>
      <c r="C92" s="14"/>
      <c r="D92" s="14"/>
      <c r="E92" s="14"/>
      <c r="F92" s="14"/>
      <c r="G92" s="14"/>
      <c r="H92" s="592">
        <f>'Balance til analyse'!D31/'Balance til analyse'!$D$31*100</f>
        <v>100</v>
      </c>
      <c r="I92" s="593">
        <f>'Balance til analyse'!E31/'Balance til analyse'!$D$31*100</f>
        <v>0</v>
      </c>
      <c r="J92" s="486">
        <f>'Balance til analyse'!F31/'Balance til analyse'!$D$31*100</f>
        <v>90.67901085353768</v>
      </c>
      <c r="K92" s="526">
        <f>(J92-H92)/H92</f>
        <v>-0.09320989146462325</v>
      </c>
    </row>
    <row r="93" spans="9:11" ht="12.75">
      <c r="I93" s="317"/>
      <c r="J93" s="317"/>
      <c r="K93" s="317"/>
    </row>
    <row r="94" spans="9:11" ht="12.75">
      <c r="I94" s="317"/>
      <c r="J94" s="317"/>
      <c r="K94" s="317"/>
    </row>
    <row r="95" spans="9:11" ht="12.75">
      <c r="I95" s="317"/>
      <c r="J95" s="317"/>
      <c r="K95" s="317"/>
    </row>
    <row r="96" spans="9:11" ht="12.75">
      <c r="I96" s="317"/>
      <c r="J96" s="317"/>
      <c r="K96" s="317"/>
    </row>
    <row r="97" spans="9:11" ht="12.75">
      <c r="I97" s="317"/>
      <c r="J97" s="317"/>
      <c r="K97" s="317"/>
    </row>
    <row r="98" spans="9:11" ht="12.75">
      <c r="I98" s="317"/>
      <c r="J98" s="317"/>
      <c r="K98" s="317"/>
    </row>
    <row r="99" spans="9:11" ht="12.75">
      <c r="I99" s="317"/>
      <c r="J99" s="317"/>
      <c r="K99" s="317"/>
    </row>
    <row r="100" spans="9:11" ht="12.75">
      <c r="I100" s="317"/>
      <c r="J100" s="317"/>
      <c r="K100" s="317"/>
    </row>
    <row r="101" spans="9:11" ht="12.75">
      <c r="I101" s="317"/>
      <c r="J101" s="317"/>
      <c r="K101" s="317"/>
    </row>
    <row r="102" spans="9:11" ht="12.75">
      <c r="I102" s="317"/>
      <c r="J102" s="317"/>
      <c r="K102" s="317"/>
    </row>
    <row r="103" spans="9:11" ht="12.75">
      <c r="I103" s="317"/>
      <c r="J103" s="317"/>
      <c r="K103" s="317"/>
    </row>
    <row r="104" spans="9:11" ht="12.75">
      <c r="I104" s="317"/>
      <c r="J104" s="317"/>
      <c r="K104" s="317"/>
    </row>
    <row r="105" spans="9:11" ht="12.75">
      <c r="I105" s="317"/>
      <c r="J105" s="317"/>
      <c r="K105" s="317"/>
    </row>
    <row r="106" spans="9:11" ht="12.75">
      <c r="I106" s="317"/>
      <c r="J106" s="317"/>
      <c r="K106" s="317"/>
    </row>
    <row r="107" spans="9:11" ht="12.75">
      <c r="I107" s="317"/>
      <c r="J107" s="317"/>
      <c r="K107" s="317"/>
    </row>
    <row r="108" spans="9:11" ht="12.75">
      <c r="I108" s="317"/>
      <c r="J108" s="317"/>
      <c r="K108" s="317"/>
    </row>
    <row r="109" spans="9:11" ht="12.75">
      <c r="I109" s="317"/>
      <c r="J109" s="317"/>
      <c r="K109" s="317"/>
    </row>
    <row r="110" spans="9:11" ht="12.75">
      <c r="I110" s="317"/>
      <c r="J110" s="317"/>
      <c r="K110" s="317"/>
    </row>
    <row r="111" spans="9:11" ht="12.75">
      <c r="I111" s="317"/>
      <c r="J111" s="317"/>
      <c r="K111" s="317"/>
    </row>
    <row r="112" spans="9:11" ht="12.75">
      <c r="I112" s="317"/>
      <c r="J112" s="317"/>
      <c r="K112" s="317"/>
    </row>
    <row r="113" spans="9:11" ht="12.75">
      <c r="I113" s="317"/>
      <c r="J113" s="317"/>
      <c r="K113" s="317"/>
    </row>
    <row r="114" spans="9:11" ht="12.75">
      <c r="I114" s="317"/>
      <c r="J114" s="317"/>
      <c r="K114" s="317"/>
    </row>
    <row r="115" spans="9:11" ht="12.75">
      <c r="I115" s="317"/>
      <c r="J115" s="317"/>
      <c r="K115" s="317"/>
    </row>
    <row r="116" spans="9:11" ht="12.75">
      <c r="I116" s="317"/>
      <c r="J116" s="317"/>
      <c r="K116" s="317"/>
    </row>
    <row r="117" spans="9:11" ht="12.75">
      <c r="I117" s="317"/>
      <c r="J117" s="317"/>
      <c r="K117" s="317"/>
    </row>
    <row r="118" spans="9:11" ht="12.75">
      <c r="I118" s="317"/>
      <c r="J118" s="317"/>
      <c r="K118" s="317"/>
    </row>
    <row r="119" spans="9:11" ht="12.75">
      <c r="I119" s="317"/>
      <c r="J119" s="317"/>
      <c r="K119" s="317"/>
    </row>
    <row r="120" spans="9:11" ht="12.75">
      <c r="I120" s="317"/>
      <c r="J120" s="317"/>
      <c r="K120" s="317"/>
    </row>
    <row r="121" spans="9:11" ht="12.75">
      <c r="I121" s="317"/>
      <c r="J121" s="317"/>
      <c r="K121" s="317"/>
    </row>
    <row r="122" spans="9:11" ht="12.75">
      <c r="I122" s="317"/>
      <c r="J122" s="317"/>
      <c r="K122" s="317"/>
    </row>
    <row r="123" spans="9:11" ht="12.75">
      <c r="I123" s="317"/>
      <c r="J123" s="317"/>
      <c r="K123" s="317"/>
    </row>
    <row r="124" spans="9:11" ht="12.75">
      <c r="I124" s="317"/>
      <c r="J124" s="317"/>
      <c r="K124" s="317"/>
    </row>
    <row r="125" spans="9:11" ht="12.75">
      <c r="I125" s="317"/>
      <c r="J125" s="317"/>
      <c r="K125" s="317"/>
    </row>
    <row r="126" spans="9:11" ht="12.75">
      <c r="I126" s="317"/>
      <c r="J126" s="317"/>
      <c r="K126" s="317"/>
    </row>
    <row r="127" spans="9:11" ht="12.75">
      <c r="I127" s="317"/>
      <c r="J127" s="317"/>
      <c r="K127" s="317"/>
    </row>
    <row r="128" spans="9:11" ht="12.75">
      <c r="I128" s="317"/>
      <c r="J128" s="317"/>
      <c r="K128" s="317"/>
    </row>
    <row r="129" spans="9:11" ht="12.75">
      <c r="I129" s="317"/>
      <c r="J129" s="317"/>
      <c r="K129" s="317"/>
    </row>
    <row r="130" spans="9:11" ht="12.75">
      <c r="I130" s="317"/>
      <c r="J130" s="317"/>
      <c r="K130" s="317"/>
    </row>
    <row r="131" spans="9:11" ht="12.75">
      <c r="I131" s="317"/>
      <c r="J131" s="317"/>
      <c r="K131" s="317"/>
    </row>
    <row r="132" spans="9:11" ht="12.75">
      <c r="I132" s="317"/>
      <c r="J132" s="317"/>
      <c r="K132" s="317"/>
    </row>
    <row r="133" spans="9:11" ht="12.75">
      <c r="I133" s="317"/>
      <c r="J133" s="317"/>
      <c r="K133" s="317"/>
    </row>
    <row r="134" spans="9:11" ht="12.75">
      <c r="I134" s="317"/>
      <c r="J134" s="317"/>
      <c r="K134" s="317"/>
    </row>
    <row r="135" spans="9:11" ht="12.75">
      <c r="I135" s="317"/>
      <c r="J135" s="317"/>
      <c r="K135" s="317"/>
    </row>
    <row r="136" spans="9:11" ht="12.75">
      <c r="I136" s="317"/>
      <c r="J136" s="317"/>
      <c r="K136" s="317"/>
    </row>
    <row r="137" spans="9:11" ht="12.75">
      <c r="I137" s="317"/>
      <c r="J137" s="317"/>
      <c r="K137" s="317"/>
    </row>
    <row r="138" spans="9:11" ht="12.75">
      <c r="I138" s="317"/>
      <c r="J138" s="317"/>
      <c r="K138" s="317"/>
    </row>
    <row r="139" spans="9:11" ht="12.75">
      <c r="I139" s="317"/>
      <c r="J139" s="317"/>
      <c r="K139" s="317"/>
    </row>
    <row r="140" spans="9:11" ht="12.75">
      <c r="I140" s="317"/>
      <c r="J140" s="317"/>
      <c r="K140" s="317"/>
    </row>
    <row r="141" spans="9:11" ht="12.75">
      <c r="I141" s="317"/>
      <c r="J141" s="317"/>
      <c r="K141" s="317"/>
    </row>
    <row r="142" spans="9:11" ht="12.75">
      <c r="I142" s="317"/>
      <c r="J142" s="317"/>
      <c r="K142" s="317"/>
    </row>
    <row r="143" spans="9:11" ht="12.75">
      <c r="I143" s="317"/>
      <c r="J143" s="317"/>
      <c r="K143" s="317"/>
    </row>
    <row r="144" spans="9:11" ht="12.75">
      <c r="I144" s="317"/>
      <c r="J144" s="317"/>
      <c r="K144" s="317"/>
    </row>
    <row r="145" spans="9:11" ht="12.75">
      <c r="I145" s="317"/>
      <c r="J145" s="317"/>
      <c r="K145" s="317"/>
    </row>
    <row r="146" spans="9:11" ht="12.75">
      <c r="I146" s="317"/>
      <c r="J146" s="317"/>
      <c r="K146" s="317"/>
    </row>
    <row r="147" spans="9:11" ht="12.75">
      <c r="I147" s="317"/>
      <c r="J147" s="317"/>
      <c r="K147" s="317"/>
    </row>
    <row r="148" spans="9:11" ht="12.75">
      <c r="I148" s="317"/>
      <c r="J148" s="317"/>
      <c r="K148" s="317"/>
    </row>
    <row r="149" spans="9:11" ht="12.75">
      <c r="I149" s="317"/>
      <c r="J149" s="317"/>
      <c r="K149" s="317"/>
    </row>
    <row r="150" spans="9:11" ht="12.75">
      <c r="I150" s="317"/>
      <c r="J150" s="317"/>
      <c r="K150" s="317"/>
    </row>
    <row r="151" spans="9:11" ht="12.75">
      <c r="I151" s="317"/>
      <c r="J151" s="317"/>
      <c r="K151" s="317"/>
    </row>
    <row r="152" spans="9:11" ht="12.75">
      <c r="I152" s="317"/>
      <c r="J152" s="317"/>
      <c r="K152" s="317"/>
    </row>
    <row r="153" spans="9:11" ht="12.75">
      <c r="I153" s="317"/>
      <c r="J153" s="317"/>
      <c r="K153" s="317"/>
    </row>
    <row r="154" spans="9:11" ht="12.75">
      <c r="I154" s="317"/>
      <c r="J154" s="317"/>
      <c r="K154" s="317"/>
    </row>
    <row r="155" spans="9:11" ht="12.75">
      <c r="I155" s="317"/>
      <c r="J155" s="317"/>
      <c r="K155" s="317"/>
    </row>
    <row r="156" spans="9:11" ht="12.75">
      <c r="I156" s="317"/>
      <c r="J156" s="317"/>
      <c r="K156" s="317"/>
    </row>
    <row r="157" spans="9:11" ht="12.75">
      <c r="I157" s="317"/>
      <c r="J157" s="317"/>
      <c r="K157" s="317"/>
    </row>
    <row r="158" spans="9:11" ht="12.75">
      <c r="I158" s="317"/>
      <c r="J158" s="317"/>
      <c r="K158" s="317"/>
    </row>
    <row r="159" spans="9:11" ht="12.75">
      <c r="I159" s="317"/>
      <c r="J159" s="317"/>
      <c r="K159" s="317"/>
    </row>
    <row r="160" spans="9:11" ht="12.75">
      <c r="I160" s="317"/>
      <c r="J160" s="317"/>
      <c r="K160" s="317"/>
    </row>
    <row r="161" spans="9:11" ht="12.75">
      <c r="I161" s="317"/>
      <c r="J161" s="317"/>
      <c r="K161" s="317"/>
    </row>
    <row r="162" spans="9:11" ht="12.75">
      <c r="I162" s="317"/>
      <c r="J162" s="317"/>
      <c r="K162" s="317"/>
    </row>
    <row r="163" spans="9:11" ht="12.75">
      <c r="I163" s="317"/>
      <c r="J163" s="317"/>
      <c r="K163" s="317"/>
    </row>
    <row r="164" spans="9:11" ht="12.75">
      <c r="I164" s="317"/>
      <c r="J164" s="317"/>
      <c r="K164" s="317"/>
    </row>
    <row r="165" spans="9:11" ht="12.75">
      <c r="I165" s="317"/>
      <c r="J165" s="317"/>
      <c r="K165" s="317"/>
    </row>
    <row r="166" spans="9:11" ht="12.75">
      <c r="I166" s="317"/>
      <c r="J166" s="317"/>
      <c r="K166" s="317"/>
    </row>
    <row r="167" spans="9:11" ht="12.75">
      <c r="I167" s="317"/>
      <c r="J167" s="317"/>
      <c r="K167" s="317"/>
    </row>
    <row r="168" spans="9:11" ht="12.75">
      <c r="I168" s="317"/>
      <c r="J168" s="317"/>
      <c r="K168" s="317"/>
    </row>
    <row r="169" spans="9:11" ht="12.75">
      <c r="I169" s="317"/>
      <c r="J169" s="317"/>
      <c r="K169" s="317"/>
    </row>
    <row r="170" spans="9:11" ht="12.75">
      <c r="I170" s="317"/>
      <c r="J170" s="317"/>
      <c r="K170" s="317"/>
    </row>
    <row r="171" spans="9:11" ht="12.75">
      <c r="I171" s="317"/>
      <c r="J171" s="317"/>
      <c r="K171" s="317"/>
    </row>
    <row r="172" spans="9:11" ht="12.75">
      <c r="I172" s="317"/>
      <c r="J172" s="317"/>
      <c r="K172" s="317"/>
    </row>
    <row r="173" spans="9:11" ht="12.75">
      <c r="I173" s="317"/>
      <c r="J173" s="317"/>
      <c r="K173" s="317"/>
    </row>
    <row r="174" spans="9:11" ht="12.75">
      <c r="I174" s="317"/>
      <c r="J174" s="317"/>
      <c r="K174" s="317"/>
    </row>
    <row r="175" spans="9:11" ht="12.75">
      <c r="I175" s="317"/>
      <c r="J175" s="317"/>
      <c r="K175" s="317"/>
    </row>
    <row r="176" spans="9:11" ht="12.75">
      <c r="I176" s="317"/>
      <c r="J176" s="317"/>
      <c r="K176" s="317"/>
    </row>
    <row r="177" spans="9:11" ht="12.75">
      <c r="I177" s="317"/>
      <c r="J177" s="317"/>
      <c r="K177" s="317"/>
    </row>
    <row r="178" spans="9:11" ht="12.75">
      <c r="I178" s="317"/>
      <c r="J178" s="317"/>
      <c r="K178" s="317"/>
    </row>
    <row r="179" spans="9:11" ht="12.75">
      <c r="I179" s="317"/>
      <c r="J179" s="317"/>
      <c r="K179" s="317"/>
    </row>
    <row r="180" spans="9:11" ht="12.75">
      <c r="I180" s="317"/>
      <c r="J180" s="317"/>
      <c r="K180" s="317"/>
    </row>
    <row r="181" spans="9:11" ht="12.75">
      <c r="I181" s="317"/>
      <c r="J181" s="317"/>
      <c r="K181" s="317"/>
    </row>
    <row r="182" spans="9:11" ht="12.75">
      <c r="I182" s="317"/>
      <c r="J182" s="317"/>
      <c r="K182" s="317"/>
    </row>
    <row r="183" spans="9:11" ht="12.75">
      <c r="I183" s="317"/>
      <c r="J183" s="317"/>
      <c r="K183" s="317"/>
    </row>
    <row r="184" spans="9:11" ht="12.75">
      <c r="I184" s="317"/>
      <c r="J184" s="317"/>
      <c r="K184" s="317"/>
    </row>
    <row r="185" spans="9:11" ht="12.75">
      <c r="I185" s="317"/>
      <c r="J185" s="317"/>
      <c r="K185" s="317"/>
    </row>
    <row r="186" spans="9:11" ht="12.75">
      <c r="I186" s="317"/>
      <c r="J186" s="317"/>
      <c r="K186" s="317"/>
    </row>
    <row r="187" spans="9:11" ht="12.75">
      <c r="I187" s="317"/>
      <c r="J187" s="317"/>
      <c r="K187" s="317"/>
    </row>
    <row r="188" spans="9:11" ht="12.75">
      <c r="I188" s="317"/>
      <c r="J188" s="317"/>
      <c r="K188" s="317"/>
    </row>
    <row r="189" spans="9:11" ht="12.75">
      <c r="I189" s="317"/>
      <c r="J189" s="317"/>
      <c r="K189" s="317"/>
    </row>
    <row r="190" spans="9:11" ht="12.75">
      <c r="I190" s="317"/>
      <c r="J190" s="317"/>
      <c r="K190" s="317"/>
    </row>
    <row r="191" spans="9:11" ht="12.75">
      <c r="I191" s="317"/>
      <c r="J191" s="317"/>
      <c r="K191" s="317"/>
    </row>
    <row r="192" spans="9:11" ht="12.75">
      <c r="I192" s="317"/>
      <c r="J192" s="317"/>
      <c r="K192" s="317"/>
    </row>
    <row r="193" spans="9:11" ht="12.75">
      <c r="I193" s="317"/>
      <c r="J193" s="317"/>
      <c r="K193" s="317"/>
    </row>
    <row r="194" spans="9:11" ht="12.75">
      <c r="I194" s="317"/>
      <c r="J194" s="317"/>
      <c r="K194" s="317"/>
    </row>
    <row r="195" spans="9:11" ht="12.75">
      <c r="I195" s="317"/>
      <c r="J195" s="317"/>
      <c r="K195" s="317"/>
    </row>
    <row r="196" spans="9:11" ht="12.75">
      <c r="I196" s="317"/>
      <c r="J196" s="317"/>
      <c r="K196" s="317"/>
    </row>
    <row r="197" spans="9:11" ht="12.75">
      <c r="I197" s="317"/>
      <c r="J197" s="317"/>
      <c r="K197" s="317"/>
    </row>
    <row r="198" spans="9:11" ht="12.75">
      <c r="I198" s="317"/>
      <c r="J198" s="317"/>
      <c r="K198" s="317"/>
    </row>
    <row r="199" spans="9:11" ht="12.75">
      <c r="I199" s="317"/>
      <c r="J199" s="317"/>
      <c r="K199" s="317"/>
    </row>
    <row r="200" spans="9:11" ht="12.75">
      <c r="I200" s="317"/>
      <c r="J200" s="317"/>
      <c r="K200" s="317"/>
    </row>
    <row r="201" spans="9:11" ht="12.75">
      <c r="I201" s="317"/>
      <c r="J201" s="317"/>
      <c r="K201" s="317"/>
    </row>
    <row r="202" spans="9:11" ht="12.75">
      <c r="I202" s="317"/>
      <c r="J202" s="317"/>
      <c r="K202" s="317"/>
    </row>
    <row r="203" spans="9:11" ht="12.75">
      <c r="I203" s="317"/>
      <c r="J203" s="317"/>
      <c r="K203" s="317"/>
    </row>
    <row r="204" spans="9:11" ht="12.75">
      <c r="I204" s="317"/>
      <c r="J204" s="317"/>
      <c r="K204" s="317"/>
    </row>
    <row r="205" spans="9:11" ht="12.75">
      <c r="I205" s="317"/>
      <c r="J205" s="317"/>
      <c r="K205" s="317"/>
    </row>
    <row r="206" spans="9:11" ht="12.75">
      <c r="I206" s="317"/>
      <c r="J206" s="317"/>
      <c r="K206" s="317"/>
    </row>
    <row r="207" spans="9:11" ht="12.75">
      <c r="I207" s="317"/>
      <c r="J207" s="317"/>
      <c r="K207" s="317"/>
    </row>
    <row r="208" spans="9:11" ht="12.75">
      <c r="I208" s="317"/>
      <c r="J208" s="317"/>
      <c r="K208" s="317"/>
    </row>
    <row r="209" spans="9:11" ht="12.75">
      <c r="I209" s="317"/>
      <c r="J209" s="317"/>
      <c r="K209" s="317"/>
    </row>
    <row r="210" spans="9:11" ht="12.75">
      <c r="I210" s="317"/>
      <c r="J210" s="317"/>
      <c r="K210" s="317"/>
    </row>
    <row r="211" spans="9:11" ht="12.75">
      <c r="I211" s="317"/>
      <c r="J211" s="317"/>
      <c r="K211" s="317"/>
    </row>
    <row r="212" spans="9:11" ht="12.75">
      <c r="I212" s="317"/>
      <c r="J212" s="317"/>
      <c r="K212" s="317"/>
    </row>
    <row r="213" spans="9:11" ht="12.75">
      <c r="I213" s="317"/>
      <c r="J213" s="317"/>
      <c r="K213" s="317"/>
    </row>
    <row r="214" spans="9:11" ht="12.75">
      <c r="I214" s="317"/>
      <c r="J214" s="317"/>
      <c r="K214" s="317"/>
    </row>
    <row r="215" spans="9:11" ht="12.75">
      <c r="I215" s="317"/>
      <c r="J215" s="317"/>
      <c r="K215" s="317"/>
    </row>
    <row r="216" spans="9:11" ht="12.75">
      <c r="I216" s="317"/>
      <c r="J216" s="317"/>
      <c r="K216" s="317"/>
    </row>
    <row r="217" spans="9:11" ht="12.75">
      <c r="I217" s="317"/>
      <c r="J217" s="317"/>
      <c r="K217" s="317"/>
    </row>
    <row r="218" spans="9:11" ht="12.75">
      <c r="I218" s="317"/>
      <c r="J218" s="317"/>
      <c r="K218" s="317"/>
    </row>
    <row r="219" spans="9:11" ht="12.75">
      <c r="I219" s="317"/>
      <c r="J219" s="317"/>
      <c r="K219" s="317"/>
    </row>
    <row r="220" spans="9:11" ht="12.75">
      <c r="I220" s="317"/>
      <c r="J220" s="317"/>
      <c r="K220" s="317"/>
    </row>
    <row r="221" spans="9:11" ht="12.75">
      <c r="I221" s="317"/>
      <c r="J221" s="317"/>
      <c r="K221" s="317"/>
    </row>
    <row r="222" spans="9:11" ht="12.75">
      <c r="I222" s="317"/>
      <c r="J222" s="317"/>
      <c r="K222" s="317"/>
    </row>
    <row r="223" spans="9:11" ht="12.75">
      <c r="I223" s="317"/>
      <c r="J223" s="317"/>
      <c r="K223" s="317"/>
    </row>
    <row r="224" spans="9:11" ht="12.75">
      <c r="I224" s="317"/>
      <c r="J224" s="317"/>
      <c r="K224" s="317"/>
    </row>
    <row r="225" spans="9:11" ht="12.75">
      <c r="I225" s="317"/>
      <c r="J225" s="317"/>
      <c r="K225" s="317"/>
    </row>
    <row r="226" spans="9:11" ht="12.75">
      <c r="I226" s="317"/>
      <c r="J226" s="317"/>
      <c r="K226" s="317"/>
    </row>
    <row r="227" spans="9:11" ht="12.75">
      <c r="I227" s="317"/>
      <c r="J227" s="317"/>
      <c r="K227" s="317"/>
    </row>
    <row r="228" spans="9:11" ht="12.75">
      <c r="I228" s="317"/>
      <c r="J228" s="317"/>
      <c r="K228" s="317"/>
    </row>
    <row r="229" spans="9:11" ht="12.75">
      <c r="I229" s="317"/>
      <c r="J229" s="317"/>
      <c r="K229" s="317"/>
    </row>
    <row r="230" spans="9:11" ht="12.75">
      <c r="I230" s="317"/>
      <c r="J230" s="317"/>
      <c r="K230" s="317"/>
    </row>
    <row r="231" spans="9:11" ht="12.75">
      <c r="I231" s="317"/>
      <c r="J231" s="317"/>
      <c r="K231" s="317"/>
    </row>
    <row r="232" spans="9:11" ht="12.75">
      <c r="I232" s="317"/>
      <c r="J232" s="317"/>
      <c r="K232" s="317"/>
    </row>
    <row r="233" spans="9:11" ht="12.75">
      <c r="I233" s="317"/>
      <c r="J233" s="317"/>
      <c r="K233" s="317"/>
    </row>
    <row r="234" spans="9:11" ht="12.75">
      <c r="I234" s="317"/>
      <c r="J234" s="317"/>
      <c r="K234" s="317"/>
    </row>
    <row r="235" spans="9:11" ht="12.75">
      <c r="I235" s="317"/>
      <c r="J235" s="317"/>
      <c r="K235" s="317"/>
    </row>
    <row r="236" spans="9:11" ht="12.75">
      <c r="I236" s="317"/>
      <c r="J236" s="317"/>
      <c r="K236" s="317"/>
    </row>
    <row r="237" spans="9:11" ht="12.75">
      <c r="I237" s="317"/>
      <c r="J237" s="317"/>
      <c r="K237" s="317"/>
    </row>
    <row r="238" spans="9:11" ht="12.75">
      <c r="I238" s="317"/>
      <c r="J238" s="317"/>
      <c r="K238" s="317"/>
    </row>
    <row r="239" spans="9:11" ht="12.75">
      <c r="I239" s="317"/>
      <c r="J239" s="317"/>
      <c r="K239" s="317"/>
    </row>
    <row r="240" spans="9:11" ht="12.75">
      <c r="I240" s="317"/>
      <c r="J240" s="317"/>
      <c r="K240" s="317"/>
    </row>
    <row r="241" spans="9:11" ht="12.75">
      <c r="I241" s="317"/>
      <c r="J241" s="317"/>
      <c r="K241" s="317"/>
    </row>
    <row r="242" spans="9:11" ht="12.75">
      <c r="I242" s="317"/>
      <c r="J242" s="317"/>
      <c r="K242" s="317"/>
    </row>
    <row r="243" spans="9:11" ht="12.75">
      <c r="I243" s="317"/>
      <c r="J243" s="317"/>
      <c r="K243" s="317"/>
    </row>
    <row r="244" spans="9:11" ht="12.75">
      <c r="I244" s="317"/>
      <c r="J244" s="317"/>
      <c r="K244" s="317"/>
    </row>
    <row r="245" spans="9:11" ht="12.75">
      <c r="I245" s="317"/>
      <c r="J245" s="317"/>
      <c r="K245" s="317"/>
    </row>
    <row r="246" spans="9:11" ht="12.75">
      <c r="I246" s="317"/>
      <c r="J246" s="317"/>
      <c r="K246" s="317"/>
    </row>
    <row r="247" spans="9:11" ht="12.75">
      <c r="I247" s="317"/>
      <c r="J247" s="317"/>
      <c r="K247" s="317"/>
    </row>
    <row r="248" spans="9:11" ht="12.75">
      <c r="I248" s="317"/>
      <c r="J248" s="317"/>
      <c r="K248" s="317"/>
    </row>
    <row r="249" spans="9:11" ht="12.75">
      <c r="I249" s="317"/>
      <c r="J249" s="317"/>
      <c r="K249" s="317"/>
    </row>
    <row r="250" spans="9:11" ht="12.75">
      <c r="I250" s="317"/>
      <c r="J250" s="317"/>
      <c r="K250" s="317"/>
    </row>
    <row r="251" spans="9:11" ht="12.75">
      <c r="I251" s="317"/>
      <c r="J251" s="317"/>
      <c r="K251" s="317"/>
    </row>
    <row r="252" spans="9:11" ht="12.75">
      <c r="I252" s="317"/>
      <c r="J252" s="317"/>
      <c r="K252" s="317"/>
    </row>
    <row r="253" spans="9:11" ht="12.75">
      <c r="I253" s="317"/>
      <c r="J253" s="317"/>
      <c r="K253" s="317"/>
    </row>
    <row r="254" spans="9:11" ht="12.75">
      <c r="I254" s="317"/>
      <c r="J254" s="317"/>
      <c r="K254" s="317"/>
    </row>
    <row r="255" spans="9:11" ht="12.75">
      <c r="I255" s="317"/>
      <c r="J255" s="317"/>
      <c r="K255" s="317"/>
    </row>
    <row r="256" spans="9:11" ht="12.75">
      <c r="I256" s="317"/>
      <c r="J256" s="317"/>
      <c r="K256" s="317"/>
    </row>
    <row r="257" spans="9:11" ht="12.75">
      <c r="I257" s="317"/>
      <c r="J257" s="317"/>
      <c r="K257" s="317"/>
    </row>
    <row r="258" spans="9:11" ht="12.75">
      <c r="I258" s="317"/>
      <c r="J258" s="317"/>
      <c r="K258" s="317"/>
    </row>
    <row r="259" spans="9:11" ht="12.75">
      <c r="I259" s="317"/>
      <c r="J259" s="317"/>
      <c r="K259" s="317"/>
    </row>
    <row r="260" spans="9:11" ht="12.75">
      <c r="I260" s="317"/>
      <c r="J260" s="317"/>
      <c r="K260" s="317"/>
    </row>
    <row r="261" spans="9:11" ht="12.75">
      <c r="I261" s="317"/>
      <c r="J261" s="317"/>
      <c r="K261" s="317"/>
    </row>
    <row r="262" spans="9:11" ht="12.75">
      <c r="I262" s="317"/>
      <c r="J262" s="317"/>
      <c r="K262" s="317"/>
    </row>
    <row r="263" spans="9:11" ht="12.75">
      <c r="I263" s="317"/>
      <c r="J263" s="317"/>
      <c r="K263" s="317"/>
    </row>
    <row r="264" spans="9:11" ht="12.75">
      <c r="I264" s="317"/>
      <c r="J264" s="317"/>
      <c r="K264" s="317"/>
    </row>
    <row r="265" spans="9:11" ht="12.75">
      <c r="I265" s="317"/>
      <c r="J265" s="317"/>
      <c r="K265" s="317"/>
    </row>
    <row r="266" spans="9:11" ht="12.75">
      <c r="I266" s="317"/>
      <c r="J266" s="317"/>
      <c r="K266" s="317"/>
    </row>
    <row r="267" spans="9:11" ht="12.75">
      <c r="I267" s="317"/>
      <c r="J267" s="317"/>
      <c r="K267" s="317"/>
    </row>
    <row r="268" spans="9:11" ht="12.75">
      <c r="I268" s="317"/>
      <c r="J268" s="317"/>
      <c r="K268" s="317"/>
    </row>
    <row r="269" spans="9:11" ht="12.75">
      <c r="I269" s="317"/>
      <c r="J269" s="317"/>
      <c r="K269" s="317"/>
    </row>
    <row r="270" spans="9:11" ht="12.75">
      <c r="I270" s="317"/>
      <c r="J270" s="317"/>
      <c r="K270" s="317"/>
    </row>
    <row r="271" spans="9:11" ht="12.75">
      <c r="I271" s="317"/>
      <c r="J271" s="317"/>
      <c r="K271" s="317"/>
    </row>
    <row r="272" spans="9:11" ht="12.75">
      <c r="I272" s="317"/>
      <c r="J272" s="317"/>
      <c r="K272" s="317"/>
    </row>
    <row r="273" spans="9:11" ht="12.75">
      <c r="I273" s="317"/>
      <c r="J273" s="317"/>
      <c r="K273" s="317"/>
    </row>
    <row r="274" spans="9:11" ht="12.75">
      <c r="I274" s="317"/>
      <c r="J274" s="317"/>
      <c r="K274" s="317"/>
    </row>
    <row r="275" spans="9:11" ht="12.75">
      <c r="I275" s="317"/>
      <c r="J275" s="317"/>
      <c r="K275" s="317"/>
    </row>
    <row r="276" spans="9:11" ht="12.75">
      <c r="I276" s="317"/>
      <c r="J276" s="317"/>
      <c r="K276" s="317"/>
    </row>
    <row r="277" spans="9:11" ht="12.75">
      <c r="I277" s="317"/>
      <c r="J277" s="317"/>
      <c r="K277" s="317"/>
    </row>
    <row r="278" spans="9:11" ht="12.75">
      <c r="I278" s="317"/>
      <c r="J278" s="317"/>
      <c r="K278" s="317"/>
    </row>
    <row r="279" spans="9:11" ht="12.75">
      <c r="I279" s="317"/>
      <c r="J279" s="317"/>
      <c r="K279" s="317"/>
    </row>
    <row r="280" spans="9:11" ht="12.75">
      <c r="I280" s="317"/>
      <c r="J280" s="317"/>
      <c r="K280" s="317"/>
    </row>
    <row r="281" spans="9:11" ht="12.75">
      <c r="I281" s="317"/>
      <c r="J281" s="317"/>
      <c r="K281" s="317"/>
    </row>
    <row r="282" spans="9:11" ht="12.75">
      <c r="I282" s="317"/>
      <c r="J282" s="317"/>
      <c r="K282" s="317"/>
    </row>
    <row r="283" spans="9:11" ht="12.75">
      <c r="I283" s="317"/>
      <c r="J283" s="317"/>
      <c r="K283" s="317"/>
    </row>
    <row r="284" spans="9:11" ht="12.75">
      <c r="I284" s="317"/>
      <c r="J284" s="317"/>
      <c r="K284" s="317"/>
    </row>
    <row r="285" spans="9:11" ht="12.75">
      <c r="I285" s="317"/>
      <c r="J285" s="317"/>
      <c r="K285" s="317"/>
    </row>
    <row r="286" spans="9:11" ht="12.75">
      <c r="I286" s="317"/>
      <c r="J286" s="317"/>
      <c r="K286" s="317"/>
    </row>
    <row r="287" spans="9:11" ht="12.75">
      <c r="I287" s="317"/>
      <c r="J287" s="317"/>
      <c r="K287" s="317"/>
    </row>
    <row r="288" spans="9:11" ht="12.75">
      <c r="I288" s="317"/>
      <c r="J288" s="317"/>
      <c r="K288" s="317"/>
    </row>
    <row r="289" spans="9:11" ht="12.75">
      <c r="I289" s="317"/>
      <c r="J289" s="317"/>
      <c r="K289" s="317"/>
    </row>
    <row r="290" spans="9:11" ht="12.75">
      <c r="I290" s="317"/>
      <c r="J290" s="317"/>
      <c r="K290" s="317"/>
    </row>
    <row r="291" spans="9:11" ht="12.75">
      <c r="I291" s="317"/>
      <c r="J291" s="317"/>
      <c r="K291" s="317"/>
    </row>
    <row r="292" spans="9:11" ht="12.75">
      <c r="I292" s="317"/>
      <c r="J292" s="317"/>
      <c r="K292" s="317"/>
    </row>
    <row r="293" spans="9:11" ht="12.75">
      <c r="I293" s="317"/>
      <c r="J293" s="317"/>
      <c r="K293" s="317"/>
    </row>
    <row r="294" spans="9:11" ht="12.75">
      <c r="I294" s="317"/>
      <c r="J294" s="317"/>
      <c r="K294" s="317"/>
    </row>
    <row r="295" spans="9:11" ht="12.75">
      <c r="I295" s="317"/>
      <c r="J295" s="317"/>
      <c r="K295" s="317"/>
    </row>
    <row r="296" spans="9:11" ht="12.75">
      <c r="I296" s="317"/>
      <c r="J296" s="317"/>
      <c r="K296" s="317"/>
    </row>
    <row r="297" spans="9:11" ht="12.75">
      <c r="I297" s="317"/>
      <c r="J297" s="317"/>
      <c r="K297" s="317"/>
    </row>
    <row r="298" spans="9:11" ht="12.75">
      <c r="I298" s="317"/>
      <c r="J298" s="317"/>
      <c r="K298" s="317"/>
    </row>
    <row r="299" spans="9:11" ht="12.75">
      <c r="I299" s="317"/>
      <c r="J299" s="317"/>
      <c r="K299" s="317"/>
    </row>
    <row r="300" spans="9:11" ht="12.75">
      <c r="I300" s="317"/>
      <c r="J300" s="317"/>
      <c r="K300" s="317"/>
    </row>
    <row r="301" spans="9:11" ht="12.75">
      <c r="I301" s="317"/>
      <c r="J301" s="317"/>
      <c r="K301" s="317"/>
    </row>
    <row r="302" spans="9:11" ht="12.75">
      <c r="I302" s="317"/>
      <c r="J302" s="317"/>
      <c r="K302" s="317"/>
    </row>
    <row r="303" spans="9:11" ht="12.75">
      <c r="I303" s="317"/>
      <c r="J303" s="317"/>
      <c r="K303" s="317"/>
    </row>
    <row r="304" spans="9:11" ht="12.75">
      <c r="I304" s="317"/>
      <c r="J304" s="317"/>
      <c r="K304" s="317"/>
    </row>
    <row r="305" spans="9:11" ht="12.75">
      <c r="I305" s="317"/>
      <c r="J305" s="317"/>
      <c r="K305" s="317"/>
    </row>
    <row r="306" spans="9:11" ht="12.75">
      <c r="I306" s="317"/>
      <c r="J306" s="317"/>
      <c r="K306" s="317"/>
    </row>
  </sheetData>
  <sheetProtection/>
  <mergeCells count="2">
    <mergeCell ref="F5:G5"/>
    <mergeCell ref="F1:J1"/>
  </mergeCells>
  <printOptions/>
  <pageMargins left="0.4330708661417323" right="0.2755905511811024" top="0.31496062992125984" bottom="0.07874015748031496" header="0.5118110236220472" footer="0.5118110236220472"/>
  <pageSetup horizontalDpi="300" verticalDpi="300" orientation="landscape" paperSize="9" scale="90" r:id="rId4"/>
  <rowBreaks count="1" manualBreakCount="1">
    <brk id="48" max="255" man="1"/>
  </rowBreaks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workbookViewId="0" topLeftCell="A1">
      <selection activeCell="A1" sqref="A1:IV16384"/>
    </sheetView>
  </sheetViews>
  <sheetFormatPr defaultColWidth="9.140625" defaultRowHeight="12.75"/>
  <cols>
    <col min="1" max="2" width="10.00390625" style="0" customWidth="1"/>
    <col min="3" max="3" width="8.00390625" style="0" customWidth="1"/>
    <col min="4" max="4" width="7.57421875" style="0" customWidth="1"/>
    <col min="5" max="5" width="4.421875" style="0" customWidth="1"/>
    <col min="6" max="6" width="12.28125" style="0" customWidth="1"/>
    <col min="7" max="7" width="12.140625" style="0" customWidth="1"/>
    <col min="8" max="8" width="16.7109375" style="0" customWidth="1"/>
    <col min="9" max="9" width="17.421875" style="0" customWidth="1"/>
    <col min="10" max="10" width="7.8515625" style="0" customWidth="1"/>
    <col min="11" max="11" width="11.140625" style="0" customWidth="1"/>
  </cols>
  <sheetData>
    <row r="1" ht="18">
      <c r="A1" s="138" t="s">
        <v>304</v>
      </c>
    </row>
    <row r="2" ht="15.75">
      <c r="A2" s="160" t="s">
        <v>305</v>
      </c>
    </row>
    <row r="3" spans="1:11" ht="15">
      <c r="A3" s="711" t="s">
        <v>306</v>
      </c>
      <c r="B3" s="711"/>
      <c r="C3" s="711"/>
      <c r="D3" s="595">
        <f>'beregning af nøgletal'!J2</f>
        <v>2009</v>
      </c>
      <c r="E3" s="596" t="s">
        <v>307</v>
      </c>
      <c r="F3" s="597">
        <f>'beregning af nøgletal'!J4</f>
        <v>0.06463963126788834</v>
      </c>
      <c r="G3" s="596" t="s">
        <v>308</v>
      </c>
      <c r="H3" s="596" t="str">
        <f>IF(F3&gt;F4,"tilfredsstillende","utilfredsstillende")</f>
        <v>utilfredsstillende</v>
      </c>
      <c r="I3" s="711" t="s">
        <v>309</v>
      </c>
      <c r="J3" s="711"/>
      <c r="K3" s="711"/>
    </row>
    <row r="4" spans="1:11" ht="15">
      <c r="A4" s="713" t="s">
        <v>310</v>
      </c>
      <c r="B4" s="711"/>
      <c r="C4" s="711"/>
      <c r="D4" s="711"/>
      <c r="E4" s="711"/>
      <c r="F4" s="598">
        <v>0.118</v>
      </c>
      <c r="G4" s="596" t="s">
        <v>311</v>
      </c>
      <c r="H4" s="596"/>
      <c r="I4" s="596"/>
      <c r="J4" s="596" t="str">
        <f>IF('beregning af nøgletal'!H4&lt;'beregning af nøgletal'!J4,"steget","faldet")</f>
        <v>steget</v>
      </c>
      <c r="K4" s="596" t="s">
        <v>312</v>
      </c>
    </row>
    <row r="5" spans="1:12" ht="15">
      <c r="A5" s="599">
        <f>IF('beregning af nøgletal'!K4&gt;0,'beregning af nøgletal'!K4,'beregning af nøgletal'!K4*-1)</f>
        <v>0.45496802342122844</v>
      </c>
      <c r="B5" s="596" t="s">
        <v>313</v>
      </c>
      <c r="C5" s="596"/>
      <c r="D5" s="596"/>
      <c r="E5" s="596"/>
      <c r="F5" s="596" t="str">
        <f>IF(J13&gt;J19,H13,H19)</f>
        <v>en stigning</v>
      </c>
      <c r="G5" s="596" t="s">
        <v>314</v>
      </c>
      <c r="H5" s="596" t="str">
        <f>IF(J13&lt;J19,"aktivernes omsætningshastighed","overskudsgraden")</f>
        <v>overskudsgraden</v>
      </c>
      <c r="I5" s="596"/>
      <c r="J5" s="596" t="s">
        <v>307</v>
      </c>
      <c r="K5" s="599">
        <f>IF(J13&gt;J19,Kommentarer!J13,Kommentarer!J19)</f>
        <v>0.38508612300934547</v>
      </c>
      <c r="L5" t="s">
        <v>315</v>
      </c>
    </row>
    <row r="6" spans="1:11" ht="15">
      <c r="A6" s="599" t="s">
        <v>316</v>
      </c>
      <c r="B6" s="596"/>
      <c r="C6" s="596"/>
      <c r="D6" s="596"/>
      <c r="E6" s="596"/>
      <c r="F6" s="596"/>
      <c r="G6" s="596"/>
      <c r="H6" s="596"/>
      <c r="I6" s="596"/>
      <c r="J6" s="596"/>
      <c r="K6" s="599"/>
    </row>
    <row r="8" ht="15.75">
      <c r="A8" s="160" t="s">
        <v>317</v>
      </c>
    </row>
    <row r="9" spans="1:11" ht="15">
      <c r="A9" s="596" t="s">
        <v>318</v>
      </c>
      <c r="B9" s="596"/>
      <c r="C9" s="596"/>
      <c r="D9" s="596"/>
      <c r="E9" s="596"/>
      <c r="F9" s="596"/>
      <c r="G9" s="596"/>
      <c r="H9" s="596"/>
      <c r="I9" s="596"/>
      <c r="J9" s="596"/>
      <c r="K9" s="596"/>
    </row>
    <row r="10" spans="1:11" ht="15">
      <c r="A10" s="600">
        <f>D3</f>
        <v>2009</v>
      </c>
      <c r="B10" s="596" t="s">
        <v>307</v>
      </c>
      <c r="C10" s="601">
        <f>'beregning af nøgletal'!J6</f>
        <v>0.14642484254487892</v>
      </c>
      <c r="D10" s="596" t="s">
        <v>319</v>
      </c>
      <c r="E10" s="711" t="str">
        <f>'Resultatopgørelse til analyse'!A1</f>
        <v>Carlsberg</v>
      </c>
      <c r="F10" s="711"/>
      <c r="G10" s="711"/>
      <c r="H10" s="596" t="s">
        <v>320</v>
      </c>
      <c r="I10" s="602">
        <f>C10*100</f>
        <v>14.642484254487892</v>
      </c>
      <c r="J10" s="596" t="s">
        <v>321</v>
      </c>
      <c r="K10" s="596"/>
    </row>
    <row r="11" spans="1:11" ht="15">
      <c r="A11" s="601" t="s">
        <v>322</v>
      </c>
      <c r="B11" s="596"/>
      <c r="C11" s="596"/>
      <c r="E11" s="596" t="s">
        <v>323</v>
      </c>
      <c r="F11" s="596"/>
      <c r="G11" s="603"/>
      <c r="H11" s="596"/>
      <c r="I11" s="596"/>
      <c r="J11" s="596"/>
      <c r="K11" s="596"/>
    </row>
    <row r="12" spans="1:11" ht="15">
      <c r="A12" s="596" t="s">
        <v>324</v>
      </c>
      <c r="B12" s="604">
        <v>0.065</v>
      </c>
      <c r="C12" s="596" t="s">
        <v>325</v>
      </c>
      <c r="D12" s="596"/>
      <c r="E12" s="596"/>
      <c r="F12" s="596"/>
      <c r="G12" s="596" t="str">
        <f>IF(B12&lt;C10,"tilfredsstillende.","utilfredsstillende.")</f>
        <v>tilfredsstillende.</v>
      </c>
      <c r="H12" s="596"/>
      <c r="I12" s="596"/>
      <c r="J12" s="596"/>
      <c r="K12" s="596"/>
    </row>
    <row r="13" spans="1:11" ht="15">
      <c r="A13" s="711" t="s">
        <v>326</v>
      </c>
      <c r="B13" s="624"/>
      <c r="C13" s="624"/>
      <c r="D13" s="624"/>
      <c r="E13" s="624"/>
      <c r="F13" s="596" t="str">
        <f>IF('beregning af nøgletal'!J6&gt;'beregning af nøgletal'!H6,"positiv","negativ")</f>
        <v>positiv</v>
      </c>
      <c r="G13" s="596" t="s">
        <v>327</v>
      </c>
      <c r="H13" s="596" t="str">
        <f>IF('beregning af nøgletal'!J6&gt;'beregning af nøgletal'!H6,"en stigning","et fald")</f>
        <v>en stigning</v>
      </c>
      <c r="I13" s="596" t="s">
        <v>307</v>
      </c>
      <c r="J13" s="605">
        <f>IF('beregning af nøgletal'!K6&lt;0,'beregning af nøgletal'!K6*-1,'beregning af nøgletal'!K6)</f>
        <v>0.38508612300934547</v>
      </c>
      <c r="K13" s="596" t="s">
        <v>315</v>
      </c>
    </row>
    <row r="14" spans="1:11" ht="15">
      <c r="A14" s="596"/>
      <c r="B14" s="596"/>
      <c r="C14" s="596"/>
      <c r="D14" s="596"/>
      <c r="E14" s="596"/>
      <c r="F14" s="596"/>
      <c r="G14" s="596"/>
      <c r="H14" s="596"/>
      <c r="I14" s="596"/>
      <c r="J14" s="596"/>
      <c r="K14" s="596"/>
    </row>
    <row r="15" spans="1:11" ht="15.75">
      <c r="A15" s="160" t="s">
        <v>328</v>
      </c>
      <c r="B15" s="596"/>
      <c r="C15" s="596"/>
      <c r="D15" s="596"/>
      <c r="E15" s="596"/>
      <c r="F15" s="596"/>
      <c r="G15" s="596"/>
      <c r="H15" s="596"/>
      <c r="I15" s="596"/>
      <c r="J15" s="596"/>
      <c r="K15" s="596"/>
    </row>
    <row r="16" spans="1:11" ht="15">
      <c r="A16" s="596" t="str">
        <f>E10</f>
        <v>Carlsberg</v>
      </c>
      <c r="B16" s="596"/>
      <c r="C16" s="596" t="s">
        <v>329</v>
      </c>
      <c r="D16" s="596"/>
      <c r="E16" s="712">
        <f>D3</f>
        <v>2009</v>
      </c>
      <c r="F16" s="712"/>
      <c r="G16" s="596" t="s">
        <v>330</v>
      </c>
      <c r="H16" s="606">
        <f>'beregning af nøgletal'!J8</f>
        <v>0.4414526261011783</v>
      </c>
      <c r="I16" s="711" t="s">
        <v>331</v>
      </c>
      <c r="J16" s="711"/>
      <c r="K16" s="711"/>
    </row>
    <row r="17" spans="1:11" ht="15">
      <c r="A17" s="596" t="s">
        <v>332</v>
      </c>
      <c r="B17" s="607">
        <f>F4/B12</f>
        <v>1.8153846153846152</v>
      </c>
      <c r="C17" s="596" t="s">
        <v>333</v>
      </c>
      <c r="D17" s="596"/>
      <c r="E17" s="596"/>
      <c r="F17" s="596"/>
      <c r="G17" s="596"/>
      <c r="H17" s="596" t="s">
        <v>334</v>
      </c>
      <c r="I17" s="596"/>
      <c r="J17" s="596"/>
      <c r="K17" s="596"/>
    </row>
    <row r="18" spans="1:11" ht="15">
      <c r="A18" s="596" t="str">
        <f>IF(B17&lt;H16,"tilfredsstillende.","utilfredsstillende.")</f>
        <v>utilfredsstillende.</v>
      </c>
      <c r="B18" s="596"/>
      <c r="C18" s="596" t="s">
        <v>335</v>
      </c>
      <c r="D18" s="596"/>
      <c r="E18" s="596"/>
      <c r="F18" s="596"/>
      <c r="G18" s="596"/>
      <c r="H18" s="596" t="str">
        <f>IF('beregning af nøgletal'!H8&lt;'beregning af nøgletal'!J8,"positivt","negativt")</f>
        <v>positivt</v>
      </c>
      <c r="I18" s="596" t="s">
        <v>336</v>
      </c>
      <c r="J18" s="596"/>
      <c r="K18" s="596"/>
    </row>
    <row r="19" spans="1:11" ht="15">
      <c r="A19" s="596" t="str">
        <f>IF('beregning af nøgletal'!H8&lt;'beregning af nøgletal'!J8,"forbedre","forringe")</f>
        <v>forbedre</v>
      </c>
      <c r="B19" s="596" t="s">
        <v>337</v>
      </c>
      <c r="C19" s="596"/>
      <c r="D19" s="596"/>
      <c r="E19" s="596"/>
      <c r="F19" s="596"/>
      <c r="G19" s="596" t="s">
        <v>338</v>
      </c>
      <c r="H19" s="595" t="str">
        <f>IF('beregning af nøgletal'!H8&lt;'beregning af nøgletal'!J8,"stigningen","faldet")</f>
        <v>stigningen</v>
      </c>
      <c r="I19" s="596" t="s">
        <v>339</v>
      </c>
      <c r="J19" s="605">
        <f>IF('beregning af nøgletal'!K8&lt;0,'beregning af nøgletal'!K8*-1,'beregning af nøgletal'!K8)</f>
        <v>0.05045310847534313</v>
      </c>
      <c r="K19" s="596" t="s">
        <v>340</v>
      </c>
    </row>
    <row r="20" spans="1:11" ht="15">
      <c r="A20" s="596"/>
      <c r="B20" s="596"/>
      <c r="C20" s="596"/>
      <c r="D20" s="596"/>
      <c r="E20" s="596"/>
      <c r="F20" s="596"/>
      <c r="G20" s="596"/>
      <c r="H20" s="596"/>
      <c r="I20" s="596"/>
      <c r="J20" s="596"/>
      <c r="K20" s="596"/>
    </row>
    <row r="21" spans="1:11" ht="15.75">
      <c r="A21" s="160" t="s">
        <v>341</v>
      </c>
      <c r="B21" s="596"/>
      <c r="C21" s="596"/>
      <c r="D21" s="596"/>
      <c r="E21" s="596"/>
      <c r="F21" s="596"/>
      <c r="G21" s="596"/>
      <c r="H21" s="596"/>
      <c r="I21" s="596"/>
      <c r="J21" s="596"/>
      <c r="K21" s="596"/>
    </row>
    <row r="22" spans="1:11" ht="15">
      <c r="A22" s="596" t="s">
        <v>342</v>
      </c>
      <c r="B22" s="596"/>
      <c r="C22" s="596"/>
      <c r="D22" s="714">
        <f>'beregning af nøgletal'!J12</f>
        <v>0.09590008236816891</v>
      </c>
      <c r="E22" s="714"/>
      <c r="F22" s="596" t="s">
        <v>343</v>
      </c>
      <c r="G22" s="596"/>
      <c r="H22" s="596"/>
      <c r="I22" s="596"/>
      <c r="J22" s="596"/>
      <c r="K22" s="596"/>
    </row>
    <row r="23" spans="1:11" ht="15">
      <c r="A23" s="609">
        <v>0.134</v>
      </c>
      <c r="B23" s="596" t="s">
        <v>344</v>
      </c>
      <c r="C23" s="711" t="str">
        <f>IF(D22&lt;A23,"utilfredsstillende.","tilfredsstillende.")</f>
        <v>utilfredsstillende.</v>
      </c>
      <c r="D23" s="624"/>
      <c r="E23" s="624"/>
      <c r="F23" s="624"/>
      <c r="G23" s="596" t="s">
        <v>345</v>
      </c>
      <c r="I23" s="610">
        <f>A10</f>
        <v>2009</v>
      </c>
      <c r="J23" s="596" t="s">
        <v>346</v>
      </c>
      <c r="K23" s="601">
        <f>'beregning af nøgletal'!J10</f>
        <v>0.039852851011649294</v>
      </c>
    </row>
    <row r="24" spans="1:11" ht="15">
      <c r="A24" s="596" t="s">
        <v>347</v>
      </c>
      <c r="B24" s="596" t="str">
        <f>IF(F3&lt;K23,"over","under")</f>
        <v>under</v>
      </c>
      <c r="C24" s="596" t="s">
        <v>348</v>
      </c>
      <c r="D24" s="596"/>
      <c r="E24" s="596"/>
      <c r="F24" s="596"/>
      <c r="G24" s="596" t="str">
        <f>IF(K23&lt;F3,"tjener","taber")</f>
        <v>tjener</v>
      </c>
      <c r="H24" s="596" t="s">
        <v>349</v>
      </c>
      <c r="I24" s="596"/>
      <c r="J24" s="596"/>
      <c r="K24" s="596"/>
    </row>
    <row r="25" spans="1:11" ht="15">
      <c r="A25" s="596" t="s">
        <v>350</v>
      </c>
      <c r="B25" s="596"/>
      <c r="C25" s="596"/>
      <c r="D25" s="596"/>
      <c r="E25" s="596"/>
      <c r="F25" s="596"/>
      <c r="G25" s="611">
        <f>'beregning af nøgletal'!J74</f>
        <v>0.024786780256239045</v>
      </c>
      <c r="H25" s="596" t="s">
        <v>351</v>
      </c>
      <c r="I25" s="596"/>
      <c r="J25" s="596"/>
      <c r="K25" s="596" t="str">
        <f>IF(F3&lt;K23,"mindre","større")</f>
        <v>større</v>
      </c>
    </row>
    <row r="26" spans="1:11" ht="15">
      <c r="A26" s="596" t="s">
        <v>352</v>
      </c>
      <c r="B26" s="596"/>
      <c r="C26" s="596" t="str">
        <f>A16</f>
        <v>Carlsberg</v>
      </c>
      <c r="D26" s="596"/>
      <c r="E26" s="596"/>
      <c r="F26" s="596" t="s">
        <v>353</v>
      </c>
      <c r="G26" s="596"/>
      <c r="H26" s="596"/>
      <c r="I26" s="612">
        <f>'beregning af nøgletal'!J72</f>
        <v>1.2611743347509623</v>
      </c>
      <c r="J26" s="596" t="s">
        <v>354</v>
      </c>
      <c r="K26" s="596" t="s">
        <v>314</v>
      </c>
    </row>
    <row r="27" spans="1:9" ht="15">
      <c r="A27" s="596">
        <f>A10</f>
        <v>2009</v>
      </c>
      <c r="B27" s="596" t="s">
        <v>355</v>
      </c>
      <c r="D27" s="715">
        <f>'beregning af nøgletal'!J70/100</f>
        <v>0.44224807642270375</v>
      </c>
      <c r="E27" s="715"/>
      <c r="F27" s="612" t="s">
        <v>356</v>
      </c>
      <c r="H27" s="596" t="str">
        <f>IF(D27&lt;C28,"under","over")</f>
        <v>over</v>
      </c>
      <c r="I27" s="596" t="s">
        <v>357</v>
      </c>
    </row>
    <row r="28" spans="1:9" ht="15">
      <c r="A28" s="596" t="s">
        <v>358</v>
      </c>
      <c r="C28" s="613">
        <v>0.4</v>
      </c>
      <c r="D28" s="596" t="s">
        <v>359</v>
      </c>
      <c r="G28" s="596" t="str">
        <f>IF(D27&lt;C28,"nedbringes","forøges")</f>
        <v>forøges</v>
      </c>
      <c r="H28" s="596" t="s">
        <v>360</v>
      </c>
      <c r="I28" s="596" t="str">
        <f>IF(C28&lt;D27,"sænkes.","hæves.")</f>
        <v>sænkes.</v>
      </c>
    </row>
    <row r="29" spans="1:9" ht="15">
      <c r="A29" s="596"/>
      <c r="C29" s="614"/>
      <c r="D29" s="596"/>
      <c r="G29" s="596"/>
      <c r="H29" s="596"/>
      <c r="I29" s="596"/>
    </row>
    <row r="31" ht="15.75">
      <c r="A31" s="160" t="s">
        <v>361</v>
      </c>
    </row>
    <row r="32" spans="1:11" ht="15">
      <c r="A32" s="596" t="s">
        <v>362</v>
      </c>
      <c r="E32" s="711" t="str">
        <f>IF('beregning af nøgletal'!J17&lt;'beregning af nøgletal'!H17,"faldet","steget")</f>
        <v>steget</v>
      </c>
      <c r="F32" s="711"/>
      <c r="G32" s="596" t="s">
        <v>363</v>
      </c>
      <c r="H32" s="601">
        <f>'beregning af nøgletal'!H17</f>
        <v>0.10571533431202455</v>
      </c>
      <c r="I32" s="596" t="s">
        <v>364</v>
      </c>
      <c r="J32" s="601">
        <f>'beregning af nøgletal'!J17</f>
        <v>0.14642484254487892</v>
      </c>
      <c r="K32" t="s">
        <v>315</v>
      </c>
    </row>
    <row r="33" spans="1:8" ht="15">
      <c r="A33" s="711" t="s">
        <v>365</v>
      </c>
      <c r="B33" s="624"/>
      <c r="C33" s="624"/>
      <c r="D33" s="711" t="str">
        <f>IF('beregning af nøgletal'!J34&lt;'beregning af nøgletal'!H34,"faldet","steget")</f>
        <v>faldet</v>
      </c>
      <c r="E33" s="711"/>
      <c r="F33" s="596" t="s">
        <v>312</v>
      </c>
      <c r="G33" s="605">
        <f>IF('beregning af nøgletal'!K34&lt;0,'beregning af nøgletal'!K34*-1,'beregning af nøgletal'!K34)</f>
        <v>0.00937541705591883</v>
      </c>
      <c r="H33" s="596" t="s">
        <v>340</v>
      </c>
    </row>
    <row r="34" spans="1:11" ht="15">
      <c r="A34" s="596" t="str">
        <f>'Resultatopgørelse til analyse'!A4</f>
        <v>Produktions omk.</v>
      </c>
      <c r="B34" s="596"/>
      <c r="C34" s="596" t="s">
        <v>366</v>
      </c>
      <c r="D34" s="711" t="str">
        <f>IF('Resultatopgørelse til analyse'!D4&gt;'Resultatopgørelse til analyse'!B4,"steget","faldet")</f>
        <v>faldet</v>
      </c>
      <c r="E34" s="711"/>
      <c r="F34" s="596" t="s">
        <v>312</v>
      </c>
      <c r="G34" s="611">
        <f>IF('beregning af nøgletal'!K36&lt;0,'beregning af nøgletal'!K36*-1,'beregning af nøgletal'!K36)</f>
        <v>0.03366507728247299</v>
      </c>
      <c r="H34" s="596" t="str">
        <f>H33</f>
        <v>i perioden.</v>
      </c>
      <c r="I34" s="596" t="s">
        <v>367</v>
      </c>
      <c r="J34" s="596"/>
      <c r="K34" s="596"/>
    </row>
    <row r="35" spans="1:11" ht="15">
      <c r="A35" s="596" t="s">
        <v>368</v>
      </c>
      <c r="B35" s="596"/>
      <c r="C35" s="596" t="s">
        <v>366</v>
      </c>
      <c r="D35" s="711" t="str">
        <f>IF(G33&lt;G34,"faldet","steget")</f>
        <v>faldet</v>
      </c>
      <c r="E35" s="711"/>
      <c r="F35" s="596" t="s">
        <v>363</v>
      </c>
      <c r="G35" s="611">
        <f>'beregning af nøgletal'!H21</f>
        <v>0.47869678366475377</v>
      </c>
      <c r="H35" s="596" t="s">
        <v>369</v>
      </c>
      <c r="I35" s="611">
        <f>'beregning af nøgletal'!J21</f>
        <v>0.49147889932976324</v>
      </c>
      <c r="J35" s="596" t="s">
        <v>370</v>
      </c>
      <c r="K35" s="596"/>
    </row>
    <row r="36" spans="1:11" ht="15">
      <c r="A36" s="596" t="s">
        <v>371</v>
      </c>
      <c r="B36" s="596"/>
      <c r="C36" s="596"/>
      <c r="D36" s="596"/>
      <c r="E36" s="596"/>
      <c r="F36" s="596"/>
      <c r="G36" s="596"/>
      <c r="H36" s="596" t="str">
        <f>IF(G35&lt;I35,"positiv","negativ")</f>
        <v>positiv</v>
      </c>
      <c r="I36" s="596" t="s">
        <v>372</v>
      </c>
      <c r="J36" s="596"/>
      <c r="K36" s="596"/>
    </row>
    <row r="37" spans="1:11" ht="15">
      <c r="A37" s="596" t="s">
        <v>373</v>
      </c>
      <c r="B37" s="596"/>
      <c r="C37" s="596"/>
      <c r="D37" s="711" t="str">
        <f>IF('beregning af nøgletal'!H29&lt;'beregning af nøgletal'!J29,"vokset","faldet")</f>
        <v>faldet</v>
      </c>
      <c r="E37" s="711"/>
      <c r="F37" s="711" t="s">
        <v>374</v>
      </c>
      <c r="G37" s="711"/>
      <c r="H37" s="615">
        <f>'beregning af nøgletal'!J29</f>
        <v>41690.49785848895</v>
      </c>
      <c r="I37" s="596" t="s">
        <v>375</v>
      </c>
      <c r="J37" s="596"/>
      <c r="K37" s="596"/>
    </row>
    <row r="38" spans="1:11" ht="15">
      <c r="A38" s="611">
        <f>'beregning af nøgletal'!J31</f>
        <v>0.2979270173034093</v>
      </c>
      <c r="B38" s="596" t="s">
        <v>376</v>
      </c>
      <c r="C38" s="596"/>
      <c r="D38" s="596"/>
      <c r="E38" s="596"/>
      <c r="F38" s="596"/>
      <c r="G38" s="611">
        <f>A38</f>
        <v>0.2979270173034093</v>
      </c>
      <c r="H38" s="596" t="s">
        <v>377</v>
      </c>
      <c r="I38" s="711" t="str">
        <f>C26</f>
        <v>Carlsberg</v>
      </c>
      <c r="J38" s="711"/>
      <c r="K38" s="711"/>
    </row>
    <row r="39" spans="1:11" ht="15">
      <c r="A39" s="596" t="s">
        <v>378</v>
      </c>
      <c r="B39" s="596"/>
      <c r="C39" s="596"/>
      <c r="D39" s="596"/>
      <c r="E39" s="596"/>
      <c r="F39" s="596"/>
      <c r="G39" s="596"/>
      <c r="H39" s="596"/>
      <c r="I39" s="596"/>
      <c r="J39" s="596"/>
      <c r="K39" s="596"/>
    </row>
    <row r="40" spans="1:11" ht="15">
      <c r="A40" s="616" t="s">
        <v>379</v>
      </c>
      <c r="B40" s="616"/>
      <c r="C40" s="616"/>
      <c r="D40" s="616"/>
      <c r="E40" s="616"/>
      <c r="F40" s="596"/>
      <c r="G40" s="596"/>
      <c r="H40" s="596"/>
      <c r="I40" s="596"/>
      <c r="J40" s="596"/>
      <c r="K40" s="596"/>
    </row>
    <row r="41" spans="1:12" ht="15">
      <c r="A41" s="596" t="s">
        <v>380</v>
      </c>
      <c r="B41" s="596"/>
      <c r="C41" s="596"/>
      <c r="D41" s="596"/>
      <c r="E41" s="596" t="s">
        <v>366</v>
      </c>
      <c r="F41" s="596" t="e">
        <f>IF('beregning af nøgletal'!H37&lt;'beregning af nøgletal'!J37,"steget","faldet")</f>
        <v>#DIV/0!</v>
      </c>
      <c r="G41" s="596" t="s">
        <v>381</v>
      </c>
      <c r="H41" s="605" t="e">
        <f>IF('beregning af nøgletal'!K37&gt;0,'beregning af nøgletal'!K37,'beregning af nøgletal'!K37*-1)</f>
        <v>#DIV/0!</v>
      </c>
      <c r="I41" s="596" t="s">
        <v>382</v>
      </c>
      <c r="J41" s="711" t="e">
        <f aca="true" t="shared" si="0" ref="J41:J49">IF(F41="faldet","forbedret","forringet")</f>
        <v>#DIV/0!</v>
      </c>
      <c r="K41" s="624"/>
      <c r="L41" s="596" t="s">
        <v>383</v>
      </c>
    </row>
    <row r="42" spans="1:12" ht="15">
      <c r="A42" s="711" t="str">
        <f>'beregning af nøgletal'!A38</f>
        <v>Distributionsomk</v>
      </c>
      <c r="B42" s="711"/>
      <c r="C42" s="711"/>
      <c r="D42" s="711"/>
      <c r="E42" s="596" t="s">
        <v>366</v>
      </c>
      <c r="F42" s="596" t="str">
        <f>IF('beregning af nøgletal'!H38&lt;'beregning af nøgletal'!J38,"steget","faldet")</f>
        <v>faldet</v>
      </c>
      <c r="G42" s="596" t="s">
        <v>312</v>
      </c>
      <c r="H42" s="605">
        <f>IF('beregning af nøgletal'!K38&gt;0,'beregning af nøgletal'!K38,'beregning af nøgletal'!K38*-1)</f>
        <v>0.09112096407457941</v>
      </c>
      <c r="I42" s="596" t="str">
        <f aca="true" t="shared" si="1" ref="I42:I49">I41</f>
        <v>hvilket har  </v>
      </c>
      <c r="J42" s="711" t="str">
        <f t="shared" si="0"/>
        <v>forbedret</v>
      </c>
      <c r="K42" s="624"/>
      <c r="L42" s="596" t="s">
        <v>383</v>
      </c>
    </row>
    <row r="43" spans="1:12" ht="15">
      <c r="A43" s="711" t="str">
        <f>'beregning af nøgletal'!A39</f>
        <v>Admomk</v>
      </c>
      <c r="B43" s="711"/>
      <c r="C43" s="711"/>
      <c r="D43" s="711"/>
      <c r="E43" s="596" t="s">
        <v>366</v>
      </c>
      <c r="F43" s="596" t="str">
        <f>IF('beregning af nøgletal'!H39&lt;'beregning af nøgletal'!J39,"steget","faldet")</f>
        <v>faldet</v>
      </c>
      <c r="G43" s="596" t="s">
        <v>312</v>
      </c>
      <c r="H43" s="605">
        <f>IF('beregning af nøgletal'!K39&gt;0,'beregning af nøgletal'!K39,'beregning af nøgletal'!K39*-1)</f>
        <v>0.015505846466700604</v>
      </c>
      <c r="I43" s="596" t="str">
        <f t="shared" si="1"/>
        <v>hvilket har  </v>
      </c>
      <c r="J43" s="711" t="str">
        <f t="shared" si="0"/>
        <v>forbedret</v>
      </c>
      <c r="K43" s="624"/>
      <c r="L43" s="596" t="s">
        <v>383</v>
      </c>
    </row>
    <row r="44" spans="1:12" ht="15">
      <c r="A44" s="711" t="str">
        <f>'beregning af nøgletal'!A40</f>
        <v>Andre driftsposter netto</v>
      </c>
      <c r="B44" s="711"/>
      <c r="C44" s="711"/>
      <c r="D44" s="711"/>
      <c r="E44" s="596" t="s">
        <v>366</v>
      </c>
      <c r="F44" s="596" t="str">
        <f>IF('beregning af nøgletal'!H40&lt;'beregning af nøgletal'!J40,"steget","faldet")</f>
        <v>faldet</v>
      </c>
      <c r="G44" s="596" t="s">
        <v>312</v>
      </c>
      <c r="H44" s="605">
        <f>IF('beregning af nøgletal'!K40&gt;0,'beregning af nøgletal'!K40,'beregning af nøgletal'!K40*-1)</f>
        <v>0.24519230769230774</v>
      </c>
      <c r="I44" s="596" t="str">
        <f t="shared" si="1"/>
        <v>hvilket har  </v>
      </c>
      <c r="J44" s="711" t="str">
        <f t="shared" si="0"/>
        <v>forbedret</v>
      </c>
      <c r="K44" s="624"/>
      <c r="L44" s="596" t="s">
        <v>383</v>
      </c>
    </row>
    <row r="45" spans="1:12" ht="15">
      <c r="A45" s="711" t="str">
        <f>'beregning af nøgletal'!A41</f>
        <v>-</v>
      </c>
      <c r="B45" s="711"/>
      <c r="C45" s="711"/>
      <c r="D45" s="711"/>
      <c r="E45" s="596" t="s">
        <v>366</v>
      </c>
      <c r="F45" s="596" t="e">
        <f>IF('beregning af nøgletal'!H41&lt;'beregning af nøgletal'!J41,"steget","faldet")</f>
        <v>#DIV/0!</v>
      </c>
      <c r="G45" s="596" t="s">
        <v>312</v>
      </c>
      <c r="H45" s="605" t="e">
        <f>IF('beregning af nøgletal'!K41&gt;0,'beregning af nøgletal'!K41,'beregning af nøgletal'!K41*-1)</f>
        <v>#DIV/0!</v>
      </c>
      <c r="I45" s="596" t="str">
        <f t="shared" si="1"/>
        <v>hvilket har  </v>
      </c>
      <c r="J45" s="711" t="e">
        <f t="shared" si="0"/>
        <v>#DIV/0!</v>
      </c>
      <c r="K45" s="624"/>
      <c r="L45" s="596" t="s">
        <v>383</v>
      </c>
    </row>
    <row r="46" spans="1:12" ht="15">
      <c r="A46" s="711" t="str">
        <f>'beregning af nøgletal'!A42</f>
        <v>-</v>
      </c>
      <c r="B46" s="711"/>
      <c r="C46" s="711"/>
      <c r="D46" s="711"/>
      <c r="E46" s="596" t="s">
        <v>366</v>
      </c>
      <c r="F46" s="596" t="e">
        <f>IF('beregning af nøgletal'!H42&lt;'beregning af nøgletal'!J42,"steget","faldet")</f>
        <v>#DIV/0!</v>
      </c>
      <c r="G46" s="596" t="s">
        <v>312</v>
      </c>
      <c r="H46" s="605" t="e">
        <f>IF('beregning af nøgletal'!K42&gt;0,'beregning af nøgletal'!K42,'beregning af nøgletal'!K42*-1)</f>
        <v>#DIV/0!</v>
      </c>
      <c r="I46" s="596" t="str">
        <f t="shared" si="1"/>
        <v>hvilket har  </v>
      </c>
      <c r="J46" s="711" t="e">
        <f t="shared" si="0"/>
        <v>#DIV/0!</v>
      </c>
      <c r="K46" s="624"/>
      <c r="L46" s="596" t="s">
        <v>383</v>
      </c>
    </row>
    <row r="47" spans="1:12" ht="15">
      <c r="A47" s="711" t="str">
        <f>'beregning af nøgletal'!A43</f>
        <v>Afskrivninger</v>
      </c>
      <c r="B47" s="711"/>
      <c r="C47" s="711"/>
      <c r="D47" s="711"/>
      <c r="E47" s="596" t="s">
        <v>366</v>
      </c>
      <c r="F47" s="596" t="e">
        <f>IF('beregning af nøgletal'!H43&lt;'beregning af nøgletal'!J43,"steget","faldet")</f>
        <v>#DIV/0!</v>
      </c>
      <c r="G47" s="596" t="s">
        <v>312</v>
      </c>
      <c r="H47" s="605" t="e">
        <f>IF('beregning af nøgletal'!K43&gt;0,'beregning af nøgletal'!K43,'beregning af nøgletal'!K43*-1)</f>
        <v>#DIV/0!</v>
      </c>
      <c r="I47" s="596" t="str">
        <f t="shared" si="1"/>
        <v>hvilket har  </v>
      </c>
      <c r="J47" s="711" t="e">
        <f t="shared" si="0"/>
        <v>#DIV/0!</v>
      </c>
      <c r="K47" s="624"/>
      <c r="L47" s="596" t="s">
        <v>383</v>
      </c>
    </row>
    <row r="48" spans="1:12" ht="15">
      <c r="A48" s="711" t="str">
        <f>'beregning af nøgletal'!A44</f>
        <v>Rente indtægter</v>
      </c>
      <c r="B48" s="711"/>
      <c r="C48" s="711"/>
      <c r="D48" s="711"/>
      <c r="E48" s="596" t="s">
        <v>366</v>
      </c>
      <c r="F48" s="596" t="e">
        <f>IF('beregning af nøgletal'!H44&lt;'beregning af nøgletal'!J44,"steget","faldet")</f>
        <v>#DIV/0!</v>
      </c>
      <c r="G48" s="596" t="s">
        <v>312</v>
      </c>
      <c r="H48" s="605" t="e">
        <f>IF('beregning af nøgletal'!K44&gt;0,'beregning af nøgletal'!K44,'beregning af nøgletal'!K44*-1)</f>
        <v>#DIV/0!</v>
      </c>
      <c r="I48" s="596" t="str">
        <f t="shared" si="1"/>
        <v>hvilket har  </v>
      </c>
      <c r="J48" s="711" t="e">
        <f t="shared" si="0"/>
        <v>#DIV/0!</v>
      </c>
      <c r="K48" s="624"/>
      <c r="L48" s="596" t="s">
        <v>383</v>
      </c>
    </row>
    <row r="49" spans="1:12" ht="15">
      <c r="A49" s="711" t="str">
        <f>'beregning af nøgletal'!A45</f>
        <v>Rente omkostninger</v>
      </c>
      <c r="B49" s="711"/>
      <c r="C49" s="711"/>
      <c r="D49" s="711"/>
      <c r="E49" s="596" t="s">
        <v>366</v>
      </c>
      <c r="F49" s="596" t="str">
        <f>IF('beregning af nøgletal'!H45&lt;'beregning af nøgletal'!J45,"steget","faldet")</f>
        <v>faldet</v>
      </c>
      <c r="G49" s="596" t="s">
        <v>312</v>
      </c>
      <c r="H49" s="605">
        <f>IF('beregning af nøgletal'!K45&gt;0,'beregning af nøgletal'!K45,'beregning af nøgletal'!K45*-1)</f>
        <v>0.1348379629629629</v>
      </c>
      <c r="I49" s="596" t="str">
        <f t="shared" si="1"/>
        <v>hvilket har  </v>
      </c>
      <c r="J49" s="711" t="str">
        <f t="shared" si="0"/>
        <v>forbedret</v>
      </c>
      <c r="K49" s="624"/>
      <c r="L49" s="596" t="s">
        <v>383</v>
      </c>
    </row>
    <row r="50" spans="1:12" ht="15">
      <c r="A50" s="594"/>
      <c r="B50" s="594"/>
      <c r="C50" s="594"/>
      <c r="D50" s="596"/>
      <c r="E50" s="596"/>
      <c r="F50" s="596"/>
      <c r="G50" s="596"/>
      <c r="H50" s="605"/>
      <c r="I50" s="596"/>
      <c r="J50" s="596"/>
      <c r="K50" s="596"/>
      <c r="L50" s="596"/>
    </row>
    <row r="51" spans="1:12" ht="15.75">
      <c r="A51" s="160" t="s">
        <v>384</v>
      </c>
      <c r="B51" s="596"/>
      <c r="C51" s="596"/>
      <c r="D51" s="596"/>
      <c r="E51" s="596"/>
      <c r="F51" s="596"/>
      <c r="G51" s="596"/>
      <c r="H51" s="596"/>
      <c r="I51" s="596"/>
      <c r="J51" s="596"/>
      <c r="K51" s="596"/>
      <c r="L51" s="596"/>
    </row>
    <row r="52" spans="1:12" ht="15">
      <c r="A52" s="711" t="s">
        <v>385</v>
      </c>
      <c r="B52" s="711"/>
      <c r="C52" s="711"/>
      <c r="D52" s="711"/>
      <c r="E52" s="711"/>
      <c r="F52" s="711"/>
      <c r="G52" s="711"/>
      <c r="H52" s="711"/>
      <c r="I52" s="596" t="str">
        <f>IF('beregning af nøgletal'!J50&gt;'beregning af nøgletal'!H50,"steget","faldet")</f>
        <v>steget</v>
      </c>
      <c r="J52" s="596" t="s">
        <v>312</v>
      </c>
      <c r="K52" s="605">
        <f>IF('beregning af nøgletal'!K50&lt;0,'beregning af nøgletal'!K50*-1,'beregning af nøgletal'!K50)</f>
        <v>0.05045310847534313</v>
      </c>
      <c r="L52" s="596" t="s">
        <v>315</v>
      </c>
    </row>
    <row r="53" spans="1:12" ht="15">
      <c r="A53" s="596" t="s">
        <v>386</v>
      </c>
      <c r="B53" s="596"/>
      <c r="C53" s="602">
        <f>H16</f>
        <v>0.4414526261011783</v>
      </c>
      <c r="D53" s="596" t="s">
        <v>387</v>
      </c>
      <c r="E53" s="711" t="s">
        <v>388</v>
      </c>
      <c r="F53" s="711"/>
      <c r="G53" s="711"/>
      <c r="H53" s="596" t="str">
        <f>A18</f>
        <v>utilfredsstillende.</v>
      </c>
      <c r="J53" s="711"/>
      <c r="K53" s="711"/>
      <c r="L53" s="596"/>
    </row>
    <row r="54" spans="1:12" ht="15">
      <c r="A54" s="596"/>
      <c r="B54" s="596"/>
      <c r="C54" s="602"/>
      <c r="D54" s="596"/>
      <c r="E54" s="596"/>
      <c r="F54" s="596"/>
      <c r="G54" s="596"/>
      <c r="H54" s="596"/>
      <c r="J54" s="594"/>
      <c r="K54" s="594"/>
      <c r="L54" s="596"/>
    </row>
    <row r="55" spans="1:12" ht="15">
      <c r="A55" s="596"/>
      <c r="B55" s="596"/>
      <c r="C55" s="602"/>
      <c r="D55" s="596"/>
      <c r="E55" s="596"/>
      <c r="F55" s="596"/>
      <c r="G55" s="596"/>
      <c r="H55" s="596"/>
      <c r="J55" s="594"/>
      <c r="K55" s="594"/>
      <c r="L55" s="596"/>
    </row>
    <row r="56" spans="1:11" ht="15">
      <c r="A56" s="617" t="s">
        <v>389</v>
      </c>
      <c r="B56" s="617"/>
      <c r="C56" s="617"/>
      <c r="D56" s="617"/>
      <c r="E56" s="617"/>
      <c r="F56" s="617"/>
      <c r="G56" s="617"/>
      <c r="H56" s="596"/>
      <c r="I56" s="596"/>
      <c r="J56" s="596"/>
      <c r="K56" s="596"/>
    </row>
    <row r="57" spans="1:11" ht="15">
      <c r="A57" s="596" t="s">
        <v>390</v>
      </c>
      <c r="B57" s="596" t="e">
        <f>IF('beregning af nøgletal'!J52&gt;'beregning af nøgletal'!H52,"steget","faldet")</f>
        <v>#DIV/0!</v>
      </c>
      <c r="C57" s="596" t="s">
        <v>391</v>
      </c>
      <c r="D57" s="602" t="e">
        <f>'beregning af nøgletal'!H52</f>
        <v>#DIV/0!</v>
      </c>
      <c r="E57" s="711" t="s">
        <v>392</v>
      </c>
      <c r="F57" s="711"/>
      <c r="G57" s="602" t="e">
        <f>'beregning af nøgletal'!J52</f>
        <v>#DIV/0!</v>
      </c>
      <c r="H57" s="596" t="s">
        <v>354</v>
      </c>
      <c r="I57" s="596" t="s">
        <v>393</v>
      </c>
      <c r="J57" s="596"/>
      <c r="K57" s="596"/>
    </row>
    <row r="58" spans="1:11" ht="15">
      <c r="A58" s="596" t="e">
        <f>IF(G57&gt;D57,"kortere","længere")</f>
        <v>#DIV/0!</v>
      </c>
      <c r="B58" s="596" t="s">
        <v>394</v>
      </c>
      <c r="C58" s="596"/>
      <c r="D58" s="596" t="s">
        <v>395</v>
      </c>
      <c r="E58" s="596"/>
      <c r="F58" s="596"/>
      <c r="G58" s="596" t="e">
        <f>IF('beregning af nøgletal'!J54&gt;'beregning af nøgletal'!H54,"steget","faldet")</f>
        <v>#DIV/0!</v>
      </c>
      <c r="H58" s="596" t="s">
        <v>396</v>
      </c>
      <c r="I58" s="612" t="e">
        <f>'beregning af nøgletal'!J54</f>
        <v>#DIV/0!</v>
      </c>
      <c r="J58" s="596" t="s">
        <v>397</v>
      </c>
      <c r="K58" s="596" t="s">
        <v>315</v>
      </c>
    </row>
    <row r="59" spans="1:11" ht="15">
      <c r="A59" s="596" t="str">
        <f>E10</f>
        <v>Carlsberg</v>
      </c>
      <c r="B59" s="596"/>
      <c r="C59" s="596" t="s">
        <v>398</v>
      </c>
      <c r="D59" s="596"/>
      <c r="E59" s="596"/>
      <c r="F59" s="605">
        <f>IF('beregning af nøgletal'!K36&gt;0,'beregning af nøgletal'!K36,'beregning af nøgletal'!K36*-1)</f>
        <v>0.03366507728247299</v>
      </c>
      <c r="G59" s="596" t="str">
        <f>IF('beregning af nøgletal'!J34&gt;'beregning af nøgletal'!H34,"større","mindre")</f>
        <v>mindre</v>
      </c>
      <c r="H59" s="596" t="s">
        <v>399</v>
      </c>
      <c r="I59" s="596"/>
      <c r="J59" s="605" t="e">
        <f>IF('Balance til analyse'!H8&gt;0,'Balance til analyse'!H8,'Balance til analyse'!H8*-1)</f>
        <v>#DIV/0!</v>
      </c>
      <c r="K59" s="596" t="e">
        <f>IF('Balance til analyse'!H8&gt;0,"større","mindre")</f>
        <v>#DIV/0!</v>
      </c>
    </row>
    <row r="60" spans="1:12" ht="15">
      <c r="A60" s="596" t="s">
        <v>400</v>
      </c>
      <c r="B60" s="596" t="e">
        <f>IF(D57&lt;G57,"forbedret","forringet")</f>
        <v>#DIV/0!</v>
      </c>
      <c r="C60" s="596" t="s">
        <v>401</v>
      </c>
      <c r="D60" s="596"/>
      <c r="E60" s="596"/>
      <c r="F60" s="605"/>
      <c r="G60" s="596"/>
      <c r="H60" s="596"/>
      <c r="I60" s="596"/>
      <c r="J60" s="596"/>
      <c r="K60" s="605"/>
      <c r="L60" s="596"/>
    </row>
    <row r="61" spans="1:12" ht="15">
      <c r="A61" s="596"/>
      <c r="B61" s="596"/>
      <c r="C61" s="596"/>
      <c r="D61" s="596"/>
      <c r="E61" s="596"/>
      <c r="F61" s="605"/>
      <c r="G61" s="596"/>
      <c r="H61" s="596"/>
      <c r="I61" s="596"/>
      <c r="J61" s="596"/>
      <c r="K61" s="605"/>
      <c r="L61" s="596"/>
    </row>
    <row r="62" spans="1:11" ht="15">
      <c r="A62" s="617" t="s">
        <v>402</v>
      </c>
      <c r="B62" s="596"/>
      <c r="C62" s="596"/>
      <c r="D62" s="596"/>
      <c r="E62" s="596"/>
      <c r="F62" s="596"/>
      <c r="G62" s="596"/>
      <c r="H62" s="596"/>
      <c r="I62" s="596"/>
      <c r="J62" s="596"/>
      <c r="K62" s="596"/>
    </row>
    <row r="63" spans="1:11" ht="15">
      <c r="A63" s="596" t="s">
        <v>403</v>
      </c>
      <c r="B63" s="596"/>
      <c r="C63" s="596"/>
      <c r="D63" s="711" t="e">
        <f>IF('beregning af nøgletal'!J58&gt;'beregning af nøgletal'!H58,"steget","faldet")</f>
        <v>#DIV/0!</v>
      </c>
      <c r="E63" s="711"/>
      <c r="F63" s="596" t="s">
        <v>391</v>
      </c>
      <c r="G63" s="612" t="e">
        <f>'beregning af nøgletal'!H58</f>
        <v>#DIV/0!</v>
      </c>
      <c r="H63" s="596" t="s">
        <v>404</v>
      </c>
      <c r="I63" s="612" t="e">
        <f>'beregning af nøgletal'!J58</f>
        <v>#DIV/0!</v>
      </c>
      <c r="J63" s="596" t="s">
        <v>405</v>
      </c>
      <c r="K63" s="596" t="s">
        <v>406</v>
      </c>
    </row>
    <row r="64" spans="1:11" ht="15">
      <c r="A64" s="596" t="e">
        <f>IF(G63&gt;I63,"forbedret","forringet")</f>
        <v>#DIV/0!</v>
      </c>
      <c r="B64" s="711" t="s">
        <v>407</v>
      </c>
      <c r="C64" s="711"/>
      <c r="D64" s="711"/>
      <c r="E64" s="624"/>
      <c r="F64" s="624"/>
      <c r="G64" s="624"/>
      <c r="H64" s="624"/>
      <c r="I64" s="596"/>
      <c r="J64" s="596"/>
      <c r="K64" s="596"/>
    </row>
    <row r="65" spans="1:11" ht="15">
      <c r="A65" s="596"/>
      <c r="B65" s="596"/>
      <c r="C65" s="596"/>
      <c r="D65" s="596"/>
      <c r="E65" s="596"/>
      <c r="F65" s="596"/>
      <c r="G65" s="596"/>
      <c r="H65" s="596"/>
      <c r="I65" s="596"/>
      <c r="J65" s="596"/>
      <c r="K65" s="596"/>
    </row>
    <row r="66" spans="1:11" ht="15">
      <c r="A66" s="617" t="s">
        <v>408</v>
      </c>
      <c r="B66" s="596"/>
      <c r="C66" s="596"/>
      <c r="D66" s="596"/>
      <c r="E66" s="596"/>
      <c r="F66" s="596"/>
      <c r="G66" s="596"/>
      <c r="H66" s="596"/>
      <c r="I66" s="596"/>
      <c r="J66" s="596"/>
      <c r="K66" s="596"/>
    </row>
    <row r="67" spans="1:12" ht="15">
      <c r="A67" s="596" t="s">
        <v>409</v>
      </c>
      <c r="B67" s="596"/>
      <c r="C67" s="596"/>
      <c r="D67" s="596"/>
      <c r="E67" s="711" t="e">
        <f>IF('beregning af nøgletal'!J64&lt;'beregning af nøgletal'!H64,"faldet","steget")</f>
        <v>#DIV/0!</v>
      </c>
      <c r="F67" s="711"/>
      <c r="G67" s="596" t="s">
        <v>363</v>
      </c>
      <c r="H67" s="612" t="e">
        <f>'beregning af nøgletal'!H64</f>
        <v>#DIV/0!</v>
      </c>
      <c r="I67" s="596" t="s">
        <v>397</v>
      </c>
      <c r="J67" s="596" t="s">
        <v>369</v>
      </c>
      <c r="K67" s="612" t="e">
        <f>'beregning af nøgletal'!J64</f>
        <v>#DIV/0!</v>
      </c>
      <c r="L67" s="596" t="s">
        <v>405</v>
      </c>
    </row>
    <row r="68" spans="1:11" ht="15">
      <c r="A68" s="596" t="s">
        <v>410</v>
      </c>
      <c r="B68" s="596"/>
      <c r="C68" s="596"/>
      <c r="D68" s="596"/>
      <c r="E68" s="596"/>
      <c r="F68" s="596"/>
      <c r="G68" s="596"/>
      <c r="H68" s="596"/>
      <c r="I68" s="596"/>
      <c r="J68" s="596" t="e">
        <f>IF(H67&gt;K67,"faldet.","steget.")</f>
        <v>#DIV/0!</v>
      </c>
      <c r="K68" s="596"/>
    </row>
    <row r="69" spans="1:11" ht="15">
      <c r="A69" s="596"/>
      <c r="B69" s="596"/>
      <c r="C69" s="596"/>
      <c r="D69" s="596"/>
      <c r="E69" s="596"/>
      <c r="F69" s="596"/>
      <c r="G69" s="596"/>
      <c r="H69" s="596"/>
      <c r="I69" s="596"/>
      <c r="J69" s="596"/>
      <c r="K69" s="596"/>
    </row>
    <row r="70" spans="1:11" ht="15">
      <c r="A70" s="617" t="s">
        <v>411</v>
      </c>
      <c r="B70" s="596"/>
      <c r="C70" s="596"/>
      <c r="D70" s="596"/>
      <c r="E70" s="596"/>
      <c r="F70" s="596"/>
      <c r="G70" s="596"/>
      <c r="H70" s="596"/>
      <c r="I70" s="596"/>
      <c r="J70" s="596"/>
      <c r="K70" s="596"/>
    </row>
    <row r="71" spans="1:11" ht="15">
      <c r="A71" s="596" t="str">
        <f>'beregning af nøgletal'!A68</f>
        <v>Likviditetsgrad I</v>
      </c>
      <c r="B71" s="596"/>
      <c r="C71" s="596" t="s">
        <v>412</v>
      </c>
      <c r="D71" s="711" t="str">
        <f>IF('beregning af nøgletal'!H68&lt;'beregning af nøgletal'!J68,"forbedret","forringet")</f>
        <v>forringet</v>
      </c>
      <c r="E71" s="711"/>
      <c r="F71" s="596" t="s">
        <v>413</v>
      </c>
      <c r="G71" s="596"/>
      <c r="H71" s="596"/>
      <c r="I71" s="612">
        <f>'beregning af nøgletal'!J68</f>
        <v>20.29829659051529</v>
      </c>
      <c r="J71" s="596" t="s">
        <v>414</v>
      </c>
      <c r="K71" s="596"/>
    </row>
    <row r="72" spans="1:11" ht="15">
      <c r="A72" s="596" t="str">
        <f>IF(I71&gt;90,"tilfredsstillende.","utilfredsstillende.")</f>
        <v>utilfredsstillende.</v>
      </c>
      <c r="B72" s="596"/>
      <c r="C72" s="596" t="s">
        <v>415</v>
      </c>
      <c r="D72" s="596"/>
      <c r="E72" s="596"/>
      <c r="F72" s="596"/>
      <c r="G72" s="596"/>
      <c r="H72" s="596"/>
      <c r="I72" s="596"/>
      <c r="J72" s="596"/>
      <c r="K72" s="596"/>
    </row>
    <row r="73" spans="1:11" ht="15">
      <c r="A73" s="596"/>
      <c r="B73" s="596"/>
      <c r="C73" s="596"/>
      <c r="D73" s="596"/>
      <c r="E73" s="596"/>
      <c r="F73" s="596"/>
      <c r="G73" s="596"/>
      <c r="H73" s="596"/>
      <c r="I73" s="596"/>
      <c r="J73" s="596"/>
      <c r="K73" s="596"/>
    </row>
    <row r="74" spans="1:11" ht="15.75">
      <c r="A74" s="160" t="s">
        <v>416</v>
      </c>
      <c r="B74" s="596"/>
      <c r="C74" s="596"/>
      <c r="D74" s="596"/>
      <c r="E74" s="596"/>
      <c r="F74" s="596"/>
      <c r="G74" s="596"/>
      <c r="H74" s="596"/>
      <c r="I74" s="596"/>
      <c r="J74" s="596"/>
      <c r="K74" s="596"/>
    </row>
    <row r="75" spans="1:11" ht="15">
      <c r="A75" s="596" t="s">
        <v>417</v>
      </c>
      <c r="B75" s="596"/>
      <c r="C75" s="596"/>
      <c r="D75" s="596"/>
      <c r="E75" s="596"/>
      <c r="F75" s="596" t="str">
        <f>IF('beregning af nøgletal'!H4&lt;'beregning af nøgletal'!J4,"positivt","negativt")</f>
        <v>positivt</v>
      </c>
      <c r="G75" s="596" t="s">
        <v>418</v>
      </c>
      <c r="H75" s="596" t="str">
        <f>J4</f>
        <v>steget</v>
      </c>
      <c r="I75" s="596" t="s">
        <v>381</v>
      </c>
      <c r="J75" s="611">
        <f>A5</f>
        <v>0.45496802342122844</v>
      </c>
      <c r="K75" s="596" t="s">
        <v>315</v>
      </c>
    </row>
    <row r="76" spans="1:11" ht="15">
      <c r="A76" s="596" t="s">
        <v>419</v>
      </c>
      <c r="B76" s="596"/>
      <c r="C76" s="596"/>
      <c r="D76" s="596"/>
      <c r="F76" s="596" t="str">
        <f>F5</f>
        <v>en stigning</v>
      </c>
      <c r="G76" t="s">
        <v>314</v>
      </c>
      <c r="H76" s="711" t="str">
        <f>IF(K5=J13,"indtjeningsevnen","kapitaltilpasningen")</f>
        <v>indtjeningsevnen</v>
      </c>
      <c r="I76" s="711"/>
      <c r="J76" s="711"/>
      <c r="K76" s="596" t="s">
        <v>315</v>
      </c>
    </row>
    <row r="77" spans="1:11" ht="15">
      <c r="A77" s="596" t="s">
        <v>420</v>
      </c>
      <c r="B77" s="596"/>
      <c r="C77" s="596"/>
      <c r="D77" s="596"/>
      <c r="E77" s="711" t="str">
        <f>H3</f>
        <v>utilfredsstillende</v>
      </c>
      <c r="F77" s="711"/>
      <c r="G77" s="711"/>
      <c r="H77" s="596" t="s">
        <v>421</v>
      </c>
      <c r="I77" s="596"/>
      <c r="J77" s="611"/>
      <c r="K77" s="596"/>
    </row>
    <row r="78" spans="1:11" ht="15">
      <c r="A78" s="596" t="s">
        <v>422</v>
      </c>
      <c r="B78" s="596"/>
      <c r="C78" s="596"/>
      <c r="D78" s="596"/>
      <c r="E78" s="711" t="str">
        <f>G12</f>
        <v>tilfredsstillende.</v>
      </c>
      <c r="F78" s="711"/>
      <c r="G78" s="711"/>
      <c r="H78" s="596" t="s">
        <v>421</v>
      </c>
      <c r="I78" s="596"/>
      <c r="J78" s="611"/>
      <c r="K78" s="596"/>
    </row>
    <row r="79" spans="1:11" ht="15">
      <c r="A79" s="596" t="s">
        <v>423</v>
      </c>
      <c r="B79" s="596"/>
      <c r="C79" s="596"/>
      <c r="D79" s="596"/>
      <c r="E79" s="711" t="str">
        <f>A18</f>
        <v>utilfredsstillende.</v>
      </c>
      <c r="F79" s="711"/>
      <c r="G79" s="711"/>
      <c r="H79" s="596" t="s">
        <v>421</v>
      </c>
      <c r="I79" s="596"/>
      <c r="J79" s="611"/>
      <c r="K79" s="596"/>
    </row>
    <row r="80" spans="1:11" ht="15">
      <c r="A80" s="596" t="s">
        <v>424</v>
      </c>
      <c r="B80" s="596"/>
      <c r="C80" s="596"/>
      <c r="D80" s="596"/>
      <c r="E80" s="594"/>
      <c r="F80" s="594"/>
      <c r="G80" s="594" t="str">
        <f>C23</f>
        <v>utilfredsstillende.</v>
      </c>
      <c r="H80" s="596"/>
      <c r="I80" s="596"/>
      <c r="J80" s="611"/>
      <c r="K80" s="596"/>
    </row>
    <row r="81" spans="1:11" ht="15">
      <c r="A81" s="596" t="str">
        <f>A59</f>
        <v>Carlsberg</v>
      </c>
      <c r="B81" s="596"/>
      <c r="C81" s="596" t="str">
        <f>G24</f>
        <v>tjener</v>
      </c>
      <c r="D81" s="596" t="s">
        <v>425</v>
      </c>
      <c r="E81" s="594"/>
      <c r="F81" s="594"/>
      <c r="G81" s="594"/>
      <c r="H81" s="596"/>
      <c r="I81" s="596" t="str">
        <f>B24</f>
        <v>under</v>
      </c>
      <c r="J81" s="611" t="s">
        <v>426</v>
      </c>
      <c r="K81" s="596"/>
    </row>
    <row r="82" spans="1:11" ht="15">
      <c r="A82" s="596" t="str">
        <f>D28</f>
        <v>. Gearingen kan derfor</v>
      </c>
      <c r="B82" s="596"/>
      <c r="C82" s="596"/>
      <c r="D82" s="711" t="str">
        <f>G28</f>
        <v>forøges</v>
      </c>
      <c r="E82" s="624"/>
      <c r="F82" s="711" t="str">
        <f>H28</f>
        <v>og soliditeten </v>
      </c>
      <c r="G82" s="624"/>
      <c r="H82" s="594" t="str">
        <f>I28</f>
        <v>sænkes.</v>
      </c>
      <c r="I82" s="596"/>
      <c r="J82" s="611"/>
      <c r="K82" s="596"/>
    </row>
    <row r="83" spans="1:11" ht="15">
      <c r="A83" s="596"/>
      <c r="B83" s="596"/>
      <c r="C83" s="596"/>
      <c r="D83" s="596"/>
      <c r="E83" s="594"/>
      <c r="F83" s="594"/>
      <c r="G83" s="594"/>
      <c r="H83" s="596"/>
      <c r="I83" s="596"/>
      <c r="J83" s="611"/>
      <c r="K83" s="596"/>
    </row>
    <row r="84" spans="1:11" ht="15">
      <c r="A84" s="596" t="s">
        <v>427</v>
      </c>
      <c r="B84" s="596"/>
      <c r="C84" s="596"/>
      <c r="D84" s="596"/>
      <c r="E84" s="596"/>
      <c r="F84" s="596"/>
      <c r="G84" s="596"/>
      <c r="H84" s="596"/>
      <c r="I84" s="596"/>
      <c r="J84" s="596"/>
      <c r="K84" s="596"/>
    </row>
    <row r="85" spans="1:11" ht="15">
      <c r="A85" s="596"/>
      <c r="B85" s="596"/>
      <c r="C85" s="596"/>
      <c r="D85" s="596"/>
      <c r="E85" s="596"/>
      <c r="F85" s="596"/>
      <c r="G85" s="596"/>
      <c r="H85" s="596"/>
      <c r="I85" s="596"/>
      <c r="J85" s="596"/>
      <c r="K85" s="596"/>
    </row>
    <row r="86" spans="1:11" ht="15">
      <c r="A86" s="596"/>
      <c r="B86" s="596"/>
      <c r="C86" s="596"/>
      <c r="D86" s="596"/>
      <c r="E86" s="596"/>
      <c r="F86" s="596"/>
      <c r="G86" s="596"/>
      <c r="H86" s="596"/>
      <c r="I86" s="596"/>
      <c r="J86" s="596"/>
      <c r="K86" s="596"/>
    </row>
    <row r="87" spans="1:11" ht="15">
      <c r="A87" s="596"/>
      <c r="B87" s="596"/>
      <c r="C87" s="596"/>
      <c r="D87" s="596"/>
      <c r="E87" s="596"/>
      <c r="F87" s="596"/>
      <c r="G87" s="596"/>
      <c r="H87" s="596"/>
      <c r="I87" s="596"/>
      <c r="J87" s="596"/>
      <c r="K87" s="596"/>
    </row>
    <row r="88" spans="1:11" ht="15">
      <c r="A88" s="596"/>
      <c r="B88" s="596"/>
      <c r="C88" s="596"/>
      <c r="D88" s="596"/>
      <c r="E88" s="596"/>
      <c r="F88" s="596"/>
      <c r="G88" s="596"/>
      <c r="H88" s="596"/>
      <c r="I88" s="596"/>
      <c r="J88" s="596"/>
      <c r="K88" s="596"/>
    </row>
    <row r="89" spans="1:11" ht="15">
      <c r="A89" s="596"/>
      <c r="B89" s="596"/>
      <c r="C89" s="596"/>
      <c r="D89" s="596"/>
      <c r="E89" s="596"/>
      <c r="F89" s="596"/>
      <c r="G89" s="596"/>
      <c r="H89" s="596"/>
      <c r="I89" s="596"/>
      <c r="J89" s="596"/>
      <c r="K89" s="596"/>
    </row>
  </sheetData>
  <sheetProtection/>
  <mergeCells count="49">
    <mergeCell ref="J48:K48"/>
    <mergeCell ref="J49:K49"/>
    <mergeCell ref="D82:E82"/>
    <mergeCell ref="F82:G82"/>
    <mergeCell ref="J53:K53"/>
    <mergeCell ref="H76:J76"/>
    <mergeCell ref="E77:G77"/>
    <mergeCell ref="E78:G78"/>
    <mergeCell ref="E79:G79"/>
    <mergeCell ref="A13:E13"/>
    <mergeCell ref="F37:G37"/>
    <mergeCell ref="A49:D49"/>
    <mergeCell ref="A42:D42"/>
    <mergeCell ref="A43:D43"/>
    <mergeCell ref="A44:D44"/>
    <mergeCell ref="A45:D45"/>
    <mergeCell ref="D22:E22"/>
    <mergeCell ref="C23:F23"/>
    <mergeCell ref="D27:E27"/>
    <mergeCell ref="A47:D47"/>
    <mergeCell ref="A48:D48"/>
    <mergeCell ref="D34:E34"/>
    <mergeCell ref="D35:E35"/>
    <mergeCell ref="A46:D46"/>
    <mergeCell ref="I38:K38"/>
    <mergeCell ref="J41:K41"/>
    <mergeCell ref="J42:K42"/>
    <mergeCell ref="J47:K47"/>
    <mergeCell ref="J43:K43"/>
    <mergeCell ref="J46:K46"/>
    <mergeCell ref="A3:C3"/>
    <mergeCell ref="A4:E4"/>
    <mergeCell ref="I3:K3"/>
    <mergeCell ref="E10:G10"/>
    <mergeCell ref="E16:F16"/>
    <mergeCell ref="I16:K16"/>
    <mergeCell ref="D37:E37"/>
    <mergeCell ref="E32:F32"/>
    <mergeCell ref="D33:E33"/>
    <mergeCell ref="A33:C33"/>
    <mergeCell ref="J44:K44"/>
    <mergeCell ref="J45:K45"/>
    <mergeCell ref="D71:E71"/>
    <mergeCell ref="D63:E63"/>
    <mergeCell ref="B64:H64"/>
    <mergeCell ref="E67:F67"/>
    <mergeCell ref="E53:G53"/>
    <mergeCell ref="A52:H52"/>
    <mergeCell ref="E57:F57"/>
  </mergeCells>
  <printOptions/>
  <pageMargins left="0.75" right="0.75" top="1" bottom="1" header="0" footer="0"/>
  <pageSetup fitToHeight="1" fitToWidth="1"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4"/>
  <sheetViews>
    <sheetView zoomScale="200" zoomScaleNormal="20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7.421875" style="0" bestFit="1" customWidth="1"/>
    <col min="3" max="3" width="15.7109375" style="0" bestFit="1" customWidth="1"/>
  </cols>
  <sheetData>
    <row r="1" spans="1:3" ht="12.75">
      <c r="A1" t="s">
        <v>437</v>
      </c>
      <c r="B1">
        <v>2008</v>
      </c>
      <c r="C1">
        <v>2009</v>
      </c>
    </row>
    <row r="2" spans="1:3" ht="12.75">
      <c r="A2" t="s">
        <v>430</v>
      </c>
      <c r="B2" s="153">
        <v>2621000000</v>
      </c>
      <c r="C2" s="153">
        <v>3602000000</v>
      </c>
    </row>
    <row r="3" spans="1:3" ht="12.75">
      <c r="A3" t="s">
        <v>431</v>
      </c>
      <c r="B3" s="717">
        <v>22.1</v>
      </c>
      <c r="C3" s="717">
        <v>23.6</v>
      </c>
    </row>
    <row r="4" spans="1:3" ht="12.75">
      <c r="A4" t="s">
        <v>231</v>
      </c>
      <c r="B4" s="153">
        <f>B2/B3</f>
        <v>118597285.0678733</v>
      </c>
      <c r="C4" s="153">
        <f>C2/C3</f>
        <v>152627118.6440678</v>
      </c>
    </row>
    <row r="5" spans="1:3" ht="12.75">
      <c r="A5" t="s">
        <v>432</v>
      </c>
      <c r="B5" s="131">
        <f>B4/1000</f>
        <v>118597.2850678733</v>
      </c>
      <c r="C5" s="131">
        <f>C4/1000</f>
        <v>152627.11864406778</v>
      </c>
    </row>
    <row r="6" ht="12.75">
      <c r="A6" t="s">
        <v>433</v>
      </c>
    </row>
    <row r="7" spans="1:3" ht="12.75">
      <c r="A7" t="s">
        <v>434</v>
      </c>
      <c r="B7" s="131">
        <f>B2</f>
        <v>2621000000</v>
      </c>
      <c r="C7" s="131">
        <f>C2</f>
        <v>3602000000</v>
      </c>
    </row>
    <row r="8" spans="1:3" ht="12.75">
      <c r="A8" t="s">
        <v>435</v>
      </c>
      <c r="B8" s="131">
        <f>B7*16.3</f>
        <v>42722300000</v>
      </c>
      <c r="C8" s="131">
        <f>C7*16.3</f>
        <v>58712600000</v>
      </c>
    </row>
    <row r="9" spans="1:3" ht="12.75">
      <c r="A9" t="s">
        <v>436</v>
      </c>
      <c r="B9" s="716">
        <f>B8/B4</f>
        <v>360.23</v>
      </c>
      <c r="C9" s="716">
        <f>C8/C4</f>
        <v>384.68</v>
      </c>
    </row>
    <row r="10" ht="12.75">
      <c r="A10" t="s">
        <v>438</v>
      </c>
    </row>
    <row r="11" ht="12.75">
      <c r="A11" t="s">
        <v>439</v>
      </c>
    </row>
    <row r="13" ht="12.75">
      <c r="A13" t="s">
        <v>440</v>
      </c>
    </row>
    <row r="14" ht="12.75">
      <c r="A14" t="s">
        <v>450</v>
      </c>
    </row>
    <row r="15" ht="12.75">
      <c r="A15" t="s">
        <v>441</v>
      </c>
    </row>
    <row r="16" ht="12.75">
      <c r="A16" t="s">
        <v>442</v>
      </c>
    </row>
    <row r="18" ht="12.75">
      <c r="A18" t="s">
        <v>443</v>
      </c>
    </row>
    <row r="19" ht="12.75">
      <c r="A19" t="s">
        <v>445</v>
      </c>
    </row>
    <row r="20" ht="12.75">
      <c r="A20" t="s">
        <v>446</v>
      </c>
    </row>
    <row r="21" ht="12.75">
      <c r="A21" t="s">
        <v>444</v>
      </c>
    </row>
    <row r="22" ht="12.75">
      <c r="A22" t="s">
        <v>447</v>
      </c>
    </row>
    <row r="23" ht="12.75">
      <c r="A23" t="s">
        <v>448</v>
      </c>
    </row>
    <row r="24" ht="12.75">
      <c r="A24" t="s">
        <v>449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A26" sqref="A26:IV47"/>
    </sheetView>
  </sheetViews>
  <sheetFormatPr defaultColWidth="9.140625" defaultRowHeight="12.75"/>
  <cols>
    <col min="1" max="1" width="22.7109375" style="0" customWidth="1"/>
    <col min="2" max="2" width="11.28125" style="0" customWidth="1"/>
    <col min="3" max="3" width="10.421875" style="0" customWidth="1"/>
    <col min="4" max="4" width="10.28125" style="0" bestFit="1" customWidth="1"/>
    <col min="5" max="5" width="11.57421875" style="0" customWidth="1"/>
    <col min="6" max="6" width="21.7109375" style="0" customWidth="1"/>
    <col min="7" max="7" width="14.57421875" style="0" customWidth="1"/>
    <col min="8" max="8" width="10.8515625" style="0" bestFit="1" customWidth="1"/>
    <col min="9" max="9" width="13.140625" style="0" customWidth="1"/>
  </cols>
  <sheetData>
    <row r="1" spans="1:9" ht="23.25">
      <c r="A1" s="632" t="s">
        <v>46</v>
      </c>
      <c r="B1" s="624"/>
      <c r="C1" s="624"/>
      <c r="D1" s="624"/>
      <c r="E1" s="624"/>
      <c r="F1" s="624"/>
      <c r="G1" s="624"/>
      <c r="H1" s="624"/>
      <c r="I1" s="624"/>
    </row>
    <row r="2" spans="1:9" ht="13.5" thickBot="1">
      <c r="A2" t="s">
        <v>47</v>
      </c>
      <c r="B2" t="str">
        <f>CONCATENATE("31/12-",Resultatbudget!B2)</f>
        <v>31/12-2010</v>
      </c>
      <c r="E2" t="str">
        <f>CONCATENATE("31/12-",Resultatbudget!B2+1)</f>
        <v>31/12-2011</v>
      </c>
      <c r="F2" t="s">
        <v>48</v>
      </c>
      <c r="G2" t="str">
        <f>B2</f>
        <v>31/12-2010</v>
      </c>
      <c r="H2" t="s">
        <v>42</v>
      </c>
      <c r="I2" t="str">
        <f>E2</f>
        <v>31/12-2011</v>
      </c>
    </row>
    <row r="3" spans="1:9" ht="12.75">
      <c r="A3" s="80" t="s">
        <v>49</v>
      </c>
      <c r="B3" s="3"/>
      <c r="C3" s="3" t="s">
        <v>50</v>
      </c>
      <c r="D3" s="81" t="s">
        <v>51</v>
      </c>
      <c r="E3" s="82"/>
      <c r="F3" s="83" t="s">
        <v>52</v>
      </c>
      <c r="G3" s="84"/>
      <c r="H3" s="84"/>
      <c r="I3" s="85"/>
    </row>
    <row r="4" spans="1:9" ht="12.75">
      <c r="A4" s="49" t="s">
        <v>53</v>
      </c>
      <c r="B4" s="50">
        <v>5000000</v>
      </c>
      <c r="C4" s="50">
        <v>600000</v>
      </c>
      <c r="D4" s="86">
        <f>Resultatbudget!E17</f>
        <v>900000</v>
      </c>
      <c r="E4" s="87">
        <f>B4+C4-D4</f>
        <v>4700000</v>
      </c>
      <c r="F4" s="88" t="str">
        <f>IF(Resultatbudget!B30&gt;0,"Aktiekapital","Primo")</f>
        <v>Aktiekapital</v>
      </c>
      <c r="G4" s="89">
        <v>1000000</v>
      </c>
      <c r="H4" s="91">
        <f>Resultatbudget!C38</f>
        <v>0</v>
      </c>
      <c r="I4" s="92">
        <f>IF(F4="Aktiekapital",G4+H4,G7)</f>
        <v>1000000</v>
      </c>
    </row>
    <row r="5" spans="1:9" ht="12.75">
      <c r="A5" s="93" t="s">
        <v>54</v>
      </c>
      <c r="B5" s="50">
        <v>0</v>
      </c>
      <c r="C5" s="50">
        <v>0</v>
      </c>
      <c r="D5" s="86"/>
      <c r="E5" s="87">
        <f aca="true" t="shared" si="0" ref="E5:E12">B5+C5</f>
        <v>0</v>
      </c>
      <c r="F5" s="94" t="str">
        <f>IF(Resultatbudget!B30&gt;0,Resultatbudget!A29,"åretsresultat")</f>
        <v>Reserver</v>
      </c>
      <c r="G5" s="95">
        <v>1400000</v>
      </c>
      <c r="H5" s="87">
        <f>IF(F4="Aktiekapital",Resultatbudget!E29,0)</f>
        <v>690000</v>
      </c>
      <c r="I5" s="96">
        <f>IF(F4="aktiekapital",G5+H5,Resultatbudget!E25)</f>
        <v>2090000</v>
      </c>
    </row>
    <row r="6" spans="1:9" ht="12.75">
      <c r="A6" s="93"/>
      <c r="B6" s="50">
        <v>0</v>
      </c>
      <c r="C6" s="50">
        <v>0</v>
      </c>
      <c r="D6" s="86"/>
      <c r="E6" s="87">
        <f t="shared" si="0"/>
        <v>0</v>
      </c>
      <c r="F6" s="94" t="str">
        <f>IF(F4="Aktiekapital","-","Privatforbrug")</f>
        <v>-</v>
      </c>
      <c r="G6" s="97">
        <v>0</v>
      </c>
      <c r="H6" s="87"/>
      <c r="I6" s="98">
        <v>0</v>
      </c>
    </row>
    <row r="7" spans="1:9" ht="12.75">
      <c r="A7" s="93"/>
      <c r="B7" s="50">
        <v>0</v>
      </c>
      <c r="C7" s="50">
        <v>0</v>
      </c>
      <c r="D7" s="86"/>
      <c r="E7" s="87">
        <f t="shared" si="0"/>
        <v>0</v>
      </c>
      <c r="F7" s="99" t="s">
        <v>55</v>
      </c>
      <c r="G7" s="100">
        <f>G4+G5-G6</f>
        <v>2400000</v>
      </c>
      <c r="H7" s="100">
        <f>H4+H5-H6</f>
        <v>690000</v>
      </c>
      <c r="I7" s="101">
        <f>I4+I5-I6</f>
        <v>3090000</v>
      </c>
    </row>
    <row r="8" spans="1:9" ht="12.75">
      <c r="A8" s="93"/>
      <c r="B8" s="50">
        <v>0</v>
      </c>
      <c r="C8" s="50">
        <v>0</v>
      </c>
      <c r="D8" s="86"/>
      <c r="E8" s="87">
        <f t="shared" si="0"/>
        <v>0</v>
      </c>
      <c r="F8" s="102" t="s">
        <v>56</v>
      </c>
      <c r="G8" s="87"/>
      <c r="H8" s="87"/>
      <c r="I8" s="96">
        <f>G8+H8</f>
        <v>0</v>
      </c>
    </row>
    <row r="9" spans="1:9" ht="12.75">
      <c r="A9" s="93" t="s">
        <v>57</v>
      </c>
      <c r="B9" s="50">
        <v>0</v>
      </c>
      <c r="C9" s="50">
        <v>0</v>
      </c>
      <c r="D9" s="86"/>
      <c r="E9" s="87">
        <f t="shared" si="0"/>
        <v>0</v>
      </c>
      <c r="F9" s="103" t="s">
        <v>58</v>
      </c>
      <c r="G9" s="87"/>
      <c r="H9" s="87"/>
      <c r="I9" s="96">
        <f>G9+H9</f>
        <v>0</v>
      </c>
    </row>
    <row r="10" spans="1:9" ht="12.75">
      <c r="A10" s="93"/>
      <c r="B10" s="50">
        <v>0</v>
      </c>
      <c r="C10" s="50">
        <v>0</v>
      </c>
      <c r="D10" s="86"/>
      <c r="E10" s="87">
        <f t="shared" si="0"/>
        <v>0</v>
      </c>
      <c r="F10" s="104" t="s">
        <v>59</v>
      </c>
      <c r="G10" s="87"/>
      <c r="H10" s="97">
        <v>0</v>
      </c>
      <c r="I10" s="96">
        <f>G10+H10</f>
        <v>0</v>
      </c>
    </row>
    <row r="11" spans="1:9" ht="12.75">
      <c r="A11" s="93"/>
      <c r="B11" s="50">
        <v>0</v>
      </c>
      <c r="C11" s="50">
        <v>0</v>
      </c>
      <c r="D11" s="86"/>
      <c r="E11" s="87">
        <f t="shared" si="0"/>
        <v>0</v>
      </c>
      <c r="F11" s="104" t="s">
        <v>102</v>
      </c>
      <c r="G11" s="97">
        <v>10000000</v>
      </c>
      <c r="H11" s="97">
        <v>-1000000</v>
      </c>
      <c r="I11" s="96">
        <f>G11+H11</f>
        <v>9000000</v>
      </c>
    </row>
    <row r="12" spans="1:9" ht="12.75">
      <c r="A12" s="93" t="s">
        <v>60</v>
      </c>
      <c r="B12" s="50">
        <v>0</v>
      </c>
      <c r="C12" s="50">
        <v>0</v>
      </c>
      <c r="D12" s="86"/>
      <c r="E12" s="87">
        <f t="shared" si="0"/>
        <v>0</v>
      </c>
      <c r="F12" s="93" t="s">
        <v>61</v>
      </c>
      <c r="G12" s="97"/>
      <c r="H12" s="97"/>
      <c r="I12" s="96">
        <f>G12+H12</f>
        <v>0</v>
      </c>
    </row>
    <row r="13" spans="1:9" ht="12.75">
      <c r="A13" s="105" t="s">
        <v>62</v>
      </c>
      <c r="B13" s="106">
        <f>SUM(B4:B12)</f>
        <v>5000000</v>
      </c>
      <c r="C13" s="60">
        <f>SUM(C4:C12)</f>
        <v>600000</v>
      </c>
      <c r="D13" s="60">
        <f>SUM(D4:D12)</f>
        <v>900000</v>
      </c>
      <c r="E13" s="100">
        <f>B13+C13-D13</f>
        <v>4700000</v>
      </c>
      <c r="F13" s="105" t="s">
        <v>63</v>
      </c>
      <c r="G13" s="100">
        <f>SUM(G8:G12)</f>
        <v>10000000</v>
      </c>
      <c r="H13" s="100">
        <f>SUM(H8:H12)</f>
        <v>-1000000</v>
      </c>
      <c r="I13" s="101">
        <f>SUM(I8:I12)</f>
        <v>9000000</v>
      </c>
    </row>
    <row r="14" spans="1:9" ht="12.75">
      <c r="A14" s="107" t="s">
        <v>64</v>
      </c>
      <c r="B14" s="108"/>
      <c r="C14" s="630" t="s">
        <v>42</v>
      </c>
      <c r="D14" s="631"/>
      <c r="E14" s="87"/>
      <c r="F14" s="104" t="s">
        <v>65</v>
      </c>
      <c r="G14" s="87"/>
      <c r="H14" s="87"/>
      <c r="I14" s="96">
        <f>G14+H14</f>
        <v>0</v>
      </c>
    </row>
    <row r="15" spans="1:9" ht="12.75">
      <c r="A15" s="109" t="str">
        <f>IF(Resultatbudget!A4="Råvarer","Råvererlager","Varelager")</f>
        <v>Varelager</v>
      </c>
      <c r="B15" s="50">
        <v>8000000</v>
      </c>
      <c r="C15" s="630"/>
      <c r="D15" s="631"/>
      <c r="E15" s="87">
        <f>I27</f>
        <v>8000000</v>
      </c>
      <c r="F15" s="93" t="s">
        <v>66</v>
      </c>
      <c r="G15" s="97">
        <v>4500000</v>
      </c>
      <c r="H15" s="87"/>
      <c r="I15" s="96">
        <f>I41</f>
        <v>6300000</v>
      </c>
    </row>
    <row r="16" spans="1:9" ht="12.75">
      <c r="A16" s="109" t="str">
        <f>IF(Resultatbudget!A4="Råvarer","Produktion","-")</f>
        <v>-</v>
      </c>
      <c r="B16" s="110">
        <v>0</v>
      </c>
      <c r="C16" s="626"/>
      <c r="D16" s="627"/>
      <c r="E16" s="87">
        <f>IF(I30="-",0,I30)</f>
        <v>0</v>
      </c>
      <c r="F16" s="93" t="s">
        <v>61</v>
      </c>
      <c r="G16" s="97">
        <v>0</v>
      </c>
      <c r="H16" s="97"/>
      <c r="I16" s="96">
        <f>G16+H16</f>
        <v>0</v>
      </c>
    </row>
    <row r="17" spans="1:9" ht="12.75">
      <c r="A17" s="109" t="str">
        <f>IF(Resultatbudget!A4="Råvarer","Færdigvarer","-")</f>
        <v>-</v>
      </c>
      <c r="B17" s="110">
        <v>0</v>
      </c>
      <c r="C17" s="626"/>
      <c r="D17" s="627"/>
      <c r="E17" s="87">
        <f>IF(Resultatbudget!B5=0,0,I34)</f>
        <v>0</v>
      </c>
      <c r="F17" s="93" t="s">
        <v>67</v>
      </c>
      <c r="G17" s="97">
        <v>0</v>
      </c>
      <c r="H17" s="97"/>
      <c r="I17" s="96">
        <f>G17+H17</f>
        <v>0</v>
      </c>
    </row>
    <row r="18" spans="1:9" ht="12.75">
      <c r="A18" s="109" t="s">
        <v>68</v>
      </c>
      <c r="B18" s="50">
        <v>4000000</v>
      </c>
      <c r="C18" s="626"/>
      <c r="D18" s="627"/>
      <c r="E18" s="87">
        <f>I38</f>
        <v>5600000</v>
      </c>
      <c r="F18" s="93" t="s">
        <v>69</v>
      </c>
      <c r="G18" s="97">
        <v>100000</v>
      </c>
      <c r="H18" s="97"/>
      <c r="I18" s="96">
        <f>G18+H18</f>
        <v>100000</v>
      </c>
    </row>
    <row r="19" spans="1:9" ht="12.75">
      <c r="A19" s="109" t="s">
        <v>70</v>
      </c>
      <c r="B19" s="50">
        <v>0</v>
      </c>
      <c r="C19" s="628">
        <v>0</v>
      </c>
      <c r="D19" s="629"/>
      <c r="E19" s="87">
        <f>B19+C19</f>
        <v>0</v>
      </c>
      <c r="F19" s="93" t="s">
        <v>71</v>
      </c>
      <c r="G19" s="97">
        <v>0</v>
      </c>
      <c r="H19" s="97">
        <v>0</v>
      </c>
      <c r="I19" s="96">
        <f>G19+H19</f>
        <v>0</v>
      </c>
    </row>
    <row r="20" spans="1:9" ht="12.75">
      <c r="A20" s="109" t="s">
        <v>72</v>
      </c>
      <c r="B20" s="50">
        <v>0</v>
      </c>
      <c r="C20" s="628">
        <v>0</v>
      </c>
      <c r="D20" s="629"/>
      <c r="E20" s="87">
        <f>B20+C20</f>
        <v>0</v>
      </c>
      <c r="F20" s="49" t="s">
        <v>73</v>
      </c>
      <c r="G20" s="97">
        <v>0</v>
      </c>
      <c r="H20" s="97">
        <v>0</v>
      </c>
      <c r="I20" s="96">
        <f>G20+H20</f>
        <v>0</v>
      </c>
    </row>
    <row r="21" spans="1:9" ht="12.75">
      <c r="A21" s="109" t="s">
        <v>74</v>
      </c>
      <c r="B21" s="50">
        <v>0</v>
      </c>
      <c r="C21" s="628">
        <v>0</v>
      </c>
      <c r="D21" s="629"/>
      <c r="E21" s="87">
        <f>B21+C21</f>
        <v>0</v>
      </c>
      <c r="F21" s="104" t="s">
        <v>109</v>
      </c>
      <c r="G21" s="111">
        <f>Resultatbudget!B28</f>
        <v>300000</v>
      </c>
      <c r="H21" s="87"/>
      <c r="I21" s="96">
        <f>Resultatbudget!E28</f>
        <v>0</v>
      </c>
    </row>
    <row r="22" spans="1:9" ht="12.75">
      <c r="A22" s="109" t="s">
        <v>75</v>
      </c>
      <c r="B22" s="50">
        <v>300000</v>
      </c>
      <c r="C22" s="626"/>
      <c r="D22" s="627"/>
      <c r="E22" s="87">
        <f>IF(Likviditetsbudget!F40&gt;0,Likviditetsbudget!F40,0)</f>
        <v>190000</v>
      </c>
      <c r="F22" s="49" t="str">
        <f>(IF(Resultatbudget!B34&gt;0,"Kassekredit","-"))</f>
        <v>-</v>
      </c>
      <c r="G22" s="97">
        <v>0</v>
      </c>
      <c r="H22" s="87">
        <f>IF(Likviditetsbudget!F40&lt;0,Likviditetsbudget!F40*-1+Resultatbudget!E34-Balance!G22,0)</f>
        <v>0</v>
      </c>
      <c r="I22" s="96">
        <f>IF(Likviditetsbudget!F40&gt;=0,Resultatbudget!E34,Likviditetsbudget!F40*-1+Resultatbudget!E34)</f>
        <v>0</v>
      </c>
    </row>
    <row r="23" spans="1:9" ht="12.75">
      <c r="A23" s="88" t="s">
        <v>76</v>
      </c>
      <c r="B23" s="112">
        <f>SUM(B15:B22)</f>
        <v>12300000</v>
      </c>
      <c r="C23" s="630"/>
      <c r="D23" s="631"/>
      <c r="E23" s="113">
        <f>SUM(E15:E22)</f>
        <v>13790000</v>
      </c>
      <c r="F23" s="114" t="s">
        <v>77</v>
      </c>
      <c r="G23" s="115">
        <f>SUM(G14:G22)</f>
        <v>4900000</v>
      </c>
      <c r="H23" s="115">
        <f>SUM(H14:H22)</f>
        <v>0</v>
      </c>
      <c r="I23" s="116">
        <f>SUM(I14:I22)</f>
        <v>6400000</v>
      </c>
    </row>
    <row r="24" spans="1:9" ht="13.5" thickBot="1">
      <c r="A24" s="117" t="s">
        <v>78</v>
      </c>
      <c r="B24" s="118">
        <f>SUM(B13:B22)</f>
        <v>17300000</v>
      </c>
      <c r="C24" s="633"/>
      <c r="D24" s="634"/>
      <c r="E24" s="119">
        <f>SUM(E23+E13)</f>
        <v>18490000</v>
      </c>
      <c r="F24" s="117" t="s">
        <v>79</v>
      </c>
      <c r="G24" s="120">
        <f>SUM(G23+G13+G7)</f>
        <v>17300000</v>
      </c>
      <c r="H24" s="121"/>
      <c r="I24" s="122">
        <f>SUM(I23+I13+I7)</f>
        <v>18490000</v>
      </c>
    </row>
    <row r="25" spans="1:9" ht="13.5" thickTop="1">
      <c r="A25" s="123"/>
      <c r="B25" s="124"/>
      <c r="C25" s="125"/>
      <c r="D25" s="126"/>
      <c r="E25" s="124"/>
      <c r="F25" s="123"/>
      <c r="G25" s="127"/>
      <c r="H25" s="87"/>
      <c r="I25" s="127"/>
    </row>
    <row r="26" spans="1:8" ht="12.75" hidden="1">
      <c r="A26" s="70" t="s">
        <v>80</v>
      </c>
      <c r="B26" s="635" t="s">
        <v>81</v>
      </c>
      <c r="C26" s="635"/>
      <c r="E26">
        <f>Resultatbudget!B2</f>
        <v>2010</v>
      </c>
      <c r="H26">
        <f>E26+1</f>
        <v>2011</v>
      </c>
    </row>
    <row r="27" spans="2:9" ht="13.5" hidden="1" thickBot="1">
      <c r="B27" s="625" t="str">
        <f>Resultatbudget!A4</f>
        <v>Vareforbrug</v>
      </c>
      <c r="C27" s="625"/>
      <c r="E27" s="14">
        <f>Resultatbudget!B4</f>
        <v>0</v>
      </c>
      <c r="F27" s="129" t="str">
        <f>CONCATENATE("=",ROUND((E27/E28),2),"  ","gange")</f>
        <v>=0  gange</v>
      </c>
      <c r="H27" s="14">
        <f>Resultatbudget!E4</f>
        <v>21600000</v>
      </c>
      <c r="I27" s="130">
        <v>8000000</v>
      </c>
    </row>
    <row r="28" spans="1:9" ht="12.75" hidden="1">
      <c r="A28" s="70" t="str">
        <f>A15</f>
        <v>Varelager</v>
      </c>
      <c r="B28" s="624" t="str">
        <f>A28</f>
        <v>Varelager</v>
      </c>
      <c r="C28" s="624"/>
      <c r="E28" s="131">
        <f>B15</f>
        <v>8000000</v>
      </c>
      <c r="F28" s="129"/>
      <c r="H28" s="130">
        <f>E27/E28</f>
        <v>0</v>
      </c>
      <c r="I28" s="130"/>
    </row>
    <row r="29" spans="6:9" ht="12.75" hidden="1">
      <c r="F29" s="129"/>
      <c r="I29" s="130"/>
    </row>
    <row r="30" spans="1:9" ht="13.5" hidden="1" thickBot="1">
      <c r="A30" s="70" t="str">
        <f>A16</f>
        <v>-</v>
      </c>
      <c r="B30" s="625" t="str">
        <f>IF(Resultatbudget!B5=0,"-",B31)</f>
        <v>-</v>
      </c>
      <c r="C30" s="625"/>
      <c r="E30" s="14" t="str">
        <f>IF(Resultatbudget!B5=0,"-",E31)</f>
        <v>-</v>
      </c>
      <c r="F30" s="129" t="str">
        <f>IF(Resultatbudget!B5=0,"-",F31)</f>
        <v>-</v>
      </c>
      <c r="H30" s="14" t="str">
        <f>IF(Resultatbudget!B5=0,"-",Resultatbudget!E4+Resultatbudget!E5)</f>
        <v>-</v>
      </c>
      <c r="I30" s="130" t="str">
        <f>IF(Resultatbudget!B5=0,"-",H31/H32)</f>
        <v>-</v>
      </c>
    </row>
    <row r="31" spans="1:9" ht="13.5" hidden="1" thickBot="1">
      <c r="A31" t="str">
        <f>A16</f>
        <v>-</v>
      </c>
      <c r="B31" s="625" t="str">
        <f>CONCATENATE(Resultatbudget!A4,"+",Resultatbudget!A5)</f>
        <v>Vareforbrug+-</v>
      </c>
      <c r="C31" s="625"/>
      <c r="E31" s="14">
        <f>Resultatbudget!B4+Resultatbudget!B5</f>
        <v>0</v>
      </c>
      <c r="F31" s="129" t="e">
        <f>CONCATENATE("=",ROUND((E31/E32),2),"gange")</f>
        <v>#VALUE!</v>
      </c>
      <c r="H31">
        <f>Resultatbudget!E4+Resultatbudget!E5</f>
        <v>21600000</v>
      </c>
      <c r="I31" s="130" t="e">
        <f>H31/H32</f>
        <v>#VALUE!</v>
      </c>
    </row>
    <row r="32" spans="2:9" ht="12.75" hidden="1">
      <c r="B32" s="624" t="str">
        <f>A16</f>
        <v>-</v>
      </c>
      <c r="C32" s="624"/>
      <c r="E32" t="str">
        <f>IF(Resultatbudget!B5=0,"-",B16)</f>
        <v>-</v>
      </c>
      <c r="F32" s="129"/>
      <c r="H32" t="str">
        <f>IF(Resultatbudget!B5=0,"-",E31/E32)</f>
        <v>-</v>
      </c>
      <c r="I32" s="130"/>
    </row>
    <row r="33" spans="6:9" ht="12.75" hidden="1">
      <c r="F33" s="129"/>
      <c r="I33" s="130"/>
    </row>
    <row r="34" spans="1:9" ht="13.5" hidden="1" thickBot="1">
      <c r="A34" s="70" t="str">
        <f>A17</f>
        <v>-</v>
      </c>
      <c r="B34" s="625" t="str">
        <f>IF(Resultatbudget!B5=0,"-",B35)</f>
        <v>-</v>
      </c>
      <c r="C34" s="625"/>
      <c r="E34" s="14" t="str">
        <f>IF(Resultatbudget!B5=0,"-",Resultatbudget!B4+Resultatbudget!B5)</f>
        <v>-</v>
      </c>
      <c r="F34" s="129" t="str">
        <f>IF(E34="-","-",F35)</f>
        <v>-</v>
      </c>
      <c r="H34" s="14" t="str">
        <f>IF(Resultatbudget!B5=0,"-",Resultatbudget!E4+Resultatbudget!E5)</f>
        <v>-</v>
      </c>
      <c r="I34" s="130" t="str">
        <f>IF(E36="-","-",H35/H36)</f>
        <v>-</v>
      </c>
    </row>
    <row r="35" spans="1:9" ht="13.5" hidden="1" thickBot="1">
      <c r="A35" t="str">
        <f>A17</f>
        <v>-</v>
      </c>
      <c r="B35" s="625" t="str">
        <f>CONCATENATE(Resultatbudget!A4,"+",Resultatbudget!A5)</f>
        <v>Vareforbrug+-</v>
      </c>
      <c r="C35" s="625"/>
      <c r="E35">
        <f>E31</f>
        <v>0</v>
      </c>
      <c r="F35" s="129" t="e">
        <f>CONCATENATE("=",ROUND((E35/E36),2),"gange")</f>
        <v>#VALUE!</v>
      </c>
      <c r="H35">
        <f>Resultatbudget!E4+Resultatbudget!E5</f>
        <v>21600000</v>
      </c>
      <c r="I35" s="130" t="e">
        <f>H35/H36</f>
        <v>#VALUE!</v>
      </c>
    </row>
    <row r="36" spans="2:8" ht="12.75" hidden="1">
      <c r="B36" s="624" t="str">
        <f>IF(Resultatbudget!B5=0,"-",A35)</f>
        <v>-</v>
      </c>
      <c r="C36" s="624"/>
      <c r="E36" t="str">
        <f>IF(B17=0,"-",B17)</f>
        <v>-</v>
      </c>
      <c r="H36" t="str">
        <f>IF(E36="-","-",E35/E36)</f>
        <v>-</v>
      </c>
    </row>
    <row r="37" spans="2:8" ht="12.75" hidden="1">
      <c r="B37" s="132"/>
      <c r="C37" s="132"/>
      <c r="D37" s="132"/>
      <c r="E37" s="132"/>
      <c r="H37" s="132"/>
    </row>
    <row r="38" spans="1:9" ht="13.5" hidden="1" thickBot="1">
      <c r="A38" s="70" t="str">
        <f>A18</f>
        <v>Varedebitorer</v>
      </c>
      <c r="B38" s="625" t="str">
        <f>IF(Resultatbudget!B36="incl. Moms",CONCATENATE(Resultatbudget!A3," * ",(1+Resultatbudget!C36)),CONCATENATE(Resultatbudget!A3,"   ","excl. moms"))</f>
        <v>Omsætning   excl. moms</v>
      </c>
      <c r="C38" s="625"/>
      <c r="E38" s="14">
        <f>IF(Resultatbudget!B36="incl. moms",Resultatbudget!B3*(1+Resultatbudget!C36),Resultatbudget!B3)</f>
        <v>0</v>
      </c>
      <c r="F38" s="131" t="str">
        <f>CONCATENATE(ROUND((E38/E39),2),"  ","gange")</f>
        <v>0  gange</v>
      </c>
      <c r="H38" s="14">
        <f>IF(Resultatbudget!B36="incl. moms",Resultatbudget!E3*1.25,Resultatbudget!E3)</f>
        <v>36000000</v>
      </c>
      <c r="I38" s="130">
        <f>'ind-udbetalingsmodellen'!P42</f>
        <v>5600000</v>
      </c>
    </row>
    <row r="39" spans="2:9" ht="12.75" hidden="1">
      <c r="B39" s="624" t="str">
        <f>A18</f>
        <v>Varedebitorer</v>
      </c>
      <c r="C39" s="624"/>
      <c r="E39" s="131">
        <f>B18</f>
        <v>4000000</v>
      </c>
      <c r="F39" s="131"/>
      <c r="H39" s="130">
        <f>E38/E39</f>
        <v>0</v>
      </c>
      <c r="I39" s="130"/>
    </row>
    <row r="40" spans="2:9" ht="12.75" hidden="1">
      <c r="B40" s="132"/>
      <c r="C40" s="132"/>
      <c r="E40" s="132"/>
      <c r="F40" s="131"/>
      <c r="I40" s="130"/>
    </row>
    <row r="41" spans="1:9" ht="13.5" hidden="1" thickBot="1">
      <c r="A41" s="70" t="str">
        <f>F15</f>
        <v>Varekreditorer</v>
      </c>
      <c r="B41" s="625" t="str">
        <f>IF(Resultatbudget!B36="excl. moms","Varekøb excl.. moms",CONCATENATE("Varekøb"," * ",(1+Resultatbudget!C36)))</f>
        <v>Varekøb excl.. moms</v>
      </c>
      <c r="C41" s="625"/>
      <c r="E41" s="133">
        <f>IF(Resultatbudget!B36="excl. Moms",E45,E45*(1+Resultatbudget!C36))</f>
        <v>0</v>
      </c>
      <c r="F41" s="131" t="str">
        <f>CONCATENATE(ROUND((E41/E42),2),"  ","gange")</f>
        <v>0  gange</v>
      </c>
      <c r="H41" s="14">
        <f>IF(Resultatbudget!B36="excl. Moms",E46,E46*1.25)</f>
        <v>21600000</v>
      </c>
      <c r="I41" s="130">
        <f>'ind-udbetalingsmodellen'!P4</f>
        <v>6300000</v>
      </c>
    </row>
    <row r="42" spans="2:8" ht="12.75" hidden="1">
      <c r="B42" s="624" t="str">
        <f>F15</f>
        <v>Varekreditorer</v>
      </c>
      <c r="C42" s="624"/>
      <c r="E42" s="131">
        <f>G15</f>
        <v>4500000</v>
      </c>
      <c r="H42" s="134">
        <f>E41/E42</f>
        <v>0</v>
      </c>
    </row>
    <row r="43" ht="12.75" hidden="1"/>
    <row r="44" spans="1:6" ht="12.75" hidden="1">
      <c r="A44" s="135" t="s">
        <v>82</v>
      </c>
      <c r="B44" s="70" t="str">
        <f>Resultatbudget!A4</f>
        <v>Vareforbrug</v>
      </c>
      <c r="C44" s="70" t="str">
        <f>CONCATENATE("+","  ",A15,"  ","ultimo","  "," - ",A15,"  ","primo")</f>
        <v>+  Varelager  ultimo   - Varelager  primo</v>
      </c>
      <c r="D44" s="70"/>
      <c r="E44" s="70"/>
      <c r="F44" s="70"/>
    </row>
    <row r="45" spans="1:6" ht="12.75" hidden="1">
      <c r="A45" s="74" t="str">
        <f>CONCATENATE("Varekøb"," ",Resultatbudget!B2)</f>
        <v>Varekøb 2010</v>
      </c>
      <c r="B45">
        <f>Resultatbudget!B4</f>
        <v>0</v>
      </c>
      <c r="C45" t="str">
        <f>CONCATENATE("+","  ",B15)</f>
        <v>+  8000000</v>
      </c>
      <c r="D45" t="str">
        <f>CONCATENATE("-","  ",B15)</f>
        <v>-  8000000</v>
      </c>
      <c r="E45" s="131">
        <f>B45+B15-B15</f>
        <v>0</v>
      </c>
      <c r="F45" t="str">
        <f>CONCATENATE("Det forudsættes at der ikke er lagerændringer fra primo"," ",Resultatbudget!B2," ","til ultimo"," ",Resultatbudget!B2)</f>
        <v>Det forudsættes at der ikke er lagerændringer fra primo 2010 til ultimo 2010</v>
      </c>
    </row>
    <row r="46" spans="1:5" ht="12.75" hidden="1">
      <c r="A46" s="74" t="str">
        <f>CONCATENATE("Varekøb"," ",Resultatbudget!B2+1)</f>
        <v>Varekøb 2011</v>
      </c>
      <c r="B46" s="76">
        <f>Resultatbudget!E4</f>
        <v>21600000</v>
      </c>
      <c r="C46" t="str">
        <f>CONCATENATE("+","  ",E15)</f>
        <v>+  8000000</v>
      </c>
      <c r="D46" t="str">
        <f>CONCATENATE("-","  ",B15)</f>
        <v>-  8000000</v>
      </c>
      <c r="E46" s="131">
        <f>B46+E15-B15</f>
        <v>21600000</v>
      </c>
    </row>
    <row r="47" ht="12.75" hidden="1"/>
  </sheetData>
  <mergeCells count="25">
    <mergeCell ref="A1:I1"/>
    <mergeCell ref="B36:C36"/>
    <mergeCell ref="C24:D24"/>
    <mergeCell ref="B31:C31"/>
    <mergeCell ref="B32:C32"/>
    <mergeCell ref="B35:C35"/>
    <mergeCell ref="B26:C26"/>
    <mergeCell ref="B27:C27"/>
    <mergeCell ref="B28:C28"/>
    <mergeCell ref="B34:C34"/>
    <mergeCell ref="C14:D14"/>
    <mergeCell ref="C15:D15"/>
    <mergeCell ref="C16:D16"/>
    <mergeCell ref="C17:D17"/>
    <mergeCell ref="C18:D18"/>
    <mergeCell ref="C19:D19"/>
    <mergeCell ref="C20:D20"/>
    <mergeCell ref="B30:C30"/>
    <mergeCell ref="C21:D21"/>
    <mergeCell ref="C22:D22"/>
    <mergeCell ref="C23:D23"/>
    <mergeCell ref="B38:C38"/>
    <mergeCell ref="B39:C39"/>
    <mergeCell ref="B41:C41"/>
    <mergeCell ref="B42:C42"/>
  </mergeCells>
  <printOptions/>
  <pageMargins left="0.7874015748031497" right="0.7874015748031497" top="0.1968503937007874" bottom="0.3937007874015748" header="0" footer="0"/>
  <pageSetup horizontalDpi="300" verticalDpi="300" orientation="landscape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selection activeCell="E41" sqref="E41"/>
    </sheetView>
  </sheetViews>
  <sheetFormatPr defaultColWidth="9.140625" defaultRowHeight="12.75"/>
  <cols>
    <col min="1" max="1" width="11.8515625" style="0" bestFit="1" customWidth="1"/>
    <col min="2" max="2" width="18.8515625" style="0" customWidth="1"/>
    <col min="3" max="3" width="15.28125" style="0" customWidth="1"/>
    <col min="4" max="4" width="16.00390625" style="0" customWidth="1"/>
    <col min="5" max="5" width="14.421875" style="0" customWidth="1"/>
    <col min="6" max="6" width="15.7109375" style="0" customWidth="1"/>
  </cols>
  <sheetData>
    <row r="1" spans="1:6" ht="23.25">
      <c r="A1" s="632" t="s">
        <v>83</v>
      </c>
      <c r="B1" s="637"/>
      <c r="C1" s="637"/>
      <c r="D1" s="637"/>
      <c r="E1" s="637"/>
      <c r="F1" s="637"/>
    </row>
    <row r="2" spans="1:6" ht="18">
      <c r="A2" s="136" t="s">
        <v>29</v>
      </c>
      <c r="B2" s="136"/>
      <c r="C2" s="136"/>
      <c r="D2" s="136"/>
      <c r="E2" s="136"/>
      <c r="F2" s="137">
        <f>Resultatbudget!E16</f>
        <v>2600000</v>
      </c>
    </row>
    <row r="3" spans="1:6" ht="18">
      <c r="A3" s="138" t="s">
        <v>84</v>
      </c>
      <c r="B3" s="138"/>
      <c r="C3" s="138"/>
      <c r="D3" s="139" t="s">
        <v>85</v>
      </c>
      <c r="E3" s="139" t="s">
        <v>86</v>
      </c>
      <c r="F3" s="140"/>
    </row>
    <row r="4" spans="1:6" ht="18">
      <c r="A4" s="636" t="str">
        <f>Balance!A15</f>
        <v>Varelager</v>
      </c>
      <c r="B4" s="636"/>
      <c r="C4" s="138"/>
      <c r="D4" s="140">
        <f>Balance!B15</f>
        <v>8000000</v>
      </c>
      <c r="E4" s="140">
        <f>Balance!E15</f>
        <v>8000000</v>
      </c>
      <c r="F4" s="140">
        <f aca="true" t="shared" si="0" ref="F4:F10">D4-E4</f>
        <v>0</v>
      </c>
    </row>
    <row r="5" spans="1:6" ht="18" hidden="1">
      <c r="A5" s="636" t="str">
        <f>Balance!A16</f>
        <v>-</v>
      </c>
      <c r="B5" s="636"/>
      <c r="C5" s="138"/>
      <c r="D5" s="140">
        <f>Balance!B16</f>
        <v>0</v>
      </c>
      <c r="E5" s="140">
        <f>Balance!E16</f>
        <v>0</v>
      </c>
      <c r="F5" s="140">
        <f t="shared" si="0"/>
        <v>0</v>
      </c>
    </row>
    <row r="6" spans="1:6" ht="18" hidden="1">
      <c r="A6" s="636" t="str">
        <f>Balance!A17</f>
        <v>-</v>
      </c>
      <c r="B6" s="636"/>
      <c r="C6" s="138"/>
      <c r="D6" s="140">
        <f>Balance!B17</f>
        <v>0</v>
      </c>
      <c r="E6" s="140">
        <f>Balance!E17</f>
        <v>0</v>
      </c>
      <c r="F6" s="140">
        <f t="shared" si="0"/>
        <v>0</v>
      </c>
    </row>
    <row r="7" spans="1:6" ht="18">
      <c r="A7" s="636" t="str">
        <f>Balance!A18</f>
        <v>Varedebitorer</v>
      </c>
      <c r="B7" s="636"/>
      <c r="C7" s="138"/>
      <c r="D7" s="140">
        <f>Balance!B18</f>
        <v>4000000</v>
      </c>
      <c r="E7" s="140">
        <f>Balance!E18</f>
        <v>5600000</v>
      </c>
      <c r="F7" s="140">
        <f t="shared" si="0"/>
        <v>-1600000</v>
      </c>
    </row>
    <row r="8" spans="1:6" ht="18" hidden="1">
      <c r="A8" s="636" t="str">
        <f>Balance!A19</f>
        <v>Periodeafg.</v>
      </c>
      <c r="B8" s="636"/>
      <c r="C8" s="138"/>
      <c r="D8" s="140">
        <f>Balance!B19</f>
        <v>0</v>
      </c>
      <c r="E8" s="140">
        <f>Balance!E19</f>
        <v>0</v>
      </c>
      <c r="F8" s="140">
        <f t="shared" si="0"/>
        <v>0</v>
      </c>
    </row>
    <row r="9" spans="1:6" ht="18" hidden="1">
      <c r="A9" s="636" t="str">
        <f>Balance!A20</f>
        <v>Værdipapirer</v>
      </c>
      <c r="B9" s="636"/>
      <c r="C9" s="138"/>
      <c r="D9" s="140">
        <f>Balance!B20</f>
        <v>0</v>
      </c>
      <c r="E9" s="140">
        <f>Balance!E20</f>
        <v>0</v>
      </c>
      <c r="F9" s="140">
        <f t="shared" si="0"/>
        <v>0</v>
      </c>
    </row>
    <row r="10" spans="1:6" ht="18" hidden="1">
      <c r="A10" s="636" t="str">
        <f>Balance!A21</f>
        <v>Andre debitorer</v>
      </c>
      <c r="B10" s="636"/>
      <c r="C10" s="138"/>
      <c r="D10" s="140">
        <f>Balance!B21</f>
        <v>0</v>
      </c>
      <c r="E10" s="140">
        <f>Balance!E21</f>
        <v>0</v>
      </c>
      <c r="F10" s="140">
        <f t="shared" si="0"/>
        <v>0</v>
      </c>
    </row>
    <row r="11" spans="1:6" ht="18">
      <c r="A11" s="138" t="s">
        <v>87</v>
      </c>
      <c r="B11" s="138"/>
      <c r="C11" s="138"/>
      <c r="D11" s="140"/>
      <c r="E11" s="140"/>
      <c r="F11" s="140"/>
    </row>
    <row r="12" spans="1:6" ht="18">
      <c r="A12" s="636" t="str">
        <f>Balance!F15</f>
        <v>Varekreditorer</v>
      </c>
      <c r="B12" s="636"/>
      <c r="C12" s="138"/>
      <c r="D12" s="140">
        <f>Balance!G15</f>
        <v>4500000</v>
      </c>
      <c r="E12" s="140">
        <f>Balance!I15</f>
        <v>6300000</v>
      </c>
      <c r="F12" s="140">
        <f aca="true" t="shared" si="1" ref="F12:F17">E12-D12</f>
        <v>1800000</v>
      </c>
    </row>
    <row r="13" spans="1:6" ht="18" hidden="1">
      <c r="A13" s="636" t="str">
        <f>Balance!F16</f>
        <v>Realkreditinstitutter</v>
      </c>
      <c r="B13" s="636"/>
      <c r="C13" s="138"/>
      <c r="D13" s="140">
        <f>Balance!G16</f>
        <v>0</v>
      </c>
      <c r="E13" s="140">
        <f>Balance!I16</f>
        <v>0</v>
      </c>
      <c r="F13" s="140">
        <f t="shared" si="1"/>
        <v>0</v>
      </c>
    </row>
    <row r="14" spans="1:6" ht="18" hidden="1">
      <c r="A14" s="636" t="str">
        <f>Balance!F17</f>
        <v>Forudbetalinger</v>
      </c>
      <c r="B14" s="636"/>
      <c r="C14" s="138"/>
      <c r="D14" s="140">
        <f>Balance!G17</f>
        <v>0</v>
      </c>
      <c r="E14" s="140">
        <f>Balance!I17</f>
        <v>0</v>
      </c>
      <c r="F14" s="140">
        <f t="shared" si="1"/>
        <v>0</v>
      </c>
    </row>
    <row r="15" spans="1:6" ht="18">
      <c r="A15" s="636" t="str">
        <f>Balance!F18</f>
        <v>Anden gæld</v>
      </c>
      <c r="B15" s="636"/>
      <c r="C15" s="138"/>
      <c r="D15" s="140">
        <f>Balance!G18</f>
        <v>100000</v>
      </c>
      <c r="E15" s="140">
        <f>Balance!I18</f>
        <v>100000</v>
      </c>
      <c r="F15" s="140">
        <f t="shared" si="1"/>
        <v>0</v>
      </c>
    </row>
    <row r="16" spans="1:6" ht="18" hidden="1">
      <c r="A16" s="636" t="str">
        <f>Balance!F19</f>
        <v>-</v>
      </c>
      <c r="B16" s="636"/>
      <c r="C16" s="138"/>
      <c r="D16" s="140">
        <f>Balance!G19</f>
        <v>0</v>
      </c>
      <c r="E16" s="140">
        <f>Balance!I19</f>
        <v>0</v>
      </c>
      <c r="F16" s="140">
        <f t="shared" si="1"/>
        <v>0</v>
      </c>
    </row>
    <row r="17" spans="1:6" ht="18" hidden="1">
      <c r="A17" s="636" t="str">
        <f>Balance!F20</f>
        <v>Øvrig kortfristet gæld</v>
      </c>
      <c r="B17" s="636"/>
      <c r="C17" s="138"/>
      <c r="D17" s="140">
        <f>Balance!G20</f>
        <v>0</v>
      </c>
      <c r="E17" s="140">
        <f>Balance!I20</f>
        <v>0</v>
      </c>
      <c r="F17" s="140">
        <f t="shared" si="1"/>
        <v>0</v>
      </c>
    </row>
    <row r="18" spans="1:6" ht="18">
      <c r="A18" s="141" t="str">
        <f>Resultatbudget!A19</f>
        <v>Renteomkostninger</v>
      </c>
      <c r="B18" s="141"/>
      <c r="C18" s="138"/>
      <c r="D18" s="140"/>
      <c r="E18" s="140"/>
      <c r="F18" s="140">
        <f>Resultatbudget!E19*-1</f>
        <v>-780000</v>
      </c>
    </row>
    <row r="19" spans="1:6" ht="18" hidden="1">
      <c r="A19" s="141" t="str">
        <f>Resultatbudget!A20</f>
        <v>Renteindtægter</v>
      </c>
      <c r="B19" s="141"/>
      <c r="C19" s="138"/>
      <c r="D19" s="140"/>
      <c r="E19" s="140"/>
      <c r="F19" s="140">
        <f>Resultatbudget!E20</f>
        <v>0</v>
      </c>
    </row>
    <row r="20" spans="1:6" ht="18">
      <c r="A20" s="136" t="s">
        <v>88</v>
      </c>
      <c r="B20" s="136"/>
      <c r="C20" s="136"/>
      <c r="D20" s="136"/>
      <c r="E20" s="136"/>
      <c r="F20" s="142">
        <f>SUM(F2:F19)</f>
        <v>2020000</v>
      </c>
    </row>
    <row r="21" spans="1:6" ht="18">
      <c r="A21" s="138" t="s">
        <v>89</v>
      </c>
      <c r="B21" s="138"/>
      <c r="C21" s="138"/>
      <c r="D21" s="138"/>
      <c r="E21" s="138"/>
      <c r="F21" s="156"/>
    </row>
    <row r="22" spans="1:6" ht="18">
      <c r="A22" s="138" t="s">
        <v>90</v>
      </c>
      <c r="B22" s="138"/>
      <c r="C22" s="138"/>
      <c r="D22" s="138"/>
      <c r="E22" s="138"/>
      <c r="F22" s="156">
        <f>Balance!C13*-1</f>
        <v>-600000</v>
      </c>
    </row>
    <row r="23" spans="1:6" ht="18" hidden="1">
      <c r="A23" s="136" t="s">
        <v>91</v>
      </c>
      <c r="B23" s="138"/>
      <c r="C23" s="138"/>
      <c r="D23" s="138"/>
      <c r="E23" s="138"/>
      <c r="F23" s="156"/>
    </row>
    <row r="24" spans="1:6" ht="18" hidden="1">
      <c r="A24" s="138" t="str">
        <f>Balance!F10</f>
        <v>Nyt lån til investeringer</v>
      </c>
      <c r="B24" s="138"/>
      <c r="C24" s="138"/>
      <c r="D24" s="138"/>
      <c r="E24" s="138"/>
      <c r="F24" s="156">
        <f>Balance!H10</f>
        <v>0</v>
      </c>
    </row>
    <row r="25" spans="1:6" ht="18" hidden="1">
      <c r="A25" s="138" t="str">
        <f>Resultatbudget!A38</f>
        <v>Aktie emmision</v>
      </c>
      <c r="B25" s="138"/>
      <c r="C25" s="138"/>
      <c r="D25" s="138"/>
      <c r="E25" s="138"/>
      <c r="F25" s="156">
        <f>Resultatbudget!C38</f>
        <v>0</v>
      </c>
    </row>
    <row r="26" spans="1:6" ht="18">
      <c r="A26" s="136" t="s">
        <v>92</v>
      </c>
      <c r="B26" s="138"/>
      <c r="C26" s="138"/>
      <c r="D26" s="138"/>
      <c r="E26" s="138"/>
      <c r="F26" s="156"/>
    </row>
    <row r="27" spans="1:6" ht="18">
      <c r="A27" s="636" t="str">
        <f>Balance!F11</f>
        <v>Bankgæld</v>
      </c>
      <c r="B27" s="636"/>
      <c r="C27" s="138"/>
      <c r="D27" s="138"/>
      <c r="E27" s="138"/>
      <c r="F27" s="156">
        <f>Balance!H11</f>
        <v>-1000000</v>
      </c>
    </row>
    <row r="28" spans="1:6" ht="18" hidden="1">
      <c r="A28" s="636" t="str">
        <f>Balance!F12</f>
        <v>Realkreditinstitutter</v>
      </c>
      <c r="B28" s="636"/>
      <c r="C28" s="138"/>
      <c r="D28" s="138"/>
      <c r="E28" s="138"/>
      <c r="F28" s="156">
        <f>Balance!H12</f>
        <v>0</v>
      </c>
    </row>
    <row r="29" spans="1:6" ht="18" hidden="1">
      <c r="A29" s="138" t="str">
        <f>Balance!F6</f>
        <v>-</v>
      </c>
      <c r="B29" s="138"/>
      <c r="C29" s="138"/>
      <c r="D29" s="138"/>
      <c r="E29" s="138"/>
      <c r="F29" s="156">
        <f>(Balance!I6)*-1</f>
        <v>0</v>
      </c>
    </row>
    <row r="30" spans="1:6" ht="18">
      <c r="A30" s="138" t="str">
        <f>IF(Resultatbudget!B28&gt;0,A47,"-")</f>
        <v>Udbytte udbetales 100% fra år;"2010</v>
      </c>
      <c r="B30" s="138"/>
      <c r="C30" s="138"/>
      <c r="D30" s="138"/>
      <c r="E30" s="138"/>
      <c r="F30" s="156">
        <f>Balance!G21*-1</f>
        <v>-300000</v>
      </c>
    </row>
    <row r="31" spans="1:6" ht="18">
      <c r="A31" s="138" t="str">
        <f>Resultatbudget!A24</f>
        <v>Skat</v>
      </c>
      <c r="B31" s="138"/>
      <c r="C31" s="138"/>
      <c r="D31" s="138"/>
      <c r="E31" s="138"/>
      <c r="F31" s="156">
        <f>Resultatbudget!E24*-1</f>
        <v>-230000</v>
      </c>
    </row>
    <row r="32" spans="1:6" ht="18" hidden="1">
      <c r="A32" s="138" t="str">
        <f>IF(Resultatbudget!C34&gt;0,"Ændring af kassekredit max.","-")</f>
        <v>-</v>
      </c>
      <c r="B32" s="138"/>
      <c r="C32" s="138"/>
      <c r="D32" s="138"/>
      <c r="E32" s="138"/>
      <c r="F32" s="157">
        <f>Resultatbudget!C34</f>
        <v>0</v>
      </c>
    </row>
    <row r="33" spans="1:6" ht="18">
      <c r="A33" s="136" t="s">
        <v>93</v>
      </c>
      <c r="B33" s="136"/>
      <c r="C33" s="136"/>
      <c r="D33" s="136"/>
      <c r="E33" s="136"/>
      <c r="F33" s="146">
        <f>SUM(F20:F32)</f>
        <v>-110000</v>
      </c>
    </row>
    <row r="34" spans="1:6" ht="18">
      <c r="A34" s="138" t="s">
        <v>94</v>
      </c>
      <c r="B34" s="138"/>
      <c r="C34" s="138"/>
      <c r="D34" s="138"/>
      <c r="E34" s="138"/>
      <c r="F34" s="156"/>
    </row>
    <row r="35" spans="1:6" ht="18" hidden="1">
      <c r="A35" s="138" t="s">
        <v>43</v>
      </c>
      <c r="B35" s="138"/>
      <c r="C35" s="138">
        <v>2000</v>
      </c>
      <c r="D35" s="138"/>
      <c r="E35" s="138"/>
      <c r="F35" s="156"/>
    </row>
    <row r="36" spans="1:6" ht="18" hidden="1">
      <c r="A36" s="138" t="s">
        <v>95</v>
      </c>
      <c r="B36" s="138"/>
      <c r="C36" s="138">
        <v>1500</v>
      </c>
      <c r="D36" s="138"/>
      <c r="E36" s="138"/>
      <c r="F36" s="156"/>
    </row>
    <row r="37" spans="1:6" ht="18" hidden="1">
      <c r="A37" s="138"/>
      <c r="B37" s="138"/>
      <c r="C37" s="138">
        <f>IF(Resultatbudget!$B$34&gt;0,"Gæld Primo","")</f>
      </c>
      <c r="D37" s="138">
        <f>IF(Resultatbudget!$B$34&gt;0,"Max. Primo","")</f>
      </c>
      <c r="E37" s="138"/>
      <c r="F37" s="156"/>
    </row>
    <row r="38" spans="1:6" ht="18" hidden="1">
      <c r="A38" s="138" t="str">
        <f>IF(Resultatbudget!B34&gt;0,"Kassekredit disponibel","-")</f>
        <v>-</v>
      </c>
      <c r="B38" s="138"/>
      <c r="C38" s="138">
        <f>IF(Resultatbudget!B34&gt;0,Resultatbudget!B34,"")</f>
      </c>
      <c r="D38" s="138">
        <f>IF(Resultatbudget!B34&gt;0,Balance!G22,"")</f>
      </c>
      <c r="E38" s="138"/>
      <c r="F38" s="156">
        <f>IF(Resultatbudget!B34&gt;0,C38-D38,0)</f>
        <v>0</v>
      </c>
    </row>
    <row r="39" spans="1:6" ht="18">
      <c r="A39" s="147" t="s">
        <v>96</v>
      </c>
      <c r="B39" s="138"/>
      <c r="C39" s="138"/>
      <c r="D39" s="138"/>
      <c r="E39" s="138"/>
      <c r="F39" s="156">
        <f>Balance!B22</f>
        <v>300000</v>
      </c>
    </row>
    <row r="40" spans="1:6" ht="18.75" thickBot="1">
      <c r="A40" s="136" t="s">
        <v>97</v>
      </c>
      <c r="B40" s="136"/>
      <c r="C40" s="136"/>
      <c r="D40" s="136"/>
      <c r="E40" s="136"/>
      <c r="F40" s="148">
        <f>SUM(F33:F39)</f>
        <v>190000</v>
      </c>
    </row>
    <row r="41" spans="1:6" ht="18.75" thickTop="1">
      <c r="A41" s="138"/>
      <c r="B41" s="138"/>
      <c r="C41" s="138"/>
      <c r="D41" s="138"/>
      <c r="E41" s="138"/>
      <c r="F41" s="138"/>
    </row>
    <row r="47" ht="18" hidden="1">
      <c r="A47" s="138" t="str">
        <f>(CONCATENATE("Udbytte udbetales 100% fra år;""",Resultatbudget!B2))</f>
        <v>Udbytte udbetales 100% fra år;"2010</v>
      </c>
    </row>
    <row r="49" spans="1:4" ht="12.75">
      <c r="A49" s="132"/>
      <c r="B49" s="132"/>
      <c r="C49" s="132"/>
      <c r="D49" s="132"/>
    </row>
    <row r="50" spans="1:4" ht="12.75">
      <c r="A50" s="132"/>
      <c r="B50" s="132"/>
      <c r="C50" s="132"/>
      <c r="D50" s="132"/>
    </row>
    <row r="51" spans="1:4" ht="12.75">
      <c r="A51" s="132"/>
      <c r="B51" s="132"/>
      <c r="C51" s="132"/>
      <c r="D51" s="132"/>
    </row>
    <row r="52" spans="1:4" ht="18">
      <c r="A52" s="149"/>
      <c r="B52" s="149"/>
      <c r="C52" s="149"/>
      <c r="D52" s="132"/>
    </row>
    <row r="53" spans="1:4" ht="18">
      <c r="A53" s="150"/>
      <c r="B53" s="149"/>
      <c r="C53" s="151"/>
      <c r="D53" s="132"/>
    </row>
    <row r="54" spans="1:4" ht="18">
      <c r="A54" s="150"/>
      <c r="B54" s="149"/>
      <c r="C54" s="151"/>
      <c r="D54" s="132"/>
    </row>
    <row r="55" spans="1:4" ht="18">
      <c r="A55" s="150"/>
      <c r="B55" s="149"/>
      <c r="C55" s="151"/>
      <c r="D55" s="132"/>
    </row>
    <row r="56" spans="1:4" ht="18">
      <c r="A56" s="150"/>
      <c r="B56" s="149"/>
      <c r="C56" s="151"/>
      <c r="D56" s="132"/>
    </row>
    <row r="57" spans="1:4" ht="18">
      <c r="A57" s="149"/>
      <c r="B57" s="149"/>
      <c r="C57" s="151"/>
      <c r="D57" s="132"/>
    </row>
    <row r="58" spans="1:4" ht="12.75">
      <c r="A58" s="132"/>
      <c r="B58" s="132"/>
      <c r="C58" s="132"/>
      <c r="D58" s="132"/>
    </row>
    <row r="59" spans="1:4" ht="12.75">
      <c r="A59" s="132"/>
      <c r="B59" s="132"/>
      <c r="C59" s="132"/>
      <c r="D59" s="132"/>
    </row>
    <row r="60" spans="1:4" ht="12.75">
      <c r="A60" s="132"/>
      <c r="B60" s="132"/>
      <c r="C60" s="132"/>
      <c r="D60" s="132"/>
    </row>
    <row r="61" spans="1:4" ht="12.75">
      <c r="A61" s="132"/>
      <c r="B61" s="132"/>
      <c r="C61" s="132"/>
      <c r="D61" s="132"/>
    </row>
    <row r="62" spans="1:4" ht="12.75">
      <c r="A62" s="132"/>
      <c r="B62" s="132"/>
      <c r="C62" s="132"/>
      <c r="D62" s="132"/>
    </row>
    <row r="63" spans="1:4" ht="12.75">
      <c r="A63" s="132"/>
      <c r="B63" s="132"/>
      <c r="C63" s="132"/>
      <c r="D63" s="132"/>
    </row>
    <row r="64" spans="1:4" ht="12.75">
      <c r="A64" s="132"/>
      <c r="B64" s="132"/>
      <c r="C64" s="132"/>
      <c r="D64" s="132"/>
    </row>
    <row r="65" spans="1:4" ht="12.75">
      <c r="A65" s="132"/>
      <c r="B65" s="132"/>
      <c r="C65" s="132"/>
      <c r="D65" s="132"/>
    </row>
  </sheetData>
  <mergeCells count="16">
    <mergeCell ref="A1:F1"/>
    <mergeCell ref="A27:B27"/>
    <mergeCell ref="A28:B28"/>
    <mergeCell ref="A16:B16"/>
    <mergeCell ref="A17:B17"/>
    <mergeCell ref="A4:B4"/>
    <mergeCell ref="A5:B5"/>
    <mergeCell ref="A6:B6"/>
    <mergeCell ref="A7:B7"/>
    <mergeCell ref="A13:B13"/>
    <mergeCell ref="A14:B14"/>
    <mergeCell ref="A15:B15"/>
    <mergeCell ref="A8:B8"/>
    <mergeCell ref="A9:B9"/>
    <mergeCell ref="A10:B10"/>
    <mergeCell ref="A12:B12"/>
  </mergeCells>
  <printOptions/>
  <pageMargins left="0.5905511811023623" right="0.5905511811023623" top="0.5905511811023623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51" sqref="A51"/>
    </sheetView>
  </sheetViews>
  <sheetFormatPr defaultColWidth="9.140625" defaultRowHeight="12.75"/>
  <cols>
    <col min="1" max="1" width="27.8515625" style="0" customWidth="1"/>
    <col min="2" max="2" width="14.00390625" style="0" customWidth="1"/>
    <col min="3" max="3" width="14.28125" style="0" customWidth="1"/>
    <col min="4" max="4" width="11.140625" style="0" hidden="1" customWidth="1"/>
    <col min="5" max="5" width="10.421875" style="0" hidden="1" customWidth="1"/>
    <col min="6" max="6" width="10.421875" style="0" bestFit="1" customWidth="1"/>
    <col min="7" max="8" width="10.421875" style="0" hidden="1" customWidth="1"/>
    <col min="9" max="9" width="10.421875" style="0" bestFit="1" customWidth="1"/>
    <col min="10" max="10" width="11.140625" style="0" hidden="1" customWidth="1"/>
    <col min="11" max="11" width="10.421875" style="0" hidden="1" customWidth="1"/>
    <col min="12" max="12" width="10.421875" style="0" bestFit="1" customWidth="1"/>
    <col min="13" max="14" width="10.421875" style="0" hidden="1" customWidth="1"/>
    <col min="15" max="15" width="10.421875" style="0" bestFit="1" customWidth="1"/>
    <col min="16" max="16" width="12.8515625" style="0" bestFit="1" customWidth="1"/>
    <col min="17" max="17" width="18.28125" style="0" customWidth="1"/>
  </cols>
  <sheetData>
    <row r="1" spans="1:15" ht="21" thickBot="1">
      <c r="A1" s="638" t="str">
        <f>CONCATENATE("Budget for ",Resultatbudget!B2+1)</f>
        <v>Budget for 2011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</row>
    <row r="2" spans="1:16" ht="18">
      <c r="A2" s="37" t="s">
        <v>14</v>
      </c>
      <c r="B2" s="3" t="s">
        <v>13</v>
      </c>
      <c r="C2" s="3" t="s">
        <v>0</v>
      </c>
      <c r="D2" s="3" t="s">
        <v>1</v>
      </c>
      <c r="E2" s="3" t="s">
        <v>2</v>
      </c>
      <c r="F2" s="3" t="s">
        <v>112</v>
      </c>
      <c r="G2" s="3" t="s">
        <v>3</v>
      </c>
      <c r="H2" s="3" t="s">
        <v>4</v>
      </c>
      <c r="I2" s="3" t="s">
        <v>113</v>
      </c>
      <c r="J2" s="3" t="s">
        <v>5</v>
      </c>
      <c r="K2" s="3" t="s">
        <v>6</v>
      </c>
      <c r="L2" s="3" t="s">
        <v>114</v>
      </c>
      <c r="M2" s="3" t="s">
        <v>7</v>
      </c>
      <c r="N2" s="3" t="s">
        <v>8</v>
      </c>
      <c r="O2" s="4" t="s">
        <v>115</v>
      </c>
      <c r="P2" s="109" t="s">
        <v>110</v>
      </c>
    </row>
    <row r="3" spans="1:15" ht="12.75">
      <c r="A3" s="31" t="s">
        <v>103</v>
      </c>
      <c r="B3" s="16"/>
      <c r="C3" s="2">
        <f aca="true" t="shared" si="0" ref="C3:C15">SUM(D3:O3)</f>
        <v>4500000</v>
      </c>
      <c r="D3" s="18"/>
      <c r="E3" s="18"/>
      <c r="F3" s="18">
        <v>4500000</v>
      </c>
      <c r="G3" s="18"/>
      <c r="H3" s="18"/>
      <c r="I3" s="18"/>
      <c r="J3" s="18"/>
      <c r="K3" s="18"/>
      <c r="L3" s="18"/>
      <c r="M3" s="18"/>
      <c r="N3" s="18"/>
      <c r="O3" s="19"/>
    </row>
    <row r="4" spans="1:17" ht="12.75">
      <c r="A4" s="31" t="s">
        <v>104</v>
      </c>
      <c r="B4" s="16"/>
      <c r="C4" s="2">
        <f>SUM(D4:O4)</f>
        <v>15300000</v>
      </c>
      <c r="D4" s="18"/>
      <c r="E4" s="18"/>
      <c r="F4" s="18"/>
      <c r="G4" s="18"/>
      <c r="H4" s="18"/>
      <c r="I4" s="18">
        <f>7500000*0.6</f>
        <v>4500000</v>
      </c>
      <c r="J4" s="18"/>
      <c r="K4" s="18"/>
      <c r="L4" s="18">
        <f>9000000*0.6</f>
        <v>5400000</v>
      </c>
      <c r="M4" s="18"/>
      <c r="N4" s="18"/>
      <c r="O4" s="19">
        <f>9000000*0.6</f>
        <v>5400000</v>
      </c>
      <c r="P4" s="153">
        <f>10500000*0.6</f>
        <v>6300000</v>
      </c>
      <c r="Q4" s="152"/>
    </row>
    <row r="5" spans="1:17" ht="12.75">
      <c r="A5" s="31" t="s">
        <v>105</v>
      </c>
      <c r="B5" s="16"/>
      <c r="C5" s="2">
        <f>SUM(D5:O5)</f>
        <v>1800000</v>
      </c>
      <c r="D5" s="18"/>
      <c r="E5" s="18"/>
      <c r="F5" s="18">
        <f>7500000*0.05</f>
        <v>375000</v>
      </c>
      <c r="G5" s="18"/>
      <c r="H5" s="18"/>
      <c r="I5" s="18">
        <f>9000000*0.05</f>
        <v>450000</v>
      </c>
      <c r="J5" s="18"/>
      <c r="K5" s="18"/>
      <c r="L5" s="18">
        <f>9000000*0.05</f>
        <v>450000</v>
      </c>
      <c r="M5" s="18"/>
      <c r="N5" s="18"/>
      <c r="O5" s="19">
        <f>10500000*0.05</f>
        <v>525000</v>
      </c>
      <c r="Q5" s="152"/>
    </row>
    <row r="6" spans="1:15" ht="12.75">
      <c r="A6" s="31" t="s">
        <v>106</v>
      </c>
      <c r="B6" s="16"/>
      <c r="C6" s="2">
        <f>SUM(D6:O6)</f>
        <v>10000000</v>
      </c>
      <c r="D6" s="18"/>
      <c r="E6" s="18"/>
      <c r="F6" s="18">
        <v>2500000</v>
      </c>
      <c r="G6" s="18"/>
      <c r="H6" s="18"/>
      <c r="I6" s="18">
        <v>2500000</v>
      </c>
      <c r="J6" s="18"/>
      <c r="K6" s="18"/>
      <c r="L6" s="18">
        <v>2500000</v>
      </c>
      <c r="M6" s="18"/>
      <c r="N6" s="18"/>
      <c r="O6" s="19">
        <v>2500000</v>
      </c>
    </row>
    <row r="7" spans="1:15" ht="12.75">
      <c r="A7" s="31" t="s">
        <v>32</v>
      </c>
      <c r="B7" s="16"/>
      <c r="C7" s="2">
        <f t="shared" si="0"/>
        <v>780000</v>
      </c>
      <c r="D7" s="18"/>
      <c r="E7" s="18"/>
      <c r="F7" s="18"/>
      <c r="G7" s="18"/>
      <c r="H7" s="18"/>
      <c r="I7" s="18">
        <v>400000</v>
      </c>
      <c r="J7" s="18"/>
      <c r="K7" s="18"/>
      <c r="L7" s="18"/>
      <c r="M7" s="18"/>
      <c r="N7" s="18"/>
      <c r="O7" s="19">
        <v>380000</v>
      </c>
    </row>
    <row r="8" spans="1:15" ht="12.75">
      <c r="A8" s="31" t="s">
        <v>107</v>
      </c>
      <c r="B8" s="16"/>
      <c r="C8" s="2">
        <f>SUM(D8:O8)</f>
        <v>1000000</v>
      </c>
      <c r="D8" s="18"/>
      <c r="E8" s="18"/>
      <c r="F8" s="18"/>
      <c r="G8" s="18"/>
      <c r="H8" s="18"/>
      <c r="I8" s="18">
        <v>500000</v>
      </c>
      <c r="J8" s="18"/>
      <c r="K8" s="18"/>
      <c r="L8" s="18"/>
      <c r="M8" s="18"/>
      <c r="N8" s="18"/>
      <c r="O8" s="19">
        <v>500000</v>
      </c>
    </row>
    <row r="9" spans="1:15" ht="12.75">
      <c r="A9" s="31" t="s">
        <v>37</v>
      </c>
      <c r="B9" s="16"/>
      <c r="C9" s="2">
        <f t="shared" si="0"/>
        <v>230000</v>
      </c>
      <c r="D9" s="18"/>
      <c r="E9" s="18"/>
      <c r="F9" s="18">
        <v>115000</v>
      </c>
      <c r="G9" s="18"/>
      <c r="H9" s="18"/>
      <c r="I9" s="18"/>
      <c r="J9" s="18"/>
      <c r="K9" s="18"/>
      <c r="L9" s="18"/>
      <c r="M9" s="18"/>
      <c r="N9" s="18"/>
      <c r="O9" s="19">
        <v>115000</v>
      </c>
    </row>
    <row r="10" spans="1:15" ht="12.75">
      <c r="A10" s="31" t="s">
        <v>40</v>
      </c>
      <c r="B10" s="16"/>
      <c r="C10" s="2">
        <f t="shared" si="0"/>
        <v>300000</v>
      </c>
      <c r="D10" s="18"/>
      <c r="E10" s="18"/>
      <c r="F10" s="18">
        <v>300000</v>
      </c>
      <c r="G10" s="18"/>
      <c r="H10" s="18"/>
      <c r="I10" s="18"/>
      <c r="J10" s="18"/>
      <c r="K10" s="18"/>
      <c r="L10" s="18"/>
      <c r="M10" s="18"/>
      <c r="N10" s="18"/>
      <c r="O10" s="19"/>
    </row>
    <row r="11" spans="1:15" ht="12.75">
      <c r="A11" s="31" t="s">
        <v>111</v>
      </c>
      <c r="B11" s="16"/>
      <c r="C11" s="2">
        <f>SUM(D11:O11)</f>
        <v>600000</v>
      </c>
      <c r="D11" s="18"/>
      <c r="E11" s="18"/>
      <c r="F11" s="18">
        <v>600000</v>
      </c>
      <c r="G11" s="18"/>
      <c r="H11" s="18"/>
      <c r="I11" s="18"/>
      <c r="J11" s="18"/>
      <c r="K11" s="18"/>
      <c r="L11" s="18"/>
      <c r="M11" s="18"/>
      <c r="N11" s="18"/>
      <c r="O11" s="19"/>
    </row>
    <row r="12" spans="1:15" ht="12.75">
      <c r="A12" s="31"/>
      <c r="B12" s="16"/>
      <c r="C12" s="2">
        <f t="shared" si="0"/>
        <v>0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15" ht="12.75">
      <c r="A13" s="31"/>
      <c r="B13" s="16"/>
      <c r="C13" s="2">
        <f t="shared" si="0"/>
        <v>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</row>
    <row r="14" spans="1:15" ht="12.75">
      <c r="A14" s="31"/>
      <c r="B14" s="16"/>
      <c r="C14" s="2">
        <f t="shared" si="0"/>
        <v>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</row>
    <row r="15" spans="1:15" ht="12.75">
      <c r="A15" s="32"/>
      <c r="B15" s="17"/>
      <c r="C15" s="6">
        <f t="shared" si="0"/>
        <v>0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</row>
    <row r="16" spans="1:15" ht="12.75">
      <c r="A16" s="31"/>
      <c r="B16" s="16"/>
      <c r="C16" s="2">
        <f aca="true" t="shared" si="1" ref="C16:C36">SUM(D16:O16)</f>
        <v>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</row>
    <row r="17" spans="1:15" ht="12.75">
      <c r="A17" s="31"/>
      <c r="B17" s="16"/>
      <c r="C17" s="2">
        <f t="shared" si="1"/>
        <v>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</row>
    <row r="18" spans="1:15" ht="12.75">
      <c r="A18" s="31"/>
      <c r="B18" s="16"/>
      <c r="C18" s="2">
        <f t="shared" si="1"/>
        <v>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</row>
    <row r="19" spans="1:15" ht="12.75">
      <c r="A19" s="31"/>
      <c r="B19" s="16"/>
      <c r="C19" s="2">
        <f t="shared" si="1"/>
        <v>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</row>
    <row r="20" spans="1:15" ht="13.5" thickBot="1">
      <c r="A20" s="31"/>
      <c r="B20" s="16"/>
      <c r="C20" s="2">
        <f t="shared" si="1"/>
        <v>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</row>
    <row r="21" spans="1:15" ht="12.75" hidden="1">
      <c r="A21" s="31"/>
      <c r="B21" s="16"/>
      <c r="C21" s="2">
        <f t="shared" si="1"/>
        <v>0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</row>
    <row r="22" spans="1:15" ht="12.75" hidden="1">
      <c r="A22" s="31"/>
      <c r="B22" s="16"/>
      <c r="C22" s="2">
        <f>SUM(D22:O22)</f>
        <v>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</row>
    <row r="23" spans="1:15" ht="12.75" hidden="1">
      <c r="A23" s="31"/>
      <c r="B23" s="16"/>
      <c r="C23" s="2">
        <f t="shared" si="1"/>
        <v>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</row>
    <row r="24" spans="1:15" ht="13.5" hidden="1" thickBot="1">
      <c r="A24" s="35"/>
      <c r="B24" s="36"/>
      <c r="C24" s="5">
        <f t="shared" si="1"/>
        <v>0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3"/>
    </row>
    <row r="25" spans="1:15" ht="12.75" hidden="1">
      <c r="A25" s="31"/>
      <c r="B25" s="16"/>
      <c r="C25" s="2">
        <f t="shared" si="1"/>
        <v>0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</row>
    <row r="26" spans="1:15" ht="12.75" hidden="1">
      <c r="A26" s="32"/>
      <c r="B26" s="17"/>
      <c r="C26" s="6">
        <f t="shared" si="1"/>
        <v>0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/>
    </row>
    <row r="27" spans="1:15" ht="12.75" hidden="1">
      <c r="A27" s="31"/>
      <c r="B27" s="16"/>
      <c r="C27" s="2">
        <f t="shared" si="1"/>
        <v>0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</row>
    <row r="28" spans="1:15" ht="12.75" hidden="1">
      <c r="A28" s="31"/>
      <c r="B28" s="16"/>
      <c r="C28" s="2">
        <f t="shared" si="1"/>
        <v>0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</row>
    <row r="29" spans="1:15" ht="12.75" hidden="1">
      <c r="A29" s="31"/>
      <c r="B29" s="16"/>
      <c r="C29" s="2">
        <f>SUM(D29:O29)</f>
        <v>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</row>
    <row r="30" spans="1:15" ht="12.75" hidden="1">
      <c r="A30" s="32"/>
      <c r="B30" s="17"/>
      <c r="C30" s="6">
        <f>SUM(D30:O30)</f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1"/>
    </row>
    <row r="31" spans="1:15" ht="12.75" hidden="1">
      <c r="A31" s="31"/>
      <c r="B31" s="16"/>
      <c r="C31" s="2">
        <f t="shared" si="1"/>
        <v>0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</row>
    <row r="32" spans="1:15" ht="12.75" hidden="1">
      <c r="A32" s="31"/>
      <c r="B32" s="16"/>
      <c r="C32" s="2">
        <f t="shared" si="1"/>
        <v>0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</row>
    <row r="33" spans="1:15" ht="12.75" hidden="1">
      <c r="A33" s="31"/>
      <c r="B33" s="16"/>
      <c r="C33" s="2">
        <f t="shared" si="1"/>
        <v>0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</row>
    <row r="34" spans="1:15" ht="12.75" hidden="1">
      <c r="A34" s="31"/>
      <c r="B34" s="16"/>
      <c r="C34" s="2">
        <f t="shared" si="1"/>
        <v>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</row>
    <row r="35" spans="1:15" ht="12.75" hidden="1">
      <c r="A35" s="31"/>
      <c r="B35" s="16"/>
      <c r="C35" s="2">
        <f t="shared" si="1"/>
        <v>0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</row>
    <row r="36" spans="1:15" ht="13.5" hidden="1" thickBot="1">
      <c r="A36" s="32"/>
      <c r="B36" s="17"/>
      <c r="C36" s="6">
        <f t="shared" si="1"/>
        <v>0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1"/>
    </row>
    <row r="37" spans="1:15" ht="18">
      <c r="A37" s="39" t="s">
        <v>15</v>
      </c>
      <c r="B37" s="10"/>
      <c r="C37" s="11">
        <f aca="true" t="shared" si="2" ref="C37:O37">SUM(C3:C36)</f>
        <v>34510000</v>
      </c>
      <c r="D37" s="12">
        <f t="shared" si="2"/>
        <v>0</v>
      </c>
      <c r="E37" s="12">
        <f t="shared" si="2"/>
        <v>0</v>
      </c>
      <c r="F37" s="12">
        <f t="shared" si="2"/>
        <v>8390000</v>
      </c>
      <c r="G37" s="12">
        <f t="shared" si="2"/>
        <v>0</v>
      </c>
      <c r="H37" s="12">
        <f t="shared" si="2"/>
        <v>0</v>
      </c>
      <c r="I37" s="12">
        <f t="shared" si="2"/>
        <v>8350000</v>
      </c>
      <c r="J37" s="12">
        <f t="shared" si="2"/>
        <v>0</v>
      </c>
      <c r="K37" s="12">
        <f t="shared" si="2"/>
        <v>0</v>
      </c>
      <c r="L37" s="12">
        <f t="shared" si="2"/>
        <v>8350000</v>
      </c>
      <c r="M37" s="12">
        <f t="shared" si="2"/>
        <v>0</v>
      </c>
      <c r="N37" s="12">
        <f t="shared" si="2"/>
        <v>0</v>
      </c>
      <c r="O37" s="13">
        <f t="shared" si="2"/>
        <v>9420000</v>
      </c>
    </row>
    <row r="38" spans="1:15" ht="18">
      <c r="A38" s="38" t="s">
        <v>16</v>
      </c>
      <c r="B38" s="1"/>
      <c r="C38" s="2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8"/>
    </row>
    <row r="39" spans="1:15" ht="12.75">
      <c r="A39" s="33" t="s">
        <v>98</v>
      </c>
      <c r="B39" s="34"/>
      <c r="C39" s="2">
        <f aca="true" t="shared" si="3" ref="C39:C44">SUM(D39:O39)</f>
        <v>4000000</v>
      </c>
      <c r="D39" s="27"/>
      <c r="E39" s="27"/>
      <c r="F39" s="27">
        <v>4000000</v>
      </c>
      <c r="G39" s="27"/>
      <c r="H39" s="27"/>
      <c r="I39" s="27"/>
      <c r="J39" s="27"/>
      <c r="K39" s="27"/>
      <c r="L39" s="27"/>
      <c r="M39" s="27"/>
      <c r="N39" s="27"/>
      <c r="O39" s="29"/>
    </row>
    <row r="40" spans="1:17" ht="12.75">
      <c r="A40" s="33" t="s">
        <v>99</v>
      </c>
      <c r="B40" s="34"/>
      <c r="C40" s="2">
        <f t="shared" si="3"/>
        <v>7200000</v>
      </c>
      <c r="D40" s="27"/>
      <c r="E40" s="27"/>
      <c r="F40" s="27">
        <f>7500000*0.2</f>
        <v>1500000</v>
      </c>
      <c r="G40" s="27"/>
      <c r="H40" s="27"/>
      <c r="I40" s="27">
        <f>9000000*0.2</f>
        <v>1800000</v>
      </c>
      <c r="J40" s="27"/>
      <c r="K40" s="27"/>
      <c r="L40" s="27">
        <f>9000000*0.2</f>
        <v>1800000</v>
      </c>
      <c r="M40" s="27"/>
      <c r="N40" s="27"/>
      <c r="O40" s="29">
        <f>10500000*0.2</f>
        <v>2100000</v>
      </c>
      <c r="Q40" s="152"/>
    </row>
    <row r="41" spans="1:17" ht="12.75">
      <c r="A41" s="33" t="s">
        <v>100</v>
      </c>
      <c r="B41" s="34"/>
      <c r="C41" s="2">
        <f t="shared" si="3"/>
        <v>9600000</v>
      </c>
      <c r="D41" s="27"/>
      <c r="E41" s="27"/>
      <c r="F41" s="27">
        <f>(7500000-F40)/3</f>
        <v>2000000</v>
      </c>
      <c r="G41" s="27"/>
      <c r="H41" s="27"/>
      <c r="I41" s="27">
        <f>(9000000-I40)/3</f>
        <v>2400000</v>
      </c>
      <c r="J41" s="27"/>
      <c r="K41" s="27"/>
      <c r="L41" s="27">
        <f>(9000000-L40)/3</f>
        <v>2400000</v>
      </c>
      <c r="M41" s="27"/>
      <c r="N41" s="27"/>
      <c r="O41" s="29">
        <f>(10500000-O40)/3</f>
        <v>2800000</v>
      </c>
      <c r="Q41" s="152"/>
    </row>
    <row r="42" spans="1:17" ht="12.75">
      <c r="A42" s="33" t="s">
        <v>101</v>
      </c>
      <c r="B42" s="34"/>
      <c r="C42" s="2">
        <f t="shared" si="3"/>
        <v>13600000</v>
      </c>
      <c r="D42" s="27"/>
      <c r="E42" s="27"/>
      <c r="F42" s="27"/>
      <c r="G42" s="27"/>
      <c r="H42" s="27"/>
      <c r="I42" s="27">
        <f>(7500000-F40)-F41</f>
        <v>4000000</v>
      </c>
      <c r="J42" s="27"/>
      <c r="K42" s="27"/>
      <c r="L42" s="27">
        <f>9000000-I40-I41</f>
        <v>4800000</v>
      </c>
      <c r="M42" s="27"/>
      <c r="N42" s="27"/>
      <c r="O42" s="29">
        <f>9000000-L40-L41</f>
        <v>4800000</v>
      </c>
      <c r="P42" s="152">
        <f>10500000-O40-O41</f>
        <v>5600000</v>
      </c>
      <c r="Q42" s="152"/>
    </row>
    <row r="43" spans="1:17" ht="12.75">
      <c r="A43" s="33" t="s">
        <v>108</v>
      </c>
      <c r="B43" s="34"/>
      <c r="C43" s="2">
        <f t="shared" si="3"/>
        <v>300000</v>
      </c>
      <c r="D43" s="27"/>
      <c r="E43" s="27"/>
      <c r="F43" s="27">
        <v>300000</v>
      </c>
      <c r="G43" s="27"/>
      <c r="H43" s="27"/>
      <c r="I43" s="27"/>
      <c r="J43" s="27"/>
      <c r="K43" s="27"/>
      <c r="L43" s="27"/>
      <c r="M43" s="27"/>
      <c r="N43" s="27"/>
      <c r="O43" s="29"/>
      <c r="Q43" s="152"/>
    </row>
    <row r="44" spans="1:15" ht="12.75">
      <c r="A44" s="33"/>
      <c r="B44" s="34"/>
      <c r="C44" s="2">
        <f t="shared" si="3"/>
        <v>0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9"/>
    </row>
    <row r="45" spans="1:15" ht="18.75" thickBot="1">
      <c r="A45" s="40" t="s">
        <v>12</v>
      </c>
      <c r="B45" s="24"/>
      <c r="C45" s="25">
        <f>SUM(C39:C44)</f>
        <v>34700000</v>
      </c>
      <c r="D45" s="25">
        <f aca="true" t="shared" si="4" ref="D45:O45">SUM(D39:D44)</f>
        <v>0</v>
      </c>
      <c r="E45" s="25">
        <f t="shared" si="4"/>
        <v>0</v>
      </c>
      <c r="F45" s="25">
        <f t="shared" si="4"/>
        <v>7800000</v>
      </c>
      <c r="G45" s="25">
        <f t="shared" si="4"/>
        <v>0</v>
      </c>
      <c r="H45" s="25">
        <f t="shared" si="4"/>
        <v>0</v>
      </c>
      <c r="I45" s="25">
        <f t="shared" si="4"/>
        <v>8200000</v>
      </c>
      <c r="J45" s="25">
        <f t="shared" si="4"/>
        <v>0</v>
      </c>
      <c r="K45" s="25">
        <f t="shared" si="4"/>
        <v>0</v>
      </c>
      <c r="L45" s="25">
        <f t="shared" si="4"/>
        <v>9000000</v>
      </c>
      <c r="M45" s="25">
        <f t="shared" si="4"/>
        <v>0</v>
      </c>
      <c r="N45" s="25">
        <f t="shared" si="4"/>
        <v>0</v>
      </c>
      <c r="O45" s="30">
        <f t="shared" si="4"/>
        <v>9700000</v>
      </c>
    </row>
    <row r="46" spans="1:15" ht="18.75" thickBot="1">
      <c r="A46" s="39" t="s">
        <v>9</v>
      </c>
      <c r="B46" s="10"/>
      <c r="C46" s="12">
        <f>C45-C37</f>
        <v>190000</v>
      </c>
      <c r="D46" s="12">
        <f>D45-D37</f>
        <v>0</v>
      </c>
      <c r="E46" s="12">
        <f aca="true" t="shared" si="5" ref="E46:O46">E45-E37</f>
        <v>0</v>
      </c>
      <c r="F46" s="12">
        <f t="shared" si="5"/>
        <v>-590000</v>
      </c>
      <c r="G46" s="12">
        <f t="shared" si="5"/>
        <v>0</v>
      </c>
      <c r="H46" s="12">
        <f t="shared" si="5"/>
        <v>0</v>
      </c>
      <c r="I46" s="12">
        <f t="shared" si="5"/>
        <v>-150000</v>
      </c>
      <c r="J46" s="12">
        <f t="shared" si="5"/>
        <v>0</v>
      </c>
      <c r="K46" s="12">
        <f t="shared" si="5"/>
        <v>0</v>
      </c>
      <c r="L46" s="12">
        <f t="shared" si="5"/>
        <v>650000</v>
      </c>
      <c r="M46" s="12">
        <f t="shared" si="5"/>
        <v>0</v>
      </c>
      <c r="N46" s="12">
        <f t="shared" si="5"/>
        <v>0</v>
      </c>
      <c r="O46" s="13">
        <f t="shared" si="5"/>
        <v>280000</v>
      </c>
    </row>
    <row r="47" spans="1:15" ht="18.75" thickBot="1">
      <c r="A47" s="41" t="s">
        <v>11</v>
      </c>
      <c r="B47" s="7"/>
      <c r="C47" s="8"/>
      <c r="D47" s="8">
        <v>0</v>
      </c>
      <c r="E47" s="8">
        <f>D46+D47+E46</f>
        <v>0</v>
      </c>
      <c r="F47" s="8">
        <f aca="true" t="shared" si="6" ref="F47:O47">E47+F46</f>
        <v>-590000</v>
      </c>
      <c r="G47" s="8">
        <f t="shared" si="6"/>
        <v>-590000</v>
      </c>
      <c r="H47" s="8">
        <f t="shared" si="6"/>
        <v>-590000</v>
      </c>
      <c r="I47" s="8">
        <f t="shared" si="6"/>
        <v>-740000</v>
      </c>
      <c r="J47" s="8">
        <f t="shared" si="6"/>
        <v>-740000</v>
      </c>
      <c r="K47" s="8">
        <f t="shared" si="6"/>
        <v>-740000</v>
      </c>
      <c r="L47" s="8">
        <f t="shared" si="6"/>
        <v>-90000</v>
      </c>
      <c r="M47" s="8">
        <f t="shared" si="6"/>
        <v>-90000</v>
      </c>
      <c r="N47" s="8">
        <f t="shared" si="6"/>
        <v>-90000</v>
      </c>
      <c r="O47" s="9">
        <f t="shared" si="6"/>
        <v>190000</v>
      </c>
    </row>
    <row r="48" spans="1:3" ht="18.75" hidden="1" thickBot="1">
      <c r="A48" s="42" t="s">
        <v>10</v>
      </c>
      <c r="B48" s="14"/>
      <c r="C48" s="15">
        <f>C37/12</f>
        <v>2875833.3333333335</v>
      </c>
    </row>
    <row r="50" ht="18">
      <c r="A50" s="159" t="s">
        <v>116</v>
      </c>
    </row>
  </sheetData>
  <sheetProtection/>
  <mergeCells count="1">
    <mergeCell ref="A1:O1"/>
  </mergeCells>
  <printOptions/>
  <pageMargins left="0.3937007874015748" right="0.3937007874015748" top="0.7874015748031497" bottom="0.7874015748031497" header="0" footer="0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workbookViewId="0" topLeftCell="A1">
      <selection activeCell="E67" sqref="E67"/>
    </sheetView>
  </sheetViews>
  <sheetFormatPr defaultColWidth="9.140625" defaultRowHeight="12.75"/>
  <cols>
    <col min="1" max="1" width="5.140625" style="0" customWidth="1"/>
    <col min="2" max="2" width="18.8515625" style="0" customWidth="1"/>
    <col min="3" max="3" width="19.57421875" style="0" customWidth="1"/>
    <col min="4" max="4" width="16.28125" style="0" customWidth="1"/>
    <col min="5" max="5" width="28.28125" style="0" customWidth="1"/>
    <col min="6" max="6" width="27.7109375" style="0" customWidth="1"/>
    <col min="7" max="7" width="28.28125" style="0" customWidth="1"/>
    <col min="8" max="8" width="24.7109375" style="0" hidden="1" customWidth="1"/>
    <col min="9" max="9" width="24.8515625" style="0" customWidth="1"/>
    <col min="10" max="10" width="24.140625" style="0" customWidth="1"/>
  </cols>
  <sheetData>
    <row r="1" spans="2:4" ht="18">
      <c r="B1" s="608" t="s">
        <v>117</v>
      </c>
      <c r="C1" s="624"/>
      <c r="D1" s="624"/>
    </row>
    <row r="2" ht="18">
      <c r="B2" s="136"/>
    </row>
    <row r="3" spans="2:3" ht="15.75">
      <c r="B3" s="160" t="s">
        <v>118</v>
      </c>
      <c r="C3" s="161">
        <v>4</v>
      </c>
    </row>
    <row r="4" spans="2:3" ht="16.5" thickBot="1">
      <c r="B4" s="160" t="s">
        <v>119</v>
      </c>
      <c r="C4" s="162">
        <v>0.08</v>
      </c>
    </row>
    <row r="5" spans="2:10" ht="64.5" customHeight="1" thickBot="1">
      <c r="B5" s="163" t="s">
        <v>120</v>
      </c>
      <c r="C5" s="164" t="s">
        <v>121</v>
      </c>
      <c r="D5" s="165" t="s">
        <v>122</v>
      </c>
      <c r="E5" s="163" t="s">
        <v>123</v>
      </c>
      <c r="F5" s="166" t="s">
        <v>133</v>
      </c>
      <c r="G5" s="163" t="s">
        <v>134</v>
      </c>
      <c r="H5" s="163" t="s">
        <v>135</v>
      </c>
      <c r="I5" s="166" t="str">
        <f>CONCATENATE("Nutidsværdien ved den interne rente (IRR) ",(ROUND(G59,4)*100)," %")</f>
        <v>Nutidsværdien ved den interne rente (IRR) 9,29 %</v>
      </c>
      <c r="J5" s="166" t="s">
        <v>136</v>
      </c>
    </row>
    <row r="6" spans="2:10" ht="18">
      <c r="B6" s="167">
        <v>0</v>
      </c>
      <c r="C6" s="168">
        <v>0</v>
      </c>
      <c r="D6" s="169">
        <v>5000000</v>
      </c>
      <c r="E6" s="170">
        <f>C6-D6</f>
        <v>-5000000</v>
      </c>
      <c r="F6" s="171">
        <f aca="true" t="shared" si="0" ref="F6:F37">IF(B6&lt;=$C$3,POWER((1+$C$4),(B6*-1)),"-")</f>
        <v>1</v>
      </c>
      <c r="G6" s="172">
        <f>E6</f>
        <v>-5000000</v>
      </c>
      <c r="H6" s="171">
        <f aca="true" t="shared" si="1" ref="H6:H37">IF(B6&lt;=$C$3,POWER((1+$G$59),(B6*-1)),"-")</f>
        <v>1</v>
      </c>
      <c r="I6" s="172">
        <f>G6</f>
        <v>-5000000</v>
      </c>
      <c r="J6" s="167"/>
    </row>
    <row r="7" spans="2:10" ht="18">
      <c r="B7" s="173">
        <f aca="true" t="shared" si="2" ref="B7:B38">B6+1</f>
        <v>1</v>
      </c>
      <c r="C7" s="174">
        <v>1500000</v>
      </c>
      <c r="D7" s="175">
        <v>600000</v>
      </c>
      <c r="E7" s="176">
        <f>C7-D7</f>
        <v>900000</v>
      </c>
      <c r="F7" s="177">
        <f t="shared" si="0"/>
        <v>0.9259259259259258</v>
      </c>
      <c r="G7" s="178">
        <f aca="true" t="shared" si="3" ref="G7:G38">PV($C$4,B7,0,E7)*-1</f>
        <v>833333.3333333333</v>
      </c>
      <c r="H7" s="177">
        <f t="shared" si="1"/>
        <v>0.9149913163162275</v>
      </c>
      <c r="I7" s="178">
        <f aca="true" t="shared" si="4" ref="I7:I38">PV($G$59,B7,0,E7)*-1</f>
        <v>823492.1846846048</v>
      </c>
      <c r="J7" s="178">
        <f>PMT($C$4,$C$3,$G$57)*-1</f>
        <v>56158.39109192106</v>
      </c>
    </row>
    <row r="8" spans="2:10" ht="18">
      <c r="B8" s="173">
        <f t="shared" si="2"/>
        <v>2</v>
      </c>
      <c r="C8" s="174">
        <v>1500000</v>
      </c>
      <c r="D8" s="175">
        <v>600000</v>
      </c>
      <c r="E8" s="176">
        <f>C8-D8</f>
        <v>900000</v>
      </c>
      <c r="F8" s="177">
        <f t="shared" si="0"/>
        <v>0.8573388203017832</v>
      </c>
      <c r="G8" s="178">
        <f t="shared" si="3"/>
        <v>771604.9382716048</v>
      </c>
      <c r="H8" s="177">
        <f t="shared" si="1"/>
        <v>0.8372091089341026</v>
      </c>
      <c r="I8" s="178">
        <f t="shared" si="4"/>
        <v>753488.1980406924</v>
      </c>
      <c r="J8" s="178">
        <f aca="true" t="shared" si="5" ref="J8:J13">IF(B8&lt;=$C$3,$J$7,0)</f>
        <v>56158.39109192106</v>
      </c>
    </row>
    <row r="9" spans="2:10" ht="18">
      <c r="B9" s="173">
        <f t="shared" si="2"/>
        <v>3</v>
      </c>
      <c r="C9" s="174">
        <v>1500000</v>
      </c>
      <c r="D9" s="175">
        <v>600000</v>
      </c>
      <c r="E9" s="176">
        <f>C9-D9</f>
        <v>900000</v>
      </c>
      <c r="F9" s="177">
        <f t="shared" si="0"/>
        <v>0.7938322410201696</v>
      </c>
      <c r="G9" s="178">
        <f t="shared" si="3"/>
        <v>714449.0169181526</v>
      </c>
      <c r="H9" s="177">
        <f t="shared" si="1"/>
        <v>0.7660390646155504</v>
      </c>
      <c r="I9" s="178">
        <f t="shared" si="4"/>
        <v>689435.1581539954</v>
      </c>
      <c r="J9" s="178">
        <f t="shared" si="5"/>
        <v>56158.39109192106</v>
      </c>
    </row>
    <row r="10" spans="2:10" ht="18">
      <c r="B10" s="173">
        <f t="shared" si="2"/>
        <v>4</v>
      </c>
      <c r="C10" s="174">
        <f>1500000+3000000</f>
        <v>4500000</v>
      </c>
      <c r="D10" s="175">
        <v>600000</v>
      </c>
      <c r="E10" s="176">
        <f>C10-D10</f>
        <v>3900000</v>
      </c>
      <c r="F10" s="177">
        <f t="shared" si="0"/>
        <v>0.7350298527964533</v>
      </c>
      <c r="G10" s="178">
        <f t="shared" si="3"/>
        <v>2866616.425906168</v>
      </c>
      <c r="H10" s="177">
        <f t="shared" si="1"/>
        <v>0.7009190920822341</v>
      </c>
      <c r="I10" s="178">
        <f t="shared" si="4"/>
        <v>2733584.459120713</v>
      </c>
      <c r="J10" s="178">
        <f t="shared" si="5"/>
        <v>56158.39109192106</v>
      </c>
    </row>
    <row r="11" spans="2:10" ht="18" hidden="1">
      <c r="B11" s="173">
        <f t="shared" si="2"/>
        <v>5</v>
      </c>
      <c r="C11" s="174">
        <v>0</v>
      </c>
      <c r="D11" s="175">
        <v>0</v>
      </c>
      <c r="E11" s="176">
        <f>(C11-D11)</f>
        <v>0</v>
      </c>
      <c r="F11" s="177" t="str">
        <f t="shared" si="0"/>
        <v>-</v>
      </c>
      <c r="G11" s="178">
        <f t="shared" si="3"/>
        <v>0</v>
      </c>
      <c r="H11" s="177" t="str">
        <f t="shared" si="1"/>
        <v>-</v>
      </c>
      <c r="I11" s="178">
        <f t="shared" si="4"/>
        <v>0</v>
      </c>
      <c r="J11" s="178">
        <f t="shared" si="5"/>
        <v>0</v>
      </c>
    </row>
    <row r="12" spans="2:10" ht="18" hidden="1">
      <c r="B12" s="173">
        <f t="shared" si="2"/>
        <v>6</v>
      </c>
      <c r="C12" s="174">
        <v>0</v>
      </c>
      <c r="D12" s="175">
        <v>0</v>
      </c>
      <c r="E12" s="176">
        <f aca="true" t="shared" si="6" ref="E12:E56">C12-D12</f>
        <v>0</v>
      </c>
      <c r="F12" s="177" t="str">
        <f t="shared" si="0"/>
        <v>-</v>
      </c>
      <c r="G12" s="178">
        <f t="shared" si="3"/>
        <v>0</v>
      </c>
      <c r="H12" s="177" t="str">
        <f t="shared" si="1"/>
        <v>-</v>
      </c>
      <c r="I12" s="178">
        <f t="shared" si="4"/>
        <v>0</v>
      </c>
      <c r="J12" s="178">
        <f t="shared" si="5"/>
        <v>0</v>
      </c>
    </row>
    <row r="13" spans="2:10" ht="18" hidden="1">
      <c r="B13" s="173">
        <f t="shared" si="2"/>
        <v>7</v>
      </c>
      <c r="C13" s="174">
        <v>0</v>
      </c>
      <c r="D13" s="175">
        <v>0</v>
      </c>
      <c r="E13" s="176">
        <f t="shared" si="6"/>
        <v>0</v>
      </c>
      <c r="F13" s="177" t="str">
        <f t="shared" si="0"/>
        <v>-</v>
      </c>
      <c r="G13" s="178">
        <f t="shared" si="3"/>
        <v>0</v>
      </c>
      <c r="H13" s="177" t="str">
        <f t="shared" si="1"/>
        <v>-</v>
      </c>
      <c r="I13" s="178">
        <f t="shared" si="4"/>
        <v>0</v>
      </c>
      <c r="J13" s="178">
        <f t="shared" si="5"/>
        <v>0</v>
      </c>
    </row>
    <row r="14" spans="2:12" ht="18" hidden="1">
      <c r="B14" s="173">
        <f t="shared" si="2"/>
        <v>8</v>
      </c>
      <c r="C14" s="174">
        <v>0</v>
      </c>
      <c r="D14" s="175">
        <v>0</v>
      </c>
      <c r="E14" s="176">
        <f t="shared" si="6"/>
        <v>0</v>
      </c>
      <c r="F14" s="177" t="str">
        <f t="shared" si="0"/>
        <v>-</v>
      </c>
      <c r="G14" s="178">
        <f t="shared" si="3"/>
        <v>0</v>
      </c>
      <c r="H14" s="177" t="str">
        <f t="shared" si="1"/>
        <v>-</v>
      </c>
      <c r="I14" s="178">
        <f t="shared" si="4"/>
        <v>0</v>
      </c>
      <c r="J14" s="178">
        <f aca="true" t="shared" si="7" ref="J14:J56">IF(B13&lt;=$C$3,$J$7,0)</f>
        <v>0</v>
      </c>
      <c r="L14" s="179"/>
    </row>
    <row r="15" spans="2:10" ht="18" hidden="1">
      <c r="B15" s="173">
        <f t="shared" si="2"/>
        <v>9</v>
      </c>
      <c r="C15" s="174">
        <v>0</v>
      </c>
      <c r="D15" s="175">
        <v>0</v>
      </c>
      <c r="E15" s="176">
        <f t="shared" si="6"/>
        <v>0</v>
      </c>
      <c r="F15" s="177" t="str">
        <f t="shared" si="0"/>
        <v>-</v>
      </c>
      <c r="G15" s="178">
        <f t="shared" si="3"/>
        <v>0</v>
      </c>
      <c r="H15" s="177" t="str">
        <f t="shared" si="1"/>
        <v>-</v>
      </c>
      <c r="I15" s="178">
        <f t="shared" si="4"/>
        <v>0</v>
      </c>
      <c r="J15" s="178">
        <f t="shared" si="7"/>
        <v>0</v>
      </c>
    </row>
    <row r="16" spans="2:10" ht="18" hidden="1">
      <c r="B16" s="173">
        <f t="shared" si="2"/>
        <v>10</v>
      </c>
      <c r="C16" s="174">
        <v>0</v>
      </c>
      <c r="D16" s="175">
        <v>0</v>
      </c>
      <c r="E16" s="176">
        <f t="shared" si="6"/>
        <v>0</v>
      </c>
      <c r="F16" s="177" t="str">
        <f t="shared" si="0"/>
        <v>-</v>
      </c>
      <c r="G16" s="178">
        <f t="shared" si="3"/>
        <v>0</v>
      </c>
      <c r="H16" s="177" t="str">
        <f t="shared" si="1"/>
        <v>-</v>
      </c>
      <c r="I16" s="178">
        <f t="shared" si="4"/>
        <v>0</v>
      </c>
      <c r="J16" s="178">
        <f t="shared" si="7"/>
        <v>0</v>
      </c>
    </row>
    <row r="17" spans="2:10" ht="18" hidden="1">
      <c r="B17" s="173">
        <f t="shared" si="2"/>
        <v>11</v>
      </c>
      <c r="C17" s="174">
        <v>0</v>
      </c>
      <c r="D17" s="175">
        <v>0</v>
      </c>
      <c r="E17" s="176">
        <f t="shared" si="6"/>
        <v>0</v>
      </c>
      <c r="F17" s="177" t="str">
        <f t="shared" si="0"/>
        <v>-</v>
      </c>
      <c r="G17" s="178">
        <f t="shared" si="3"/>
        <v>0</v>
      </c>
      <c r="H17" s="177" t="str">
        <f t="shared" si="1"/>
        <v>-</v>
      </c>
      <c r="I17" s="178">
        <f t="shared" si="4"/>
        <v>0</v>
      </c>
      <c r="J17" s="178">
        <f t="shared" si="7"/>
        <v>0</v>
      </c>
    </row>
    <row r="18" spans="2:10" ht="18" hidden="1">
      <c r="B18" s="173">
        <f t="shared" si="2"/>
        <v>12</v>
      </c>
      <c r="C18" s="174">
        <v>0</v>
      </c>
      <c r="D18" s="175">
        <v>0</v>
      </c>
      <c r="E18" s="176">
        <f t="shared" si="6"/>
        <v>0</v>
      </c>
      <c r="F18" s="177" t="str">
        <f t="shared" si="0"/>
        <v>-</v>
      </c>
      <c r="G18" s="178">
        <f t="shared" si="3"/>
        <v>0</v>
      </c>
      <c r="H18" s="177" t="str">
        <f t="shared" si="1"/>
        <v>-</v>
      </c>
      <c r="I18" s="178">
        <f t="shared" si="4"/>
        <v>0</v>
      </c>
      <c r="J18" s="178">
        <f t="shared" si="7"/>
        <v>0</v>
      </c>
    </row>
    <row r="19" spans="2:12" ht="18" hidden="1">
      <c r="B19" s="173">
        <f t="shared" si="2"/>
        <v>13</v>
      </c>
      <c r="C19" s="174">
        <v>0</v>
      </c>
      <c r="D19" s="175">
        <v>0</v>
      </c>
      <c r="E19" s="176">
        <f t="shared" si="6"/>
        <v>0</v>
      </c>
      <c r="F19" s="177" t="str">
        <f t="shared" si="0"/>
        <v>-</v>
      </c>
      <c r="G19" s="178">
        <f t="shared" si="3"/>
        <v>0</v>
      </c>
      <c r="H19" s="177" t="str">
        <f t="shared" si="1"/>
        <v>-</v>
      </c>
      <c r="I19" s="178">
        <f t="shared" si="4"/>
        <v>0</v>
      </c>
      <c r="J19" s="178">
        <f t="shared" si="7"/>
        <v>0</v>
      </c>
      <c r="L19" s="179"/>
    </row>
    <row r="20" spans="2:10" ht="18" hidden="1">
      <c r="B20" s="173">
        <f t="shared" si="2"/>
        <v>14</v>
      </c>
      <c r="C20" s="174">
        <v>0</v>
      </c>
      <c r="D20" s="175">
        <v>0</v>
      </c>
      <c r="E20" s="176">
        <f t="shared" si="6"/>
        <v>0</v>
      </c>
      <c r="F20" s="177" t="str">
        <f t="shared" si="0"/>
        <v>-</v>
      </c>
      <c r="G20" s="178">
        <f t="shared" si="3"/>
        <v>0</v>
      </c>
      <c r="H20" s="177" t="str">
        <f t="shared" si="1"/>
        <v>-</v>
      </c>
      <c r="I20" s="178">
        <f t="shared" si="4"/>
        <v>0</v>
      </c>
      <c r="J20" s="178">
        <f t="shared" si="7"/>
        <v>0</v>
      </c>
    </row>
    <row r="21" spans="2:10" ht="18.75" hidden="1" thickBot="1">
      <c r="B21" s="180">
        <f t="shared" si="2"/>
        <v>15</v>
      </c>
      <c r="C21" s="181">
        <v>0</v>
      </c>
      <c r="D21" s="182">
        <v>0</v>
      </c>
      <c r="E21" s="183">
        <f t="shared" si="6"/>
        <v>0</v>
      </c>
      <c r="F21" s="184" t="str">
        <f t="shared" si="0"/>
        <v>-</v>
      </c>
      <c r="G21" s="185">
        <f t="shared" si="3"/>
        <v>0</v>
      </c>
      <c r="H21" s="184" t="str">
        <f t="shared" si="1"/>
        <v>-</v>
      </c>
      <c r="I21" s="185">
        <f t="shared" si="4"/>
        <v>0</v>
      </c>
      <c r="J21" s="185">
        <f t="shared" si="7"/>
        <v>0</v>
      </c>
    </row>
    <row r="22" spans="2:10" ht="18" hidden="1">
      <c r="B22" s="173">
        <f t="shared" si="2"/>
        <v>16</v>
      </c>
      <c r="C22" s="174">
        <v>0</v>
      </c>
      <c r="D22" s="175">
        <v>0</v>
      </c>
      <c r="E22" s="176">
        <f t="shared" si="6"/>
        <v>0</v>
      </c>
      <c r="F22" s="177" t="str">
        <f t="shared" si="0"/>
        <v>-</v>
      </c>
      <c r="G22" s="178">
        <f t="shared" si="3"/>
        <v>0</v>
      </c>
      <c r="H22" s="177" t="str">
        <f t="shared" si="1"/>
        <v>-</v>
      </c>
      <c r="I22" s="178">
        <f t="shared" si="4"/>
        <v>0</v>
      </c>
      <c r="J22" s="178">
        <f t="shared" si="7"/>
        <v>0</v>
      </c>
    </row>
    <row r="23" spans="2:10" ht="18" hidden="1">
      <c r="B23" s="173">
        <f t="shared" si="2"/>
        <v>17</v>
      </c>
      <c r="C23" s="174">
        <v>0</v>
      </c>
      <c r="D23" s="175">
        <v>0</v>
      </c>
      <c r="E23" s="176">
        <f t="shared" si="6"/>
        <v>0</v>
      </c>
      <c r="F23" s="177" t="str">
        <f t="shared" si="0"/>
        <v>-</v>
      </c>
      <c r="G23" s="178">
        <f t="shared" si="3"/>
        <v>0</v>
      </c>
      <c r="H23" s="177" t="str">
        <f t="shared" si="1"/>
        <v>-</v>
      </c>
      <c r="I23" s="178">
        <f t="shared" si="4"/>
        <v>0</v>
      </c>
      <c r="J23" s="178">
        <f t="shared" si="7"/>
        <v>0</v>
      </c>
    </row>
    <row r="24" spans="2:10" ht="18" hidden="1">
      <c r="B24" s="173">
        <f t="shared" si="2"/>
        <v>18</v>
      </c>
      <c r="C24" s="174">
        <v>0</v>
      </c>
      <c r="D24" s="175">
        <v>0</v>
      </c>
      <c r="E24" s="176">
        <f t="shared" si="6"/>
        <v>0</v>
      </c>
      <c r="F24" s="177" t="str">
        <f t="shared" si="0"/>
        <v>-</v>
      </c>
      <c r="G24" s="178">
        <f t="shared" si="3"/>
        <v>0</v>
      </c>
      <c r="H24" s="177" t="str">
        <f t="shared" si="1"/>
        <v>-</v>
      </c>
      <c r="I24" s="178">
        <f t="shared" si="4"/>
        <v>0</v>
      </c>
      <c r="J24" s="178">
        <f t="shared" si="7"/>
        <v>0</v>
      </c>
    </row>
    <row r="25" spans="2:10" ht="18" hidden="1">
      <c r="B25" s="173">
        <f t="shared" si="2"/>
        <v>19</v>
      </c>
      <c r="C25" s="174">
        <v>0</v>
      </c>
      <c r="D25" s="175">
        <v>0</v>
      </c>
      <c r="E25" s="176">
        <f t="shared" si="6"/>
        <v>0</v>
      </c>
      <c r="F25" s="177" t="str">
        <f t="shared" si="0"/>
        <v>-</v>
      </c>
      <c r="G25" s="178">
        <f t="shared" si="3"/>
        <v>0</v>
      </c>
      <c r="H25" s="177" t="str">
        <f t="shared" si="1"/>
        <v>-</v>
      </c>
      <c r="I25" s="178">
        <f t="shared" si="4"/>
        <v>0</v>
      </c>
      <c r="J25" s="178">
        <f t="shared" si="7"/>
        <v>0</v>
      </c>
    </row>
    <row r="26" spans="2:10" ht="18" hidden="1">
      <c r="B26" s="173">
        <f t="shared" si="2"/>
        <v>20</v>
      </c>
      <c r="C26" s="174">
        <v>0</v>
      </c>
      <c r="D26" s="175">
        <v>0</v>
      </c>
      <c r="E26" s="176">
        <f t="shared" si="6"/>
        <v>0</v>
      </c>
      <c r="F26" s="177" t="str">
        <f t="shared" si="0"/>
        <v>-</v>
      </c>
      <c r="G26" s="178">
        <f t="shared" si="3"/>
        <v>0</v>
      </c>
      <c r="H26" s="177" t="str">
        <f t="shared" si="1"/>
        <v>-</v>
      </c>
      <c r="I26" s="178">
        <f t="shared" si="4"/>
        <v>0</v>
      </c>
      <c r="J26" s="178">
        <f t="shared" si="7"/>
        <v>0</v>
      </c>
    </row>
    <row r="27" spans="2:10" ht="18" hidden="1">
      <c r="B27" s="173">
        <f t="shared" si="2"/>
        <v>21</v>
      </c>
      <c r="C27" s="174">
        <v>0</v>
      </c>
      <c r="D27" s="175">
        <v>0</v>
      </c>
      <c r="E27" s="176">
        <f t="shared" si="6"/>
        <v>0</v>
      </c>
      <c r="F27" s="177" t="str">
        <f t="shared" si="0"/>
        <v>-</v>
      </c>
      <c r="G27" s="178">
        <f t="shared" si="3"/>
        <v>0</v>
      </c>
      <c r="H27" s="177" t="str">
        <f t="shared" si="1"/>
        <v>-</v>
      </c>
      <c r="I27" s="178">
        <f t="shared" si="4"/>
        <v>0</v>
      </c>
      <c r="J27" s="178">
        <f t="shared" si="7"/>
        <v>0</v>
      </c>
    </row>
    <row r="28" spans="2:10" ht="18" hidden="1">
      <c r="B28" s="173">
        <f t="shared" si="2"/>
        <v>22</v>
      </c>
      <c r="C28" s="174">
        <v>0</v>
      </c>
      <c r="D28" s="175">
        <v>0</v>
      </c>
      <c r="E28" s="176">
        <f t="shared" si="6"/>
        <v>0</v>
      </c>
      <c r="F28" s="177" t="str">
        <f t="shared" si="0"/>
        <v>-</v>
      </c>
      <c r="G28" s="178">
        <f t="shared" si="3"/>
        <v>0</v>
      </c>
      <c r="H28" s="177" t="str">
        <f t="shared" si="1"/>
        <v>-</v>
      </c>
      <c r="I28" s="178">
        <f t="shared" si="4"/>
        <v>0</v>
      </c>
      <c r="J28" s="178">
        <f t="shared" si="7"/>
        <v>0</v>
      </c>
    </row>
    <row r="29" spans="2:10" ht="18" hidden="1">
      <c r="B29" s="173">
        <f t="shared" si="2"/>
        <v>23</v>
      </c>
      <c r="C29" s="174">
        <v>0</v>
      </c>
      <c r="D29" s="175">
        <v>0</v>
      </c>
      <c r="E29" s="176">
        <f t="shared" si="6"/>
        <v>0</v>
      </c>
      <c r="F29" s="177" t="str">
        <f t="shared" si="0"/>
        <v>-</v>
      </c>
      <c r="G29" s="178">
        <f t="shared" si="3"/>
        <v>0</v>
      </c>
      <c r="H29" s="177" t="str">
        <f t="shared" si="1"/>
        <v>-</v>
      </c>
      <c r="I29" s="178">
        <f t="shared" si="4"/>
        <v>0</v>
      </c>
      <c r="J29" s="178">
        <f t="shared" si="7"/>
        <v>0</v>
      </c>
    </row>
    <row r="30" spans="2:10" ht="18" hidden="1">
      <c r="B30" s="173">
        <f t="shared" si="2"/>
        <v>24</v>
      </c>
      <c r="C30" s="174">
        <v>0</v>
      </c>
      <c r="D30" s="175">
        <v>0</v>
      </c>
      <c r="E30" s="176">
        <f t="shared" si="6"/>
        <v>0</v>
      </c>
      <c r="F30" s="177" t="str">
        <f t="shared" si="0"/>
        <v>-</v>
      </c>
      <c r="G30" s="178">
        <f t="shared" si="3"/>
        <v>0</v>
      </c>
      <c r="H30" s="177" t="str">
        <f t="shared" si="1"/>
        <v>-</v>
      </c>
      <c r="I30" s="178">
        <f t="shared" si="4"/>
        <v>0</v>
      </c>
      <c r="J30" s="178">
        <f t="shared" si="7"/>
        <v>0</v>
      </c>
    </row>
    <row r="31" spans="2:10" ht="18" hidden="1">
      <c r="B31" s="173">
        <f t="shared" si="2"/>
        <v>25</v>
      </c>
      <c r="C31" s="174">
        <v>0</v>
      </c>
      <c r="D31" s="175">
        <v>0</v>
      </c>
      <c r="E31" s="176">
        <f t="shared" si="6"/>
        <v>0</v>
      </c>
      <c r="F31" s="177" t="str">
        <f t="shared" si="0"/>
        <v>-</v>
      </c>
      <c r="G31" s="178">
        <f t="shared" si="3"/>
        <v>0</v>
      </c>
      <c r="H31" s="177" t="str">
        <f t="shared" si="1"/>
        <v>-</v>
      </c>
      <c r="I31" s="178">
        <f t="shared" si="4"/>
        <v>0</v>
      </c>
      <c r="J31" s="178">
        <f t="shared" si="7"/>
        <v>0</v>
      </c>
    </row>
    <row r="32" spans="2:10" ht="18" hidden="1">
      <c r="B32" s="173">
        <f t="shared" si="2"/>
        <v>26</v>
      </c>
      <c r="C32" s="174">
        <v>0</v>
      </c>
      <c r="D32" s="175">
        <v>0</v>
      </c>
      <c r="E32" s="176">
        <f t="shared" si="6"/>
        <v>0</v>
      </c>
      <c r="F32" s="177" t="str">
        <f t="shared" si="0"/>
        <v>-</v>
      </c>
      <c r="G32" s="178">
        <f t="shared" si="3"/>
        <v>0</v>
      </c>
      <c r="H32" s="177" t="str">
        <f t="shared" si="1"/>
        <v>-</v>
      </c>
      <c r="I32" s="178">
        <f t="shared" si="4"/>
        <v>0</v>
      </c>
      <c r="J32" s="178">
        <f t="shared" si="7"/>
        <v>0</v>
      </c>
    </row>
    <row r="33" spans="2:10" ht="18" hidden="1">
      <c r="B33" s="173">
        <f t="shared" si="2"/>
        <v>27</v>
      </c>
      <c r="C33" s="174">
        <v>0</v>
      </c>
      <c r="D33" s="175">
        <v>0</v>
      </c>
      <c r="E33" s="176">
        <f t="shared" si="6"/>
        <v>0</v>
      </c>
      <c r="F33" s="177" t="str">
        <f t="shared" si="0"/>
        <v>-</v>
      </c>
      <c r="G33" s="178">
        <f t="shared" si="3"/>
        <v>0</v>
      </c>
      <c r="H33" s="177" t="str">
        <f t="shared" si="1"/>
        <v>-</v>
      </c>
      <c r="I33" s="178">
        <f t="shared" si="4"/>
        <v>0</v>
      </c>
      <c r="J33" s="178">
        <f t="shared" si="7"/>
        <v>0</v>
      </c>
    </row>
    <row r="34" spans="2:10" ht="18" hidden="1">
      <c r="B34" s="173">
        <f t="shared" si="2"/>
        <v>28</v>
      </c>
      <c r="C34" s="174">
        <v>0</v>
      </c>
      <c r="D34" s="175">
        <v>0</v>
      </c>
      <c r="E34" s="176">
        <f t="shared" si="6"/>
        <v>0</v>
      </c>
      <c r="F34" s="177" t="str">
        <f t="shared" si="0"/>
        <v>-</v>
      </c>
      <c r="G34" s="178">
        <f t="shared" si="3"/>
        <v>0</v>
      </c>
      <c r="H34" s="177" t="str">
        <f t="shared" si="1"/>
        <v>-</v>
      </c>
      <c r="I34" s="178">
        <f t="shared" si="4"/>
        <v>0</v>
      </c>
      <c r="J34" s="178">
        <f t="shared" si="7"/>
        <v>0</v>
      </c>
    </row>
    <row r="35" spans="2:10" ht="18" hidden="1">
      <c r="B35" s="173">
        <f t="shared" si="2"/>
        <v>29</v>
      </c>
      <c r="C35" s="174">
        <v>0</v>
      </c>
      <c r="D35" s="175">
        <v>0</v>
      </c>
      <c r="E35" s="176">
        <f t="shared" si="6"/>
        <v>0</v>
      </c>
      <c r="F35" s="177" t="str">
        <f t="shared" si="0"/>
        <v>-</v>
      </c>
      <c r="G35" s="178">
        <f t="shared" si="3"/>
        <v>0</v>
      </c>
      <c r="H35" s="177" t="str">
        <f t="shared" si="1"/>
        <v>-</v>
      </c>
      <c r="I35" s="178">
        <f t="shared" si="4"/>
        <v>0</v>
      </c>
      <c r="J35" s="178">
        <f t="shared" si="7"/>
        <v>0</v>
      </c>
    </row>
    <row r="36" spans="2:10" ht="18" hidden="1">
      <c r="B36" s="173">
        <f t="shared" si="2"/>
        <v>30</v>
      </c>
      <c r="C36" s="174">
        <v>0</v>
      </c>
      <c r="D36" s="175">
        <v>0</v>
      </c>
      <c r="E36" s="176">
        <f t="shared" si="6"/>
        <v>0</v>
      </c>
      <c r="F36" s="177" t="str">
        <f t="shared" si="0"/>
        <v>-</v>
      </c>
      <c r="G36" s="178">
        <f t="shared" si="3"/>
        <v>0</v>
      </c>
      <c r="H36" s="177" t="str">
        <f t="shared" si="1"/>
        <v>-</v>
      </c>
      <c r="I36" s="178">
        <f t="shared" si="4"/>
        <v>0</v>
      </c>
      <c r="J36" s="178">
        <f t="shared" si="7"/>
        <v>0</v>
      </c>
    </row>
    <row r="37" spans="2:10" ht="18" hidden="1">
      <c r="B37" s="173">
        <f t="shared" si="2"/>
        <v>31</v>
      </c>
      <c r="C37" s="174">
        <v>0</v>
      </c>
      <c r="D37" s="175">
        <v>0</v>
      </c>
      <c r="E37" s="176">
        <f t="shared" si="6"/>
        <v>0</v>
      </c>
      <c r="F37" s="177" t="str">
        <f t="shared" si="0"/>
        <v>-</v>
      </c>
      <c r="G37" s="178">
        <f t="shared" si="3"/>
        <v>0</v>
      </c>
      <c r="H37" s="177" t="str">
        <f t="shared" si="1"/>
        <v>-</v>
      </c>
      <c r="I37" s="178">
        <f t="shared" si="4"/>
        <v>0</v>
      </c>
      <c r="J37" s="178">
        <f t="shared" si="7"/>
        <v>0</v>
      </c>
    </row>
    <row r="38" spans="2:10" ht="18" hidden="1">
      <c r="B38" s="173">
        <f t="shared" si="2"/>
        <v>32</v>
      </c>
      <c r="C38" s="174">
        <v>0</v>
      </c>
      <c r="D38" s="175">
        <v>0</v>
      </c>
      <c r="E38" s="176">
        <f t="shared" si="6"/>
        <v>0</v>
      </c>
      <c r="F38" s="177" t="str">
        <f aca="true" t="shared" si="8" ref="F38:F56">IF(B38&lt;=$C$3,POWER((1+$C$4),(B38*-1)),"-")</f>
        <v>-</v>
      </c>
      <c r="G38" s="178">
        <f t="shared" si="3"/>
        <v>0</v>
      </c>
      <c r="H38" s="177" t="str">
        <f aca="true" t="shared" si="9" ref="H38:H56">IF(B38&lt;=$C$3,POWER((1+$G$59),(B38*-1)),"-")</f>
        <v>-</v>
      </c>
      <c r="I38" s="178">
        <f t="shared" si="4"/>
        <v>0</v>
      </c>
      <c r="J38" s="178">
        <f t="shared" si="7"/>
        <v>0</v>
      </c>
    </row>
    <row r="39" spans="2:10" ht="18" hidden="1">
      <c r="B39" s="173">
        <f aca="true" t="shared" si="10" ref="B39:B56">B38+1</f>
        <v>33</v>
      </c>
      <c r="C39" s="174">
        <v>0</v>
      </c>
      <c r="D39" s="175">
        <v>0</v>
      </c>
      <c r="E39" s="176">
        <f t="shared" si="6"/>
        <v>0</v>
      </c>
      <c r="F39" s="177" t="str">
        <f t="shared" si="8"/>
        <v>-</v>
      </c>
      <c r="G39" s="178">
        <f aca="true" t="shared" si="11" ref="G39:G56">PV($C$4,B39,0,E39)*-1</f>
        <v>0</v>
      </c>
      <c r="H39" s="177" t="str">
        <f t="shared" si="9"/>
        <v>-</v>
      </c>
      <c r="I39" s="178">
        <f aca="true" t="shared" si="12" ref="I39:I56">PV($G$59,B39,0,E39)*-1</f>
        <v>0</v>
      </c>
      <c r="J39" s="178">
        <f t="shared" si="7"/>
        <v>0</v>
      </c>
    </row>
    <row r="40" spans="2:10" ht="18" hidden="1">
      <c r="B40" s="173">
        <f t="shared" si="10"/>
        <v>34</v>
      </c>
      <c r="C40" s="174">
        <v>0</v>
      </c>
      <c r="D40" s="175">
        <v>0</v>
      </c>
      <c r="E40" s="176">
        <f t="shared" si="6"/>
        <v>0</v>
      </c>
      <c r="F40" s="177" t="str">
        <f t="shared" si="8"/>
        <v>-</v>
      </c>
      <c r="G40" s="178">
        <f t="shared" si="11"/>
        <v>0</v>
      </c>
      <c r="H40" s="177" t="str">
        <f t="shared" si="9"/>
        <v>-</v>
      </c>
      <c r="I40" s="178">
        <f t="shared" si="12"/>
        <v>0</v>
      </c>
      <c r="J40" s="178">
        <f t="shared" si="7"/>
        <v>0</v>
      </c>
    </row>
    <row r="41" spans="2:10" ht="18" hidden="1">
      <c r="B41" s="173">
        <f t="shared" si="10"/>
        <v>35</v>
      </c>
      <c r="C41" s="174">
        <v>0</v>
      </c>
      <c r="D41" s="175">
        <v>0</v>
      </c>
      <c r="E41" s="176">
        <f t="shared" si="6"/>
        <v>0</v>
      </c>
      <c r="F41" s="177" t="str">
        <f t="shared" si="8"/>
        <v>-</v>
      </c>
      <c r="G41" s="178">
        <f t="shared" si="11"/>
        <v>0</v>
      </c>
      <c r="H41" s="177" t="str">
        <f t="shared" si="9"/>
        <v>-</v>
      </c>
      <c r="I41" s="178">
        <f t="shared" si="12"/>
        <v>0</v>
      </c>
      <c r="J41" s="178">
        <f t="shared" si="7"/>
        <v>0</v>
      </c>
    </row>
    <row r="42" spans="2:10" ht="18" hidden="1">
      <c r="B42" s="173">
        <f t="shared" si="10"/>
        <v>36</v>
      </c>
      <c r="C42" s="174">
        <v>0</v>
      </c>
      <c r="D42" s="175">
        <v>0</v>
      </c>
      <c r="E42" s="176">
        <f t="shared" si="6"/>
        <v>0</v>
      </c>
      <c r="F42" s="177" t="str">
        <f t="shared" si="8"/>
        <v>-</v>
      </c>
      <c r="G42" s="178">
        <f t="shared" si="11"/>
        <v>0</v>
      </c>
      <c r="H42" s="177" t="str">
        <f t="shared" si="9"/>
        <v>-</v>
      </c>
      <c r="I42" s="178">
        <f t="shared" si="12"/>
        <v>0</v>
      </c>
      <c r="J42" s="178">
        <f t="shared" si="7"/>
        <v>0</v>
      </c>
    </row>
    <row r="43" spans="2:10" ht="18" hidden="1">
      <c r="B43" s="173">
        <f t="shared" si="10"/>
        <v>37</v>
      </c>
      <c r="C43" s="174">
        <v>0</v>
      </c>
      <c r="D43" s="175">
        <v>0</v>
      </c>
      <c r="E43" s="176">
        <f t="shared" si="6"/>
        <v>0</v>
      </c>
      <c r="F43" s="177" t="str">
        <f t="shared" si="8"/>
        <v>-</v>
      </c>
      <c r="G43" s="178">
        <f t="shared" si="11"/>
        <v>0</v>
      </c>
      <c r="H43" s="177" t="str">
        <f t="shared" si="9"/>
        <v>-</v>
      </c>
      <c r="I43" s="178">
        <f t="shared" si="12"/>
        <v>0</v>
      </c>
      <c r="J43" s="178">
        <f t="shared" si="7"/>
        <v>0</v>
      </c>
    </row>
    <row r="44" spans="2:10" ht="18" hidden="1">
      <c r="B44" s="173">
        <f t="shared" si="10"/>
        <v>38</v>
      </c>
      <c r="C44" s="174">
        <v>0</v>
      </c>
      <c r="D44" s="175">
        <v>0</v>
      </c>
      <c r="E44" s="176">
        <f t="shared" si="6"/>
        <v>0</v>
      </c>
      <c r="F44" s="177" t="str">
        <f t="shared" si="8"/>
        <v>-</v>
      </c>
      <c r="G44" s="178">
        <f t="shared" si="11"/>
        <v>0</v>
      </c>
      <c r="H44" s="177" t="str">
        <f t="shared" si="9"/>
        <v>-</v>
      </c>
      <c r="I44" s="178">
        <f t="shared" si="12"/>
        <v>0</v>
      </c>
      <c r="J44" s="178">
        <f t="shared" si="7"/>
        <v>0</v>
      </c>
    </row>
    <row r="45" spans="2:10" ht="18" hidden="1">
      <c r="B45" s="173">
        <f t="shared" si="10"/>
        <v>39</v>
      </c>
      <c r="C45" s="174">
        <v>0</v>
      </c>
      <c r="D45" s="175">
        <v>0</v>
      </c>
      <c r="E45" s="176">
        <f t="shared" si="6"/>
        <v>0</v>
      </c>
      <c r="F45" s="177" t="str">
        <f t="shared" si="8"/>
        <v>-</v>
      </c>
      <c r="G45" s="178">
        <f t="shared" si="11"/>
        <v>0</v>
      </c>
      <c r="H45" s="177" t="str">
        <f t="shared" si="9"/>
        <v>-</v>
      </c>
      <c r="I45" s="178">
        <f t="shared" si="12"/>
        <v>0</v>
      </c>
      <c r="J45" s="178">
        <f t="shared" si="7"/>
        <v>0</v>
      </c>
    </row>
    <row r="46" spans="2:10" ht="18" hidden="1">
      <c r="B46" s="173">
        <f t="shared" si="10"/>
        <v>40</v>
      </c>
      <c r="C46" s="174">
        <v>0</v>
      </c>
      <c r="D46" s="175">
        <v>0</v>
      </c>
      <c r="E46" s="176">
        <f t="shared" si="6"/>
        <v>0</v>
      </c>
      <c r="F46" s="177" t="str">
        <f t="shared" si="8"/>
        <v>-</v>
      </c>
      <c r="G46" s="178">
        <f t="shared" si="11"/>
        <v>0</v>
      </c>
      <c r="H46" s="177" t="str">
        <f t="shared" si="9"/>
        <v>-</v>
      </c>
      <c r="I46" s="178">
        <f t="shared" si="12"/>
        <v>0</v>
      </c>
      <c r="J46" s="178">
        <f t="shared" si="7"/>
        <v>0</v>
      </c>
    </row>
    <row r="47" spans="2:10" ht="18" hidden="1">
      <c r="B47" s="173">
        <f t="shared" si="10"/>
        <v>41</v>
      </c>
      <c r="C47" s="174">
        <v>0</v>
      </c>
      <c r="D47" s="175">
        <v>0</v>
      </c>
      <c r="E47" s="176">
        <f t="shared" si="6"/>
        <v>0</v>
      </c>
      <c r="F47" s="177" t="str">
        <f t="shared" si="8"/>
        <v>-</v>
      </c>
      <c r="G47" s="178">
        <f t="shared" si="11"/>
        <v>0</v>
      </c>
      <c r="H47" s="177" t="str">
        <f t="shared" si="9"/>
        <v>-</v>
      </c>
      <c r="I47" s="178">
        <f t="shared" si="12"/>
        <v>0</v>
      </c>
      <c r="J47" s="178">
        <f t="shared" si="7"/>
        <v>0</v>
      </c>
    </row>
    <row r="48" spans="2:10" ht="18" hidden="1">
      <c r="B48" s="173">
        <f t="shared" si="10"/>
        <v>42</v>
      </c>
      <c r="C48" s="174">
        <v>0</v>
      </c>
      <c r="D48" s="175">
        <v>0</v>
      </c>
      <c r="E48" s="176">
        <f t="shared" si="6"/>
        <v>0</v>
      </c>
      <c r="F48" s="177" t="str">
        <f t="shared" si="8"/>
        <v>-</v>
      </c>
      <c r="G48" s="178">
        <f t="shared" si="11"/>
        <v>0</v>
      </c>
      <c r="H48" s="177" t="str">
        <f t="shared" si="9"/>
        <v>-</v>
      </c>
      <c r="I48" s="178">
        <f t="shared" si="12"/>
        <v>0</v>
      </c>
      <c r="J48" s="178">
        <f t="shared" si="7"/>
        <v>0</v>
      </c>
    </row>
    <row r="49" spans="2:10" ht="18" hidden="1">
      <c r="B49" s="173">
        <f t="shared" si="10"/>
        <v>43</v>
      </c>
      <c r="C49" s="174">
        <v>0</v>
      </c>
      <c r="D49" s="175">
        <v>0</v>
      </c>
      <c r="E49" s="176">
        <f t="shared" si="6"/>
        <v>0</v>
      </c>
      <c r="F49" s="177" t="str">
        <f t="shared" si="8"/>
        <v>-</v>
      </c>
      <c r="G49" s="178">
        <f t="shared" si="11"/>
        <v>0</v>
      </c>
      <c r="H49" s="177" t="str">
        <f t="shared" si="9"/>
        <v>-</v>
      </c>
      <c r="I49" s="178">
        <f t="shared" si="12"/>
        <v>0</v>
      </c>
      <c r="J49" s="178">
        <f t="shared" si="7"/>
        <v>0</v>
      </c>
    </row>
    <row r="50" spans="2:10" ht="18" hidden="1">
      <c r="B50" s="173">
        <f t="shared" si="10"/>
        <v>44</v>
      </c>
      <c r="C50" s="174">
        <v>0</v>
      </c>
      <c r="D50" s="175">
        <v>0</v>
      </c>
      <c r="E50" s="176">
        <f t="shared" si="6"/>
        <v>0</v>
      </c>
      <c r="F50" s="177" t="str">
        <f t="shared" si="8"/>
        <v>-</v>
      </c>
      <c r="G50" s="178">
        <f t="shared" si="11"/>
        <v>0</v>
      </c>
      <c r="H50" s="177" t="str">
        <f t="shared" si="9"/>
        <v>-</v>
      </c>
      <c r="I50" s="178">
        <f t="shared" si="12"/>
        <v>0</v>
      </c>
      <c r="J50" s="178">
        <f t="shared" si="7"/>
        <v>0</v>
      </c>
    </row>
    <row r="51" spans="2:10" ht="18" hidden="1">
      <c r="B51" s="173">
        <f t="shared" si="10"/>
        <v>45</v>
      </c>
      <c r="C51" s="174">
        <v>0</v>
      </c>
      <c r="D51" s="175">
        <v>0</v>
      </c>
      <c r="E51" s="176">
        <f t="shared" si="6"/>
        <v>0</v>
      </c>
      <c r="F51" s="177" t="str">
        <f t="shared" si="8"/>
        <v>-</v>
      </c>
      <c r="G51" s="178">
        <f t="shared" si="11"/>
        <v>0</v>
      </c>
      <c r="H51" s="177" t="str">
        <f t="shared" si="9"/>
        <v>-</v>
      </c>
      <c r="I51" s="178">
        <f t="shared" si="12"/>
        <v>0</v>
      </c>
      <c r="J51" s="178">
        <f t="shared" si="7"/>
        <v>0</v>
      </c>
    </row>
    <row r="52" spans="2:10" ht="18" hidden="1">
      <c r="B52" s="173">
        <f t="shared" si="10"/>
        <v>46</v>
      </c>
      <c r="C52" s="174">
        <v>0</v>
      </c>
      <c r="D52" s="175">
        <v>0</v>
      </c>
      <c r="E52" s="176">
        <f t="shared" si="6"/>
        <v>0</v>
      </c>
      <c r="F52" s="177" t="str">
        <f t="shared" si="8"/>
        <v>-</v>
      </c>
      <c r="G52" s="178">
        <f t="shared" si="11"/>
        <v>0</v>
      </c>
      <c r="H52" s="177" t="str">
        <f t="shared" si="9"/>
        <v>-</v>
      </c>
      <c r="I52" s="178">
        <f t="shared" si="12"/>
        <v>0</v>
      </c>
      <c r="J52" s="178">
        <f t="shared" si="7"/>
        <v>0</v>
      </c>
    </row>
    <row r="53" spans="2:10" ht="18" hidden="1">
      <c r="B53" s="173">
        <f t="shared" si="10"/>
        <v>47</v>
      </c>
      <c r="C53" s="174">
        <v>0</v>
      </c>
      <c r="D53" s="175">
        <v>0</v>
      </c>
      <c r="E53" s="176">
        <f t="shared" si="6"/>
        <v>0</v>
      </c>
      <c r="F53" s="177" t="str">
        <f t="shared" si="8"/>
        <v>-</v>
      </c>
      <c r="G53" s="178">
        <f t="shared" si="11"/>
        <v>0</v>
      </c>
      <c r="H53" s="177" t="str">
        <f t="shared" si="9"/>
        <v>-</v>
      </c>
      <c r="I53" s="178">
        <f t="shared" si="12"/>
        <v>0</v>
      </c>
      <c r="J53" s="178">
        <f t="shared" si="7"/>
        <v>0</v>
      </c>
    </row>
    <row r="54" spans="2:10" ht="18" hidden="1">
      <c r="B54" s="173">
        <f t="shared" si="10"/>
        <v>48</v>
      </c>
      <c r="C54" s="174">
        <v>0</v>
      </c>
      <c r="D54" s="175">
        <v>0</v>
      </c>
      <c r="E54" s="176">
        <f t="shared" si="6"/>
        <v>0</v>
      </c>
      <c r="F54" s="177" t="str">
        <f t="shared" si="8"/>
        <v>-</v>
      </c>
      <c r="G54" s="178">
        <f t="shared" si="11"/>
        <v>0</v>
      </c>
      <c r="H54" s="177" t="str">
        <f t="shared" si="9"/>
        <v>-</v>
      </c>
      <c r="I54" s="178">
        <f t="shared" si="12"/>
        <v>0</v>
      </c>
      <c r="J54" s="178">
        <f t="shared" si="7"/>
        <v>0</v>
      </c>
    </row>
    <row r="55" spans="2:10" ht="18" hidden="1">
      <c r="B55" s="173">
        <f t="shared" si="10"/>
        <v>49</v>
      </c>
      <c r="C55" s="174">
        <v>0</v>
      </c>
      <c r="D55" s="175">
        <v>0</v>
      </c>
      <c r="E55" s="176">
        <f t="shared" si="6"/>
        <v>0</v>
      </c>
      <c r="F55" s="177" t="str">
        <f t="shared" si="8"/>
        <v>-</v>
      </c>
      <c r="G55" s="178">
        <f t="shared" si="11"/>
        <v>0</v>
      </c>
      <c r="H55" s="177" t="str">
        <f t="shared" si="9"/>
        <v>-</v>
      </c>
      <c r="I55" s="178">
        <f t="shared" si="12"/>
        <v>0</v>
      </c>
      <c r="J55" s="178">
        <f t="shared" si="7"/>
        <v>0</v>
      </c>
    </row>
    <row r="56" spans="2:10" ht="18.75" hidden="1" thickBot="1">
      <c r="B56" s="180">
        <f t="shared" si="10"/>
        <v>50</v>
      </c>
      <c r="C56" s="181">
        <v>0</v>
      </c>
      <c r="D56" s="182">
        <v>0</v>
      </c>
      <c r="E56" s="183">
        <f t="shared" si="6"/>
        <v>0</v>
      </c>
      <c r="F56" s="184" t="str">
        <f t="shared" si="8"/>
        <v>-</v>
      </c>
      <c r="G56" s="185">
        <f t="shared" si="11"/>
        <v>0</v>
      </c>
      <c r="H56" s="184" t="str">
        <f t="shared" si="9"/>
        <v>-</v>
      </c>
      <c r="I56" s="185">
        <f t="shared" si="12"/>
        <v>0</v>
      </c>
      <c r="J56" s="185">
        <f t="shared" si="7"/>
        <v>0</v>
      </c>
    </row>
    <row r="57" spans="1:10" ht="18.75" thickBot="1">
      <c r="A57" t="s">
        <v>124</v>
      </c>
      <c r="B57" s="186" t="s">
        <v>125</v>
      </c>
      <c r="C57" s="187"/>
      <c r="D57" s="187"/>
      <c r="E57" s="187"/>
      <c r="F57" s="187"/>
      <c r="G57" s="188">
        <f>SUM(G6:G56)</f>
        <v>186003.71442925837</v>
      </c>
      <c r="H57" s="189"/>
      <c r="I57" s="190">
        <f>SUM(I6:I56)</f>
        <v>6.05359673500061E-09</v>
      </c>
      <c r="J57" s="138"/>
    </row>
    <row r="58" spans="2:10" ht="18.75" thickBot="1">
      <c r="B58" s="191" t="s">
        <v>126</v>
      </c>
      <c r="C58" s="192"/>
      <c r="D58" s="192"/>
      <c r="E58" s="192"/>
      <c r="F58" s="192"/>
      <c r="G58" s="193">
        <f>J7</f>
        <v>56158.39109192106</v>
      </c>
      <c r="H58" s="194"/>
      <c r="I58" s="194"/>
      <c r="J58" s="138"/>
    </row>
    <row r="59" spans="1:10" ht="18.75" thickBot="1">
      <c r="A59" t="s">
        <v>127</v>
      </c>
      <c r="B59" s="195" t="s">
        <v>128</v>
      </c>
      <c r="C59" s="196"/>
      <c r="D59" s="196"/>
      <c r="E59" s="196"/>
      <c r="F59" s="196"/>
      <c r="G59" s="197">
        <f>IRR(E6:E56)</f>
        <v>0.09290654694518741</v>
      </c>
      <c r="H59" s="198"/>
      <c r="I59" s="198"/>
      <c r="J59" s="138"/>
    </row>
    <row r="60" spans="2:10" ht="18.75" thickBot="1">
      <c r="B60" s="186" t="s">
        <v>129</v>
      </c>
      <c r="C60" s="187"/>
      <c r="D60" s="187"/>
      <c r="E60" s="187"/>
      <c r="F60" s="187"/>
      <c r="G60" s="199">
        <f>NPER(C4,G62,G6,0)</f>
        <v>3.833076593788415</v>
      </c>
      <c r="H60" s="200"/>
      <c r="I60" s="200"/>
      <c r="J60" s="138"/>
    </row>
    <row r="61" spans="2:9" ht="12.75" hidden="1">
      <c r="B61" s="93" t="s">
        <v>130</v>
      </c>
      <c r="G61" s="201">
        <f>SUM(G7:G56)</f>
        <v>5186003.714429258</v>
      </c>
      <c r="H61" s="201"/>
      <c r="I61" s="201"/>
    </row>
    <row r="62" spans="2:9" ht="12.75" hidden="1">
      <c r="B62" s="93" t="s">
        <v>131</v>
      </c>
      <c r="G62" s="202">
        <f>PMT(C4,C3,G61,0)*-1</f>
        <v>1565762.413362117</v>
      </c>
      <c r="H62" s="202"/>
      <c r="I62" s="202"/>
    </row>
    <row r="64" spans="1:2" ht="18">
      <c r="A64" t="s">
        <v>124</v>
      </c>
      <c r="B64" s="203" t="s">
        <v>132</v>
      </c>
    </row>
    <row r="65" spans="2:7" ht="78" customHeight="1">
      <c r="B65" s="359" t="str">
        <f>CONCATENATE("Da nutidsværdien er ",IF(G57&gt;=0,"positiv med ","negativ med "),"kr. ",ROUND(G57,0)," er investeringen ",IF(G57&gt;=0,"rentabel ","ikke rentabel "),"og bør ",IF(G57&gt;=0,"foretages. ","ikke foretages. "),"Den interne rente er på ",ROUND(G59,4)*100," hvilket er ",IF(ROUND((G59-C4),4)*100&gt;0,ROUND((G59-C4),4)*100,ROUND((G59-C4),4)*-100)," %-point ",IF(C4&lt;=G59,"over ","under "),"kalkulationsrenten på ",ROUND(C4,2)*100," %. ","Hvis man omregner nutidsværdien til en annuitet bliver det årlige ",IF(G57&gt;=0,"overskud ","underskud "),"på kr. ",ROUND(G58,0),". ","Både den ",IF(G57&gt;=0,"postive ","negative "),"nutidsværdi og det at den interne rente er ",IF(G57&gt;=0,"over ","under "),"kalkulationsrenten bekræfter os i at investeringen ",IF(G57&gt;=0,"bør foretages.","ikke bør foretages."))</f>
        <v>Da nutidsværdien er positiv med kr. 186004 er investeringen rentabel og bør foretages. Den interne rente er på 9,29 hvilket er 1,29 %-point over kalkulationsrenten på 8 %. Hvis man omregner nutidsværdien til en annuitet bliver det årlige overskud på kr. 56158. Både den postive nutidsværdi og det at den interne rente er over kalkulationsrenten bekræfter os i at investeringen bør foretages.</v>
      </c>
      <c r="C65" s="359"/>
      <c r="D65" s="359"/>
      <c r="E65" s="359"/>
      <c r="F65" s="359"/>
      <c r="G65" s="359"/>
    </row>
    <row r="66" spans="1:7" ht="15">
      <c r="A66" t="s">
        <v>137</v>
      </c>
      <c r="B66" s="204">
        <f>G58</f>
        <v>56158.39109192106</v>
      </c>
      <c r="C66" s="205" t="s">
        <v>138</v>
      </c>
      <c r="D66" s="206">
        <f>G58/150</f>
        <v>374.3892739461404</v>
      </c>
      <c r="E66" s="207" t="s">
        <v>139</v>
      </c>
      <c r="F66" s="207"/>
      <c r="G66" s="207"/>
    </row>
    <row r="67" spans="2:7" ht="15.75" thickBot="1">
      <c r="B67" s="208" t="s">
        <v>141</v>
      </c>
      <c r="C67" s="208"/>
      <c r="D67" s="209">
        <f>10000-D66</f>
        <v>9625.61072605386</v>
      </c>
      <c r="E67" s="208" t="s">
        <v>140</v>
      </c>
      <c r="F67" s="208"/>
      <c r="G67" s="207"/>
    </row>
    <row r="68" ht="13.5" thickTop="1"/>
    <row r="69" spans="1:2" ht="12.75">
      <c r="A69" t="s">
        <v>142</v>
      </c>
      <c r="B69" t="s">
        <v>143</v>
      </c>
    </row>
    <row r="70" ht="12.75">
      <c r="B70" t="s">
        <v>144</v>
      </c>
    </row>
    <row r="71" ht="12.75">
      <c r="B71" t="s">
        <v>145</v>
      </c>
    </row>
  </sheetData>
  <mergeCells count="2">
    <mergeCell ref="B1:D1"/>
    <mergeCell ref="B65:G65"/>
  </mergeCells>
  <printOptions/>
  <pageMargins left="0.7874015748031497" right="0.3937007874015748" top="0.984251968503937" bottom="0.984251968503937" header="0" footer="0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37"/>
  <sheetViews>
    <sheetView zoomScale="90" zoomScaleNormal="90" workbookViewId="0" topLeftCell="A1">
      <selection activeCell="H27" sqref="H27"/>
    </sheetView>
  </sheetViews>
  <sheetFormatPr defaultColWidth="9.140625" defaultRowHeight="12.75"/>
  <cols>
    <col min="1" max="1" width="13.00390625" style="0" customWidth="1"/>
    <col min="2" max="2" width="3.140625" style="0" customWidth="1"/>
    <col min="3" max="3" width="3.28125" style="0" customWidth="1"/>
    <col min="4" max="4" width="10.140625" style="0" customWidth="1"/>
    <col min="5" max="5" width="13.00390625" style="0" customWidth="1"/>
    <col min="6" max="6" width="3.00390625" style="0" customWidth="1"/>
    <col min="7" max="7" width="1.8515625" style="0" customWidth="1"/>
    <col min="8" max="8" width="2.7109375" style="0" customWidth="1"/>
    <col min="9" max="9" width="14.00390625" style="0" bestFit="1" customWidth="1"/>
    <col min="10" max="10" width="4.28125" style="0" customWidth="1"/>
    <col min="11" max="11" width="6.28125" style="0" customWidth="1"/>
    <col min="12" max="12" width="3.00390625" style="0" customWidth="1"/>
    <col min="13" max="13" width="15.140625" style="0" bestFit="1" customWidth="1"/>
    <col min="14" max="14" width="8.421875" style="0" customWidth="1"/>
    <col min="15" max="15" width="3.28125" style="0" customWidth="1"/>
    <col min="16" max="16" width="2.140625" style="0" customWidth="1"/>
    <col min="17" max="17" width="3.8515625" style="0" customWidth="1"/>
    <col min="18" max="18" width="7.7109375" style="0" customWidth="1"/>
    <col min="19" max="19" width="3.140625" style="0" customWidth="1"/>
    <col min="20" max="20" width="2.421875" style="0" customWidth="1"/>
    <col min="21" max="21" width="11.28125" style="0" bestFit="1" customWidth="1"/>
    <col min="22" max="22" width="11.28125" style="0" customWidth="1"/>
  </cols>
  <sheetData>
    <row r="1" spans="1:9" ht="27" thickBot="1">
      <c r="A1" s="210" t="s">
        <v>146</v>
      </c>
      <c r="H1" s="211" t="s">
        <v>147</v>
      </c>
      <c r="I1" s="136"/>
    </row>
    <row r="2" spans="1:21" ht="12.75">
      <c r="A2" s="694" t="s">
        <v>148</v>
      </c>
      <c r="B2" s="695"/>
      <c r="C2" s="695"/>
      <c r="D2" s="695"/>
      <c r="E2" s="695"/>
      <c r="F2" s="695"/>
      <c r="G2" s="695"/>
      <c r="H2" s="695"/>
      <c r="I2" s="695"/>
      <c r="J2" s="212"/>
      <c r="K2" s="694" t="s">
        <v>149</v>
      </c>
      <c r="L2" s="696"/>
      <c r="M2" s="695"/>
      <c r="N2" s="695"/>
      <c r="O2" s="695"/>
      <c r="P2" s="695"/>
      <c r="Q2" s="695"/>
      <c r="R2" s="695"/>
      <c r="S2" s="695"/>
      <c r="T2" s="695"/>
      <c r="U2" s="697"/>
    </row>
    <row r="3" spans="1:21" ht="13.5" thickBot="1">
      <c r="A3" s="145" t="s">
        <v>150</v>
      </c>
      <c r="B3" s="671" t="s">
        <v>151</v>
      </c>
      <c r="C3" s="678" t="s">
        <v>152</v>
      </c>
      <c r="D3" s="678"/>
      <c r="E3" s="215">
        <v>-1</v>
      </c>
      <c r="F3" s="676" t="s">
        <v>153</v>
      </c>
      <c r="G3" s="682"/>
      <c r="H3" s="676" t="s">
        <v>154</v>
      </c>
      <c r="I3" s="677">
        <v>1000</v>
      </c>
      <c r="J3" s="323"/>
      <c r="K3" s="145" t="s">
        <v>155</v>
      </c>
      <c r="L3" s="639" t="s">
        <v>152</v>
      </c>
      <c r="M3" s="672">
        <v>0</v>
      </c>
      <c r="N3" s="672"/>
      <c r="O3" s="218"/>
      <c r="P3" s="218"/>
      <c r="Q3" s="218"/>
      <c r="R3" s="218"/>
      <c r="S3" s="218"/>
      <c r="T3" s="218"/>
      <c r="U3" s="219"/>
    </row>
    <row r="4" spans="1:21" ht="12.75">
      <c r="A4" s="145"/>
      <c r="B4" s="671"/>
      <c r="C4" s="678"/>
      <c r="D4" s="678"/>
      <c r="E4" s="220">
        <v>2</v>
      </c>
      <c r="F4" s="676"/>
      <c r="G4" s="682"/>
      <c r="H4" s="676"/>
      <c r="I4" s="677"/>
      <c r="J4" s="323"/>
      <c r="K4" s="145"/>
      <c r="L4" s="639"/>
      <c r="M4" s="672"/>
      <c r="N4" s="672"/>
      <c r="O4" s="132"/>
      <c r="P4" s="132"/>
      <c r="Q4" s="221"/>
      <c r="R4" s="132"/>
      <c r="S4" s="132"/>
      <c r="T4" s="132"/>
      <c r="U4" s="222"/>
    </row>
    <row r="5" spans="1:21" ht="14.25" customHeight="1">
      <c r="A5" s="680"/>
      <c r="B5" s="681"/>
      <c r="C5" s="681"/>
      <c r="D5" s="681"/>
      <c r="E5" s="681"/>
      <c r="F5" s="681"/>
      <c r="G5" s="681"/>
      <c r="H5" s="681"/>
      <c r="I5" s="681"/>
      <c r="J5" s="681"/>
      <c r="K5" s="145" t="s">
        <v>156</v>
      </c>
      <c r="L5" s="639" t="s">
        <v>152</v>
      </c>
      <c r="M5" s="639"/>
      <c r="N5" s="225">
        <v>0</v>
      </c>
      <c r="O5" s="669" t="str">
        <f>F3</f>
        <v>X</v>
      </c>
      <c r="P5" s="675">
        <v>2</v>
      </c>
      <c r="Q5" s="669" t="s">
        <v>154</v>
      </c>
      <c r="R5" s="216">
        <v>250</v>
      </c>
      <c r="S5" s="669" t="str">
        <f>O5</f>
        <v>X</v>
      </c>
      <c r="T5" s="132"/>
      <c r="U5" s="222"/>
    </row>
    <row r="6" spans="1:21" ht="13.5" customHeight="1" thickBot="1">
      <c r="A6" s="145" t="s">
        <v>18</v>
      </c>
      <c r="B6" s="679"/>
      <c r="C6" s="683" t="s">
        <v>152</v>
      </c>
      <c r="D6" s="683"/>
      <c r="E6" s="44">
        <f>E3</f>
        <v>-1</v>
      </c>
      <c r="F6" s="640" t="str">
        <f>F3</f>
        <v>X</v>
      </c>
      <c r="G6" s="684">
        <v>2</v>
      </c>
      <c r="H6" s="640" t="s">
        <v>154</v>
      </c>
      <c r="I6" s="671">
        <f>I3</f>
        <v>1000</v>
      </c>
      <c r="J6" s="674" t="str">
        <f>F3</f>
        <v>X</v>
      </c>
      <c r="K6" s="145"/>
      <c r="L6" s="639"/>
      <c r="M6" s="639"/>
      <c r="N6" s="231">
        <v>1</v>
      </c>
      <c r="O6" s="669"/>
      <c r="P6" s="675"/>
      <c r="Q6" s="669"/>
      <c r="R6" s="232"/>
      <c r="S6" s="669"/>
      <c r="T6" s="132"/>
      <c r="U6" s="222"/>
    </row>
    <row r="7" spans="1:21" ht="20.25">
      <c r="A7" s="145"/>
      <c r="B7" s="679"/>
      <c r="C7" s="683"/>
      <c r="D7" s="683"/>
      <c r="E7" s="233">
        <f>E4</f>
        <v>2</v>
      </c>
      <c r="F7" s="640"/>
      <c r="G7" s="684"/>
      <c r="H7" s="640"/>
      <c r="I7" s="671"/>
      <c r="J7" s="674"/>
      <c r="K7" s="49"/>
      <c r="L7" s="132"/>
      <c r="M7" s="132"/>
      <c r="N7" s="132"/>
      <c r="O7" s="132"/>
      <c r="P7" s="149"/>
      <c r="Q7" s="234"/>
      <c r="R7" s="132"/>
      <c r="S7" s="132"/>
      <c r="T7" s="132"/>
      <c r="U7" s="222"/>
    </row>
    <row r="8" spans="1:21" ht="20.25">
      <c r="A8" s="213"/>
      <c r="B8" s="226"/>
      <c r="C8" s="227"/>
      <c r="D8" s="227"/>
      <c r="E8" s="233"/>
      <c r="F8" s="229"/>
      <c r="G8" s="235"/>
      <c r="H8" s="229"/>
      <c r="I8" s="214"/>
      <c r="J8" s="230"/>
      <c r="K8" s="145" t="s">
        <v>157</v>
      </c>
      <c r="L8" s="639" t="s">
        <v>152</v>
      </c>
      <c r="M8" s="639"/>
      <c r="N8" s="217">
        <f aca="true" t="shared" si="0" ref="N8:S8">N5</f>
        <v>0</v>
      </c>
      <c r="O8" s="640" t="str">
        <f t="shared" si="0"/>
        <v>X</v>
      </c>
      <c r="P8" s="670">
        <f t="shared" si="0"/>
        <v>2</v>
      </c>
      <c r="Q8" s="640" t="str">
        <f t="shared" si="0"/>
        <v>+</v>
      </c>
      <c r="R8" s="671">
        <f t="shared" si="0"/>
        <v>250</v>
      </c>
      <c r="S8" s="640" t="str">
        <f t="shared" si="0"/>
        <v>X</v>
      </c>
      <c r="T8" s="640" t="s">
        <v>154</v>
      </c>
      <c r="U8" s="666">
        <f>M3</f>
        <v>0</v>
      </c>
    </row>
    <row r="9" spans="1:21" ht="20.25">
      <c r="A9" s="223"/>
      <c r="B9" s="224"/>
      <c r="C9" s="217"/>
      <c r="D9" s="217"/>
      <c r="E9" s="236"/>
      <c r="F9" s="237"/>
      <c r="G9" s="238"/>
      <c r="H9" s="239"/>
      <c r="I9" s="132"/>
      <c r="J9" s="132"/>
      <c r="K9" s="145"/>
      <c r="L9" s="639"/>
      <c r="M9" s="639"/>
      <c r="N9" s="217">
        <f>N6</f>
        <v>1</v>
      </c>
      <c r="O9" s="640"/>
      <c r="P9" s="670"/>
      <c r="Q9" s="640"/>
      <c r="R9" s="671"/>
      <c r="S9" s="640"/>
      <c r="T9" s="640"/>
      <c r="U9" s="666"/>
    </row>
    <row r="10" spans="1:21" ht="21">
      <c r="A10" s="223"/>
      <c r="B10" s="224"/>
      <c r="C10" s="217"/>
      <c r="D10" s="217"/>
      <c r="E10" s="236"/>
      <c r="F10" s="237"/>
      <c r="G10" s="238"/>
      <c r="H10" s="239"/>
      <c r="I10" s="132"/>
      <c r="J10" s="132"/>
      <c r="K10" s="240"/>
      <c r="L10" s="241"/>
      <c r="M10" s="132"/>
      <c r="N10" s="132"/>
      <c r="O10" s="229"/>
      <c r="P10" s="242"/>
      <c r="Q10" s="234"/>
      <c r="R10" s="132"/>
      <c r="S10" s="243"/>
      <c r="T10" s="221"/>
      <c r="U10" s="96"/>
    </row>
    <row r="11" spans="1:21" ht="13.5" thickBot="1">
      <c r="A11" s="145" t="s">
        <v>158</v>
      </c>
      <c r="B11" s="679"/>
      <c r="C11" s="683" t="s">
        <v>152</v>
      </c>
      <c r="D11" s="683"/>
      <c r="E11" s="44">
        <f>E6*2</f>
        <v>-2</v>
      </c>
      <c r="F11" s="640" t="str">
        <f>F6</f>
        <v>X</v>
      </c>
      <c r="G11" s="132"/>
      <c r="H11" s="640" t="s">
        <v>154</v>
      </c>
      <c r="I11" s="671">
        <f>I6</f>
        <v>1000</v>
      </c>
      <c r="J11" s="671"/>
      <c r="K11" s="145" t="s">
        <v>191</v>
      </c>
      <c r="L11" s="639" t="s">
        <v>152</v>
      </c>
      <c r="M11" s="639"/>
      <c r="N11" s="217">
        <f>N5*P8</f>
        <v>0</v>
      </c>
      <c r="O11" s="640" t="str">
        <f>O8</f>
        <v>X</v>
      </c>
      <c r="P11" s="132"/>
      <c r="Q11" s="640" t="str">
        <f>Q8</f>
        <v>+</v>
      </c>
      <c r="R11" s="667">
        <f>R5</f>
        <v>250</v>
      </c>
      <c r="S11" s="132"/>
      <c r="T11" s="132"/>
      <c r="U11" s="222"/>
    </row>
    <row r="12" spans="1:21" ht="13.5" thickBot="1">
      <c r="A12" s="267"/>
      <c r="B12" s="685"/>
      <c r="C12" s="321"/>
      <c r="D12" s="321"/>
      <c r="E12" s="255">
        <f>E4</f>
        <v>2</v>
      </c>
      <c r="F12" s="248"/>
      <c r="G12" s="14"/>
      <c r="H12" s="248"/>
      <c r="I12" s="673"/>
      <c r="J12" s="673"/>
      <c r="K12" s="145"/>
      <c r="L12" s="639"/>
      <c r="M12" s="639"/>
      <c r="N12" s="217">
        <f>N9</f>
        <v>1</v>
      </c>
      <c r="O12" s="640"/>
      <c r="P12" s="132"/>
      <c r="Q12" s="640"/>
      <c r="R12" s="667"/>
      <c r="S12" s="132"/>
      <c r="T12" s="132"/>
      <c r="U12" s="222"/>
    </row>
    <row r="13" spans="1:21" ht="21.75" customHeight="1" thickBot="1">
      <c r="A13" s="226"/>
      <c r="B13" s="226"/>
      <c r="C13" s="227"/>
      <c r="D13" s="227"/>
      <c r="E13" s="233"/>
      <c r="F13" s="229"/>
      <c r="G13" s="132"/>
      <c r="H13" s="229"/>
      <c r="I13" s="214"/>
      <c r="J13" s="214"/>
      <c r="K13" s="244" t="s">
        <v>159</v>
      </c>
      <c r="L13" s="269" t="s">
        <v>152</v>
      </c>
      <c r="M13" s="269"/>
      <c r="N13" s="257">
        <v>600</v>
      </c>
      <c r="O13" s="257"/>
      <c r="P13" s="257"/>
      <c r="Q13" s="256" t="str">
        <f>O11</f>
        <v>X</v>
      </c>
      <c r="R13" s="258"/>
      <c r="S13" s="14"/>
      <c r="T13" s="14"/>
      <c r="U13" s="259"/>
    </row>
    <row r="14" spans="1:21" ht="14.25" customHeight="1">
      <c r="A14" s="226"/>
      <c r="B14" s="226"/>
      <c r="C14" s="227"/>
      <c r="D14" s="227"/>
      <c r="E14" s="233"/>
      <c r="F14" s="229"/>
      <c r="G14" s="132"/>
      <c r="H14" s="229"/>
      <c r="I14" s="214"/>
      <c r="J14" s="214"/>
      <c r="K14" s="324" t="s">
        <v>192</v>
      </c>
      <c r="L14" s="268" t="s">
        <v>152</v>
      </c>
      <c r="M14" s="268"/>
      <c r="N14" s="260">
        <f>N16*0.5</f>
        <v>0</v>
      </c>
      <c r="O14" s="249" t="str">
        <f>O16</f>
        <v>X</v>
      </c>
      <c r="P14" s="251">
        <f>P5</f>
        <v>2</v>
      </c>
      <c r="Q14" s="247" t="s">
        <v>154</v>
      </c>
      <c r="R14" s="245">
        <f>R16</f>
        <v>300</v>
      </c>
      <c r="S14" s="320" t="str">
        <f>O14</f>
        <v>X</v>
      </c>
      <c r="T14" s="132"/>
      <c r="U14" s="222"/>
    </row>
    <row r="15" spans="1:21" ht="14.25" customHeight="1" thickBot="1">
      <c r="A15" s="226"/>
      <c r="B15" s="226"/>
      <c r="C15" s="227"/>
      <c r="D15" s="227"/>
      <c r="E15" s="233"/>
      <c r="F15" s="229"/>
      <c r="G15" s="132"/>
      <c r="H15" s="229"/>
      <c r="I15" s="214"/>
      <c r="J15" s="214"/>
      <c r="K15" s="267"/>
      <c r="L15" s="269"/>
      <c r="M15" s="269"/>
      <c r="N15" s="261">
        <f>N17</f>
        <v>1</v>
      </c>
      <c r="O15" s="250"/>
      <c r="P15" s="252"/>
      <c r="Q15" s="248"/>
      <c r="R15" s="246"/>
      <c r="S15" s="321"/>
      <c r="T15" s="132"/>
      <c r="U15" s="222"/>
    </row>
    <row r="16" spans="1:21" ht="13.5" customHeight="1">
      <c r="A16" s="226"/>
      <c r="B16" s="226"/>
      <c r="C16" s="227"/>
      <c r="D16" s="227"/>
      <c r="E16" s="233"/>
      <c r="F16" s="229"/>
      <c r="G16" s="132"/>
      <c r="H16" s="229"/>
      <c r="I16" s="214"/>
      <c r="J16" s="214"/>
      <c r="K16" s="324" t="s">
        <v>193</v>
      </c>
      <c r="L16" s="268" t="str">
        <f>L13</f>
        <v>=</v>
      </c>
      <c r="M16" s="268"/>
      <c r="N16" s="262">
        <v>0</v>
      </c>
      <c r="O16" s="247" t="str">
        <f>O11</f>
        <v>X</v>
      </c>
      <c r="P16" s="322"/>
      <c r="Q16" s="247" t="str">
        <f>Q11</f>
        <v>+</v>
      </c>
      <c r="R16" s="253">
        <v>300</v>
      </c>
      <c r="S16" s="212"/>
      <c r="T16" s="212"/>
      <c r="U16" s="263"/>
    </row>
    <row r="17" spans="1:21" ht="14.25" customHeight="1">
      <c r="A17" s="226"/>
      <c r="B17" s="226"/>
      <c r="C17" s="227"/>
      <c r="D17" s="227"/>
      <c r="E17" s="233"/>
      <c r="F17" s="229"/>
      <c r="G17" s="132"/>
      <c r="H17" s="229"/>
      <c r="I17" s="214"/>
      <c r="J17" s="214"/>
      <c r="K17" s="145"/>
      <c r="L17" s="641"/>
      <c r="M17" s="641"/>
      <c r="N17" s="231">
        <v>1</v>
      </c>
      <c r="O17" s="640"/>
      <c r="P17" s="323"/>
      <c r="Q17" s="640"/>
      <c r="R17" s="254"/>
      <c r="S17" s="132"/>
      <c r="T17" s="132"/>
      <c r="U17" s="222"/>
    </row>
    <row r="18" spans="1:21" ht="21.75" customHeight="1" thickBot="1">
      <c r="A18" s="226"/>
      <c r="B18" s="226"/>
      <c r="C18" s="227"/>
      <c r="D18" s="227"/>
      <c r="E18" s="233"/>
      <c r="F18" s="229"/>
      <c r="G18" s="132"/>
      <c r="H18" s="229"/>
      <c r="I18" s="214"/>
      <c r="J18" s="214"/>
      <c r="K18" s="244" t="s">
        <v>159</v>
      </c>
      <c r="L18" s="269" t="str">
        <f>L16</f>
        <v>=</v>
      </c>
      <c r="M18" s="144"/>
      <c r="N18" s="257">
        <v>1300</v>
      </c>
      <c r="O18" s="257"/>
      <c r="P18" s="257"/>
      <c r="Q18" s="256" t="str">
        <f>Q13</f>
        <v>X</v>
      </c>
      <c r="R18" s="258"/>
      <c r="S18" s="14"/>
      <c r="T18" s="14"/>
      <c r="U18" s="259"/>
    </row>
    <row r="19" spans="1:21" ht="15" customHeight="1">
      <c r="A19" s="226"/>
      <c r="B19" s="226"/>
      <c r="C19" s="227"/>
      <c r="D19" s="227"/>
      <c r="E19" s="233"/>
      <c r="F19" s="229"/>
      <c r="G19" s="132"/>
      <c r="H19" s="229"/>
      <c r="I19" s="214"/>
      <c r="J19" s="214"/>
      <c r="K19" s="324" t="s">
        <v>194</v>
      </c>
      <c r="L19" s="268" t="s">
        <v>152</v>
      </c>
      <c r="M19" s="268"/>
      <c r="N19" s="260">
        <f>N21*0.5</f>
        <v>0</v>
      </c>
      <c r="O19" s="249" t="str">
        <f>O16</f>
        <v>X</v>
      </c>
      <c r="P19" s="251">
        <f>P14</f>
        <v>2</v>
      </c>
      <c r="Q19" s="247" t="s">
        <v>154</v>
      </c>
      <c r="R19" s="245">
        <f>R21</f>
        <v>0</v>
      </c>
      <c r="S19" s="320" t="str">
        <f>S14</f>
        <v>X</v>
      </c>
      <c r="T19" s="132"/>
      <c r="U19" s="222"/>
    </row>
    <row r="20" spans="1:21" ht="14.25" customHeight="1" thickBot="1">
      <c r="A20" s="226"/>
      <c r="B20" s="226"/>
      <c r="C20" s="227"/>
      <c r="D20" s="227"/>
      <c r="E20" s="233"/>
      <c r="F20" s="229"/>
      <c r="G20" s="132"/>
      <c r="H20" s="229"/>
      <c r="I20" s="214"/>
      <c r="J20" s="214"/>
      <c r="K20" s="267"/>
      <c r="L20" s="269"/>
      <c r="M20" s="269"/>
      <c r="N20" s="264">
        <f>N22</f>
        <v>1</v>
      </c>
      <c r="O20" s="250"/>
      <c r="P20" s="252"/>
      <c r="Q20" s="248"/>
      <c r="R20" s="246"/>
      <c r="S20" s="321"/>
      <c r="T20" s="132"/>
      <c r="U20" s="222"/>
    </row>
    <row r="21" spans="1:21" ht="15.75" customHeight="1">
      <c r="A21" s="226"/>
      <c r="B21" s="226"/>
      <c r="C21" s="227"/>
      <c r="D21" s="227"/>
      <c r="E21" s="233"/>
      <c r="F21" s="229"/>
      <c r="G21" s="132"/>
      <c r="H21" s="229"/>
      <c r="I21" s="214"/>
      <c r="J21" s="214"/>
      <c r="K21" s="324" t="s">
        <v>195</v>
      </c>
      <c r="L21" s="268" t="str">
        <f>L16</f>
        <v>=</v>
      </c>
      <c r="M21" s="90"/>
      <c r="N21" s="262">
        <v>0</v>
      </c>
      <c r="O21" s="247" t="str">
        <f>O16</f>
        <v>X</v>
      </c>
      <c r="P21" s="212"/>
      <c r="Q21" s="247" t="str">
        <f>Q16</f>
        <v>+</v>
      </c>
      <c r="R21" s="253">
        <v>0</v>
      </c>
      <c r="S21" s="212"/>
      <c r="T21" s="212"/>
      <c r="U21" s="263"/>
    </row>
    <row r="22" spans="1:21" ht="14.25" customHeight="1">
      <c r="A22" s="226"/>
      <c r="B22" s="226"/>
      <c r="C22" s="227"/>
      <c r="D22" s="227"/>
      <c r="E22" s="233"/>
      <c r="F22" s="229"/>
      <c r="G22" s="132"/>
      <c r="H22" s="229"/>
      <c r="I22" s="214"/>
      <c r="J22" s="214"/>
      <c r="K22" s="145"/>
      <c r="L22" s="639"/>
      <c r="M22" s="639"/>
      <c r="N22" s="231">
        <v>1</v>
      </c>
      <c r="O22" s="640"/>
      <c r="P22" s="132"/>
      <c r="Q22" s="640"/>
      <c r="R22" s="254"/>
      <c r="S22" s="132"/>
      <c r="T22" s="132"/>
      <c r="U22" s="222"/>
    </row>
    <row r="23" spans="1:21" ht="19.5" customHeight="1" thickBot="1">
      <c r="A23" s="265" t="s">
        <v>160</v>
      </c>
      <c r="B23" s="218"/>
      <c r="C23" s="132" t="str">
        <f>C6</f>
        <v>=</v>
      </c>
      <c r="D23" s="266">
        <v>1300</v>
      </c>
      <c r="E23" s="236"/>
      <c r="F23" s="237"/>
      <c r="G23" s="132"/>
      <c r="H23" s="270"/>
      <c r="I23" s="132"/>
      <c r="J23" s="132"/>
      <c r="K23" s="271" t="s">
        <v>159</v>
      </c>
      <c r="L23" s="228" t="str">
        <f>L21</f>
        <v>=</v>
      </c>
      <c r="M23" s="143"/>
      <c r="N23" s="257">
        <v>0</v>
      </c>
      <c r="O23" s="257"/>
      <c r="P23" s="257"/>
      <c r="Q23" s="43" t="str">
        <f>Q18</f>
        <v>X</v>
      </c>
      <c r="R23" s="14"/>
      <c r="S23" s="14"/>
      <c r="T23" s="14"/>
      <c r="U23" s="259"/>
    </row>
    <row r="24" spans="1:21" ht="19.5" customHeight="1">
      <c r="A24" s="265"/>
      <c r="B24" s="218"/>
      <c r="C24" s="132"/>
      <c r="D24" s="111"/>
      <c r="E24" s="236"/>
      <c r="F24" s="237"/>
      <c r="G24" s="132"/>
      <c r="H24" s="270"/>
      <c r="I24" s="132"/>
      <c r="J24" s="132"/>
      <c r="K24" s="241"/>
      <c r="L24" s="272"/>
      <c r="M24" s="224"/>
      <c r="N24" s="273"/>
      <c r="O24" s="273"/>
      <c r="P24" s="273"/>
      <c r="Q24" s="274"/>
      <c r="R24" s="132"/>
      <c r="S24" s="132"/>
      <c r="T24" s="132"/>
      <c r="U24" s="132"/>
    </row>
    <row r="25" spans="1:21" ht="19.5" customHeight="1">
      <c r="A25" s="265"/>
      <c r="B25" s="218"/>
      <c r="C25" s="132"/>
      <c r="D25" s="111"/>
      <c r="E25" s="236"/>
      <c r="F25" s="237"/>
      <c r="G25" s="132"/>
      <c r="H25" s="270"/>
      <c r="I25" s="132"/>
      <c r="J25" s="132"/>
      <c r="K25" s="241"/>
      <c r="L25" s="272"/>
      <c r="M25" s="224"/>
      <c r="N25" s="273"/>
      <c r="O25" s="273"/>
      <c r="P25" s="273"/>
      <c r="Q25" s="274"/>
      <c r="R25" s="132"/>
      <c r="S25" s="132"/>
      <c r="T25" s="132"/>
      <c r="U25" s="132"/>
    </row>
    <row r="26" spans="1:21" ht="19.5" customHeight="1">
      <c r="A26" s="265"/>
      <c r="B26" s="218"/>
      <c r="C26" s="132"/>
      <c r="D26" s="111"/>
      <c r="E26" s="236"/>
      <c r="F26" s="237"/>
      <c r="G26" s="132"/>
      <c r="H26" s="270"/>
      <c r="I26" s="132"/>
      <c r="J26" s="132"/>
      <c r="K26" s="241"/>
      <c r="L26" s="272"/>
      <c r="M26" s="224"/>
      <c r="N26" s="273"/>
      <c r="O26" s="273"/>
      <c r="P26" s="273"/>
      <c r="Q26" s="274"/>
      <c r="R26" s="132"/>
      <c r="S26" s="132"/>
      <c r="T26" s="132"/>
      <c r="U26" s="132"/>
    </row>
    <row r="27" spans="1:21" ht="19.5" customHeight="1">
      <c r="A27" s="265"/>
      <c r="B27" s="218"/>
      <c r="C27" s="132"/>
      <c r="D27" s="111"/>
      <c r="E27" s="236"/>
      <c r="F27" s="237"/>
      <c r="G27" s="132"/>
      <c r="H27" s="270"/>
      <c r="I27" s="132"/>
      <c r="J27" s="132"/>
      <c r="K27" s="241"/>
      <c r="L27" s="272"/>
      <c r="M27" s="224"/>
      <c r="N27" s="273"/>
      <c r="O27" s="273"/>
      <c r="P27" s="273"/>
      <c r="Q27" s="274"/>
      <c r="R27" s="132"/>
      <c r="S27" s="132"/>
      <c r="T27" s="132"/>
      <c r="U27" s="132"/>
    </row>
    <row r="28" spans="1:21" ht="19.5" customHeight="1">
      <c r="A28" s="265"/>
      <c r="B28" s="218"/>
      <c r="C28" s="132"/>
      <c r="D28" s="111"/>
      <c r="E28" s="236"/>
      <c r="F28" s="237"/>
      <c r="G28" s="132"/>
      <c r="H28" s="270"/>
      <c r="I28" s="132"/>
      <c r="J28" s="132"/>
      <c r="K28" s="241"/>
      <c r="L28" s="272"/>
      <c r="M28" s="224"/>
      <c r="N28" s="273"/>
      <c r="O28" s="273"/>
      <c r="P28" s="273"/>
      <c r="Q28" s="274"/>
      <c r="R28" s="132"/>
      <c r="S28" s="132"/>
      <c r="T28" s="132"/>
      <c r="U28" s="132"/>
    </row>
    <row r="29" spans="1:21" ht="19.5" customHeight="1">
      <c r="A29" s="265"/>
      <c r="B29" s="218"/>
      <c r="C29" s="132"/>
      <c r="D29" s="111"/>
      <c r="E29" s="236"/>
      <c r="F29" s="237"/>
      <c r="G29" s="132"/>
      <c r="H29" s="270"/>
      <c r="I29" s="132"/>
      <c r="J29" s="132"/>
      <c r="K29" s="241"/>
      <c r="L29" s="272"/>
      <c r="M29" s="224"/>
      <c r="N29" s="273"/>
      <c r="O29" s="273"/>
      <c r="P29" s="273"/>
      <c r="Q29" s="274"/>
      <c r="R29" s="132"/>
      <c r="S29" s="132"/>
      <c r="T29" s="132"/>
      <c r="U29" s="132"/>
    </row>
    <row r="30" spans="1:21" ht="19.5" customHeight="1">
      <c r="A30" s="265"/>
      <c r="B30" s="218"/>
      <c r="C30" s="132"/>
      <c r="D30" s="111"/>
      <c r="E30" s="236"/>
      <c r="F30" s="237"/>
      <c r="G30" s="132"/>
      <c r="H30" s="270"/>
      <c r="I30" s="132"/>
      <c r="J30" s="132"/>
      <c r="K30" s="241"/>
      <c r="L30" s="272"/>
      <c r="M30" s="224"/>
      <c r="N30" s="273"/>
      <c r="O30" s="273"/>
      <c r="P30" s="273"/>
      <c r="Q30" s="274"/>
      <c r="R30" s="132"/>
      <c r="S30" s="132"/>
      <c r="T30" s="132"/>
      <c r="U30" s="132"/>
    </row>
    <row r="31" spans="1:21" ht="19.5" customHeight="1">
      <c r="A31" s="265"/>
      <c r="B31" s="218"/>
      <c r="C31" s="132"/>
      <c r="D31" s="111"/>
      <c r="E31" s="236"/>
      <c r="F31" s="237"/>
      <c r="G31" s="132"/>
      <c r="H31" s="270"/>
      <c r="I31" s="132"/>
      <c r="J31" s="132"/>
      <c r="K31" s="241"/>
      <c r="L31" s="272"/>
      <c r="M31" s="224"/>
      <c r="N31" s="273"/>
      <c r="O31" s="273"/>
      <c r="P31" s="273"/>
      <c r="Q31" s="274"/>
      <c r="R31" s="132"/>
      <c r="S31" s="132"/>
      <c r="T31" s="132"/>
      <c r="U31" s="132"/>
    </row>
    <row r="32" spans="1:21" ht="19.5" customHeight="1">
      <c r="A32" s="265"/>
      <c r="B32" s="218"/>
      <c r="C32" s="132"/>
      <c r="D32" s="111"/>
      <c r="E32" s="236"/>
      <c r="F32" s="237"/>
      <c r="G32" s="132"/>
      <c r="H32" s="270"/>
      <c r="I32" s="132"/>
      <c r="J32" s="132"/>
      <c r="K32" s="241"/>
      <c r="L32" s="272"/>
      <c r="M32" s="224"/>
      <c r="N32" s="273"/>
      <c r="O32" s="273"/>
      <c r="P32" s="273"/>
      <c r="Q32" s="274"/>
      <c r="R32" s="132"/>
      <c r="S32" s="132"/>
      <c r="T32" s="132"/>
      <c r="U32" s="132"/>
    </row>
    <row r="33" spans="1:21" ht="19.5" customHeight="1">
      <c r="A33" s="265"/>
      <c r="B33" s="218"/>
      <c r="C33" s="132"/>
      <c r="D33" s="111"/>
      <c r="E33" s="236"/>
      <c r="F33" s="237"/>
      <c r="G33" s="132"/>
      <c r="H33" s="270"/>
      <c r="I33" s="132"/>
      <c r="J33" s="132"/>
      <c r="K33" s="241"/>
      <c r="L33" s="272"/>
      <c r="M33" s="224"/>
      <c r="N33" s="273"/>
      <c r="O33" s="273"/>
      <c r="P33" s="273"/>
      <c r="Q33" s="274"/>
      <c r="R33" s="132"/>
      <c r="S33" s="132"/>
      <c r="T33" s="132"/>
      <c r="U33" s="132"/>
    </row>
    <row r="34" spans="1:21" ht="19.5" customHeight="1" thickBot="1">
      <c r="A34" s="275"/>
      <c r="B34" s="273"/>
      <c r="C34" s="73"/>
      <c r="D34" s="111"/>
      <c r="E34" s="276"/>
      <c r="F34" s="277"/>
      <c r="G34" s="73"/>
      <c r="H34" s="278"/>
      <c r="I34" s="73"/>
      <c r="J34" s="73"/>
      <c r="K34" s="123"/>
      <c r="L34" s="279"/>
      <c r="M34" s="280"/>
      <c r="N34" s="273"/>
      <c r="O34" s="273"/>
      <c r="P34" s="273"/>
      <c r="Q34" s="274"/>
      <c r="R34" s="132"/>
      <c r="S34" s="132"/>
      <c r="T34" s="132"/>
      <c r="U34" s="132"/>
    </row>
    <row r="35" spans="1:21" ht="19.5" customHeight="1" thickBot="1">
      <c r="A35" s="275" t="s">
        <v>161</v>
      </c>
      <c r="B35" s="273"/>
      <c r="C35" s="73"/>
      <c r="D35" s="111"/>
      <c r="E35" s="281" t="str">
        <f>IF(E47=E48,"Ja","Nej")</f>
        <v>Nej</v>
      </c>
      <c r="F35" s="282"/>
      <c r="G35" s="282"/>
      <c r="H35" s="282"/>
      <c r="I35" s="281" t="str">
        <f>IF(I47=I48,"Ja","Nej")</f>
        <v>Ja</v>
      </c>
      <c r="J35" s="282"/>
      <c r="K35" s="282"/>
      <c r="L35" s="282"/>
      <c r="M35" s="281" t="str">
        <f>IF(M47=M48,"Ja","Nej")</f>
        <v>Nej</v>
      </c>
      <c r="N35" s="273"/>
      <c r="O35" s="273"/>
      <c r="P35" s="273"/>
      <c r="Q35" s="274"/>
      <c r="R35" s="132"/>
      <c r="S35" s="132"/>
      <c r="T35" s="132"/>
      <c r="U35" s="132"/>
    </row>
    <row r="36" spans="1:21" ht="19.5" customHeight="1">
      <c r="A36" s="275" t="s">
        <v>162</v>
      </c>
      <c r="B36" s="273"/>
      <c r="C36" s="73"/>
      <c r="D36" s="111"/>
      <c r="E36" s="283" t="str">
        <f>CONCATENATE("MR=",K11)</f>
        <v>MR=MC(1)</v>
      </c>
      <c r="F36" s="123"/>
      <c r="G36" s="123"/>
      <c r="H36" s="123"/>
      <c r="I36" s="283" t="str">
        <f>CONCATENATE("MR=",K16)</f>
        <v>MR=MC(2)</v>
      </c>
      <c r="J36" s="123"/>
      <c r="K36" s="123"/>
      <c r="L36" s="123"/>
      <c r="M36" s="283" t="str">
        <f>CONCATENATE("MR=",K21)</f>
        <v>MR=MC(3)</v>
      </c>
      <c r="N36" s="273"/>
      <c r="O36" s="273"/>
      <c r="P36" s="273"/>
      <c r="Q36" s="274"/>
      <c r="R36" s="132"/>
      <c r="S36" s="132"/>
      <c r="T36" s="132"/>
      <c r="U36" s="132"/>
    </row>
    <row r="37" spans="1:21" ht="19.5" customHeight="1">
      <c r="A37" s="702" t="s">
        <v>163</v>
      </c>
      <c r="B37" s="702"/>
      <c r="C37" s="702"/>
      <c r="D37" s="702"/>
      <c r="E37" s="284">
        <f>IF($E$3=0,(IF(N5=0,N13,($I$11-R$11)/(($E$11/$E$12*-1)+(N$11/N$12)))),($I$11-R11)/(($E$11/$E$12*-1)+(N$11/N$12)))</f>
        <v>750</v>
      </c>
      <c r="F37" s="285"/>
      <c r="G37" s="276"/>
      <c r="H37" s="286"/>
      <c r="I37" s="284">
        <f>IF($E$3=0,(IF($N$16=0,$N$18,($I$11-$R16)/(($E$11/$E$12*-1)+($N16/$N17)))),($I$11-$R16)/(($E$11/$E$12*-1)+($N16/$N17)))</f>
        <v>700</v>
      </c>
      <c r="J37" s="285"/>
      <c r="K37" s="276"/>
      <c r="L37" s="286"/>
      <c r="M37" s="284">
        <f>IF($E$3=0,(IF($N$21=0,$N$23,($I$11-$R21)/(($E$11/$E$12*-1)+($N21/$N22)))),($I$11-$R21)/(($E$11/$E$12*-1)+($N21/$N22)))</f>
        <v>1000</v>
      </c>
      <c r="N37" s="273"/>
      <c r="O37" s="273"/>
      <c r="P37" s="273"/>
      <c r="Q37" s="274"/>
      <c r="R37" s="132"/>
      <c r="S37" s="132"/>
      <c r="T37" s="132"/>
      <c r="U37" s="132"/>
    </row>
    <row r="38" spans="1:21" ht="19.5" customHeight="1">
      <c r="A38" s="275" t="s">
        <v>164</v>
      </c>
      <c r="B38" s="273"/>
      <c r="C38" s="73"/>
      <c r="D38" s="111"/>
      <c r="E38" s="284">
        <f>N13</f>
        <v>600</v>
      </c>
      <c r="F38" s="277"/>
      <c r="G38" s="73"/>
      <c r="H38" s="278"/>
      <c r="I38" s="284">
        <f>N18</f>
        <v>1300</v>
      </c>
      <c r="J38" s="276"/>
      <c r="K38" s="276"/>
      <c r="L38" s="276"/>
      <c r="M38" s="284">
        <f>N23</f>
        <v>0</v>
      </c>
      <c r="N38" s="273"/>
      <c r="O38" s="273"/>
      <c r="P38" s="273"/>
      <c r="Q38" s="274"/>
      <c r="R38" s="132"/>
      <c r="S38" s="132"/>
      <c r="T38" s="132"/>
      <c r="U38" s="132"/>
    </row>
    <row r="39" spans="1:21" ht="19.5" customHeight="1">
      <c r="A39" s="275" t="s">
        <v>165</v>
      </c>
      <c r="B39" s="273"/>
      <c r="C39" s="73"/>
      <c r="D39" s="111"/>
      <c r="E39" s="284">
        <v>0</v>
      </c>
      <c r="F39" s="277"/>
      <c r="G39" s="73"/>
      <c r="H39" s="278"/>
      <c r="I39" s="284">
        <f>N13</f>
        <v>600</v>
      </c>
      <c r="J39" s="276"/>
      <c r="K39" s="276"/>
      <c r="L39" s="276"/>
      <c r="M39" s="284">
        <f>N18</f>
        <v>1300</v>
      </c>
      <c r="N39" s="273"/>
      <c r="O39" s="273"/>
      <c r="P39" s="273"/>
      <c r="Q39" s="274"/>
      <c r="R39" s="132"/>
      <c r="S39" s="132"/>
      <c r="T39" s="132"/>
      <c r="U39" s="132"/>
    </row>
    <row r="40" spans="1:21" ht="19.5" customHeight="1">
      <c r="A40" s="275" t="s">
        <v>166</v>
      </c>
      <c r="B40" s="273"/>
      <c r="C40" s="73"/>
      <c r="D40" s="111"/>
      <c r="E40" s="284">
        <f>D23</f>
        <v>1300</v>
      </c>
      <c r="F40" s="277"/>
      <c r="G40" s="73"/>
      <c r="H40" s="278"/>
      <c r="I40" s="284">
        <f>D23</f>
        <v>1300</v>
      </c>
      <c r="J40" s="276"/>
      <c r="K40" s="276"/>
      <c r="L40" s="276"/>
      <c r="M40" s="284">
        <f>D23</f>
        <v>1300</v>
      </c>
      <c r="N40" s="273"/>
      <c r="O40" s="273"/>
      <c r="P40" s="273"/>
      <c r="Q40" s="274"/>
      <c r="R40" s="132"/>
      <c r="S40" s="132"/>
      <c r="T40" s="132"/>
      <c r="U40" s="132"/>
    </row>
    <row r="41" spans="1:21" ht="19.5" customHeight="1">
      <c r="A41" s="275" t="s">
        <v>167</v>
      </c>
      <c r="B41" s="273"/>
      <c r="C41" s="73"/>
      <c r="D41" s="111"/>
      <c r="E41" s="284">
        <f>IF(IF(E37&lt;E38,IF(E40&gt;E37&gt;E39,E37),IF(E37&lt;E39,0,MIN(E38,E40)))&gt;E40,E40,IF(E37&lt;E38,IF(E40&gt;E37&gt;E39,E37),IF(E37&lt;E39,0,MIN(E38,E40))))</f>
        <v>600</v>
      </c>
      <c r="F41" s="285"/>
      <c r="G41" s="276"/>
      <c r="H41" s="286"/>
      <c r="I41" s="284">
        <f>IF(IF(I37&lt;I38,IF(I40&gt;I37&gt;I39,I37),IF(I37&lt;I39,0,MIN(I38,I40)))&gt;I40,I40,IF(I37&lt;I38,IF(I40&gt;I37&gt;I39,I37),IF(I37&lt;I39,0,MIN(I38,I40))))</f>
        <v>700</v>
      </c>
      <c r="J41" s="285"/>
      <c r="K41" s="276"/>
      <c r="L41" s="286"/>
      <c r="M41" s="284">
        <f>IF(IF(IF(M37&lt;M38,IF(M40&gt;M37&gt;M39,M37),IF(M37&lt;M39,0,MIN(M38,M40)))&lt;M39,M39,IF(M37&lt;M38,IF(M40&gt;M37&gt;M39,M37),IF(M37&lt;M39,0,MIN(M38,M40))))&gt;M40,M40,IF(IF(M37&lt;M38,IF(M40&gt;M37&gt;M39,M37),IF(M37&lt;M39,0,MIN(M38,M40)))&lt;M39,M39,IF(M37&lt;M38,IF(M40&gt;M37&gt;M39,M37),IF(M37&lt;M39,0,MIN(M38,M40)))))</f>
        <v>1300</v>
      </c>
      <c r="N41" s="273"/>
      <c r="O41" s="273"/>
      <c r="P41" s="273"/>
      <c r="Q41" s="274"/>
      <c r="R41" s="132"/>
      <c r="S41" s="132"/>
      <c r="T41" s="132"/>
      <c r="U41" s="132"/>
    </row>
    <row r="42" spans="1:21" ht="19.5" customHeight="1">
      <c r="A42" s="275" t="s">
        <v>168</v>
      </c>
      <c r="B42" s="273"/>
      <c r="C42" s="73"/>
      <c r="D42" s="111"/>
      <c r="E42" s="284">
        <f>E41*($E$3/$E$4)+$I$3</f>
        <v>700</v>
      </c>
      <c r="F42" s="277"/>
      <c r="G42" s="73"/>
      <c r="H42" s="278"/>
      <c r="I42" s="284">
        <f>I41*($E$3/$E$4)+$I$3</f>
        <v>650</v>
      </c>
      <c r="J42" s="276"/>
      <c r="K42" s="276"/>
      <c r="L42" s="276"/>
      <c r="M42" s="284">
        <f>IF(M41=0,0,M41*($E$3/$E$4)+$I$3)</f>
        <v>350</v>
      </c>
      <c r="N42" s="273"/>
      <c r="O42" s="273"/>
      <c r="P42" s="273"/>
      <c r="Q42" s="274"/>
      <c r="R42" s="132"/>
      <c r="S42" s="132"/>
      <c r="T42" s="132"/>
      <c r="U42" s="132"/>
    </row>
    <row r="43" spans="1:21" ht="19.5" customHeight="1">
      <c r="A43" s="275" t="s">
        <v>169</v>
      </c>
      <c r="B43" s="273"/>
      <c r="C43" s="73"/>
      <c r="D43" s="111"/>
      <c r="E43" s="287">
        <f>E41*E42</f>
        <v>420000</v>
      </c>
      <c r="F43" s="288"/>
      <c r="G43" s="288"/>
      <c r="H43" s="288"/>
      <c r="I43" s="287">
        <f>I41*I42</f>
        <v>455000</v>
      </c>
      <c r="J43" s="124"/>
      <c r="K43" s="124"/>
      <c r="L43" s="124"/>
      <c r="M43" s="287">
        <f>M41*M42</f>
        <v>455000</v>
      </c>
      <c r="N43" s="273"/>
      <c r="O43" s="273"/>
      <c r="P43" s="273"/>
      <c r="Q43" s="274"/>
      <c r="R43" s="132"/>
      <c r="S43" s="132"/>
      <c r="T43" s="132"/>
      <c r="U43" s="132"/>
    </row>
    <row r="44" spans="1:21" ht="19.5" customHeight="1">
      <c r="A44" s="275" t="s">
        <v>170</v>
      </c>
      <c r="B44" s="273"/>
      <c r="C44" s="73"/>
      <c r="D44" s="111"/>
      <c r="E44" s="289">
        <f>POWER(E41,$P$5)*$N$5/$N$6+($R$5*E41)</f>
        <v>150000</v>
      </c>
      <c r="F44" s="277"/>
      <c r="G44" s="73"/>
      <c r="H44" s="278"/>
      <c r="I44" s="289">
        <f>IF(D23&gt;N13,POWER($N$13,$P$5)*$N$5/$N$6+($R$5*$N$13),POWER(D23,$P$5)*$N$5/$N$6+($R$5*D23))</f>
        <v>150000</v>
      </c>
      <c r="J44" s="73"/>
      <c r="K44" s="123"/>
      <c r="L44" s="279"/>
      <c r="M44" s="289">
        <f>IF(N18=0,0,POWER($N$13,$P$5)*$N$5/$N$6+($R$5*$N$13))</f>
        <v>150000</v>
      </c>
      <c r="N44" s="273"/>
      <c r="O44" s="273"/>
      <c r="P44" s="273"/>
      <c r="Q44" s="274"/>
      <c r="R44" s="132"/>
      <c r="S44" s="132"/>
      <c r="T44" s="132"/>
      <c r="U44" s="132"/>
    </row>
    <row r="45" spans="1:21" ht="19.5" customHeight="1">
      <c r="A45" s="275" t="s">
        <v>171</v>
      </c>
      <c r="B45" s="273"/>
      <c r="C45" s="73"/>
      <c r="D45" s="111"/>
      <c r="E45" s="289"/>
      <c r="F45" s="277"/>
      <c r="G45" s="73"/>
      <c r="H45" s="278"/>
      <c r="I45" s="289">
        <f>IF(((POWER($I$41,$P$14)*($N$14/$N$15)+($R$14*$I$41)))-((POWER(($N$13),$P$14)*$N$14)/$N$15+($R$14*($N$13)))&lt;0,0,((POWER($I$41,$P$14)*($N$14/$N$15)+($R$14*$I$41)))-((POWER(($N$13),$P$14)*$N$14)/$N$15+($R$14*($N$13))))</f>
        <v>30000</v>
      </c>
      <c r="J45" s="73"/>
      <c r="K45" s="123"/>
      <c r="L45" s="279"/>
      <c r="M45" s="289">
        <f>IF(((POWER(N18,$P$14)*($N$14/$N$15)+($R$14*N18)))-((POWER(($N$13),$P$14)*$N$14)/$N$15+($R$14*($N$13)))&lt;0,0,((POWER(N18,$P$14)*($N$14/$N$15)+($R$14*N18)))-((POWER(($N$13),$P$14)*$N$14)/$N$15+($R$14*($N$13))))</f>
        <v>210000</v>
      </c>
      <c r="N45" s="273"/>
      <c r="O45" s="273"/>
      <c r="P45" s="273"/>
      <c r="Q45" s="274"/>
      <c r="R45" s="132"/>
      <c r="S45" s="132"/>
      <c r="T45" s="132"/>
      <c r="U45" s="132"/>
    </row>
    <row r="46" spans="1:21" ht="19.5" customHeight="1" thickBot="1">
      <c r="A46" s="275" t="s">
        <v>172</v>
      </c>
      <c r="B46" s="273"/>
      <c r="C46" s="73"/>
      <c r="D46" s="111"/>
      <c r="E46" s="289"/>
      <c r="F46" s="277"/>
      <c r="G46" s="73"/>
      <c r="H46" s="278"/>
      <c r="I46" s="290"/>
      <c r="J46" s="73"/>
      <c r="K46" s="123"/>
      <c r="L46" s="279"/>
      <c r="M46" s="289">
        <f>(POWER(M41,$P$19)*($N$19/$N$20)+($R$19*M41)-(POWER(($N$18),$P$19)*($N$19/$N$20)+($R$19*($N$18))))</f>
        <v>0</v>
      </c>
      <c r="N46" s="273"/>
      <c r="O46" s="273"/>
      <c r="P46" s="273"/>
      <c r="Q46" s="274"/>
      <c r="R46" s="132"/>
      <c r="S46" s="132"/>
      <c r="T46" s="132"/>
      <c r="U46" s="132"/>
    </row>
    <row r="47" spans="1:21" ht="19.5" customHeight="1" thickBot="1">
      <c r="A47" s="275" t="s">
        <v>173</v>
      </c>
      <c r="B47" s="273"/>
      <c r="C47" s="73"/>
      <c r="D47" s="111"/>
      <c r="E47" s="291">
        <f>E43-E44-E45-E46</f>
        <v>270000</v>
      </c>
      <c r="F47" s="124"/>
      <c r="G47" s="124"/>
      <c r="H47" s="124"/>
      <c r="I47" s="291">
        <f>I43-I44-I45-I46</f>
        <v>275000</v>
      </c>
      <c r="J47" s="124"/>
      <c r="K47" s="124"/>
      <c r="L47" s="124"/>
      <c r="M47" s="291">
        <f>M43-M44-M45-M46</f>
        <v>95000</v>
      </c>
      <c r="N47" s="273"/>
      <c r="O47" s="273"/>
      <c r="P47" s="273"/>
      <c r="Q47" s="274"/>
      <c r="R47" s="132"/>
      <c r="S47" s="132"/>
      <c r="T47" s="132"/>
      <c r="U47" s="132"/>
    </row>
    <row r="48" spans="1:21" ht="19.5" customHeight="1" hidden="1">
      <c r="A48" s="275" t="s">
        <v>174</v>
      </c>
      <c r="B48" s="273"/>
      <c r="C48" s="73"/>
      <c r="D48" s="111"/>
      <c r="E48" s="284">
        <f>MAX($E$47,$I$47,$M$47)</f>
        <v>275000</v>
      </c>
      <c r="F48" s="276"/>
      <c r="G48" s="276"/>
      <c r="H48" s="276"/>
      <c r="I48" s="284">
        <f>MAX($E$47,$I$47,$M$47)</f>
        <v>275000</v>
      </c>
      <c r="J48" s="276"/>
      <c r="K48" s="276"/>
      <c r="L48" s="276"/>
      <c r="M48" s="284">
        <f>MAX($E$47,$I$47,$M$47)</f>
        <v>275000</v>
      </c>
      <c r="N48" s="273"/>
      <c r="O48" s="273"/>
      <c r="P48" s="273"/>
      <c r="Q48" s="274"/>
      <c r="R48" s="132"/>
      <c r="S48" s="132"/>
      <c r="T48" s="132"/>
      <c r="U48" s="132"/>
    </row>
    <row r="49" spans="1:21" ht="19.5" customHeight="1">
      <c r="A49" s="275" t="s">
        <v>175</v>
      </c>
      <c r="B49" s="273"/>
      <c r="C49" s="73"/>
      <c r="D49" s="111"/>
      <c r="E49" s="284">
        <f>$M$3</f>
        <v>0</v>
      </c>
      <c r="F49" s="276"/>
      <c r="G49" s="276"/>
      <c r="H49" s="276"/>
      <c r="I49" s="284">
        <f>$M$3</f>
        <v>0</v>
      </c>
      <c r="J49" s="276"/>
      <c r="K49" s="276"/>
      <c r="L49" s="276"/>
      <c r="M49" s="284">
        <f>$M$3</f>
        <v>0</v>
      </c>
      <c r="N49" s="273"/>
      <c r="O49" s="273"/>
      <c r="P49" s="273"/>
      <c r="Q49" s="274"/>
      <c r="R49" s="132"/>
      <c r="S49" s="132"/>
      <c r="T49" s="132"/>
      <c r="U49" s="132"/>
    </row>
    <row r="50" spans="1:21" ht="19.5" customHeight="1" thickBot="1">
      <c r="A50" s="275" t="s">
        <v>176</v>
      </c>
      <c r="B50" s="273"/>
      <c r="C50" s="73"/>
      <c r="D50" s="111"/>
      <c r="E50" s="292">
        <f>E47-E49</f>
        <v>270000</v>
      </c>
      <c r="F50" s="276"/>
      <c r="G50" s="276"/>
      <c r="H50" s="276"/>
      <c r="I50" s="292">
        <f>I47-I49</f>
        <v>275000</v>
      </c>
      <c r="J50" s="276"/>
      <c r="K50" s="276"/>
      <c r="L50" s="276"/>
      <c r="M50" s="292">
        <f>M47-M49</f>
        <v>95000</v>
      </c>
      <c r="N50" s="273"/>
      <c r="O50" s="273"/>
      <c r="P50" s="273"/>
      <c r="Q50" s="274"/>
      <c r="R50" s="132"/>
      <c r="S50" s="132"/>
      <c r="T50" s="132"/>
      <c r="U50" s="132"/>
    </row>
    <row r="51" spans="8:17" ht="12.75">
      <c r="H51" s="293"/>
      <c r="Q51" s="294"/>
    </row>
    <row r="52" spans="8:17" ht="12.75">
      <c r="H52" s="293"/>
      <c r="Q52" s="294"/>
    </row>
    <row r="53" spans="8:17" ht="12.75">
      <c r="H53" s="293"/>
      <c r="Q53" s="294"/>
    </row>
    <row r="54" spans="8:17" ht="12.75">
      <c r="H54" s="293"/>
      <c r="Q54" s="294"/>
    </row>
    <row r="55" spans="8:17" ht="12.75">
      <c r="H55" s="293"/>
      <c r="Q55" s="294"/>
    </row>
    <row r="56" spans="8:17" ht="12.75">
      <c r="H56" s="293"/>
      <c r="Q56" s="294"/>
    </row>
    <row r="57" spans="8:17" ht="12.75">
      <c r="H57" s="293"/>
      <c r="Q57" s="294"/>
    </row>
    <row r="58" spans="8:17" ht="12.75">
      <c r="H58" s="293"/>
      <c r="Q58" s="294"/>
    </row>
    <row r="59" spans="8:17" ht="12.75">
      <c r="H59" s="293"/>
      <c r="Q59" s="294"/>
    </row>
    <row r="60" spans="8:17" ht="12.75">
      <c r="H60" s="293"/>
      <c r="Q60" s="294"/>
    </row>
    <row r="61" spans="8:17" ht="12.75">
      <c r="H61" s="293"/>
      <c r="Q61" s="294"/>
    </row>
    <row r="62" spans="8:17" ht="12.75">
      <c r="H62" s="293"/>
      <c r="Q62" s="294"/>
    </row>
    <row r="63" spans="8:17" ht="12.75">
      <c r="H63" s="293"/>
      <c r="Q63" s="294"/>
    </row>
    <row r="64" spans="8:17" ht="12.75">
      <c r="H64" s="293"/>
      <c r="Q64" s="294"/>
    </row>
    <row r="65" spans="8:17" ht="12.75">
      <c r="H65" s="293"/>
      <c r="Q65" s="294"/>
    </row>
    <row r="66" spans="8:17" ht="12.75">
      <c r="H66" s="293"/>
      <c r="Q66" s="294"/>
    </row>
    <row r="67" spans="8:17" ht="12.75">
      <c r="H67" s="293"/>
      <c r="Q67" s="294"/>
    </row>
    <row r="68" spans="8:17" ht="12.75">
      <c r="H68" s="293"/>
      <c r="Q68" s="294"/>
    </row>
    <row r="69" spans="8:17" ht="12.75">
      <c r="H69" s="293"/>
      <c r="Q69" s="294"/>
    </row>
    <row r="70" spans="8:17" ht="12.75">
      <c r="H70" s="293"/>
      <c r="Q70" s="294"/>
    </row>
    <row r="71" spans="8:17" ht="12.75">
      <c r="H71" s="293"/>
      <c r="Q71" s="294"/>
    </row>
    <row r="72" spans="8:17" ht="12.75">
      <c r="H72" s="293"/>
      <c r="Q72" s="294"/>
    </row>
    <row r="73" spans="1:17" ht="12.75">
      <c r="A73" t="s">
        <v>177</v>
      </c>
      <c r="H73" s="293"/>
      <c r="Q73" s="294"/>
    </row>
    <row r="74" spans="8:17" ht="12.75">
      <c r="H74" s="293"/>
      <c r="Q74" s="294"/>
    </row>
    <row r="75" spans="8:17" ht="18">
      <c r="H75" s="293"/>
      <c r="I75" s="295" t="s">
        <v>158</v>
      </c>
      <c r="J75" s="296" t="s">
        <v>152</v>
      </c>
      <c r="K75" s="668" t="str">
        <f>IF($E$48=$E$47,"MC(1)",IF($I$48=$I$47,"MC(2)",IF($M$48=$M$47,"MC(3)")))</f>
        <v>MC(2)</v>
      </c>
      <c r="L75" s="668"/>
      <c r="Q75" s="294"/>
    </row>
    <row r="76" spans="4:18" ht="18" customHeight="1" thickBot="1">
      <c r="D76" s="74"/>
      <c r="E76" s="44">
        <f>E11</f>
        <v>-2</v>
      </c>
      <c r="F76" s="662" t="str">
        <f>F11</f>
        <v>X</v>
      </c>
      <c r="G76" s="298"/>
      <c r="H76" s="663" t="str">
        <f>H11</f>
        <v>+</v>
      </c>
      <c r="I76" s="664">
        <f>I11</f>
        <v>1000</v>
      </c>
      <c r="J76" s="662" t="str">
        <f>J75</f>
        <v>=</v>
      </c>
      <c r="K76" s="621"/>
      <c r="L76" s="621"/>
      <c r="M76" s="14">
        <f>IF($K$75=$K$11,N11,IF($K$75=$K$16,N16,IF($K$75=$K$21,N21)))</f>
        <v>0</v>
      </c>
      <c r="N76" s="661" t="str">
        <f>O11</f>
        <v>X</v>
      </c>
      <c r="O76" s="662" t="str">
        <f>Q11</f>
        <v>+</v>
      </c>
      <c r="P76" s="664">
        <f>IF(K75=K11,R11,IF(K16=K75,R16,IF(K21=K75,R21)))</f>
        <v>300</v>
      </c>
      <c r="Q76" s="664"/>
      <c r="R76" s="664"/>
    </row>
    <row r="77" spans="5:18" ht="18" customHeight="1">
      <c r="E77" s="299">
        <f>E12</f>
        <v>2</v>
      </c>
      <c r="F77" s="662"/>
      <c r="G77" s="298"/>
      <c r="H77" s="663"/>
      <c r="I77" s="664"/>
      <c r="J77" s="662"/>
      <c r="K77" s="621"/>
      <c r="L77" s="621"/>
      <c r="M77" s="132">
        <f>IF($K$75=$K$11,N12,IF($K$75=$K$16,N17,IF($K$75=$K$21,N22)))</f>
        <v>1</v>
      </c>
      <c r="N77" s="661"/>
      <c r="O77" s="662"/>
      <c r="P77" s="664"/>
      <c r="Q77" s="664"/>
      <c r="R77" s="664"/>
    </row>
    <row r="78" spans="8:17" ht="12.75">
      <c r="H78" s="293"/>
      <c r="J78" s="74"/>
      <c r="Q78" s="294"/>
    </row>
    <row r="79" spans="8:17" ht="20.25">
      <c r="H79" s="293"/>
      <c r="I79" s="74">
        <f>I76-P76</f>
        <v>700</v>
      </c>
      <c r="J79" s="300" t="str">
        <f>J76</f>
        <v>=</v>
      </c>
      <c r="M79">
        <f>-1*(E76/E77)+(M76/M77)</f>
        <v>1</v>
      </c>
      <c r="N79" s="301" t="str">
        <f>N76</f>
        <v>X</v>
      </c>
      <c r="Q79" s="294"/>
    </row>
    <row r="80" ht="12.75">
      <c r="H80" s="293"/>
    </row>
    <row r="81" spans="1:17" ht="20.25">
      <c r="A81" s="701" t="str">
        <f>IF(I81&gt;I82,"Da løsningen overstiger max. mængde er den ugyldig"," ")</f>
        <v> </v>
      </c>
      <c r="B81" s="701"/>
      <c r="C81" s="701"/>
      <c r="D81" s="701"/>
      <c r="E81" s="701"/>
      <c r="F81" s="701"/>
      <c r="G81" s="701"/>
      <c r="H81" s="701"/>
      <c r="I81">
        <f>IF(M79=0,"Kan ikke løses",I79/M79)</f>
        <v>700</v>
      </c>
      <c r="J81" s="274" t="str">
        <f>J79</f>
        <v>=</v>
      </c>
      <c r="K81" s="302" t="str">
        <f>O5</f>
        <v>X</v>
      </c>
      <c r="L81" s="241"/>
      <c r="N81" s="241"/>
      <c r="O81" s="241"/>
      <c r="Q81" s="294"/>
    </row>
    <row r="82" spans="8:17" ht="21" thickBot="1">
      <c r="H82" s="293"/>
      <c r="I82" s="303">
        <f>IF($E$48=$E$47,$E$41,IF($I$48=$I$47,$I$41,IF($M$48=$M$47,$M$41)))</f>
        <v>700</v>
      </c>
      <c r="J82" s="304" t="str">
        <f>J81</f>
        <v>=</v>
      </c>
      <c r="K82" s="304" t="str">
        <f>O8</f>
        <v>X</v>
      </c>
      <c r="L82" s="303"/>
      <c r="Q82" s="294"/>
    </row>
    <row r="83" spans="8:17" ht="13.5" thickTop="1">
      <c r="H83" s="293"/>
      <c r="I83" s="241"/>
      <c r="J83" s="224"/>
      <c r="K83" s="224"/>
      <c r="L83" s="241"/>
      <c r="Q83" s="294"/>
    </row>
    <row r="84" spans="1:8" ht="20.25">
      <c r="A84">
        <f>I82</f>
        <v>700</v>
      </c>
      <c r="B84" s="301" t="str">
        <f>J81</f>
        <v>=</v>
      </c>
      <c r="C84" s="301" t="str">
        <f>K81</f>
        <v>X</v>
      </c>
      <c r="D84" t="s">
        <v>178</v>
      </c>
      <c r="H84" s="293"/>
    </row>
    <row r="85" spans="2:8" ht="12.75" customHeight="1">
      <c r="B85" s="301"/>
      <c r="C85" s="301"/>
      <c r="H85" s="293"/>
    </row>
    <row r="86" spans="2:9" ht="21" thickBot="1">
      <c r="B86" s="665"/>
      <c r="C86" s="662" t="str">
        <f>B3</f>
        <v>P</v>
      </c>
      <c r="D86" s="662" t="str">
        <f>C3</f>
        <v>=</v>
      </c>
      <c r="E86" s="44">
        <f>E3</f>
        <v>-1</v>
      </c>
      <c r="F86" s="662" t="str">
        <f>F3</f>
        <v>X</v>
      </c>
      <c r="G86" s="305"/>
      <c r="H86" s="662" t="str">
        <f>H3</f>
        <v>+</v>
      </c>
      <c r="I86" s="664">
        <f>I3</f>
        <v>1000</v>
      </c>
    </row>
    <row r="87" spans="2:9" ht="17.25" customHeight="1">
      <c r="B87" s="665"/>
      <c r="C87" s="662"/>
      <c r="D87" s="662"/>
      <c r="E87" s="299">
        <f>E4</f>
        <v>2</v>
      </c>
      <c r="F87" s="662"/>
      <c r="G87" s="305"/>
      <c r="H87" s="662"/>
      <c r="I87" s="664"/>
    </row>
    <row r="88" spans="3:9" ht="20.25">
      <c r="C88" s="301" t="str">
        <f>C86</f>
        <v>P</v>
      </c>
      <c r="D88" s="300" t="str">
        <f>D86</f>
        <v>=</v>
      </c>
      <c r="E88" s="306">
        <f>I82*(E86/E87)</f>
        <v>-350</v>
      </c>
      <c r="H88" s="307" t="str">
        <f>H86</f>
        <v>+</v>
      </c>
      <c r="I88" s="74">
        <f>I86</f>
        <v>1000</v>
      </c>
    </row>
    <row r="89" spans="3:5" ht="21" thickBot="1">
      <c r="C89" s="308" t="str">
        <f>C88</f>
        <v>P</v>
      </c>
      <c r="D89" s="309" t="str">
        <f>D88</f>
        <v>=</v>
      </c>
      <c r="E89" s="303">
        <f>I88+E88</f>
        <v>650</v>
      </c>
    </row>
    <row r="90" ht="13.5" thickTop="1"/>
    <row r="91" spans="1:13" ht="20.25">
      <c r="A91" s="665" t="s">
        <v>179</v>
      </c>
      <c r="B91" s="665"/>
      <c r="C91" s="665"/>
      <c r="D91" s="665"/>
      <c r="E91" s="665"/>
      <c r="F91" s="665"/>
      <c r="G91" s="665"/>
      <c r="H91" s="665"/>
      <c r="I91" s="665"/>
      <c r="J91" s="665"/>
      <c r="K91" s="665"/>
      <c r="L91" s="665"/>
      <c r="M91" s="665"/>
    </row>
    <row r="92" spans="1:13" ht="20.25">
      <c r="A92" s="203" t="s">
        <v>18</v>
      </c>
      <c r="B92" s="203"/>
      <c r="C92" s="203"/>
      <c r="D92" s="203"/>
      <c r="E92">
        <f>E89</f>
        <v>650</v>
      </c>
      <c r="G92" s="310" t="s">
        <v>180</v>
      </c>
      <c r="I92">
        <f>I82</f>
        <v>700</v>
      </c>
      <c r="M92" s="311">
        <f>E92*I92</f>
        <v>455000</v>
      </c>
    </row>
    <row r="93" spans="1:14" ht="18">
      <c r="A93" s="312" t="s">
        <v>181</v>
      </c>
      <c r="B93" s="203"/>
      <c r="C93" s="203"/>
      <c r="D93" s="203"/>
      <c r="M93" s="313">
        <f>IF($E$48=$E$47,E44,IF($I$48=$I$47,(I44+I45),IF($M$48=$M$47,(M44+M45+M46))))</f>
        <v>180000</v>
      </c>
      <c r="N93" s="297"/>
    </row>
    <row r="94" spans="1:13" ht="18">
      <c r="A94" s="314" t="s">
        <v>173</v>
      </c>
      <c r="B94" s="314"/>
      <c r="C94" s="314"/>
      <c r="D94" s="314"/>
      <c r="E94" s="70"/>
      <c r="F94" s="70"/>
      <c r="G94" s="70"/>
      <c r="H94" s="70"/>
      <c r="I94" s="70"/>
      <c r="J94" s="70"/>
      <c r="K94" s="70"/>
      <c r="L94" s="70"/>
      <c r="M94" s="315">
        <f>M92-M93</f>
        <v>275000</v>
      </c>
    </row>
    <row r="95" spans="1:13" ht="18">
      <c r="A95" s="203" t="s">
        <v>175</v>
      </c>
      <c r="B95" s="203"/>
      <c r="C95" s="203"/>
      <c r="D95" s="203"/>
      <c r="M95" s="311">
        <f>M3</f>
        <v>0</v>
      </c>
    </row>
    <row r="96" spans="1:13" ht="18.75" thickBot="1">
      <c r="A96" s="203" t="s">
        <v>176</v>
      </c>
      <c r="B96" s="203"/>
      <c r="C96" s="203"/>
      <c r="D96" s="203"/>
      <c r="M96" s="316">
        <f>M94-M95</f>
        <v>275000</v>
      </c>
    </row>
    <row r="97" ht="13.5" thickTop="1"/>
    <row r="98" spans="1:5" ht="15" hidden="1">
      <c r="A98" s="207" t="s">
        <v>182</v>
      </c>
      <c r="B98" s="207"/>
      <c r="C98" s="207"/>
      <c r="D98" s="207"/>
      <c r="E98" s="207"/>
    </row>
    <row r="99" spans="1:13" ht="15" hidden="1">
      <c r="A99" s="207" t="s">
        <v>183</v>
      </c>
      <c r="B99" s="207"/>
      <c r="C99" s="207"/>
      <c r="D99" s="207"/>
      <c r="E99" s="207"/>
      <c r="I99">
        <f>E89</f>
        <v>650</v>
      </c>
      <c r="J99" t="s">
        <v>184</v>
      </c>
      <c r="K99" s="317">
        <f>I3-E89</f>
        <v>350</v>
      </c>
      <c r="M99" s="318">
        <f>I99/K99*-1</f>
        <v>-1.8571428571428572</v>
      </c>
    </row>
    <row r="100" spans="1:5" ht="15" hidden="1">
      <c r="A100" s="207" t="str">
        <f>IF(M99&gt;-1,"Uelastisk","Elastisk")</f>
        <v>Elastisk</v>
      </c>
      <c r="B100" s="207"/>
      <c r="C100" s="207"/>
      <c r="D100" s="207"/>
      <c r="E100" s="207"/>
    </row>
    <row r="101" ht="12.75" hidden="1"/>
    <row r="103" spans="1:4" ht="12.75">
      <c r="A103" s="624"/>
      <c r="B103" s="624"/>
      <c r="C103" s="624"/>
      <c r="D103" s="624"/>
    </row>
    <row r="104" spans="1:22" ht="12.75">
      <c r="A104" s="624"/>
      <c r="B104" s="624"/>
      <c r="C104" s="624"/>
      <c r="D104" s="624"/>
      <c r="V104" s="70"/>
    </row>
    <row r="113" ht="12.75" hidden="1"/>
    <row r="114" spans="1:20" ht="12.75" hidden="1">
      <c r="A114" s="624"/>
      <c r="B114" s="624"/>
      <c r="C114" s="624"/>
      <c r="D114" s="624"/>
      <c r="F114" s="624"/>
      <c r="G114" s="624"/>
      <c r="H114" s="624"/>
      <c r="I114" s="624"/>
      <c r="J114" s="624"/>
      <c r="K114" s="624"/>
      <c r="L114" s="79"/>
      <c r="N114" s="624"/>
      <c r="O114" s="624"/>
      <c r="P114" s="624"/>
      <c r="Q114" s="624"/>
      <c r="R114" s="624"/>
      <c r="S114" s="624"/>
      <c r="T114" s="624"/>
    </row>
    <row r="115" spans="1:20" ht="12.75" hidden="1">
      <c r="A115" s="624"/>
      <c r="B115" s="624"/>
      <c r="C115" s="624"/>
      <c r="D115" s="624"/>
      <c r="F115" s="624"/>
      <c r="G115" s="624"/>
      <c r="H115" s="624"/>
      <c r="I115" s="624"/>
      <c r="J115" s="79"/>
      <c r="K115" s="79"/>
      <c r="L115" s="79"/>
      <c r="N115" s="624"/>
      <c r="O115" s="624"/>
      <c r="P115" s="624"/>
      <c r="Q115" s="624"/>
      <c r="R115" s="624"/>
      <c r="S115" s="624"/>
      <c r="T115" s="624"/>
    </row>
    <row r="116" spans="1:20" ht="27" hidden="1" thickBot="1">
      <c r="A116" s="624"/>
      <c r="B116" s="624"/>
      <c r="C116" s="624"/>
      <c r="D116" s="624"/>
      <c r="F116" s="211" t="s">
        <v>185</v>
      </c>
      <c r="G116" s="79"/>
      <c r="H116" s="79"/>
      <c r="I116" s="79"/>
      <c r="J116" s="128"/>
      <c r="K116" s="128"/>
      <c r="L116" s="128"/>
      <c r="N116" s="128"/>
      <c r="O116" s="128"/>
      <c r="P116" s="128"/>
      <c r="Q116" s="128"/>
      <c r="R116" s="624"/>
      <c r="S116" s="624"/>
      <c r="T116" s="624"/>
    </row>
    <row r="117" spans="1:22" ht="13.5" hidden="1" thickBot="1">
      <c r="A117" s="699" t="s">
        <v>186</v>
      </c>
      <c r="B117" s="686"/>
      <c r="C117" s="686" t="s">
        <v>168</v>
      </c>
      <c r="D117" s="686"/>
      <c r="E117" s="319" t="s">
        <v>169</v>
      </c>
      <c r="F117" s="686" t="s">
        <v>187</v>
      </c>
      <c r="G117" s="686"/>
      <c r="H117" s="686"/>
      <c r="I117" s="686"/>
      <c r="J117" s="655" t="s">
        <v>173</v>
      </c>
      <c r="K117" s="656"/>
      <c r="L117" s="657"/>
      <c r="M117" s="319" t="s">
        <v>188</v>
      </c>
      <c r="N117" s="686" t="s">
        <v>176</v>
      </c>
      <c r="O117" s="686"/>
      <c r="P117" s="686"/>
      <c r="Q117" s="686"/>
      <c r="R117" s="686" t="s">
        <v>158</v>
      </c>
      <c r="S117" s="686"/>
      <c r="T117" s="686"/>
      <c r="U117" s="319" t="s">
        <v>189</v>
      </c>
      <c r="V117" s="325" t="s">
        <v>190</v>
      </c>
    </row>
    <row r="118" spans="1:22" ht="14.25" hidden="1">
      <c r="A118" s="700">
        <f>$A$121*-60%+$A$121</f>
        <v>280</v>
      </c>
      <c r="B118" s="690"/>
      <c r="C118" s="642">
        <f aca="true" t="shared" si="1" ref="C118:C125">A118*($E$86/$E$87)+$I$86</f>
        <v>860</v>
      </c>
      <c r="D118" s="642"/>
      <c r="E118" s="326">
        <f aca="true" t="shared" si="2" ref="E118:E125">C118*A118</f>
        <v>240800</v>
      </c>
      <c r="F118" s="689">
        <f aca="true" t="shared" si="3" ref="F118:F125">(POWER(A118,$P$5))*($N$5/$N$6)+($R$5*A118)</f>
        <v>70000</v>
      </c>
      <c r="G118" s="690"/>
      <c r="H118" s="690"/>
      <c r="I118" s="690"/>
      <c r="J118" s="658">
        <f aca="true" t="shared" si="4" ref="J118:J125">E118-F118</f>
        <v>170800</v>
      </c>
      <c r="K118" s="659"/>
      <c r="L118" s="660"/>
      <c r="M118" s="327">
        <f aca="true" t="shared" si="5" ref="M118:M125">$M$3</f>
        <v>0</v>
      </c>
      <c r="N118" s="689">
        <f aca="true" t="shared" si="6" ref="N118:N125">J118-M118</f>
        <v>170800</v>
      </c>
      <c r="O118" s="690"/>
      <c r="P118" s="690"/>
      <c r="Q118" s="690"/>
      <c r="R118" s="642">
        <f aca="true" t="shared" si="7" ref="R118:R125">$I$11+($E$11/$E$12)*A118</f>
        <v>720</v>
      </c>
      <c r="S118" s="642"/>
      <c r="T118" s="642"/>
      <c r="U118" s="328">
        <f aca="true" t="shared" si="8" ref="U118:U125">$R$11+($N$11/$N$12)*A118</f>
        <v>250</v>
      </c>
      <c r="V118" s="329">
        <f aca="true" t="shared" si="9" ref="V118:V125">R118-U118</f>
        <v>470</v>
      </c>
    </row>
    <row r="119" spans="1:22" ht="14.25" hidden="1">
      <c r="A119" s="698">
        <f>$A$121*-40%+$A$121</f>
        <v>420</v>
      </c>
      <c r="B119" s="649"/>
      <c r="C119" s="643">
        <f t="shared" si="1"/>
        <v>790</v>
      </c>
      <c r="D119" s="643"/>
      <c r="E119" s="60">
        <f t="shared" si="2"/>
        <v>331800</v>
      </c>
      <c r="F119" s="648">
        <f t="shared" si="3"/>
        <v>105000</v>
      </c>
      <c r="G119" s="649"/>
      <c r="H119" s="649"/>
      <c r="I119" s="649"/>
      <c r="J119" s="650">
        <f t="shared" si="4"/>
        <v>226800</v>
      </c>
      <c r="K119" s="651"/>
      <c r="L119" s="652"/>
      <c r="M119" s="330">
        <f t="shared" si="5"/>
        <v>0</v>
      </c>
      <c r="N119" s="648">
        <f t="shared" si="6"/>
        <v>226800</v>
      </c>
      <c r="O119" s="649"/>
      <c r="P119" s="649"/>
      <c r="Q119" s="649"/>
      <c r="R119" s="643">
        <f t="shared" si="7"/>
        <v>580</v>
      </c>
      <c r="S119" s="643"/>
      <c r="T119" s="643"/>
      <c r="U119" s="331">
        <f t="shared" si="8"/>
        <v>250</v>
      </c>
      <c r="V119" s="332">
        <f t="shared" si="9"/>
        <v>330</v>
      </c>
    </row>
    <row r="120" spans="1:22" ht="14.25" hidden="1">
      <c r="A120" s="698">
        <f>$A$121*-20%+$A$121</f>
        <v>560</v>
      </c>
      <c r="B120" s="649"/>
      <c r="C120" s="643">
        <f t="shared" si="1"/>
        <v>720</v>
      </c>
      <c r="D120" s="643"/>
      <c r="E120" s="60">
        <f t="shared" si="2"/>
        <v>403200</v>
      </c>
      <c r="F120" s="648">
        <f t="shared" si="3"/>
        <v>140000</v>
      </c>
      <c r="G120" s="649"/>
      <c r="H120" s="649"/>
      <c r="I120" s="649"/>
      <c r="J120" s="650">
        <f t="shared" si="4"/>
        <v>263200</v>
      </c>
      <c r="K120" s="651"/>
      <c r="L120" s="652"/>
      <c r="M120" s="330">
        <f t="shared" si="5"/>
        <v>0</v>
      </c>
      <c r="N120" s="648">
        <f t="shared" si="6"/>
        <v>263200</v>
      </c>
      <c r="O120" s="649"/>
      <c r="P120" s="649"/>
      <c r="Q120" s="649"/>
      <c r="R120" s="643">
        <f t="shared" si="7"/>
        <v>440</v>
      </c>
      <c r="S120" s="643"/>
      <c r="T120" s="643"/>
      <c r="U120" s="331">
        <f t="shared" si="8"/>
        <v>250</v>
      </c>
      <c r="V120" s="332">
        <f t="shared" si="9"/>
        <v>190</v>
      </c>
    </row>
    <row r="121" spans="1:22" ht="14.25" hidden="1">
      <c r="A121" s="698">
        <f>I82</f>
        <v>700</v>
      </c>
      <c r="B121" s="688"/>
      <c r="C121" s="644">
        <f t="shared" si="1"/>
        <v>650</v>
      </c>
      <c r="D121" s="644"/>
      <c r="E121" s="333">
        <f t="shared" si="2"/>
        <v>455000</v>
      </c>
      <c r="F121" s="687">
        <f t="shared" si="3"/>
        <v>175000</v>
      </c>
      <c r="G121" s="688"/>
      <c r="H121" s="688"/>
      <c r="I121" s="688"/>
      <c r="J121" s="653">
        <f t="shared" si="4"/>
        <v>280000</v>
      </c>
      <c r="K121" s="654"/>
      <c r="L121" s="652"/>
      <c r="M121" s="334">
        <f t="shared" si="5"/>
        <v>0</v>
      </c>
      <c r="N121" s="687">
        <f t="shared" si="6"/>
        <v>280000</v>
      </c>
      <c r="O121" s="688"/>
      <c r="P121" s="688"/>
      <c r="Q121" s="688"/>
      <c r="R121" s="644">
        <f t="shared" si="7"/>
        <v>300</v>
      </c>
      <c r="S121" s="644"/>
      <c r="T121" s="644"/>
      <c r="U121" s="335">
        <f t="shared" si="8"/>
        <v>250</v>
      </c>
      <c r="V121" s="336">
        <f t="shared" si="9"/>
        <v>50</v>
      </c>
    </row>
    <row r="122" spans="1:22" ht="14.25" hidden="1">
      <c r="A122" s="698">
        <f>$A$121*20%+$A$121</f>
        <v>840</v>
      </c>
      <c r="B122" s="649"/>
      <c r="C122" s="643">
        <f t="shared" si="1"/>
        <v>580</v>
      </c>
      <c r="D122" s="643"/>
      <c r="E122" s="60">
        <f t="shared" si="2"/>
        <v>487200</v>
      </c>
      <c r="F122" s="648">
        <f t="shared" si="3"/>
        <v>210000</v>
      </c>
      <c r="G122" s="649"/>
      <c r="H122" s="649"/>
      <c r="I122" s="649"/>
      <c r="J122" s="650">
        <f t="shared" si="4"/>
        <v>277200</v>
      </c>
      <c r="K122" s="651"/>
      <c r="L122" s="652"/>
      <c r="M122" s="330">
        <f t="shared" si="5"/>
        <v>0</v>
      </c>
      <c r="N122" s="648">
        <f t="shared" si="6"/>
        <v>277200</v>
      </c>
      <c r="O122" s="649"/>
      <c r="P122" s="649"/>
      <c r="Q122" s="649"/>
      <c r="R122" s="643">
        <f t="shared" si="7"/>
        <v>160</v>
      </c>
      <c r="S122" s="643"/>
      <c r="T122" s="643"/>
      <c r="U122" s="331">
        <f t="shared" si="8"/>
        <v>250</v>
      </c>
      <c r="V122" s="332">
        <f t="shared" si="9"/>
        <v>-90</v>
      </c>
    </row>
    <row r="123" spans="1:22" ht="14.25" hidden="1">
      <c r="A123" s="698">
        <f>$A$121*40%+$A$121</f>
        <v>980</v>
      </c>
      <c r="B123" s="649"/>
      <c r="C123" s="643">
        <f t="shared" si="1"/>
        <v>510</v>
      </c>
      <c r="D123" s="643"/>
      <c r="E123" s="60">
        <f t="shared" si="2"/>
        <v>499800</v>
      </c>
      <c r="F123" s="648">
        <f t="shared" si="3"/>
        <v>245000</v>
      </c>
      <c r="G123" s="649"/>
      <c r="H123" s="649"/>
      <c r="I123" s="649"/>
      <c r="J123" s="650">
        <f t="shared" si="4"/>
        <v>254800</v>
      </c>
      <c r="K123" s="651"/>
      <c r="L123" s="652"/>
      <c r="M123" s="330">
        <f t="shared" si="5"/>
        <v>0</v>
      </c>
      <c r="N123" s="648">
        <f t="shared" si="6"/>
        <v>254800</v>
      </c>
      <c r="O123" s="649"/>
      <c r="P123" s="649"/>
      <c r="Q123" s="649"/>
      <c r="R123" s="643">
        <f t="shared" si="7"/>
        <v>20</v>
      </c>
      <c r="S123" s="643"/>
      <c r="T123" s="643"/>
      <c r="U123" s="331">
        <f t="shared" si="8"/>
        <v>250</v>
      </c>
      <c r="V123" s="332">
        <f t="shared" si="9"/>
        <v>-230</v>
      </c>
    </row>
    <row r="124" spans="1:22" ht="14.25" hidden="1">
      <c r="A124" s="698">
        <f>$A$121*60%+$A$121</f>
        <v>1120</v>
      </c>
      <c r="B124" s="649"/>
      <c r="C124" s="643">
        <f t="shared" si="1"/>
        <v>440</v>
      </c>
      <c r="D124" s="643"/>
      <c r="E124" s="60">
        <f t="shared" si="2"/>
        <v>492800</v>
      </c>
      <c r="F124" s="648">
        <f t="shared" si="3"/>
        <v>280000</v>
      </c>
      <c r="G124" s="649"/>
      <c r="H124" s="649"/>
      <c r="I124" s="649"/>
      <c r="J124" s="650">
        <f t="shared" si="4"/>
        <v>212800</v>
      </c>
      <c r="K124" s="651"/>
      <c r="L124" s="652"/>
      <c r="M124" s="330">
        <f t="shared" si="5"/>
        <v>0</v>
      </c>
      <c r="N124" s="648">
        <f t="shared" si="6"/>
        <v>212800</v>
      </c>
      <c r="O124" s="649"/>
      <c r="P124" s="649"/>
      <c r="Q124" s="649"/>
      <c r="R124" s="643">
        <f t="shared" si="7"/>
        <v>-120</v>
      </c>
      <c r="S124" s="643"/>
      <c r="T124" s="643"/>
      <c r="U124" s="331">
        <f t="shared" si="8"/>
        <v>250</v>
      </c>
      <c r="V124" s="332">
        <f t="shared" si="9"/>
        <v>-370</v>
      </c>
    </row>
    <row r="125" spans="1:22" ht="15" hidden="1" thickBot="1">
      <c r="A125" s="703">
        <f>$A$121*80%+$A$121</f>
        <v>1260</v>
      </c>
      <c r="B125" s="693"/>
      <c r="C125" s="691">
        <f t="shared" si="1"/>
        <v>370</v>
      </c>
      <c r="D125" s="691"/>
      <c r="E125" s="337">
        <f t="shared" si="2"/>
        <v>466200</v>
      </c>
      <c r="F125" s="692">
        <f t="shared" si="3"/>
        <v>315000</v>
      </c>
      <c r="G125" s="693"/>
      <c r="H125" s="693"/>
      <c r="I125" s="693"/>
      <c r="J125" s="645">
        <f t="shared" si="4"/>
        <v>151200</v>
      </c>
      <c r="K125" s="646"/>
      <c r="L125" s="647"/>
      <c r="M125" s="338">
        <f t="shared" si="5"/>
        <v>0</v>
      </c>
      <c r="N125" s="692">
        <f t="shared" si="6"/>
        <v>151200</v>
      </c>
      <c r="O125" s="693"/>
      <c r="P125" s="693"/>
      <c r="Q125" s="693"/>
      <c r="R125" s="691">
        <f t="shared" si="7"/>
        <v>-260</v>
      </c>
      <c r="S125" s="691"/>
      <c r="T125" s="691"/>
      <c r="U125" s="339">
        <f t="shared" si="8"/>
        <v>250</v>
      </c>
      <c r="V125" s="340">
        <f t="shared" si="9"/>
        <v>-510</v>
      </c>
    </row>
    <row r="126" spans="1:20" ht="12.75" hidden="1">
      <c r="A126" s="624"/>
      <c r="B126" s="624"/>
      <c r="C126" s="624"/>
      <c r="D126" s="624"/>
      <c r="F126" s="624"/>
      <c r="G126" s="624"/>
      <c r="H126" s="624"/>
      <c r="I126" s="624"/>
      <c r="J126" s="621"/>
      <c r="K126" s="621"/>
      <c r="L126" s="621"/>
      <c r="N126" s="624"/>
      <c r="O126" s="624"/>
      <c r="P126" s="624"/>
      <c r="Q126" s="624"/>
      <c r="R126" s="624"/>
      <c r="S126" s="624"/>
      <c r="T126" s="624"/>
    </row>
    <row r="127" spans="1:20" ht="12.75">
      <c r="A127" s="624"/>
      <c r="B127" s="624"/>
      <c r="C127" s="624"/>
      <c r="D127" s="624"/>
      <c r="F127" s="624"/>
      <c r="G127" s="624"/>
      <c r="H127" s="624"/>
      <c r="I127" s="624"/>
      <c r="J127" s="621"/>
      <c r="K127" s="621"/>
      <c r="L127" s="621"/>
      <c r="N127" s="624"/>
      <c r="O127" s="624"/>
      <c r="P127" s="624"/>
      <c r="Q127" s="624"/>
      <c r="R127" s="624"/>
      <c r="S127" s="624"/>
      <c r="T127" s="624"/>
    </row>
    <row r="128" spans="1:20" ht="12.75">
      <c r="A128" s="624"/>
      <c r="B128" s="624"/>
      <c r="C128" s="624"/>
      <c r="D128" s="624"/>
      <c r="F128" s="624"/>
      <c r="G128" s="624"/>
      <c r="H128" s="624"/>
      <c r="I128" s="624"/>
      <c r="J128" s="621"/>
      <c r="K128" s="621"/>
      <c r="L128" s="621"/>
      <c r="N128" s="624"/>
      <c r="O128" s="624"/>
      <c r="P128" s="624"/>
      <c r="Q128" s="624"/>
      <c r="R128" s="624"/>
      <c r="S128" s="624"/>
      <c r="T128" s="624"/>
    </row>
    <row r="129" spans="1:20" ht="12.75">
      <c r="A129" s="624"/>
      <c r="B129" s="624"/>
      <c r="C129" s="624"/>
      <c r="D129" s="624"/>
      <c r="F129" s="624"/>
      <c r="G129" s="624"/>
      <c r="H129" s="624"/>
      <c r="I129" s="624"/>
      <c r="J129" s="621"/>
      <c r="K129" s="621"/>
      <c r="L129" s="621"/>
      <c r="N129" s="624"/>
      <c r="O129" s="624"/>
      <c r="P129" s="624"/>
      <c r="Q129" s="624"/>
      <c r="R129" s="624"/>
      <c r="S129" s="624"/>
      <c r="T129" s="624"/>
    </row>
    <row r="130" spans="1:20" ht="12.75">
      <c r="A130" s="624"/>
      <c r="B130" s="624"/>
      <c r="C130" s="624"/>
      <c r="D130" s="624"/>
      <c r="F130" s="624"/>
      <c r="G130" s="624"/>
      <c r="H130" s="624"/>
      <c r="I130" s="624"/>
      <c r="J130" s="624"/>
      <c r="K130" s="624"/>
      <c r="L130" s="79"/>
      <c r="N130" s="624"/>
      <c r="O130" s="624"/>
      <c r="P130" s="624"/>
      <c r="Q130" s="624"/>
      <c r="R130" s="624"/>
      <c r="S130" s="624"/>
      <c r="T130" s="624"/>
    </row>
    <row r="131" spans="1:20" ht="12.75">
      <c r="A131" s="624"/>
      <c r="B131" s="624"/>
      <c r="C131" s="624"/>
      <c r="D131" s="624"/>
      <c r="F131" s="624"/>
      <c r="G131" s="624"/>
      <c r="H131" s="624"/>
      <c r="I131" s="624"/>
      <c r="J131" s="624"/>
      <c r="K131" s="624"/>
      <c r="L131" s="79"/>
      <c r="N131" s="624"/>
      <c r="O131" s="624"/>
      <c r="P131" s="624"/>
      <c r="Q131" s="624"/>
      <c r="R131" s="624"/>
      <c r="S131" s="624"/>
      <c r="T131" s="624"/>
    </row>
    <row r="132" spans="1:20" ht="12.75">
      <c r="A132" s="624"/>
      <c r="B132" s="624"/>
      <c r="C132" s="624"/>
      <c r="D132" s="624"/>
      <c r="F132" s="624"/>
      <c r="G132" s="624"/>
      <c r="H132" s="624"/>
      <c r="I132" s="624"/>
      <c r="J132" s="624"/>
      <c r="K132" s="624"/>
      <c r="L132" s="79"/>
      <c r="N132" s="624"/>
      <c r="O132" s="624"/>
      <c r="P132" s="624"/>
      <c r="Q132" s="624"/>
      <c r="R132" s="624"/>
      <c r="S132" s="624"/>
      <c r="T132" s="624"/>
    </row>
    <row r="133" spans="1:20" ht="12.75">
      <c r="A133" s="624"/>
      <c r="B133" s="624"/>
      <c r="C133" s="624"/>
      <c r="D133" s="624"/>
      <c r="F133" s="624"/>
      <c r="G133" s="624"/>
      <c r="H133" s="624"/>
      <c r="I133" s="624"/>
      <c r="J133" s="624"/>
      <c r="K133" s="624"/>
      <c r="L133" s="79"/>
      <c r="N133" s="624"/>
      <c r="O133" s="624"/>
      <c r="P133" s="624"/>
      <c r="Q133" s="624"/>
      <c r="R133" s="624"/>
      <c r="S133" s="624"/>
      <c r="T133" s="624"/>
    </row>
    <row r="134" spans="1:20" ht="12.75">
      <c r="A134" s="624"/>
      <c r="B134" s="624"/>
      <c r="C134" s="624"/>
      <c r="D134" s="624"/>
      <c r="F134" s="624"/>
      <c r="G134" s="624"/>
      <c r="H134" s="624"/>
      <c r="I134" s="624"/>
      <c r="J134" s="624"/>
      <c r="K134" s="624"/>
      <c r="L134" s="79"/>
      <c r="N134" s="624"/>
      <c r="O134" s="624"/>
      <c r="P134" s="624"/>
      <c r="Q134" s="624"/>
      <c r="R134" s="624"/>
      <c r="S134" s="624"/>
      <c r="T134" s="624"/>
    </row>
    <row r="135" spans="1:20" ht="12.75">
      <c r="A135" s="624"/>
      <c r="B135" s="624"/>
      <c r="C135" s="624"/>
      <c r="D135" s="624"/>
      <c r="F135" s="624"/>
      <c r="G135" s="624"/>
      <c r="H135" s="624"/>
      <c r="I135" s="624"/>
      <c r="J135" s="624"/>
      <c r="K135" s="624"/>
      <c r="L135" s="79"/>
      <c r="N135" s="624"/>
      <c r="O135" s="624"/>
      <c r="P135" s="624"/>
      <c r="Q135" s="624"/>
      <c r="R135" s="624"/>
      <c r="S135" s="624"/>
      <c r="T135" s="624"/>
    </row>
    <row r="136" spans="1:20" ht="12.75">
      <c r="A136" s="624"/>
      <c r="B136" s="624"/>
      <c r="C136" s="624"/>
      <c r="D136" s="624"/>
      <c r="F136" s="624"/>
      <c r="G136" s="624"/>
      <c r="H136" s="624"/>
      <c r="I136" s="624"/>
      <c r="J136" s="624"/>
      <c r="K136" s="624"/>
      <c r="L136" s="79"/>
      <c r="N136" s="624"/>
      <c r="O136" s="624"/>
      <c r="P136" s="624"/>
      <c r="Q136" s="624"/>
      <c r="R136" s="624"/>
      <c r="S136" s="624"/>
      <c r="T136" s="624"/>
    </row>
    <row r="137" spans="1:20" ht="12.75">
      <c r="A137" s="624"/>
      <c r="B137" s="624"/>
      <c r="C137" s="624"/>
      <c r="D137" s="624"/>
      <c r="F137" s="624"/>
      <c r="G137" s="624"/>
      <c r="H137" s="624"/>
      <c r="I137" s="624"/>
      <c r="J137" s="624"/>
      <c r="K137" s="624"/>
      <c r="L137" s="79"/>
      <c r="N137" s="624"/>
      <c r="O137" s="624"/>
      <c r="P137" s="624"/>
      <c r="Q137" s="624"/>
      <c r="R137" s="624"/>
      <c r="S137" s="624"/>
      <c r="T137" s="624"/>
    </row>
  </sheetData>
  <sheetProtection/>
  <mergeCells count="237">
    <mergeCell ref="A81:H81"/>
    <mergeCell ref="A37:D37"/>
    <mergeCell ref="A125:B125"/>
    <mergeCell ref="A123:B123"/>
    <mergeCell ref="A124:B124"/>
    <mergeCell ref="A120:B120"/>
    <mergeCell ref="C120:D120"/>
    <mergeCell ref="A114:B114"/>
    <mergeCell ref="C125:D125"/>
    <mergeCell ref="F117:I117"/>
    <mergeCell ref="A2:I2"/>
    <mergeCell ref="K2:U2"/>
    <mergeCell ref="A121:B121"/>
    <mergeCell ref="A122:B122"/>
    <mergeCell ref="H11:H12"/>
    <mergeCell ref="K3:K4"/>
    <mergeCell ref="A91:M91"/>
    <mergeCell ref="A117:B117"/>
    <mergeCell ref="A118:B118"/>
    <mergeCell ref="A119:B119"/>
    <mergeCell ref="F118:I118"/>
    <mergeCell ref="C122:D122"/>
    <mergeCell ref="C123:D123"/>
    <mergeCell ref="F125:I125"/>
    <mergeCell ref="F120:I120"/>
    <mergeCell ref="F121:I121"/>
    <mergeCell ref="F122:I122"/>
    <mergeCell ref="F123:I123"/>
    <mergeCell ref="F124:I124"/>
    <mergeCell ref="R124:T124"/>
    <mergeCell ref="R125:T125"/>
    <mergeCell ref="N125:Q125"/>
    <mergeCell ref="N124:Q124"/>
    <mergeCell ref="N114:Q114"/>
    <mergeCell ref="N121:Q121"/>
    <mergeCell ref="N118:Q118"/>
    <mergeCell ref="N119:Q119"/>
    <mergeCell ref="N120:Q120"/>
    <mergeCell ref="R117:T117"/>
    <mergeCell ref="N117:Q117"/>
    <mergeCell ref="R116:T116"/>
    <mergeCell ref="C103:D103"/>
    <mergeCell ref="C104:D104"/>
    <mergeCell ref="R114:T114"/>
    <mergeCell ref="F114:I114"/>
    <mergeCell ref="C114:D114"/>
    <mergeCell ref="F115:I115"/>
    <mergeCell ref="N115:Q115"/>
    <mergeCell ref="C11:D12"/>
    <mergeCell ref="A11:B12"/>
    <mergeCell ref="F11:F12"/>
    <mergeCell ref="J119:L119"/>
    <mergeCell ref="A103:B103"/>
    <mergeCell ref="A104:B104"/>
    <mergeCell ref="J114:K114"/>
    <mergeCell ref="F119:I119"/>
    <mergeCell ref="C119:D119"/>
    <mergeCell ref="C117:D117"/>
    <mergeCell ref="A6:B7"/>
    <mergeCell ref="A5:J5"/>
    <mergeCell ref="G3:G4"/>
    <mergeCell ref="J3:J4"/>
    <mergeCell ref="C6:D7"/>
    <mergeCell ref="F6:F7"/>
    <mergeCell ref="G6:G7"/>
    <mergeCell ref="A3:A4"/>
    <mergeCell ref="B3:B4"/>
    <mergeCell ref="F3:F4"/>
    <mergeCell ref="H6:H7"/>
    <mergeCell ref="H3:H4"/>
    <mergeCell ref="I3:I4"/>
    <mergeCell ref="C3:D4"/>
    <mergeCell ref="K5:K6"/>
    <mergeCell ref="M3:N4"/>
    <mergeCell ref="P76:R77"/>
    <mergeCell ref="I11:J12"/>
    <mergeCell ref="I6:I7"/>
    <mergeCell ref="J6:J7"/>
    <mergeCell ref="P5:P6"/>
    <mergeCell ref="Q5:Q6"/>
    <mergeCell ref="L3:L4"/>
    <mergeCell ref="O76:O77"/>
    <mergeCell ref="S5:S6"/>
    <mergeCell ref="K8:K9"/>
    <mergeCell ref="L5:M6"/>
    <mergeCell ref="L8:M9"/>
    <mergeCell ref="O8:O9"/>
    <mergeCell ref="P8:P9"/>
    <mergeCell ref="Q8:Q9"/>
    <mergeCell ref="R8:R9"/>
    <mergeCell ref="S8:S9"/>
    <mergeCell ref="O5:O6"/>
    <mergeCell ref="H86:H87"/>
    <mergeCell ref="I86:I87"/>
    <mergeCell ref="T8:T9"/>
    <mergeCell ref="U8:U9"/>
    <mergeCell ref="K11:K12"/>
    <mergeCell ref="L11:M12"/>
    <mergeCell ref="O11:O12"/>
    <mergeCell ref="Q11:Q12"/>
    <mergeCell ref="R11:R12"/>
    <mergeCell ref="K75:L75"/>
    <mergeCell ref="B86:B87"/>
    <mergeCell ref="C86:C87"/>
    <mergeCell ref="D86:D87"/>
    <mergeCell ref="F86:F87"/>
    <mergeCell ref="N76:N77"/>
    <mergeCell ref="F76:F77"/>
    <mergeCell ref="H76:H77"/>
    <mergeCell ref="I76:I77"/>
    <mergeCell ref="J76:J77"/>
    <mergeCell ref="K76:L76"/>
    <mergeCell ref="K77:L77"/>
    <mergeCell ref="J121:L121"/>
    <mergeCell ref="J117:L117"/>
    <mergeCell ref="J118:L118"/>
    <mergeCell ref="J120:L120"/>
    <mergeCell ref="A131:B131"/>
    <mergeCell ref="A116:B116"/>
    <mergeCell ref="A115:B115"/>
    <mergeCell ref="A126:B126"/>
    <mergeCell ref="A127:B127"/>
    <mergeCell ref="C115:D115"/>
    <mergeCell ref="C126:D126"/>
    <mergeCell ref="C127:D127"/>
    <mergeCell ref="C128:D128"/>
    <mergeCell ref="C121:D121"/>
    <mergeCell ref="C118:D118"/>
    <mergeCell ref="C124:D124"/>
    <mergeCell ref="C135:D135"/>
    <mergeCell ref="A132:B132"/>
    <mergeCell ref="A133:B133"/>
    <mergeCell ref="C116:D116"/>
    <mergeCell ref="C129:D129"/>
    <mergeCell ref="C130:D130"/>
    <mergeCell ref="C131:D131"/>
    <mergeCell ref="A128:B128"/>
    <mergeCell ref="A129:B129"/>
    <mergeCell ref="A130:B130"/>
    <mergeCell ref="F126:I126"/>
    <mergeCell ref="F127:I127"/>
    <mergeCell ref="F128:I128"/>
    <mergeCell ref="F129:I129"/>
    <mergeCell ref="J136:K136"/>
    <mergeCell ref="J134:K134"/>
    <mergeCell ref="J135:K135"/>
    <mergeCell ref="F131:I131"/>
    <mergeCell ref="F132:I132"/>
    <mergeCell ref="F133:I133"/>
    <mergeCell ref="J125:L125"/>
    <mergeCell ref="N126:Q126"/>
    <mergeCell ref="J130:K130"/>
    <mergeCell ref="N122:Q122"/>
    <mergeCell ref="N123:Q123"/>
    <mergeCell ref="J123:L123"/>
    <mergeCell ref="J124:L124"/>
    <mergeCell ref="J122:L122"/>
    <mergeCell ref="N128:Q128"/>
    <mergeCell ref="N129:Q129"/>
    <mergeCell ref="N130:Q130"/>
    <mergeCell ref="J126:L126"/>
    <mergeCell ref="J127:L127"/>
    <mergeCell ref="J128:L128"/>
    <mergeCell ref="N127:Q127"/>
    <mergeCell ref="R126:T126"/>
    <mergeCell ref="R127:T127"/>
    <mergeCell ref="R128:T128"/>
    <mergeCell ref="R115:T115"/>
    <mergeCell ref="R118:T118"/>
    <mergeCell ref="R119:T119"/>
    <mergeCell ref="R120:T120"/>
    <mergeCell ref="R121:T121"/>
    <mergeCell ref="R122:T122"/>
    <mergeCell ref="R123:T123"/>
    <mergeCell ref="R129:T129"/>
    <mergeCell ref="R130:T130"/>
    <mergeCell ref="R131:T131"/>
    <mergeCell ref="R132:T132"/>
    <mergeCell ref="R133:T133"/>
    <mergeCell ref="R134:T134"/>
    <mergeCell ref="R135:T135"/>
    <mergeCell ref="R136:T136"/>
    <mergeCell ref="A136:B136"/>
    <mergeCell ref="A137:B137"/>
    <mergeCell ref="R137:T137"/>
    <mergeCell ref="F137:I137"/>
    <mergeCell ref="C136:D136"/>
    <mergeCell ref="C137:D137"/>
    <mergeCell ref="N136:Q136"/>
    <mergeCell ref="N137:Q137"/>
    <mergeCell ref="J137:K137"/>
    <mergeCell ref="F136:I136"/>
    <mergeCell ref="A135:B135"/>
    <mergeCell ref="N135:Q135"/>
    <mergeCell ref="J129:L129"/>
    <mergeCell ref="N131:Q131"/>
    <mergeCell ref="J131:K131"/>
    <mergeCell ref="J132:K132"/>
    <mergeCell ref="J133:K133"/>
    <mergeCell ref="F134:I134"/>
    <mergeCell ref="F135:I135"/>
    <mergeCell ref="F130:I130"/>
    <mergeCell ref="A134:B134"/>
    <mergeCell ref="N132:Q132"/>
    <mergeCell ref="N133:Q133"/>
    <mergeCell ref="N134:Q134"/>
    <mergeCell ref="C132:D132"/>
    <mergeCell ref="C133:D133"/>
    <mergeCell ref="C134:D134"/>
    <mergeCell ref="L13:M13"/>
    <mergeCell ref="L16:M17"/>
    <mergeCell ref="Q14:Q15"/>
    <mergeCell ref="R14:R15"/>
    <mergeCell ref="L14:M15"/>
    <mergeCell ref="O14:O15"/>
    <mergeCell ref="P14:P15"/>
    <mergeCell ref="K16:K17"/>
    <mergeCell ref="O16:O17"/>
    <mergeCell ref="Q16:Q17"/>
    <mergeCell ref="R16:R17"/>
    <mergeCell ref="R21:R22"/>
    <mergeCell ref="L23:M23"/>
    <mergeCell ref="L18:M18"/>
    <mergeCell ref="K21:K22"/>
    <mergeCell ref="L21:M22"/>
    <mergeCell ref="O21:O22"/>
    <mergeCell ref="Q21:Q22"/>
    <mergeCell ref="S14:S15"/>
    <mergeCell ref="P16:P17"/>
    <mergeCell ref="K19:K20"/>
    <mergeCell ref="L19:M20"/>
    <mergeCell ref="R19:R20"/>
    <mergeCell ref="S19:S20"/>
    <mergeCell ref="Q19:Q20"/>
    <mergeCell ref="O19:O20"/>
    <mergeCell ref="P19:P20"/>
    <mergeCell ref="K14:K15"/>
  </mergeCells>
  <printOptions/>
  <pageMargins left="0.3937007874015748" right="0.3937007874015748" top="0.3937007874015748" bottom="0.3937007874015748" header="0" footer="0"/>
  <pageSetup horizontalDpi="300" verticalDpi="300" orientation="landscape" paperSize="9" scale="9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42"/>
  <sheetViews>
    <sheetView zoomScale="90" zoomScaleNormal="90" workbookViewId="0" topLeftCell="A85">
      <selection activeCell="D101" sqref="D101"/>
    </sheetView>
  </sheetViews>
  <sheetFormatPr defaultColWidth="9.140625" defaultRowHeight="12.75"/>
  <cols>
    <col min="1" max="1" width="13.00390625" style="0" customWidth="1"/>
    <col min="2" max="2" width="3.140625" style="0" customWidth="1"/>
    <col min="3" max="3" width="3.28125" style="0" customWidth="1"/>
    <col min="4" max="4" width="10.140625" style="0" customWidth="1"/>
    <col min="5" max="5" width="13.00390625" style="0" customWidth="1"/>
    <col min="6" max="6" width="3.00390625" style="0" customWidth="1"/>
    <col min="7" max="7" width="1.8515625" style="0" customWidth="1"/>
    <col min="8" max="8" width="2.7109375" style="0" customWidth="1"/>
    <col min="9" max="9" width="14.00390625" style="0" bestFit="1" customWidth="1"/>
    <col min="10" max="10" width="4.28125" style="0" customWidth="1"/>
    <col min="11" max="11" width="6.28125" style="0" customWidth="1"/>
    <col min="12" max="12" width="3.00390625" style="0" customWidth="1"/>
    <col min="13" max="13" width="15.140625" style="0" bestFit="1" customWidth="1"/>
    <col min="14" max="14" width="8.421875" style="0" customWidth="1"/>
    <col min="15" max="15" width="3.28125" style="0" customWidth="1"/>
    <col min="16" max="16" width="2.140625" style="0" customWidth="1"/>
    <col min="17" max="17" width="3.8515625" style="0" customWidth="1"/>
    <col min="18" max="18" width="7.7109375" style="0" customWidth="1"/>
    <col min="19" max="19" width="3.140625" style="0" customWidth="1"/>
    <col min="20" max="20" width="2.421875" style="0" customWidth="1"/>
    <col min="21" max="21" width="11.28125" style="0" bestFit="1" customWidth="1"/>
    <col min="22" max="22" width="11.28125" style="0" customWidth="1"/>
  </cols>
  <sheetData>
    <row r="1" spans="1:9" ht="27" thickBot="1">
      <c r="A1" s="210" t="s">
        <v>146</v>
      </c>
      <c r="H1" s="211" t="s">
        <v>147</v>
      </c>
      <c r="I1" s="136"/>
    </row>
    <row r="2" spans="1:21" ht="12.75">
      <c r="A2" s="694" t="s">
        <v>148</v>
      </c>
      <c r="B2" s="695"/>
      <c r="C2" s="695"/>
      <c r="D2" s="695"/>
      <c r="E2" s="695"/>
      <c r="F2" s="695"/>
      <c r="G2" s="695"/>
      <c r="H2" s="695"/>
      <c r="I2" s="695"/>
      <c r="J2" s="212"/>
      <c r="K2" s="694" t="s">
        <v>149</v>
      </c>
      <c r="L2" s="696"/>
      <c r="M2" s="695"/>
      <c r="N2" s="695"/>
      <c r="O2" s="695"/>
      <c r="P2" s="695"/>
      <c r="Q2" s="695"/>
      <c r="R2" s="695"/>
      <c r="S2" s="695"/>
      <c r="T2" s="695"/>
      <c r="U2" s="697"/>
    </row>
    <row r="3" spans="1:21" ht="13.5" thickBot="1">
      <c r="A3" s="145" t="s">
        <v>150</v>
      </c>
      <c r="B3" s="671" t="s">
        <v>151</v>
      </c>
      <c r="C3" s="678" t="s">
        <v>152</v>
      </c>
      <c r="D3" s="678"/>
      <c r="E3" s="215">
        <v>-1</v>
      </c>
      <c r="F3" s="676" t="s">
        <v>153</v>
      </c>
      <c r="G3" s="682"/>
      <c r="H3" s="676" t="s">
        <v>154</v>
      </c>
      <c r="I3" s="677">
        <v>1000</v>
      </c>
      <c r="J3" s="323"/>
      <c r="K3" s="145" t="s">
        <v>155</v>
      </c>
      <c r="L3" s="639" t="s">
        <v>152</v>
      </c>
      <c r="M3" s="672">
        <v>0</v>
      </c>
      <c r="N3" s="672"/>
      <c r="O3" s="218"/>
      <c r="P3" s="218"/>
      <c r="Q3" s="218"/>
      <c r="R3" s="218"/>
      <c r="S3" s="218"/>
      <c r="T3" s="218"/>
      <c r="U3" s="219"/>
    </row>
    <row r="4" spans="1:21" ht="12.75">
      <c r="A4" s="145"/>
      <c r="B4" s="671"/>
      <c r="C4" s="678"/>
      <c r="D4" s="678"/>
      <c r="E4" s="220">
        <v>2</v>
      </c>
      <c r="F4" s="676"/>
      <c r="G4" s="682"/>
      <c r="H4" s="676"/>
      <c r="I4" s="677"/>
      <c r="J4" s="323"/>
      <c r="K4" s="145"/>
      <c r="L4" s="639"/>
      <c r="M4" s="672"/>
      <c r="N4" s="672"/>
      <c r="O4" s="132"/>
      <c r="P4" s="132"/>
      <c r="Q4" s="221"/>
      <c r="R4" s="132"/>
      <c r="S4" s="132"/>
      <c r="T4" s="132"/>
      <c r="U4" s="222"/>
    </row>
    <row r="5" spans="1:21" ht="14.25" customHeight="1">
      <c r="A5" s="680"/>
      <c r="B5" s="681"/>
      <c r="C5" s="681"/>
      <c r="D5" s="681"/>
      <c r="E5" s="681"/>
      <c r="F5" s="681"/>
      <c r="G5" s="681"/>
      <c r="H5" s="681"/>
      <c r="I5" s="681"/>
      <c r="J5" s="681"/>
      <c r="K5" s="145" t="s">
        <v>156</v>
      </c>
      <c r="L5" s="639" t="s">
        <v>152</v>
      </c>
      <c r="M5" s="639"/>
      <c r="N5" s="225">
        <v>0</v>
      </c>
      <c r="O5" s="669" t="str">
        <f>F3</f>
        <v>X</v>
      </c>
      <c r="P5" s="675">
        <v>2</v>
      </c>
      <c r="Q5" s="669" t="s">
        <v>154</v>
      </c>
      <c r="R5" s="216">
        <v>500</v>
      </c>
      <c r="S5" s="669" t="str">
        <f>O5</f>
        <v>X</v>
      </c>
      <c r="T5" s="132"/>
      <c r="U5" s="222"/>
    </row>
    <row r="6" spans="1:21" ht="13.5" customHeight="1" thickBot="1">
      <c r="A6" s="145" t="s">
        <v>18</v>
      </c>
      <c r="B6" s="679"/>
      <c r="C6" s="683" t="s">
        <v>152</v>
      </c>
      <c r="D6" s="683"/>
      <c r="E6" s="44">
        <f>E3</f>
        <v>-1</v>
      </c>
      <c r="F6" s="640" t="str">
        <f>F3</f>
        <v>X</v>
      </c>
      <c r="G6" s="684">
        <v>2</v>
      </c>
      <c r="H6" s="640" t="s">
        <v>154</v>
      </c>
      <c r="I6" s="671">
        <f>I3</f>
        <v>1000</v>
      </c>
      <c r="J6" s="674" t="str">
        <f>F3</f>
        <v>X</v>
      </c>
      <c r="K6" s="145"/>
      <c r="L6" s="639"/>
      <c r="M6" s="639"/>
      <c r="N6" s="231">
        <v>1</v>
      </c>
      <c r="O6" s="669"/>
      <c r="P6" s="675"/>
      <c r="Q6" s="669"/>
      <c r="R6" s="232"/>
      <c r="S6" s="669"/>
      <c r="T6" s="132"/>
      <c r="U6" s="222"/>
    </row>
    <row r="7" spans="1:21" ht="20.25">
      <c r="A7" s="145"/>
      <c r="B7" s="679"/>
      <c r="C7" s="683"/>
      <c r="D7" s="683"/>
      <c r="E7" s="233">
        <f>E4</f>
        <v>2</v>
      </c>
      <c r="F7" s="640"/>
      <c r="G7" s="684"/>
      <c r="H7" s="640"/>
      <c r="I7" s="671"/>
      <c r="J7" s="674"/>
      <c r="K7" s="49"/>
      <c r="L7" s="132"/>
      <c r="M7" s="132"/>
      <c r="N7" s="132"/>
      <c r="O7" s="132"/>
      <c r="P7" s="149"/>
      <c r="Q7" s="234"/>
      <c r="R7" s="132"/>
      <c r="S7" s="132"/>
      <c r="T7" s="132"/>
      <c r="U7" s="222"/>
    </row>
    <row r="8" spans="1:21" ht="20.25">
      <c r="A8" s="213"/>
      <c r="B8" s="226"/>
      <c r="C8" s="227"/>
      <c r="D8" s="227"/>
      <c r="E8" s="233"/>
      <c r="F8" s="229"/>
      <c r="G8" s="235"/>
      <c r="H8" s="229"/>
      <c r="I8" s="214"/>
      <c r="J8" s="230"/>
      <c r="K8" s="145" t="s">
        <v>157</v>
      </c>
      <c r="L8" s="639" t="s">
        <v>152</v>
      </c>
      <c r="M8" s="639"/>
      <c r="N8" s="217">
        <f aca="true" t="shared" si="0" ref="N8:S8">N5</f>
        <v>0</v>
      </c>
      <c r="O8" s="640" t="str">
        <f t="shared" si="0"/>
        <v>X</v>
      </c>
      <c r="P8" s="670">
        <f t="shared" si="0"/>
        <v>2</v>
      </c>
      <c r="Q8" s="640" t="str">
        <f t="shared" si="0"/>
        <v>+</v>
      </c>
      <c r="R8" s="671">
        <f t="shared" si="0"/>
        <v>500</v>
      </c>
      <c r="S8" s="640" t="str">
        <f t="shared" si="0"/>
        <v>X</v>
      </c>
      <c r="T8" s="640" t="s">
        <v>154</v>
      </c>
      <c r="U8" s="666">
        <f>M3</f>
        <v>0</v>
      </c>
    </row>
    <row r="9" spans="1:21" ht="20.25">
      <c r="A9" s="223"/>
      <c r="B9" s="224"/>
      <c r="C9" s="217"/>
      <c r="D9" s="217"/>
      <c r="E9" s="236"/>
      <c r="F9" s="237"/>
      <c r="G9" s="238"/>
      <c r="H9" s="239"/>
      <c r="I9" s="132"/>
      <c r="J9" s="132"/>
      <c r="K9" s="145"/>
      <c r="L9" s="639"/>
      <c r="M9" s="639"/>
      <c r="N9" s="217">
        <f>N6</f>
        <v>1</v>
      </c>
      <c r="O9" s="640"/>
      <c r="P9" s="670"/>
      <c r="Q9" s="640"/>
      <c r="R9" s="671"/>
      <c r="S9" s="640"/>
      <c r="T9" s="640"/>
      <c r="U9" s="666"/>
    </row>
    <row r="10" spans="1:21" ht="21">
      <c r="A10" s="223"/>
      <c r="B10" s="224"/>
      <c r="C10" s="217"/>
      <c r="D10" s="217"/>
      <c r="E10" s="236"/>
      <c r="F10" s="237"/>
      <c r="G10" s="238"/>
      <c r="H10" s="239"/>
      <c r="I10" s="132"/>
      <c r="J10" s="132"/>
      <c r="K10" s="240"/>
      <c r="L10" s="241"/>
      <c r="M10" s="132"/>
      <c r="N10" s="132"/>
      <c r="O10" s="229"/>
      <c r="P10" s="242"/>
      <c r="Q10" s="234"/>
      <c r="R10" s="132"/>
      <c r="S10" s="243"/>
      <c r="T10" s="221"/>
      <c r="U10" s="96"/>
    </row>
    <row r="11" spans="1:21" ht="13.5" thickBot="1">
      <c r="A11" s="145" t="s">
        <v>158</v>
      </c>
      <c r="B11" s="679"/>
      <c r="C11" s="683" t="s">
        <v>152</v>
      </c>
      <c r="D11" s="683"/>
      <c r="E11" s="44">
        <f>E6*2</f>
        <v>-2</v>
      </c>
      <c r="F11" s="640" t="str">
        <f>F6</f>
        <v>X</v>
      </c>
      <c r="G11" s="132"/>
      <c r="H11" s="640" t="s">
        <v>154</v>
      </c>
      <c r="I11" s="671">
        <f>I6</f>
        <v>1000</v>
      </c>
      <c r="J11" s="671"/>
      <c r="K11" s="145" t="s">
        <v>191</v>
      </c>
      <c r="L11" s="639" t="s">
        <v>152</v>
      </c>
      <c r="M11" s="639"/>
      <c r="N11" s="217">
        <f>N5*P8</f>
        <v>0</v>
      </c>
      <c r="O11" s="640" t="str">
        <f>O8</f>
        <v>X</v>
      </c>
      <c r="P11" s="132"/>
      <c r="Q11" s="640" t="str">
        <f>Q8</f>
        <v>+</v>
      </c>
      <c r="R11" s="667">
        <f>R5</f>
        <v>500</v>
      </c>
      <c r="S11" s="132"/>
      <c r="T11" s="132"/>
      <c r="U11" s="222"/>
    </row>
    <row r="12" spans="1:21" ht="13.5" thickBot="1">
      <c r="A12" s="267"/>
      <c r="B12" s="685"/>
      <c r="C12" s="321"/>
      <c r="D12" s="321"/>
      <c r="E12" s="255">
        <f>E4</f>
        <v>2</v>
      </c>
      <c r="F12" s="248"/>
      <c r="G12" s="14"/>
      <c r="H12" s="248"/>
      <c r="I12" s="673"/>
      <c r="J12" s="673"/>
      <c r="K12" s="145"/>
      <c r="L12" s="639"/>
      <c r="M12" s="639"/>
      <c r="N12" s="217">
        <f>N9</f>
        <v>1</v>
      </c>
      <c r="O12" s="640"/>
      <c r="P12" s="132"/>
      <c r="Q12" s="640"/>
      <c r="R12" s="667"/>
      <c r="S12" s="132"/>
      <c r="T12" s="132"/>
      <c r="U12" s="222"/>
    </row>
    <row r="13" spans="1:21" ht="21.75" customHeight="1" thickBot="1">
      <c r="A13" s="226"/>
      <c r="B13" s="226"/>
      <c r="C13" s="227"/>
      <c r="D13" s="227"/>
      <c r="E13" s="233"/>
      <c r="F13" s="229"/>
      <c r="G13" s="132"/>
      <c r="H13" s="229"/>
      <c r="I13" s="214"/>
      <c r="J13" s="214"/>
      <c r="K13" s="244" t="s">
        <v>159</v>
      </c>
      <c r="L13" s="269" t="s">
        <v>152</v>
      </c>
      <c r="M13" s="269"/>
      <c r="N13" s="257">
        <v>1300</v>
      </c>
      <c r="O13" s="257"/>
      <c r="P13" s="257"/>
      <c r="Q13" s="256" t="str">
        <f>O11</f>
        <v>X</v>
      </c>
      <c r="R13" s="258"/>
      <c r="S13" s="14"/>
      <c r="T13" s="14"/>
      <c r="U13" s="259"/>
    </row>
    <row r="14" spans="1:21" ht="14.25" customHeight="1">
      <c r="A14" s="226"/>
      <c r="B14" s="226"/>
      <c r="C14" s="227"/>
      <c r="D14" s="227"/>
      <c r="E14" s="233"/>
      <c r="F14" s="229"/>
      <c r="G14" s="132"/>
      <c r="H14" s="229"/>
      <c r="I14" s="214"/>
      <c r="J14" s="214"/>
      <c r="K14" s="324" t="s">
        <v>192</v>
      </c>
      <c r="L14" s="268" t="s">
        <v>152</v>
      </c>
      <c r="M14" s="268"/>
      <c r="N14" s="260">
        <f>N16*0.5</f>
        <v>0</v>
      </c>
      <c r="O14" s="249" t="str">
        <f>O16</f>
        <v>X</v>
      </c>
      <c r="P14" s="251">
        <f>P5</f>
        <v>2</v>
      </c>
      <c r="Q14" s="247" t="s">
        <v>154</v>
      </c>
      <c r="R14" s="245">
        <f>R16</f>
        <v>0</v>
      </c>
      <c r="S14" s="320" t="str">
        <f>O14</f>
        <v>X</v>
      </c>
      <c r="T14" s="132"/>
      <c r="U14" s="222"/>
    </row>
    <row r="15" spans="1:21" ht="14.25" customHeight="1" thickBot="1">
      <c r="A15" s="226"/>
      <c r="B15" s="226"/>
      <c r="C15" s="227"/>
      <c r="D15" s="227"/>
      <c r="E15" s="233"/>
      <c r="F15" s="229"/>
      <c r="G15" s="132"/>
      <c r="H15" s="229"/>
      <c r="I15" s="214"/>
      <c r="J15" s="214"/>
      <c r="K15" s="267"/>
      <c r="L15" s="269"/>
      <c r="M15" s="269"/>
      <c r="N15" s="261">
        <f>N17</f>
        <v>1</v>
      </c>
      <c r="O15" s="250"/>
      <c r="P15" s="252"/>
      <c r="Q15" s="248"/>
      <c r="R15" s="246"/>
      <c r="S15" s="321"/>
      <c r="T15" s="132"/>
      <c r="U15" s="222"/>
    </row>
    <row r="16" spans="1:21" ht="13.5" customHeight="1">
      <c r="A16" s="226"/>
      <c r="B16" s="226"/>
      <c r="C16" s="227"/>
      <c r="D16" s="227"/>
      <c r="E16" s="233"/>
      <c r="F16" s="229"/>
      <c r="G16" s="132"/>
      <c r="H16" s="229"/>
      <c r="I16" s="214"/>
      <c r="J16" s="214"/>
      <c r="K16" s="324" t="s">
        <v>193</v>
      </c>
      <c r="L16" s="268" t="str">
        <f>L13</f>
        <v>=</v>
      </c>
      <c r="M16" s="268"/>
      <c r="N16" s="262">
        <v>0</v>
      </c>
      <c r="O16" s="247" t="str">
        <f>O11</f>
        <v>X</v>
      </c>
      <c r="P16" s="322"/>
      <c r="Q16" s="247" t="str">
        <f>Q11</f>
        <v>+</v>
      </c>
      <c r="R16" s="253">
        <v>0</v>
      </c>
      <c r="S16" s="212"/>
      <c r="T16" s="212"/>
      <c r="U16" s="263"/>
    </row>
    <row r="17" spans="1:21" ht="14.25" customHeight="1">
      <c r="A17" s="226"/>
      <c r="B17" s="226"/>
      <c r="C17" s="227"/>
      <c r="D17" s="227"/>
      <c r="E17" s="233"/>
      <c r="F17" s="229"/>
      <c r="G17" s="132"/>
      <c r="H17" s="229"/>
      <c r="I17" s="214"/>
      <c r="J17" s="214"/>
      <c r="K17" s="145"/>
      <c r="L17" s="641"/>
      <c r="M17" s="641"/>
      <c r="N17" s="231">
        <v>1</v>
      </c>
      <c r="O17" s="640"/>
      <c r="P17" s="323"/>
      <c r="Q17" s="640"/>
      <c r="R17" s="254"/>
      <c r="S17" s="132"/>
      <c r="T17" s="132"/>
      <c r="U17" s="222"/>
    </row>
    <row r="18" spans="1:21" ht="21.75" customHeight="1" thickBot="1">
      <c r="A18" s="226"/>
      <c r="B18" s="226"/>
      <c r="C18" s="227"/>
      <c r="D18" s="227"/>
      <c r="E18" s="233"/>
      <c r="F18" s="229"/>
      <c r="G18" s="132"/>
      <c r="H18" s="229"/>
      <c r="I18" s="214"/>
      <c r="J18" s="214"/>
      <c r="K18" s="244" t="s">
        <v>159</v>
      </c>
      <c r="L18" s="269" t="str">
        <f>L16</f>
        <v>=</v>
      </c>
      <c r="M18" s="144"/>
      <c r="N18" s="257">
        <v>0</v>
      </c>
      <c r="O18" s="257"/>
      <c r="P18" s="257"/>
      <c r="Q18" s="256" t="str">
        <f>Q13</f>
        <v>X</v>
      </c>
      <c r="R18" s="258"/>
      <c r="S18" s="14"/>
      <c r="T18" s="14"/>
      <c r="U18" s="259"/>
    </row>
    <row r="19" spans="1:21" ht="15" customHeight="1">
      <c r="A19" s="226"/>
      <c r="B19" s="226"/>
      <c r="C19" s="227"/>
      <c r="D19" s="227"/>
      <c r="E19" s="233"/>
      <c r="F19" s="229"/>
      <c r="G19" s="132"/>
      <c r="H19" s="229"/>
      <c r="I19" s="214"/>
      <c r="J19" s="214"/>
      <c r="K19" s="324" t="s">
        <v>194</v>
      </c>
      <c r="L19" s="268" t="s">
        <v>152</v>
      </c>
      <c r="M19" s="268"/>
      <c r="N19" s="260">
        <f>N21*0.5</f>
        <v>0</v>
      </c>
      <c r="O19" s="249" t="str">
        <f>O16</f>
        <v>X</v>
      </c>
      <c r="P19" s="251">
        <f>P14</f>
        <v>2</v>
      </c>
      <c r="Q19" s="247" t="s">
        <v>154</v>
      </c>
      <c r="R19" s="245">
        <f>R21</f>
        <v>0</v>
      </c>
      <c r="S19" s="320" t="str">
        <f>S14</f>
        <v>X</v>
      </c>
      <c r="T19" s="132"/>
      <c r="U19" s="222"/>
    </row>
    <row r="20" spans="1:21" ht="14.25" customHeight="1" thickBot="1">
      <c r="A20" s="226"/>
      <c r="B20" s="226"/>
      <c r="C20" s="227"/>
      <c r="D20" s="227"/>
      <c r="E20" s="233"/>
      <c r="F20" s="229"/>
      <c r="G20" s="132"/>
      <c r="H20" s="229"/>
      <c r="I20" s="214"/>
      <c r="J20" s="214"/>
      <c r="K20" s="267"/>
      <c r="L20" s="269"/>
      <c r="M20" s="269"/>
      <c r="N20" s="264">
        <f>N22</f>
        <v>1</v>
      </c>
      <c r="O20" s="250"/>
      <c r="P20" s="252"/>
      <c r="Q20" s="248"/>
      <c r="R20" s="246"/>
      <c r="S20" s="321"/>
      <c r="T20" s="132"/>
      <c r="U20" s="222"/>
    </row>
    <row r="21" spans="1:21" ht="15.75" customHeight="1">
      <c r="A21" s="226"/>
      <c r="B21" s="226"/>
      <c r="C21" s="227"/>
      <c r="D21" s="227"/>
      <c r="E21" s="233"/>
      <c r="F21" s="229"/>
      <c r="G21" s="132"/>
      <c r="H21" s="229"/>
      <c r="I21" s="214"/>
      <c r="J21" s="214"/>
      <c r="K21" s="324" t="s">
        <v>195</v>
      </c>
      <c r="L21" s="268" t="str">
        <f>L16</f>
        <v>=</v>
      </c>
      <c r="M21" s="90"/>
      <c r="N21" s="262">
        <v>0</v>
      </c>
      <c r="O21" s="247" t="str">
        <f>O16</f>
        <v>X</v>
      </c>
      <c r="P21" s="212"/>
      <c r="Q21" s="247" t="str">
        <f>Q16</f>
        <v>+</v>
      </c>
      <c r="R21" s="253">
        <v>0</v>
      </c>
      <c r="S21" s="212"/>
      <c r="T21" s="212"/>
      <c r="U21" s="263"/>
    </row>
    <row r="22" spans="1:21" ht="14.25" customHeight="1">
      <c r="A22" s="226"/>
      <c r="B22" s="226"/>
      <c r="C22" s="227"/>
      <c r="D22" s="227"/>
      <c r="E22" s="233"/>
      <c r="F22" s="229"/>
      <c r="G22" s="132"/>
      <c r="H22" s="229"/>
      <c r="I22" s="214"/>
      <c r="J22" s="214"/>
      <c r="K22" s="145"/>
      <c r="L22" s="639"/>
      <c r="M22" s="639"/>
      <c r="N22" s="231">
        <v>1</v>
      </c>
      <c r="O22" s="640"/>
      <c r="P22" s="132"/>
      <c r="Q22" s="640"/>
      <c r="R22" s="254"/>
      <c r="S22" s="132"/>
      <c r="T22" s="132"/>
      <c r="U22" s="222"/>
    </row>
    <row r="23" spans="1:21" ht="19.5" customHeight="1" thickBot="1">
      <c r="A23" s="265" t="s">
        <v>160</v>
      </c>
      <c r="B23" s="218"/>
      <c r="C23" s="132" t="str">
        <f>C6</f>
        <v>=</v>
      </c>
      <c r="D23" s="266">
        <v>1300</v>
      </c>
      <c r="E23" s="236"/>
      <c r="F23" s="237"/>
      <c r="G23" s="132"/>
      <c r="H23" s="270"/>
      <c r="I23" s="132"/>
      <c r="J23" s="132"/>
      <c r="K23" s="271" t="s">
        <v>159</v>
      </c>
      <c r="L23" s="228" t="str">
        <f>L21</f>
        <v>=</v>
      </c>
      <c r="M23" s="143"/>
      <c r="N23" s="257">
        <v>0</v>
      </c>
      <c r="O23" s="257"/>
      <c r="P23" s="257"/>
      <c r="Q23" s="43" t="str">
        <f>Q18</f>
        <v>X</v>
      </c>
      <c r="R23" s="14"/>
      <c r="S23" s="14"/>
      <c r="T23" s="14"/>
      <c r="U23" s="259"/>
    </row>
    <row r="24" spans="1:21" ht="19.5" customHeight="1">
      <c r="A24" s="265"/>
      <c r="B24" s="218"/>
      <c r="C24" s="132"/>
      <c r="D24" s="111"/>
      <c r="E24" s="236"/>
      <c r="F24" s="237"/>
      <c r="G24" s="132"/>
      <c r="H24" s="270"/>
      <c r="I24" s="132"/>
      <c r="J24" s="132"/>
      <c r="K24" s="241"/>
      <c r="L24" s="272"/>
      <c r="M24" s="224"/>
      <c r="N24" s="273"/>
      <c r="O24" s="273"/>
      <c r="P24" s="273"/>
      <c r="Q24" s="274"/>
      <c r="R24" s="132"/>
      <c r="S24" s="132"/>
      <c r="T24" s="132"/>
      <c r="U24" s="132"/>
    </row>
    <row r="25" spans="1:21" ht="19.5" customHeight="1">
      <c r="A25" s="265"/>
      <c r="B25" s="218"/>
      <c r="C25" s="132"/>
      <c r="D25" s="111"/>
      <c r="E25" s="236"/>
      <c r="F25" s="237"/>
      <c r="G25" s="132"/>
      <c r="H25" s="270"/>
      <c r="I25" s="132"/>
      <c r="J25" s="132"/>
      <c r="K25" s="241"/>
      <c r="L25" s="272"/>
      <c r="M25" s="224"/>
      <c r="N25" s="273"/>
      <c r="O25" s="273"/>
      <c r="P25" s="273"/>
      <c r="Q25" s="274"/>
      <c r="R25" s="132"/>
      <c r="S25" s="132"/>
      <c r="T25" s="132"/>
      <c r="U25" s="132"/>
    </row>
    <row r="26" spans="1:21" ht="19.5" customHeight="1">
      <c r="A26" s="265"/>
      <c r="B26" s="218"/>
      <c r="C26" s="132"/>
      <c r="D26" s="111"/>
      <c r="E26" s="236"/>
      <c r="F26" s="237"/>
      <c r="G26" s="132"/>
      <c r="H26" s="270"/>
      <c r="I26" s="132"/>
      <c r="J26" s="132"/>
      <c r="K26" s="241"/>
      <c r="L26" s="272"/>
      <c r="M26" s="224"/>
      <c r="N26" s="273"/>
      <c r="O26" s="273"/>
      <c r="P26" s="273"/>
      <c r="Q26" s="274"/>
      <c r="R26" s="132"/>
      <c r="S26" s="132"/>
      <c r="T26" s="132"/>
      <c r="U26" s="132"/>
    </row>
    <row r="27" spans="1:21" ht="19.5" customHeight="1">
      <c r="A27" s="265"/>
      <c r="B27" s="218"/>
      <c r="C27" s="132"/>
      <c r="D27" s="111"/>
      <c r="E27" s="236"/>
      <c r="F27" s="237"/>
      <c r="G27" s="132"/>
      <c r="H27" s="270"/>
      <c r="I27" s="132"/>
      <c r="J27" s="132"/>
      <c r="K27" s="241"/>
      <c r="L27" s="272"/>
      <c r="M27" s="224"/>
      <c r="N27" s="273"/>
      <c r="O27" s="273"/>
      <c r="P27" s="273"/>
      <c r="Q27" s="274"/>
      <c r="R27" s="132"/>
      <c r="S27" s="132"/>
      <c r="T27" s="132"/>
      <c r="U27" s="132"/>
    </row>
    <row r="28" spans="1:21" ht="19.5" customHeight="1">
      <c r="A28" s="265"/>
      <c r="B28" s="218"/>
      <c r="C28" s="132"/>
      <c r="D28" s="111"/>
      <c r="E28" s="236"/>
      <c r="F28" s="237"/>
      <c r="G28" s="132"/>
      <c r="H28" s="270"/>
      <c r="I28" s="132"/>
      <c r="J28" s="132"/>
      <c r="K28" s="241"/>
      <c r="L28" s="272"/>
      <c r="M28" s="224"/>
      <c r="N28" s="273"/>
      <c r="O28" s="273"/>
      <c r="P28" s="273"/>
      <c r="Q28" s="274"/>
      <c r="R28" s="132"/>
      <c r="S28" s="132"/>
      <c r="T28" s="132"/>
      <c r="U28" s="132"/>
    </row>
    <row r="29" spans="1:21" ht="19.5" customHeight="1">
      <c r="A29" s="265"/>
      <c r="B29" s="218"/>
      <c r="C29" s="132"/>
      <c r="D29" s="111"/>
      <c r="E29" s="236"/>
      <c r="F29" s="237"/>
      <c r="G29" s="132"/>
      <c r="H29" s="270"/>
      <c r="I29" s="132"/>
      <c r="J29" s="132"/>
      <c r="K29" s="241"/>
      <c r="L29" s="272"/>
      <c r="M29" s="224"/>
      <c r="N29" s="273"/>
      <c r="O29" s="273"/>
      <c r="P29" s="273"/>
      <c r="Q29" s="274"/>
      <c r="R29" s="132"/>
      <c r="S29" s="132"/>
      <c r="T29" s="132"/>
      <c r="U29" s="132"/>
    </row>
    <row r="30" spans="1:21" ht="19.5" customHeight="1">
      <c r="A30" s="265"/>
      <c r="B30" s="218"/>
      <c r="C30" s="132"/>
      <c r="D30" s="111"/>
      <c r="E30" s="236"/>
      <c r="F30" s="237"/>
      <c r="G30" s="132"/>
      <c r="H30" s="270"/>
      <c r="I30" s="132"/>
      <c r="J30" s="132"/>
      <c r="K30" s="241"/>
      <c r="L30" s="272"/>
      <c r="M30" s="224"/>
      <c r="N30" s="273"/>
      <c r="O30" s="273"/>
      <c r="P30" s="273"/>
      <c r="Q30" s="274"/>
      <c r="R30" s="132"/>
      <c r="S30" s="132"/>
      <c r="T30" s="132"/>
      <c r="U30" s="132"/>
    </row>
    <row r="31" spans="1:21" ht="19.5" customHeight="1">
      <c r="A31" s="265"/>
      <c r="B31" s="218"/>
      <c r="C31" s="132"/>
      <c r="D31" s="111"/>
      <c r="E31" s="236"/>
      <c r="F31" s="237"/>
      <c r="G31" s="132"/>
      <c r="H31" s="270"/>
      <c r="I31" s="132"/>
      <c r="J31" s="132"/>
      <c r="K31" s="241"/>
      <c r="L31" s="272"/>
      <c r="M31" s="224"/>
      <c r="N31" s="273"/>
      <c r="O31" s="273"/>
      <c r="P31" s="273"/>
      <c r="Q31" s="274"/>
      <c r="R31" s="132"/>
      <c r="S31" s="132"/>
      <c r="T31" s="132"/>
      <c r="U31" s="132"/>
    </row>
    <row r="32" spans="1:21" ht="19.5" customHeight="1">
      <c r="A32" s="265"/>
      <c r="B32" s="218"/>
      <c r="C32" s="132"/>
      <c r="D32" s="111"/>
      <c r="E32" s="236"/>
      <c r="F32" s="237"/>
      <c r="G32" s="132"/>
      <c r="H32" s="270"/>
      <c r="I32" s="132"/>
      <c r="J32" s="132"/>
      <c r="K32" s="241"/>
      <c r="L32" s="272"/>
      <c r="M32" s="224"/>
      <c r="N32" s="273"/>
      <c r="O32" s="273"/>
      <c r="P32" s="273"/>
      <c r="Q32" s="274"/>
      <c r="R32" s="132"/>
      <c r="S32" s="132"/>
      <c r="T32" s="132"/>
      <c r="U32" s="132"/>
    </row>
    <row r="33" spans="1:21" ht="19.5" customHeight="1">
      <c r="A33" s="265"/>
      <c r="B33" s="218"/>
      <c r="C33" s="132"/>
      <c r="D33" s="111"/>
      <c r="E33" s="236"/>
      <c r="F33" s="237"/>
      <c r="G33" s="132"/>
      <c r="H33" s="270"/>
      <c r="I33" s="132"/>
      <c r="J33" s="132"/>
      <c r="K33" s="241"/>
      <c r="L33" s="272"/>
      <c r="M33" s="224"/>
      <c r="N33" s="273"/>
      <c r="O33" s="273"/>
      <c r="P33" s="273"/>
      <c r="Q33" s="274"/>
      <c r="R33" s="132"/>
      <c r="S33" s="132"/>
      <c r="T33" s="132"/>
      <c r="U33" s="132"/>
    </row>
    <row r="34" spans="1:21" ht="19.5" customHeight="1" thickBot="1">
      <c r="A34" s="275"/>
      <c r="B34" s="273"/>
      <c r="C34" s="73"/>
      <c r="D34" s="111"/>
      <c r="E34" s="276"/>
      <c r="F34" s="277"/>
      <c r="G34" s="73"/>
      <c r="H34" s="278"/>
      <c r="I34" s="73"/>
      <c r="J34" s="73"/>
      <c r="K34" s="123"/>
      <c r="L34" s="279"/>
      <c r="M34" s="280"/>
      <c r="N34" s="273"/>
      <c r="O34" s="273"/>
      <c r="P34" s="273"/>
      <c r="Q34" s="274"/>
      <c r="R34" s="132"/>
      <c r="S34" s="132"/>
      <c r="T34" s="132"/>
      <c r="U34" s="132"/>
    </row>
    <row r="35" spans="1:21" ht="19.5" customHeight="1" thickBot="1">
      <c r="A35" s="275" t="s">
        <v>161</v>
      </c>
      <c r="B35" s="273"/>
      <c r="C35" s="73"/>
      <c r="D35" s="111"/>
      <c r="E35" s="281" t="str">
        <f>IF(E47=E48,"Ja","Nej")</f>
        <v>Ja</v>
      </c>
      <c r="F35" s="282"/>
      <c r="G35" s="282"/>
      <c r="H35" s="282"/>
      <c r="I35" s="281" t="str">
        <f>IF(I47=I48,"Ja","Nej")</f>
        <v>Nej</v>
      </c>
      <c r="J35" s="282"/>
      <c r="K35" s="282"/>
      <c r="L35" s="282"/>
      <c r="M35" s="281" t="str">
        <f>IF(M47=M48,"Ja","Nej")</f>
        <v>Nej</v>
      </c>
      <c r="N35" s="273"/>
      <c r="O35" s="273"/>
      <c r="P35" s="273"/>
      <c r="Q35" s="274"/>
      <c r="R35" s="132"/>
      <c r="S35" s="132"/>
      <c r="T35" s="132"/>
      <c r="U35" s="132"/>
    </row>
    <row r="36" spans="1:21" ht="19.5" customHeight="1">
      <c r="A36" s="275" t="s">
        <v>162</v>
      </c>
      <c r="B36" s="273"/>
      <c r="C36" s="73"/>
      <c r="D36" s="111"/>
      <c r="E36" s="283" t="str">
        <f>CONCATENATE("MR=",K11)</f>
        <v>MR=MC(1)</v>
      </c>
      <c r="F36" s="123"/>
      <c r="G36" s="123"/>
      <c r="H36" s="123"/>
      <c r="I36" s="283" t="str">
        <f>CONCATENATE("MR=",K16)</f>
        <v>MR=MC(2)</v>
      </c>
      <c r="J36" s="123"/>
      <c r="K36" s="123"/>
      <c r="L36" s="123"/>
      <c r="M36" s="283" t="str">
        <f>CONCATENATE("MR=",K21)</f>
        <v>MR=MC(3)</v>
      </c>
      <c r="N36" s="273"/>
      <c r="O36" s="273"/>
      <c r="P36" s="273"/>
      <c r="Q36" s="274"/>
      <c r="R36" s="132"/>
      <c r="S36" s="132"/>
      <c r="T36" s="132"/>
      <c r="U36" s="132"/>
    </row>
    <row r="37" spans="1:21" ht="19.5" customHeight="1">
      <c r="A37" s="702" t="s">
        <v>163</v>
      </c>
      <c r="B37" s="702"/>
      <c r="C37" s="702"/>
      <c r="D37" s="702"/>
      <c r="E37" s="284">
        <f>IF($E$3=0,(IF(N5=0,N13,($I$11-R$11)/(($E$11/$E$12*-1)+(N$11/N$12)))),($I$11-R11)/(($E$11/$E$12*-1)+(N$11/N$12)))</f>
        <v>500</v>
      </c>
      <c r="F37" s="285"/>
      <c r="G37" s="276"/>
      <c r="H37" s="286"/>
      <c r="I37" s="284">
        <f>IF($E$3=0,(IF($N$16=0,$N$18,($I$11-$R16)/(($E$11/$E$12*-1)+($N16/$N17)))),($I$11-$R16)/(($E$11/$E$12*-1)+($N16/$N17)))</f>
        <v>1000</v>
      </c>
      <c r="J37" s="285"/>
      <c r="K37" s="276"/>
      <c r="L37" s="286"/>
      <c r="M37" s="284">
        <f>IF($E$3=0,(IF($N$21=0,$N$23,($I$11-$R21)/(($E$11/$E$12*-1)+($N21/$N22)))),($I$11-$R21)/(($E$11/$E$12*-1)+($N21/$N22)))</f>
        <v>1000</v>
      </c>
      <c r="N37" s="273"/>
      <c r="O37" s="273"/>
      <c r="P37" s="273"/>
      <c r="Q37" s="274"/>
      <c r="R37" s="132"/>
      <c r="S37" s="132"/>
      <c r="T37" s="132"/>
      <c r="U37" s="132"/>
    </row>
    <row r="38" spans="1:21" ht="19.5" customHeight="1">
      <c r="A38" s="275" t="s">
        <v>164</v>
      </c>
      <c r="B38" s="273"/>
      <c r="C38" s="73"/>
      <c r="D38" s="111"/>
      <c r="E38" s="284">
        <f>N13</f>
        <v>1300</v>
      </c>
      <c r="F38" s="277"/>
      <c r="G38" s="73"/>
      <c r="H38" s="278"/>
      <c r="I38" s="284">
        <f>N18</f>
        <v>0</v>
      </c>
      <c r="J38" s="276"/>
      <c r="K38" s="276"/>
      <c r="L38" s="276"/>
      <c r="M38" s="284">
        <f>N23</f>
        <v>0</v>
      </c>
      <c r="N38" s="273"/>
      <c r="O38" s="273"/>
      <c r="P38" s="273"/>
      <c r="Q38" s="274"/>
      <c r="R38" s="132"/>
      <c r="S38" s="132"/>
      <c r="T38" s="132"/>
      <c r="U38" s="132"/>
    </row>
    <row r="39" spans="1:21" ht="19.5" customHeight="1">
      <c r="A39" s="275" t="s">
        <v>165</v>
      </c>
      <c r="B39" s="273"/>
      <c r="C39" s="73"/>
      <c r="D39" s="111"/>
      <c r="E39" s="284">
        <v>0</v>
      </c>
      <c r="F39" s="277"/>
      <c r="G39" s="73"/>
      <c r="H39" s="278"/>
      <c r="I39" s="284">
        <f>N13</f>
        <v>1300</v>
      </c>
      <c r="J39" s="276"/>
      <c r="K39" s="276"/>
      <c r="L39" s="276"/>
      <c r="M39" s="284">
        <f>N18</f>
        <v>0</v>
      </c>
      <c r="N39" s="273"/>
      <c r="O39" s="273"/>
      <c r="P39" s="273"/>
      <c r="Q39" s="274"/>
      <c r="R39" s="132"/>
      <c r="S39" s="132"/>
      <c r="T39" s="132"/>
      <c r="U39" s="132"/>
    </row>
    <row r="40" spans="1:21" ht="19.5" customHeight="1">
      <c r="A40" s="275" t="s">
        <v>166</v>
      </c>
      <c r="B40" s="273"/>
      <c r="C40" s="73"/>
      <c r="D40" s="111"/>
      <c r="E40" s="284">
        <f>D23</f>
        <v>1300</v>
      </c>
      <c r="F40" s="277"/>
      <c r="G40" s="73"/>
      <c r="H40" s="278"/>
      <c r="I40" s="284">
        <f>D23</f>
        <v>1300</v>
      </c>
      <c r="J40" s="276"/>
      <c r="K40" s="276"/>
      <c r="L40" s="276"/>
      <c r="M40" s="284">
        <f>D23</f>
        <v>1300</v>
      </c>
      <c r="N40" s="273"/>
      <c r="O40" s="273"/>
      <c r="P40" s="273"/>
      <c r="Q40" s="274"/>
      <c r="R40" s="132"/>
      <c r="S40" s="132"/>
      <c r="T40" s="132"/>
      <c r="U40" s="132"/>
    </row>
    <row r="41" spans="1:21" ht="19.5" customHeight="1">
      <c r="A41" s="275" t="s">
        <v>167</v>
      </c>
      <c r="B41" s="273"/>
      <c r="C41" s="73"/>
      <c r="D41" s="111"/>
      <c r="E41" s="284">
        <f>IF(IF(E37&lt;E38,IF(E40&gt;E37&gt;E39,E37),IF(E37&lt;E39,0,MIN(E38,E40)))&gt;E40,E40,IF(E37&lt;E38,IF(E40&gt;E37&gt;E39,E37),IF(E37&lt;E39,0,MIN(E38,E40))))</f>
        <v>500</v>
      </c>
      <c r="F41" s="285"/>
      <c r="G41" s="276"/>
      <c r="H41" s="286"/>
      <c r="I41" s="284">
        <f>IF(IF(I37&lt;I38,IF(I40&gt;I37&gt;I39,I37),IF(I37&lt;I39,0,MIN(I38,I40)))&gt;I40,I40,IF(I37&lt;I38,IF(I40&gt;I37&gt;I39,I37),IF(I37&lt;I39,0,MIN(I38,I40))))</f>
        <v>0</v>
      </c>
      <c r="J41" s="285"/>
      <c r="K41" s="276"/>
      <c r="L41" s="286"/>
      <c r="M41" s="284">
        <f>IF(IF(IF(M37&lt;M38,IF(M40&gt;M37&gt;M39,M37),IF(M37&lt;M39,0,MIN(M38,M40)))&lt;M39,M39,IF(M37&lt;M38,IF(M40&gt;M37&gt;M39,M37),IF(M37&lt;M39,0,MIN(M38,M40))))&gt;M40,M40,IF(IF(M37&lt;M38,IF(M40&gt;M37&gt;M39,M37),IF(M37&lt;M39,0,MIN(M38,M40)))&lt;M39,M39,IF(M37&lt;M38,IF(M40&gt;M37&gt;M39,M37),IF(M37&lt;M39,0,MIN(M38,M40)))))</f>
        <v>0</v>
      </c>
      <c r="N41" s="273"/>
      <c r="O41" s="273"/>
      <c r="P41" s="273"/>
      <c r="Q41" s="274"/>
      <c r="R41" s="132"/>
      <c r="S41" s="132"/>
      <c r="T41" s="132"/>
      <c r="U41" s="132"/>
    </row>
    <row r="42" spans="1:21" ht="19.5" customHeight="1">
      <c r="A42" s="275" t="s">
        <v>168</v>
      </c>
      <c r="B42" s="273"/>
      <c r="C42" s="73"/>
      <c r="D42" s="111"/>
      <c r="E42" s="284">
        <f>E41*($E$3/$E$4)+$I$3</f>
        <v>750</v>
      </c>
      <c r="F42" s="277"/>
      <c r="G42" s="73"/>
      <c r="H42" s="278"/>
      <c r="I42" s="284">
        <f>I41*($E$3/$E$4)+$I$3</f>
        <v>1000</v>
      </c>
      <c r="J42" s="276"/>
      <c r="K42" s="276"/>
      <c r="L42" s="276"/>
      <c r="M42" s="284">
        <f>IF(M41=0,0,M41*($E$3/$E$4)+$I$3)</f>
        <v>0</v>
      </c>
      <c r="N42" s="273"/>
      <c r="O42" s="273"/>
      <c r="P42" s="273"/>
      <c r="Q42" s="274"/>
      <c r="R42" s="132"/>
      <c r="S42" s="132"/>
      <c r="T42" s="132"/>
      <c r="U42" s="132"/>
    </row>
    <row r="43" spans="1:21" ht="19.5" customHeight="1">
      <c r="A43" s="275" t="s">
        <v>169</v>
      </c>
      <c r="B43" s="273"/>
      <c r="C43" s="73"/>
      <c r="D43" s="111"/>
      <c r="E43" s="287">
        <f>E41*E42</f>
        <v>375000</v>
      </c>
      <c r="F43" s="288"/>
      <c r="G43" s="288"/>
      <c r="H43" s="288"/>
      <c r="I43" s="287">
        <f>I41*I42</f>
        <v>0</v>
      </c>
      <c r="J43" s="124"/>
      <c r="K43" s="124"/>
      <c r="L43" s="124"/>
      <c r="M43" s="287">
        <f>M41*M42</f>
        <v>0</v>
      </c>
      <c r="N43" s="273"/>
      <c r="O43" s="273"/>
      <c r="P43" s="273"/>
      <c r="Q43" s="274"/>
      <c r="R43" s="132"/>
      <c r="S43" s="132"/>
      <c r="T43" s="132"/>
      <c r="U43" s="132"/>
    </row>
    <row r="44" spans="1:21" ht="19.5" customHeight="1">
      <c r="A44" s="275" t="s">
        <v>170</v>
      </c>
      <c r="B44" s="273"/>
      <c r="C44" s="73"/>
      <c r="D44" s="111"/>
      <c r="E44" s="289">
        <f>POWER(E41,$P$5)*$N$5/$N$6+($R$5*E41)</f>
        <v>250000</v>
      </c>
      <c r="F44" s="277"/>
      <c r="G44" s="73"/>
      <c r="H44" s="278"/>
      <c r="I44" s="289">
        <f>IF(D23&gt;N13,POWER($N$13,$P$5)*$N$5/$N$6+($R$5*$N$13),POWER(D23,$P$5)*$N$5/$N$6+($R$5*D23))</f>
        <v>650000</v>
      </c>
      <c r="J44" s="73"/>
      <c r="K44" s="123"/>
      <c r="L44" s="279"/>
      <c r="M44" s="289">
        <f>IF(N18=0,0,POWER($N$13,$P$5)*$N$5/$N$6+($R$5*$N$13))</f>
        <v>0</v>
      </c>
      <c r="N44" s="273"/>
      <c r="O44" s="273"/>
      <c r="P44" s="273"/>
      <c r="Q44" s="274"/>
      <c r="R44" s="132"/>
      <c r="S44" s="132"/>
      <c r="T44" s="132"/>
      <c r="U44" s="132"/>
    </row>
    <row r="45" spans="1:21" ht="19.5" customHeight="1">
      <c r="A45" s="275" t="s">
        <v>171</v>
      </c>
      <c r="B45" s="273"/>
      <c r="C45" s="73"/>
      <c r="D45" s="111"/>
      <c r="E45" s="289"/>
      <c r="F45" s="277"/>
      <c r="G45" s="73"/>
      <c r="H45" s="278"/>
      <c r="I45" s="289">
        <f>IF(((POWER($I$41,$P$14)*($N$14/$N$15)+($R$14*$I$41)))-((POWER(($N$13),$P$14)*$N$14)/$N$15+($R$14*($N$13)))&lt;0,0,((POWER($I$41,$P$14)*($N$14/$N$15)+($R$14*$I$41)))-((POWER(($N$13),$P$14)*$N$14)/$N$15+($R$14*($N$13))))</f>
        <v>0</v>
      </c>
      <c r="J45" s="73"/>
      <c r="K45" s="123"/>
      <c r="L45" s="279"/>
      <c r="M45" s="289">
        <f>IF(((POWER(N18,$P$14)*($N$14/$N$15)+($R$14*N18)))-((POWER(($N$13),$P$14)*$N$14)/$N$15+($R$14*($N$13)))&lt;0,0,((POWER(N18,$P$14)*($N$14/$N$15)+($R$14*N18)))-((POWER(($N$13),$P$14)*$N$14)/$N$15+($R$14*($N$13))))</f>
        <v>0</v>
      </c>
      <c r="N45" s="273"/>
      <c r="O45" s="273"/>
      <c r="P45" s="273"/>
      <c r="Q45" s="274"/>
      <c r="R45" s="132"/>
      <c r="S45" s="132"/>
      <c r="T45" s="132"/>
      <c r="U45" s="132"/>
    </row>
    <row r="46" spans="1:21" ht="19.5" customHeight="1" thickBot="1">
      <c r="A46" s="275" t="s">
        <v>172</v>
      </c>
      <c r="B46" s="273"/>
      <c r="C46" s="73"/>
      <c r="D46" s="111"/>
      <c r="E46" s="289"/>
      <c r="F46" s="277"/>
      <c r="G46" s="73"/>
      <c r="H46" s="278"/>
      <c r="I46" s="290"/>
      <c r="J46" s="73"/>
      <c r="K46" s="123"/>
      <c r="L46" s="279"/>
      <c r="M46" s="289">
        <f>(POWER(M41,$P$19)*($N$19/$N$20)+($R$19*M41)-(POWER(($N$18),$P$19)*($N$19/$N$20)+($R$19*($N$18))))</f>
        <v>0</v>
      </c>
      <c r="N46" s="273"/>
      <c r="O46" s="273"/>
      <c r="P46" s="273"/>
      <c r="Q46" s="274"/>
      <c r="R46" s="132"/>
      <c r="S46" s="132"/>
      <c r="T46" s="132"/>
      <c r="U46" s="132"/>
    </row>
    <row r="47" spans="1:21" ht="19.5" customHeight="1" thickBot="1">
      <c r="A47" s="275" t="s">
        <v>173</v>
      </c>
      <c r="B47" s="273"/>
      <c r="C47" s="73"/>
      <c r="D47" s="111"/>
      <c r="E47" s="291">
        <f>E43-E44-E45-E46</f>
        <v>125000</v>
      </c>
      <c r="F47" s="124"/>
      <c r="G47" s="124"/>
      <c r="H47" s="124"/>
      <c r="I47" s="291">
        <f>I43-I44-I45-I46</f>
        <v>-650000</v>
      </c>
      <c r="J47" s="124"/>
      <c r="K47" s="124"/>
      <c r="L47" s="124"/>
      <c r="M47" s="291">
        <f>M43-M44-M45-M46</f>
        <v>0</v>
      </c>
      <c r="N47" s="273"/>
      <c r="O47" s="273"/>
      <c r="P47" s="273"/>
      <c r="Q47" s="274"/>
      <c r="R47" s="132"/>
      <c r="S47" s="132"/>
      <c r="T47" s="132"/>
      <c r="U47" s="132"/>
    </row>
    <row r="48" spans="1:21" ht="19.5" customHeight="1" hidden="1">
      <c r="A48" s="275" t="s">
        <v>174</v>
      </c>
      <c r="B48" s="273"/>
      <c r="C48" s="73"/>
      <c r="D48" s="111"/>
      <c r="E48" s="284">
        <f>MAX($E$47,$I$47,$M$47)</f>
        <v>125000</v>
      </c>
      <c r="F48" s="276"/>
      <c r="G48" s="276"/>
      <c r="H48" s="276"/>
      <c r="I48" s="284">
        <f>MAX($E$47,$I$47,$M$47)</f>
        <v>125000</v>
      </c>
      <c r="J48" s="276"/>
      <c r="K48" s="276"/>
      <c r="L48" s="276"/>
      <c r="M48" s="284">
        <f>MAX($E$47,$I$47,$M$47)</f>
        <v>125000</v>
      </c>
      <c r="N48" s="273"/>
      <c r="O48" s="273"/>
      <c r="P48" s="273"/>
      <c r="Q48" s="274"/>
      <c r="R48" s="132"/>
      <c r="S48" s="132"/>
      <c r="T48" s="132"/>
      <c r="U48" s="132"/>
    </row>
    <row r="49" spans="1:21" ht="19.5" customHeight="1">
      <c r="A49" s="275" t="s">
        <v>175</v>
      </c>
      <c r="B49" s="273"/>
      <c r="C49" s="73"/>
      <c r="D49" s="111"/>
      <c r="E49" s="284">
        <f>$M$3</f>
        <v>0</v>
      </c>
      <c r="F49" s="276"/>
      <c r="G49" s="276"/>
      <c r="H49" s="276"/>
      <c r="I49" s="284">
        <f>$M$3</f>
        <v>0</v>
      </c>
      <c r="J49" s="276"/>
      <c r="K49" s="276"/>
      <c r="L49" s="276"/>
      <c r="M49" s="284">
        <f>$M$3</f>
        <v>0</v>
      </c>
      <c r="N49" s="273"/>
      <c r="O49" s="273"/>
      <c r="P49" s="273"/>
      <c r="Q49" s="274"/>
      <c r="R49" s="132"/>
      <c r="S49" s="132"/>
      <c r="T49" s="132"/>
      <c r="U49" s="132"/>
    </row>
    <row r="50" spans="1:21" ht="19.5" customHeight="1" thickBot="1">
      <c r="A50" s="275" t="s">
        <v>176</v>
      </c>
      <c r="B50" s="273"/>
      <c r="C50" s="73"/>
      <c r="D50" s="111"/>
      <c r="E50" s="292">
        <f>E47-E49</f>
        <v>125000</v>
      </c>
      <c r="F50" s="276"/>
      <c r="G50" s="276"/>
      <c r="H50" s="276"/>
      <c r="I50" s="292">
        <f>I47-I49</f>
        <v>-650000</v>
      </c>
      <c r="J50" s="276"/>
      <c r="K50" s="276"/>
      <c r="L50" s="276"/>
      <c r="M50" s="292">
        <f>M47-M49</f>
        <v>0</v>
      </c>
      <c r="N50" s="273"/>
      <c r="O50" s="273"/>
      <c r="P50" s="273"/>
      <c r="Q50" s="274"/>
      <c r="R50" s="132"/>
      <c r="S50" s="132"/>
      <c r="T50" s="132"/>
      <c r="U50" s="132"/>
    </row>
    <row r="51" spans="8:17" ht="12.75">
      <c r="H51" s="293"/>
      <c r="Q51" s="294"/>
    </row>
    <row r="52" spans="8:17" ht="12.75">
      <c r="H52" s="293"/>
      <c r="Q52" s="294"/>
    </row>
    <row r="53" spans="8:17" ht="12.75">
      <c r="H53" s="293"/>
      <c r="Q53" s="294"/>
    </row>
    <row r="54" spans="8:17" ht="12.75">
      <c r="H54" s="293"/>
      <c r="Q54" s="294"/>
    </row>
    <row r="55" spans="8:17" ht="12.75">
      <c r="H55" s="293"/>
      <c r="Q55" s="294"/>
    </row>
    <row r="56" spans="8:17" ht="12.75">
      <c r="H56" s="293"/>
      <c r="Q56" s="294"/>
    </row>
    <row r="57" spans="8:17" ht="12.75">
      <c r="H57" s="293"/>
      <c r="Q57" s="294"/>
    </row>
    <row r="58" spans="8:17" ht="12.75">
      <c r="H58" s="293"/>
      <c r="Q58" s="294"/>
    </row>
    <row r="59" spans="8:17" ht="12.75">
      <c r="H59" s="293"/>
      <c r="Q59" s="294"/>
    </row>
    <row r="60" spans="8:17" ht="12.75">
      <c r="H60" s="293"/>
      <c r="Q60" s="294"/>
    </row>
    <row r="61" spans="8:17" ht="12.75">
      <c r="H61" s="293"/>
      <c r="Q61" s="294"/>
    </row>
    <row r="62" spans="8:17" ht="12.75">
      <c r="H62" s="293"/>
      <c r="Q62" s="294"/>
    </row>
    <row r="63" spans="8:17" ht="12.75">
      <c r="H63" s="293"/>
      <c r="Q63" s="294"/>
    </row>
    <row r="64" spans="8:17" ht="12.75">
      <c r="H64" s="293"/>
      <c r="Q64" s="294"/>
    </row>
    <row r="65" spans="8:17" ht="12.75">
      <c r="H65" s="293"/>
      <c r="Q65" s="294"/>
    </row>
    <row r="66" spans="8:17" ht="12.75">
      <c r="H66" s="293"/>
      <c r="Q66" s="294"/>
    </row>
    <row r="67" spans="8:17" ht="12.75">
      <c r="H67" s="293"/>
      <c r="Q67" s="294"/>
    </row>
    <row r="68" spans="8:17" ht="12.75">
      <c r="H68" s="293"/>
      <c r="Q68" s="294"/>
    </row>
    <row r="69" spans="8:17" ht="12.75">
      <c r="H69" s="293"/>
      <c r="Q69" s="294"/>
    </row>
    <row r="70" spans="8:17" ht="12.75">
      <c r="H70" s="293"/>
      <c r="Q70" s="294"/>
    </row>
    <row r="71" spans="8:17" ht="12.75">
      <c r="H71" s="293"/>
      <c r="Q71" s="294"/>
    </row>
    <row r="72" spans="8:17" ht="12.75">
      <c r="H72" s="293"/>
      <c r="Q72" s="294"/>
    </row>
    <row r="73" spans="1:17" ht="12.75">
      <c r="A73" t="s">
        <v>196</v>
      </c>
      <c r="H73" s="293"/>
      <c r="Q73" s="294"/>
    </row>
    <row r="74" spans="8:17" ht="12.75">
      <c r="H74" s="293"/>
      <c r="Q74" s="294"/>
    </row>
    <row r="75" spans="8:17" ht="18">
      <c r="H75" s="293"/>
      <c r="I75" s="295" t="s">
        <v>158</v>
      </c>
      <c r="J75" s="296" t="s">
        <v>152</v>
      </c>
      <c r="K75" s="668" t="str">
        <f>IF($E$48=$E$47,"MC(1)",IF($I$48=$I$47,"MC(2)",IF($M$48=$M$47,"MC(3)")))</f>
        <v>MC(1)</v>
      </c>
      <c r="L75" s="668"/>
      <c r="Q75" s="294"/>
    </row>
    <row r="76" spans="4:18" ht="18" customHeight="1" thickBot="1">
      <c r="D76" s="74"/>
      <c r="E76" s="44">
        <f>E11</f>
        <v>-2</v>
      </c>
      <c r="F76" s="662" t="str">
        <f>F11</f>
        <v>X</v>
      </c>
      <c r="G76" s="298"/>
      <c r="H76" s="663" t="str">
        <f>H11</f>
        <v>+</v>
      </c>
      <c r="I76" s="664">
        <f>I11</f>
        <v>1000</v>
      </c>
      <c r="J76" s="662" t="str">
        <f>J75</f>
        <v>=</v>
      </c>
      <c r="K76" s="621"/>
      <c r="L76" s="621"/>
      <c r="M76" s="14">
        <f>IF($K$75=$K$11,N11,IF($K$75=$K$16,N16,IF($K$75=$K$21,N21)))</f>
        <v>0</v>
      </c>
      <c r="N76" s="661" t="str">
        <f>O11</f>
        <v>X</v>
      </c>
      <c r="O76" s="662" t="str">
        <f>Q11</f>
        <v>+</v>
      </c>
      <c r="P76" s="664">
        <f>IF(K75=K11,R11,IF(K16=K75,R16,IF(K21=K75,R21)))</f>
        <v>500</v>
      </c>
      <c r="Q76" s="664"/>
      <c r="R76" s="664"/>
    </row>
    <row r="77" spans="5:18" ht="18" customHeight="1">
      <c r="E77" s="299">
        <f>E12</f>
        <v>2</v>
      </c>
      <c r="F77" s="662"/>
      <c r="G77" s="298"/>
      <c r="H77" s="663"/>
      <c r="I77" s="664"/>
      <c r="J77" s="662"/>
      <c r="K77" s="621"/>
      <c r="L77" s="621"/>
      <c r="M77" s="132">
        <f>IF($K$75=$K$11,N12,IF($K$75=$K$16,N17,IF($K$75=$K$21,N22)))</f>
        <v>1</v>
      </c>
      <c r="N77" s="661"/>
      <c r="O77" s="662"/>
      <c r="P77" s="664"/>
      <c r="Q77" s="664"/>
      <c r="R77" s="664"/>
    </row>
    <row r="78" spans="8:17" ht="12.75">
      <c r="H78" s="293"/>
      <c r="J78" s="74"/>
      <c r="Q78" s="294"/>
    </row>
    <row r="79" spans="8:17" ht="20.25">
      <c r="H79" s="293"/>
      <c r="I79" s="74">
        <f>I76-P76</f>
        <v>500</v>
      </c>
      <c r="J79" s="300" t="str">
        <f>J76</f>
        <v>=</v>
      </c>
      <c r="M79">
        <f>-1*(E76/E77)+(M76/M77)</f>
        <v>1</v>
      </c>
      <c r="N79" s="301" t="str">
        <f>N76</f>
        <v>X</v>
      </c>
      <c r="Q79" s="294"/>
    </row>
    <row r="80" ht="12.75">
      <c r="H80" s="293"/>
    </row>
    <row r="81" spans="1:17" ht="20.25">
      <c r="A81" s="701" t="str">
        <f>IF(I81&gt;I82,"Da løsningen overstiger max. mængde er den ugyldig"," ")</f>
        <v> </v>
      </c>
      <c r="B81" s="701"/>
      <c r="C81" s="701"/>
      <c r="D81" s="701"/>
      <c r="E81" s="701"/>
      <c r="F81" s="701"/>
      <c r="G81" s="701"/>
      <c r="H81" s="701"/>
      <c r="I81">
        <f>IF(M79=0,"Kan ikke løses",I79/M79)</f>
        <v>500</v>
      </c>
      <c r="J81" s="274" t="str">
        <f>J79</f>
        <v>=</v>
      </c>
      <c r="K81" s="302" t="str">
        <f>O5</f>
        <v>X</v>
      </c>
      <c r="L81" s="241"/>
      <c r="N81" s="241"/>
      <c r="O81" s="241"/>
      <c r="Q81" s="294"/>
    </row>
    <row r="82" spans="8:17" ht="21" thickBot="1">
      <c r="H82" s="293"/>
      <c r="I82" s="303">
        <f>IF($E$48=$E$47,$E$41,IF($I$48=$I$47,$I$41,IF($M$48=$M$47,$M$41)))</f>
        <v>500</v>
      </c>
      <c r="J82" s="304" t="str">
        <f>J81</f>
        <v>=</v>
      </c>
      <c r="K82" s="304" t="str">
        <f>O8</f>
        <v>X</v>
      </c>
      <c r="L82" s="303"/>
      <c r="Q82" s="294"/>
    </row>
    <row r="83" spans="8:17" ht="13.5" thickTop="1">
      <c r="H83" s="293"/>
      <c r="I83" s="241"/>
      <c r="J83" s="224"/>
      <c r="K83" s="224"/>
      <c r="L83" s="241"/>
      <c r="Q83" s="294"/>
    </row>
    <row r="84" spans="1:8" ht="20.25">
      <c r="A84">
        <f>I82</f>
        <v>500</v>
      </c>
      <c r="B84" s="301" t="str">
        <f>J81</f>
        <v>=</v>
      </c>
      <c r="C84" s="301" t="str">
        <f>K81</f>
        <v>X</v>
      </c>
      <c r="D84" t="s">
        <v>178</v>
      </c>
      <c r="H84" s="293"/>
    </row>
    <row r="85" spans="2:8" ht="12.75" customHeight="1">
      <c r="B85" s="301"/>
      <c r="C85" s="301"/>
      <c r="H85" s="293"/>
    </row>
    <row r="86" spans="2:9" ht="21" thickBot="1">
      <c r="B86" s="665"/>
      <c r="C86" s="662" t="str">
        <f>B3</f>
        <v>P</v>
      </c>
      <c r="D86" s="662" t="str">
        <f>C3</f>
        <v>=</v>
      </c>
      <c r="E86" s="44">
        <f>E3</f>
        <v>-1</v>
      </c>
      <c r="F86" s="662" t="str">
        <f>F3</f>
        <v>X</v>
      </c>
      <c r="G86" s="305"/>
      <c r="H86" s="662" t="str">
        <f>H3</f>
        <v>+</v>
      </c>
      <c r="I86" s="664">
        <f>I3</f>
        <v>1000</v>
      </c>
    </row>
    <row r="87" spans="2:9" ht="17.25" customHeight="1">
      <c r="B87" s="665"/>
      <c r="C87" s="662"/>
      <c r="D87" s="662"/>
      <c r="E87" s="299">
        <f>E4</f>
        <v>2</v>
      </c>
      <c r="F87" s="662"/>
      <c r="G87" s="305"/>
      <c r="H87" s="662"/>
      <c r="I87" s="664"/>
    </row>
    <row r="88" spans="3:9" ht="20.25">
      <c r="C88" s="301" t="str">
        <f>C86</f>
        <v>P</v>
      </c>
      <c r="D88" s="300" t="str">
        <f>D86</f>
        <v>=</v>
      </c>
      <c r="E88" s="306">
        <f>I82*(E86/E87)</f>
        <v>-250</v>
      </c>
      <c r="H88" s="307" t="str">
        <f>H86</f>
        <v>+</v>
      </c>
      <c r="I88" s="74">
        <f>I86</f>
        <v>1000</v>
      </c>
    </row>
    <row r="89" spans="3:5" ht="21" thickBot="1">
      <c r="C89" s="308" t="str">
        <f>C88</f>
        <v>P</v>
      </c>
      <c r="D89" s="309" t="str">
        <f>D88</f>
        <v>=</v>
      </c>
      <c r="E89" s="303">
        <f>I88+E88</f>
        <v>750</v>
      </c>
    </row>
    <row r="90" ht="13.5" thickTop="1"/>
    <row r="91" spans="1:13" ht="20.25">
      <c r="A91" s="665" t="s">
        <v>179</v>
      </c>
      <c r="B91" s="665"/>
      <c r="C91" s="665"/>
      <c r="D91" s="665"/>
      <c r="E91" s="665"/>
      <c r="F91" s="665"/>
      <c r="G91" s="665"/>
      <c r="H91" s="665"/>
      <c r="I91" s="665"/>
      <c r="J91" s="665"/>
      <c r="K91" s="665"/>
      <c r="L91" s="665"/>
      <c r="M91" s="665"/>
    </row>
    <row r="92" spans="1:13" ht="20.25">
      <c r="A92" s="300"/>
      <c r="B92" s="300"/>
      <c r="C92" s="300"/>
      <c r="D92" s="300"/>
      <c r="E92" s="300" t="s">
        <v>168</v>
      </c>
      <c r="F92" s="300"/>
      <c r="G92" s="300"/>
      <c r="H92" s="300"/>
      <c r="I92" s="300" t="s">
        <v>197</v>
      </c>
      <c r="J92" s="300"/>
      <c r="K92" s="300"/>
      <c r="L92" s="300"/>
      <c r="M92" s="300"/>
    </row>
    <row r="93" spans="1:13" ht="20.25">
      <c r="A93" s="203" t="s">
        <v>198</v>
      </c>
      <c r="B93" s="203"/>
      <c r="C93" s="203"/>
      <c r="D93" s="203"/>
      <c r="E93">
        <f>E89</f>
        <v>750</v>
      </c>
      <c r="G93" s="310" t="s">
        <v>180</v>
      </c>
      <c r="I93">
        <f>I82</f>
        <v>500</v>
      </c>
      <c r="M93" s="311">
        <f>E93*I93</f>
        <v>375000</v>
      </c>
    </row>
    <row r="94" spans="1:13" ht="20.25">
      <c r="A94" s="203" t="s">
        <v>199</v>
      </c>
      <c r="B94" s="203"/>
      <c r="C94" s="203"/>
      <c r="D94" s="203"/>
      <c r="E94">
        <v>550</v>
      </c>
      <c r="G94" s="310" t="s">
        <v>180</v>
      </c>
      <c r="I94">
        <v>800</v>
      </c>
      <c r="M94" s="311">
        <f>E94*I94</f>
        <v>440000</v>
      </c>
    </row>
    <row r="95" spans="1:13" ht="20.25">
      <c r="A95" s="203"/>
      <c r="B95" s="203"/>
      <c r="C95" s="203"/>
      <c r="D95" s="203"/>
      <c r="G95" s="310"/>
      <c r="I95">
        <f>SUM(I93:I94)</f>
        <v>1300</v>
      </c>
      <c r="M95" s="315">
        <f>SUM(M93:M94)</f>
        <v>815000</v>
      </c>
    </row>
    <row r="96" spans="1:14" ht="18">
      <c r="A96" s="312" t="s">
        <v>200</v>
      </c>
      <c r="B96" s="203"/>
      <c r="C96" s="203"/>
      <c r="D96" s="203"/>
      <c r="E96">
        <v>250</v>
      </c>
      <c r="I96">
        <v>600</v>
      </c>
      <c r="M96" s="313">
        <f>E96*I96</f>
        <v>150000</v>
      </c>
      <c r="N96" s="297"/>
    </row>
    <row r="97" spans="1:14" ht="18">
      <c r="A97" s="312" t="s">
        <v>201</v>
      </c>
      <c r="B97" s="203"/>
      <c r="C97" s="203"/>
      <c r="D97" s="203"/>
      <c r="E97">
        <v>300</v>
      </c>
      <c r="I97">
        <v>700</v>
      </c>
      <c r="M97" s="313">
        <f>E97*I97</f>
        <v>210000</v>
      </c>
      <c r="N97" s="297"/>
    </row>
    <row r="98" spans="1:14" ht="18">
      <c r="A98" s="312" t="s">
        <v>202</v>
      </c>
      <c r="B98" s="203"/>
      <c r="C98" s="203"/>
      <c r="D98" s="203"/>
      <c r="E98">
        <v>50</v>
      </c>
      <c r="I98">
        <v>800</v>
      </c>
      <c r="M98" s="313">
        <f>E98*I98</f>
        <v>40000</v>
      </c>
      <c r="N98" s="297"/>
    </row>
    <row r="99" spans="1:13" ht="18">
      <c r="A99" s="314" t="s">
        <v>173</v>
      </c>
      <c r="B99" s="314"/>
      <c r="C99" s="314"/>
      <c r="D99" s="314"/>
      <c r="E99" s="70"/>
      <c r="F99" s="70"/>
      <c r="G99" s="70"/>
      <c r="H99" s="70"/>
      <c r="I99" s="70"/>
      <c r="J99" s="70"/>
      <c r="K99" s="70"/>
      <c r="L99" s="70"/>
      <c r="M99" s="315">
        <f>M95-M96-M97-M98</f>
        <v>415000</v>
      </c>
    </row>
    <row r="100" spans="1:13" ht="18">
      <c r="A100" s="203" t="s">
        <v>175</v>
      </c>
      <c r="B100" s="203"/>
      <c r="C100" s="203"/>
      <c r="D100" s="203"/>
      <c r="M100" s="311">
        <f>M3</f>
        <v>0</v>
      </c>
    </row>
    <row r="101" spans="1:13" ht="18.75" thickBot="1">
      <c r="A101" s="203" t="s">
        <v>176</v>
      </c>
      <c r="B101" s="203"/>
      <c r="C101" s="203"/>
      <c r="D101" s="203"/>
      <c r="M101" s="316">
        <f>M99-M100</f>
        <v>415000</v>
      </c>
    </row>
    <row r="102" ht="13.5" thickTop="1"/>
    <row r="103" spans="1:5" ht="15" hidden="1">
      <c r="A103" s="207" t="s">
        <v>182</v>
      </c>
      <c r="B103" s="207"/>
      <c r="C103" s="207"/>
      <c r="D103" s="207"/>
      <c r="E103" s="207"/>
    </row>
    <row r="104" spans="1:13" ht="15" hidden="1">
      <c r="A104" s="207" t="s">
        <v>183</v>
      </c>
      <c r="B104" s="207"/>
      <c r="C104" s="207"/>
      <c r="D104" s="207"/>
      <c r="E104" s="207"/>
      <c r="I104">
        <f>E89</f>
        <v>750</v>
      </c>
      <c r="J104" t="s">
        <v>184</v>
      </c>
      <c r="K104" s="317">
        <f>I3-E89</f>
        <v>250</v>
      </c>
      <c r="M104" s="318">
        <f>I104/K104*-1</f>
        <v>-3</v>
      </c>
    </row>
    <row r="105" spans="1:5" ht="15" hidden="1">
      <c r="A105" s="207" t="str">
        <f>IF(M104&gt;-1,"Uelastisk","Elastisk")</f>
        <v>Elastisk</v>
      </c>
      <c r="B105" s="207"/>
      <c r="C105" s="207"/>
      <c r="D105" s="207"/>
      <c r="E105" s="207"/>
    </row>
    <row r="106" ht="15">
      <c r="A106" s="207" t="s">
        <v>203</v>
      </c>
    </row>
    <row r="107" ht="15">
      <c r="A107" s="207" t="s">
        <v>204</v>
      </c>
    </row>
    <row r="108" spans="1:4" ht="15.75" customHeight="1">
      <c r="A108" s="704" t="s">
        <v>205</v>
      </c>
      <c r="B108" s="704"/>
      <c r="C108" s="624"/>
      <c r="D108" s="624"/>
    </row>
    <row r="109" spans="1:22" ht="18" customHeight="1">
      <c r="A109" s="341" t="s">
        <v>206</v>
      </c>
      <c r="B109" s="341"/>
      <c r="C109" s="341"/>
      <c r="D109" s="341"/>
      <c r="E109" s="207"/>
      <c r="F109" s="207"/>
      <c r="G109" s="207"/>
      <c r="H109" s="207"/>
      <c r="I109" s="207"/>
      <c r="J109" s="207"/>
      <c r="K109" s="207"/>
      <c r="V109" s="70"/>
    </row>
    <row r="110" ht="12.75" hidden="1"/>
    <row r="111" ht="15">
      <c r="A111" s="341" t="s">
        <v>207</v>
      </c>
    </row>
    <row r="112" ht="15">
      <c r="A112" s="341" t="s">
        <v>208</v>
      </c>
    </row>
    <row r="119" spans="1:20" ht="12.75">
      <c r="A119" s="624"/>
      <c r="B119" s="624"/>
      <c r="C119" s="624"/>
      <c r="D119" s="624"/>
      <c r="F119" s="624"/>
      <c r="G119" s="624"/>
      <c r="H119" s="624"/>
      <c r="I119" s="624"/>
      <c r="J119" s="624"/>
      <c r="K119" s="624"/>
      <c r="L119" s="79"/>
      <c r="N119" s="624"/>
      <c r="O119" s="624"/>
      <c r="P119" s="624"/>
      <c r="Q119" s="624"/>
      <c r="R119" s="624"/>
      <c r="S119" s="624"/>
      <c r="T119" s="624"/>
    </row>
    <row r="120" spans="1:20" ht="12.75" hidden="1">
      <c r="A120" s="624"/>
      <c r="B120" s="624"/>
      <c r="C120" s="624"/>
      <c r="D120" s="624"/>
      <c r="F120" s="624"/>
      <c r="G120" s="624"/>
      <c r="H120" s="624"/>
      <c r="I120" s="624"/>
      <c r="J120" s="79"/>
      <c r="K120" s="79"/>
      <c r="L120" s="79"/>
      <c r="N120" s="624"/>
      <c r="O120" s="624"/>
      <c r="P120" s="624"/>
      <c r="Q120" s="624"/>
      <c r="R120" s="624"/>
      <c r="S120" s="624"/>
      <c r="T120" s="624"/>
    </row>
    <row r="121" spans="1:20" ht="27" hidden="1" thickBot="1">
      <c r="A121" s="624"/>
      <c r="B121" s="624"/>
      <c r="C121" s="624"/>
      <c r="D121" s="624"/>
      <c r="F121" s="211" t="s">
        <v>185</v>
      </c>
      <c r="G121" s="79"/>
      <c r="H121" s="79"/>
      <c r="I121" s="79"/>
      <c r="J121" s="128"/>
      <c r="K121" s="128"/>
      <c r="L121" s="128"/>
      <c r="N121" s="128"/>
      <c r="O121" s="128"/>
      <c r="P121" s="128"/>
      <c r="Q121" s="128"/>
      <c r="R121" s="624"/>
      <c r="S121" s="624"/>
      <c r="T121" s="624"/>
    </row>
    <row r="122" spans="1:22" ht="13.5" hidden="1" thickBot="1">
      <c r="A122" s="699" t="s">
        <v>186</v>
      </c>
      <c r="B122" s="686"/>
      <c r="C122" s="686" t="s">
        <v>168</v>
      </c>
      <c r="D122" s="686"/>
      <c r="E122" s="319" t="s">
        <v>169</v>
      </c>
      <c r="F122" s="686" t="s">
        <v>187</v>
      </c>
      <c r="G122" s="686"/>
      <c r="H122" s="686"/>
      <c r="I122" s="686"/>
      <c r="J122" s="655" t="s">
        <v>173</v>
      </c>
      <c r="K122" s="656"/>
      <c r="L122" s="657"/>
      <c r="M122" s="319" t="s">
        <v>188</v>
      </c>
      <c r="N122" s="686" t="s">
        <v>176</v>
      </c>
      <c r="O122" s="686"/>
      <c r="P122" s="686"/>
      <c r="Q122" s="686"/>
      <c r="R122" s="686" t="s">
        <v>158</v>
      </c>
      <c r="S122" s="686"/>
      <c r="T122" s="686"/>
      <c r="U122" s="319" t="s">
        <v>189</v>
      </c>
      <c r="V122" s="325" t="s">
        <v>190</v>
      </c>
    </row>
    <row r="123" spans="1:22" ht="14.25" hidden="1">
      <c r="A123" s="700">
        <f>$A$126*-60%+$A$126</f>
        <v>200</v>
      </c>
      <c r="B123" s="690"/>
      <c r="C123" s="642">
        <f aca="true" t="shared" si="1" ref="C123:C130">A123*($E$86/$E$87)+$I$86</f>
        <v>900</v>
      </c>
      <c r="D123" s="642"/>
      <c r="E123" s="326">
        <f aca="true" t="shared" si="2" ref="E123:E130">C123*A123</f>
        <v>180000</v>
      </c>
      <c r="F123" s="689">
        <f aca="true" t="shared" si="3" ref="F123:F130">(POWER(A123,$P$5))*($N$5/$N$6)+($R$5*A123)</f>
        <v>100000</v>
      </c>
      <c r="G123" s="690"/>
      <c r="H123" s="690"/>
      <c r="I123" s="690"/>
      <c r="J123" s="658">
        <f aca="true" t="shared" si="4" ref="J123:J130">E123-F123</f>
        <v>80000</v>
      </c>
      <c r="K123" s="659"/>
      <c r="L123" s="660"/>
      <c r="M123" s="327">
        <f aca="true" t="shared" si="5" ref="M123:M130">$M$3</f>
        <v>0</v>
      </c>
      <c r="N123" s="689">
        <f aca="true" t="shared" si="6" ref="N123:N130">J123-M123</f>
        <v>80000</v>
      </c>
      <c r="O123" s="690"/>
      <c r="P123" s="690"/>
      <c r="Q123" s="690"/>
      <c r="R123" s="642">
        <f aca="true" t="shared" si="7" ref="R123:R130">$I$11+($E$11/$E$12)*A123</f>
        <v>800</v>
      </c>
      <c r="S123" s="642"/>
      <c r="T123" s="642"/>
      <c r="U123" s="328">
        <f aca="true" t="shared" si="8" ref="U123:U130">$R$11+($N$11/$N$12)*A123</f>
        <v>500</v>
      </c>
      <c r="V123" s="329">
        <f aca="true" t="shared" si="9" ref="V123:V130">R123-U123</f>
        <v>300</v>
      </c>
    </row>
    <row r="124" spans="1:22" ht="14.25" hidden="1">
      <c r="A124" s="698">
        <f>$A$126*-40%+$A$126</f>
        <v>300</v>
      </c>
      <c r="B124" s="649"/>
      <c r="C124" s="643">
        <f t="shared" si="1"/>
        <v>850</v>
      </c>
      <c r="D124" s="643"/>
      <c r="E124" s="60">
        <f t="shared" si="2"/>
        <v>255000</v>
      </c>
      <c r="F124" s="648">
        <f t="shared" si="3"/>
        <v>150000</v>
      </c>
      <c r="G124" s="649"/>
      <c r="H124" s="649"/>
      <c r="I124" s="649"/>
      <c r="J124" s="650">
        <f t="shared" si="4"/>
        <v>105000</v>
      </c>
      <c r="K124" s="651"/>
      <c r="L124" s="652"/>
      <c r="M124" s="330">
        <f t="shared" si="5"/>
        <v>0</v>
      </c>
      <c r="N124" s="648">
        <f t="shared" si="6"/>
        <v>105000</v>
      </c>
      <c r="O124" s="649"/>
      <c r="P124" s="649"/>
      <c r="Q124" s="649"/>
      <c r="R124" s="643">
        <f t="shared" si="7"/>
        <v>700</v>
      </c>
      <c r="S124" s="643"/>
      <c r="T124" s="643"/>
      <c r="U124" s="331">
        <f t="shared" si="8"/>
        <v>500</v>
      </c>
      <c r="V124" s="332">
        <f t="shared" si="9"/>
        <v>200</v>
      </c>
    </row>
    <row r="125" spans="1:22" ht="14.25" hidden="1">
      <c r="A125" s="698">
        <f>$A$126*-20%+$A$126</f>
        <v>400</v>
      </c>
      <c r="B125" s="649"/>
      <c r="C125" s="643">
        <f t="shared" si="1"/>
        <v>800</v>
      </c>
      <c r="D125" s="643"/>
      <c r="E125" s="60">
        <f t="shared" si="2"/>
        <v>320000</v>
      </c>
      <c r="F125" s="648">
        <f t="shared" si="3"/>
        <v>200000</v>
      </c>
      <c r="G125" s="649"/>
      <c r="H125" s="649"/>
      <c r="I125" s="649"/>
      <c r="J125" s="650">
        <f t="shared" si="4"/>
        <v>120000</v>
      </c>
      <c r="K125" s="651"/>
      <c r="L125" s="652"/>
      <c r="M125" s="330">
        <f t="shared" si="5"/>
        <v>0</v>
      </c>
      <c r="N125" s="648">
        <f t="shared" si="6"/>
        <v>120000</v>
      </c>
      <c r="O125" s="649"/>
      <c r="P125" s="649"/>
      <c r="Q125" s="649"/>
      <c r="R125" s="643">
        <f t="shared" si="7"/>
        <v>600</v>
      </c>
      <c r="S125" s="643"/>
      <c r="T125" s="643"/>
      <c r="U125" s="331">
        <f t="shared" si="8"/>
        <v>500</v>
      </c>
      <c r="V125" s="332">
        <f t="shared" si="9"/>
        <v>100</v>
      </c>
    </row>
    <row r="126" spans="1:22" ht="14.25" hidden="1">
      <c r="A126" s="698">
        <f>I82</f>
        <v>500</v>
      </c>
      <c r="B126" s="688"/>
      <c r="C126" s="644">
        <f t="shared" si="1"/>
        <v>750</v>
      </c>
      <c r="D126" s="644"/>
      <c r="E126" s="333">
        <f t="shared" si="2"/>
        <v>375000</v>
      </c>
      <c r="F126" s="687">
        <f t="shared" si="3"/>
        <v>250000</v>
      </c>
      <c r="G126" s="688"/>
      <c r="H126" s="688"/>
      <c r="I126" s="688"/>
      <c r="J126" s="653">
        <f t="shared" si="4"/>
        <v>125000</v>
      </c>
      <c r="K126" s="654"/>
      <c r="L126" s="652"/>
      <c r="M126" s="334">
        <f t="shared" si="5"/>
        <v>0</v>
      </c>
      <c r="N126" s="687">
        <f t="shared" si="6"/>
        <v>125000</v>
      </c>
      <c r="O126" s="688"/>
      <c r="P126" s="688"/>
      <c r="Q126" s="688"/>
      <c r="R126" s="644">
        <f t="shared" si="7"/>
        <v>500</v>
      </c>
      <c r="S126" s="644"/>
      <c r="T126" s="644"/>
      <c r="U126" s="335">
        <f t="shared" si="8"/>
        <v>500</v>
      </c>
      <c r="V126" s="336">
        <f t="shared" si="9"/>
        <v>0</v>
      </c>
    </row>
    <row r="127" spans="1:22" ht="14.25" hidden="1">
      <c r="A127" s="698">
        <f>$A$126*20%+$A$126</f>
        <v>600</v>
      </c>
      <c r="B127" s="649"/>
      <c r="C127" s="643">
        <f t="shared" si="1"/>
        <v>700</v>
      </c>
      <c r="D127" s="643"/>
      <c r="E127" s="60">
        <f t="shared" si="2"/>
        <v>420000</v>
      </c>
      <c r="F127" s="648">
        <f t="shared" si="3"/>
        <v>300000</v>
      </c>
      <c r="G127" s="649"/>
      <c r="H127" s="649"/>
      <c r="I127" s="649"/>
      <c r="J127" s="650">
        <f t="shared" si="4"/>
        <v>120000</v>
      </c>
      <c r="K127" s="651"/>
      <c r="L127" s="652"/>
      <c r="M127" s="330">
        <f t="shared" si="5"/>
        <v>0</v>
      </c>
      <c r="N127" s="648">
        <f t="shared" si="6"/>
        <v>120000</v>
      </c>
      <c r="O127" s="649"/>
      <c r="P127" s="649"/>
      <c r="Q127" s="649"/>
      <c r="R127" s="643">
        <f t="shared" si="7"/>
        <v>400</v>
      </c>
      <c r="S127" s="643"/>
      <c r="T127" s="643"/>
      <c r="U127" s="331">
        <f t="shared" si="8"/>
        <v>500</v>
      </c>
      <c r="V127" s="332">
        <f t="shared" si="9"/>
        <v>-100</v>
      </c>
    </row>
    <row r="128" spans="1:22" ht="14.25" hidden="1">
      <c r="A128" s="698">
        <f>$A$126*40%+$A$126</f>
        <v>700</v>
      </c>
      <c r="B128" s="649"/>
      <c r="C128" s="643">
        <f t="shared" si="1"/>
        <v>650</v>
      </c>
      <c r="D128" s="643"/>
      <c r="E128" s="60">
        <f t="shared" si="2"/>
        <v>455000</v>
      </c>
      <c r="F128" s="648">
        <f t="shared" si="3"/>
        <v>350000</v>
      </c>
      <c r="G128" s="649"/>
      <c r="H128" s="649"/>
      <c r="I128" s="649"/>
      <c r="J128" s="650">
        <f t="shared" si="4"/>
        <v>105000</v>
      </c>
      <c r="K128" s="651"/>
      <c r="L128" s="652"/>
      <c r="M128" s="330">
        <f t="shared" si="5"/>
        <v>0</v>
      </c>
      <c r="N128" s="648">
        <f t="shared" si="6"/>
        <v>105000</v>
      </c>
      <c r="O128" s="649"/>
      <c r="P128" s="649"/>
      <c r="Q128" s="649"/>
      <c r="R128" s="643">
        <f t="shared" si="7"/>
        <v>300</v>
      </c>
      <c r="S128" s="643"/>
      <c r="T128" s="643"/>
      <c r="U128" s="331">
        <f t="shared" si="8"/>
        <v>500</v>
      </c>
      <c r="V128" s="332">
        <f t="shared" si="9"/>
        <v>-200</v>
      </c>
    </row>
    <row r="129" spans="1:22" ht="14.25" hidden="1">
      <c r="A129" s="698">
        <f>$A$126*60%+$A$126</f>
        <v>800</v>
      </c>
      <c r="B129" s="649"/>
      <c r="C129" s="643">
        <f t="shared" si="1"/>
        <v>600</v>
      </c>
      <c r="D129" s="643"/>
      <c r="E129" s="60">
        <f t="shared" si="2"/>
        <v>480000</v>
      </c>
      <c r="F129" s="648">
        <f t="shared" si="3"/>
        <v>400000</v>
      </c>
      <c r="G129" s="649"/>
      <c r="H129" s="649"/>
      <c r="I129" s="649"/>
      <c r="J129" s="650">
        <f t="shared" si="4"/>
        <v>80000</v>
      </c>
      <c r="K129" s="651"/>
      <c r="L129" s="652"/>
      <c r="M129" s="330">
        <f t="shared" si="5"/>
        <v>0</v>
      </c>
      <c r="N129" s="648">
        <f t="shared" si="6"/>
        <v>80000</v>
      </c>
      <c r="O129" s="649"/>
      <c r="P129" s="649"/>
      <c r="Q129" s="649"/>
      <c r="R129" s="643">
        <f t="shared" si="7"/>
        <v>200</v>
      </c>
      <c r="S129" s="643"/>
      <c r="T129" s="643"/>
      <c r="U129" s="331">
        <f t="shared" si="8"/>
        <v>500</v>
      </c>
      <c r="V129" s="332">
        <f t="shared" si="9"/>
        <v>-300</v>
      </c>
    </row>
    <row r="130" spans="1:22" ht="15" hidden="1" thickBot="1">
      <c r="A130" s="703">
        <f>$A$126*80%+$A$126</f>
        <v>900</v>
      </c>
      <c r="B130" s="693"/>
      <c r="C130" s="691">
        <f t="shared" si="1"/>
        <v>550</v>
      </c>
      <c r="D130" s="691"/>
      <c r="E130" s="337">
        <f t="shared" si="2"/>
        <v>495000</v>
      </c>
      <c r="F130" s="692">
        <f t="shared" si="3"/>
        <v>450000</v>
      </c>
      <c r="G130" s="693"/>
      <c r="H130" s="693"/>
      <c r="I130" s="693"/>
      <c r="J130" s="645">
        <f t="shared" si="4"/>
        <v>45000</v>
      </c>
      <c r="K130" s="646"/>
      <c r="L130" s="647"/>
      <c r="M130" s="338">
        <f t="shared" si="5"/>
        <v>0</v>
      </c>
      <c r="N130" s="692">
        <f t="shared" si="6"/>
        <v>45000</v>
      </c>
      <c r="O130" s="693"/>
      <c r="P130" s="693"/>
      <c r="Q130" s="693"/>
      <c r="R130" s="691">
        <f t="shared" si="7"/>
        <v>100</v>
      </c>
      <c r="S130" s="691"/>
      <c r="T130" s="691"/>
      <c r="U130" s="339">
        <f t="shared" si="8"/>
        <v>500</v>
      </c>
      <c r="V130" s="340">
        <f t="shared" si="9"/>
        <v>-400</v>
      </c>
    </row>
    <row r="131" spans="1:20" ht="12.75" hidden="1">
      <c r="A131" s="624"/>
      <c r="B131" s="624"/>
      <c r="C131" s="624"/>
      <c r="D131" s="624"/>
      <c r="F131" s="624"/>
      <c r="G131" s="624"/>
      <c r="H131" s="624"/>
      <c r="I131" s="624"/>
      <c r="J131" s="621"/>
      <c r="K131" s="621"/>
      <c r="L131" s="621"/>
      <c r="N131" s="624"/>
      <c r="O131" s="624"/>
      <c r="P131" s="624"/>
      <c r="Q131" s="624"/>
      <c r="R131" s="624"/>
      <c r="S131" s="624"/>
      <c r="T131" s="624"/>
    </row>
    <row r="132" spans="1:20" ht="12.75" hidden="1">
      <c r="A132" s="624"/>
      <c r="B132" s="624"/>
      <c r="C132" s="624"/>
      <c r="D132" s="624"/>
      <c r="F132" s="624"/>
      <c r="G132" s="624"/>
      <c r="H132" s="624"/>
      <c r="I132" s="624"/>
      <c r="J132" s="621"/>
      <c r="K132" s="621"/>
      <c r="L132" s="621"/>
      <c r="N132" s="624"/>
      <c r="O132" s="624"/>
      <c r="P132" s="624"/>
      <c r="Q132" s="624"/>
      <c r="R132" s="624"/>
      <c r="S132" s="624"/>
      <c r="T132" s="624"/>
    </row>
    <row r="133" spans="1:20" ht="12.75">
      <c r="A133" s="624"/>
      <c r="B133" s="624"/>
      <c r="C133" s="624"/>
      <c r="D133" s="624"/>
      <c r="F133" s="624"/>
      <c r="G133" s="624"/>
      <c r="H133" s="624"/>
      <c r="I133" s="624"/>
      <c r="J133" s="621"/>
      <c r="K133" s="621"/>
      <c r="L133" s="621"/>
      <c r="N133" s="624"/>
      <c r="O133" s="624"/>
      <c r="P133" s="624"/>
      <c r="Q133" s="624"/>
      <c r="R133" s="624"/>
      <c r="S133" s="624"/>
      <c r="T133" s="624"/>
    </row>
    <row r="134" spans="1:20" ht="12.75">
      <c r="A134" s="624"/>
      <c r="B134" s="624"/>
      <c r="C134" s="624"/>
      <c r="D134" s="624"/>
      <c r="F134" s="624"/>
      <c r="G134" s="624"/>
      <c r="H134" s="624"/>
      <c r="I134" s="624"/>
      <c r="J134" s="621"/>
      <c r="K134" s="621"/>
      <c r="L134" s="621"/>
      <c r="N134" s="624"/>
      <c r="O134" s="624"/>
      <c r="P134" s="624"/>
      <c r="Q134" s="624"/>
      <c r="R134" s="624"/>
      <c r="S134" s="624"/>
      <c r="T134" s="624"/>
    </row>
    <row r="135" spans="1:20" ht="12.75">
      <c r="A135" s="624"/>
      <c r="B135" s="624"/>
      <c r="C135" s="624"/>
      <c r="D135" s="624"/>
      <c r="F135" s="624"/>
      <c r="G135" s="624"/>
      <c r="H135" s="624"/>
      <c r="I135" s="624"/>
      <c r="J135" s="624"/>
      <c r="K135" s="624"/>
      <c r="L135" s="79"/>
      <c r="N135" s="624"/>
      <c r="O135" s="624"/>
      <c r="P135" s="624"/>
      <c r="Q135" s="624"/>
      <c r="R135" s="624"/>
      <c r="S135" s="624"/>
      <c r="T135" s="624"/>
    </row>
    <row r="136" spans="1:20" ht="12.75">
      <c r="A136" s="624"/>
      <c r="B136" s="624"/>
      <c r="C136" s="624"/>
      <c r="D136" s="624"/>
      <c r="F136" s="624"/>
      <c r="G136" s="624"/>
      <c r="H136" s="624"/>
      <c r="I136" s="624"/>
      <c r="J136" s="624"/>
      <c r="K136" s="624"/>
      <c r="L136" s="79"/>
      <c r="N136" s="624"/>
      <c r="O136" s="624"/>
      <c r="P136" s="624"/>
      <c r="Q136" s="624"/>
      <c r="R136" s="624"/>
      <c r="S136" s="624"/>
      <c r="T136" s="624"/>
    </row>
    <row r="137" spans="1:20" ht="12.75">
      <c r="A137" s="624"/>
      <c r="B137" s="624"/>
      <c r="C137" s="624"/>
      <c r="D137" s="624"/>
      <c r="F137" s="624"/>
      <c r="G137" s="624"/>
      <c r="H137" s="624"/>
      <c r="I137" s="624"/>
      <c r="J137" s="624"/>
      <c r="K137" s="624"/>
      <c r="L137" s="79"/>
      <c r="N137" s="624"/>
      <c r="O137" s="624"/>
      <c r="P137" s="624"/>
      <c r="Q137" s="624"/>
      <c r="R137" s="624"/>
      <c r="S137" s="624"/>
      <c r="T137" s="624"/>
    </row>
    <row r="138" spans="1:20" ht="12.75">
      <c r="A138" s="624"/>
      <c r="B138" s="624"/>
      <c r="C138" s="624"/>
      <c r="D138" s="624"/>
      <c r="F138" s="624"/>
      <c r="G138" s="624"/>
      <c r="H138" s="624"/>
      <c r="I138" s="624"/>
      <c r="J138" s="624"/>
      <c r="K138" s="624"/>
      <c r="L138" s="79"/>
      <c r="N138" s="624"/>
      <c r="O138" s="624"/>
      <c r="P138" s="624"/>
      <c r="Q138" s="624"/>
      <c r="R138" s="624"/>
      <c r="S138" s="624"/>
      <c r="T138" s="624"/>
    </row>
    <row r="139" spans="1:20" ht="12.75">
      <c r="A139" s="624"/>
      <c r="B139" s="624"/>
      <c r="C139" s="624"/>
      <c r="D139" s="624"/>
      <c r="F139" s="624"/>
      <c r="G139" s="624"/>
      <c r="H139" s="624"/>
      <c r="I139" s="624"/>
      <c r="J139" s="624"/>
      <c r="K139" s="624"/>
      <c r="L139" s="79"/>
      <c r="N139" s="624"/>
      <c r="O139" s="624"/>
      <c r="P139" s="624"/>
      <c r="Q139" s="624"/>
      <c r="R139" s="624"/>
      <c r="S139" s="624"/>
      <c r="T139" s="624"/>
    </row>
    <row r="140" spans="1:20" ht="12.75">
      <c r="A140" s="624"/>
      <c r="B140" s="624"/>
      <c r="C140" s="624"/>
      <c r="D140" s="624"/>
      <c r="F140" s="624"/>
      <c r="G140" s="624"/>
      <c r="H140" s="624"/>
      <c r="I140" s="624"/>
      <c r="J140" s="624"/>
      <c r="K140" s="624"/>
      <c r="L140" s="79"/>
      <c r="N140" s="624"/>
      <c r="O140" s="624"/>
      <c r="P140" s="624"/>
      <c r="Q140" s="624"/>
      <c r="R140" s="624"/>
      <c r="S140" s="624"/>
      <c r="T140" s="624"/>
    </row>
    <row r="141" spans="1:20" ht="12.75">
      <c r="A141" s="624"/>
      <c r="B141" s="624"/>
      <c r="C141" s="624"/>
      <c r="D141" s="624"/>
      <c r="F141" s="624"/>
      <c r="G141" s="624"/>
      <c r="H141" s="624"/>
      <c r="I141" s="624"/>
      <c r="J141" s="624"/>
      <c r="K141" s="624"/>
      <c r="L141" s="79"/>
      <c r="N141" s="624"/>
      <c r="O141" s="624"/>
      <c r="P141" s="624"/>
      <c r="Q141" s="624"/>
      <c r="R141" s="624"/>
      <c r="S141" s="624"/>
      <c r="T141" s="624"/>
    </row>
    <row r="142" spans="1:20" ht="12.75">
      <c r="A142" s="624"/>
      <c r="B142" s="624"/>
      <c r="C142" s="624"/>
      <c r="D142" s="624"/>
      <c r="F142" s="624"/>
      <c r="G142" s="624"/>
      <c r="H142" s="624"/>
      <c r="I142" s="624"/>
      <c r="J142" s="624"/>
      <c r="K142" s="624"/>
      <c r="L142" s="79"/>
      <c r="N142" s="624"/>
      <c r="O142" s="624"/>
      <c r="P142" s="624"/>
      <c r="Q142" s="624"/>
      <c r="R142" s="624"/>
      <c r="S142" s="624"/>
      <c r="T142" s="624"/>
    </row>
  </sheetData>
  <sheetProtection/>
  <mergeCells count="235">
    <mergeCell ref="A81:H81"/>
    <mergeCell ref="A37:D37"/>
    <mergeCell ref="A130:B130"/>
    <mergeCell ref="A128:B128"/>
    <mergeCell ref="A129:B129"/>
    <mergeCell ref="A125:B125"/>
    <mergeCell ref="C125:D125"/>
    <mergeCell ref="A119:B119"/>
    <mergeCell ref="C130:D130"/>
    <mergeCell ref="F122:I122"/>
    <mergeCell ref="A2:I2"/>
    <mergeCell ref="K2:U2"/>
    <mergeCell ref="A126:B126"/>
    <mergeCell ref="A127:B127"/>
    <mergeCell ref="H11:H12"/>
    <mergeCell ref="K3:K4"/>
    <mergeCell ref="A91:M91"/>
    <mergeCell ref="A122:B122"/>
    <mergeCell ref="A123:B123"/>
    <mergeCell ref="A124:B124"/>
    <mergeCell ref="F130:I130"/>
    <mergeCell ref="F125:I125"/>
    <mergeCell ref="F126:I126"/>
    <mergeCell ref="F127:I127"/>
    <mergeCell ref="F128:I128"/>
    <mergeCell ref="F129:I129"/>
    <mergeCell ref="R129:T129"/>
    <mergeCell ref="R130:T130"/>
    <mergeCell ref="N130:Q130"/>
    <mergeCell ref="N129:Q129"/>
    <mergeCell ref="N126:Q126"/>
    <mergeCell ref="N123:Q123"/>
    <mergeCell ref="N124:Q124"/>
    <mergeCell ref="N125:Q125"/>
    <mergeCell ref="R122:T122"/>
    <mergeCell ref="N122:Q122"/>
    <mergeCell ref="R121:T121"/>
    <mergeCell ref="C108:D108"/>
    <mergeCell ref="R119:T119"/>
    <mergeCell ref="F119:I119"/>
    <mergeCell ref="C119:D119"/>
    <mergeCell ref="F120:I120"/>
    <mergeCell ref="N120:Q120"/>
    <mergeCell ref="N119:Q119"/>
    <mergeCell ref="C11:D12"/>
    <mergeCell ref="A11:B12"/>
    <mergeCell ref="F11:F12"/>
    <mergeCell ref="J124:L124"/>
    <mergeCell ref="A108:B108"/>
    <mergeCell ref="J119:K119"/>
    <mergeCell ref="F124:I124"/>
    <mergeCell ref="C124:D124"/>
    <mergeCell ref="C122:D122"/>
    <mergeCell ref="F123:I123"/>
    <mergeCell ref="A6:B7"/>
    <mergeCell ref="A5:J5"/>
    <mergeCell ref="G3:G4"/>
    <mergeCell ref="J3:J4"/>
    <mergeCell ref="C6:D7"/>
    <mergeCell ref="F6:F7"/>
    <mergeCell ref="G6:G7"/>
    <mergeCell ref="A3:A4"/>
    <mergeCell ref="B3:B4"/>
    <mergeCell ref="F3:F4"/>
    <mergeCell ref="H6:H7"/>
    <mergeCell ref="H3:H4"/>
    <mergeCell ref="I3:I4"/>
    <mergeCell ref="C3:D4"/>
    <mergeCell ref="K5:K6"/>
    <mergeCell ref="M3:N4"/>
    <mergeCell ref="P76:R77"/>
    <mergeCell ref="I11:J12"/>
    <mergeCell ref="I6:I7"/>
    <mergeCell ref="J6:J7"/>
    <mergeCell ref="P5:P6"/>
    <mergeCell ref="Q5:Q6"/>
    <mergeCell ref="L3:L4"/>
    <mergeCell ref="O76:O77"/>
    <mergeCell ref="S5:S6"/>
    <mergeCell ref="K8:K9"/>
    <mergeCell ref="L5:M6"/>
    <mergeCell ref="L8:M9"/>
    <mergeCell ref="O8:O9"/>
    <mergeCell ref="P8:P9"/>
    <mergeCell ref="Q8:Q9"/>
    <mergeCell ref="R8:R9"/>
    <mergeCell ref="S8:S9"/>
    <mergeCell ref="O5:O6"/>
    <mergeCell ref="H86:H87"/>
    <mergeCell ref="I86:I87"/>
    <mergeCell ref="T8:T9"/>
    <mergeCell ref="U8:U9"/>
    <mergeCell ref="K11:K12"/>
    <mergeCell ref="L11:M12"/>
    <mergeCell ref="O11:O12"/>
    <mergeCell ref="Q11:Q12"/>
    <mergeCell ref="R11:R12"/>
    <mergeCell ref="K75:L75"/>
    <mergeCell ref="B86:B87"/>
    <mergeCell ref="C86:C87"/>
    <mergeCell ref="D86:D87"/>
    <mergeCell ref="F86:F87"/>
    <mergeCell ref="N76:N77"/>
    <mergeCell ref="F76:F77"/>
    <mergeCell ref="H76:H77"/>
    <mergeCell ref="I76:I77"/>
    <mergeCell ref="J76:J77"/>
    <mergeCell ref="K76:L76"/>
    <mergeCell ref="K77:L77"/>
    <mergeCell ref="J126:L126"/>
    <mergeCell ref="J122:L122"/>
    <mergeCell ref="J123:L123"/>
    <mergeCell ref="J125:L125"/>
    <mergeCell ref="A136:B136"/>
    <mergeCell ref="A121:B121"/>
    <mergeCell ref="A120:B120"/>
    <mergeCell ref="A131:B131"/>
    <mergeCell ref="A132:B132"/>
    <mergeCell ref="C120:D120"/>
    <mergeCell ref="C131:D131"/>
    <mergeCell ref="C132:D132"/>
    <mergeCell ref="C133:D133"/>
    <mergeCell ref="C126:D126"/>
    <mergeCell ref="C123:D123"/>
    <mergeCell ref="C129:D129"/>
    <mergeCell ref="C127:D127"/>
    <mergeCell ref="C128:D128"/>
    <mergeCell ref="C140:D140"/>
    <mergeCell ref="A137:B137"/>
    <mergeCell ref="A138:B138"/>
    <mergeCell ref="C121:D121"/>
    <mergeCell ref="C134:D134"/>
    <mergeCell ref="C135:D135"/>
    <mergeCell ref="C136:D136"/>
    <mergeCell ref="A133:B133"/>
    <mergeCell ref="A134:B134"/>
    <mergeCell ref="A135:B135"/>
    <mergeCell ref="F131:I131"/>
    <mergeCell ref="F132:I132"/>
    <mergeCell ref="F133:I133"/>
    <mergeCell ref="F134:I134"/>
    <mergeCell ref="J141:K141"/>
    <mergeCell ref="J139:K139"/>
    <mergeCell ref="J140:K140"/>
    <mergeCell ref="F136:I136"/>
    <mergeCell ref="F137:I137"/>
    <mergeCell ref="F138:I138"/>
    <mergeCell ref="J130:L130"/>
    <mergeCell ref="N131:Q131"/>
    <mergeCell ref="J135:K135"/>
    <mergeCell ref="N127:Q127"/>
    <mergeCell ref="N128:Q128"/>
    <mergeCell ref="J128:L128"/>
    <mergeCell ref="J129:L129"/>
    <mergeCell ref="J127:L127"/>
    <mergeCell ref="N133:Q133"/>
    <mergeCell ref="N134:Q134"/>
    <mergeCell ref="N135:Q135"/>
    <mergeCell ref="J131:L131"/>
    <mergeCell ref="J132:L132"/>
    <mergeCell ref="J133:L133"/>
    <mergeCell ref="N132:Q132"/>
    <mergeCell ref="R131:T131"/>
    <mergeCell ref="R132:T132"/>
    <mergeCell ref="R133:T133"/>
    <mergeCell ref="R120:T120"/>
    <mergeCell ref="R123:T123"/>
    <mergeCell ref="R124:T124"/>
    <mergeCell ref="R125:T125"/>
    <mergeCell ref="R126:T126"/>
    <mergeCell ref="R127:T127"/>
    <mergeCell ref="R128:T128"/>
    <mergeCell ref="R134:T134"/>
    <mergeCell ref="R135:T135"/>
    <mergeCell ref="R136:T136"/>
    <mergeCell ref="R137:T137"/>
    <mergeCell ref="R138:T138"/>
    <mergeCell ref="R139:T139"/>
    <mergeCell ref="R140:T140"/>
    <mergeCell ref="R141:T141"/>
    <mergeCell ref="A141:B141"/>
    <mergeCell ref="A142:B142"/>
    <mergeCell ref="R142:T142"/>
    <mergeCell ref="F142:I142"/>
    <mergeCell ref="C141:D141"/>
    <mergeCell ref="C142:D142"/>
    <mergeCell ref="N141:Q141"/>
    <mergeCell ref="N142:Q142"/>
    <mergeCell ref="J142:K142"/>
    <mergeCell ref="F141:I141"/>
    <mergeCell ref="A140:B140"/>
    <mergeCell ref="N140:Q140"/>
    <mergeCell ref="J134:L134"/>
    <mergeCell ref="N136:Q136"/>
    <mergeCell ref="J136:K136"/>
    <mergeCell ref="J137:K137"/>
    <mergeCell ref="J138:K138"/>
    <mergeCell ref="F139:I139"/>
    <mergeCell ref="F140:I140"/>
    <mergeCell ref="F135:I135"/>
    <mergeCell ref="A139:B139"/>
    <mergeCell ref="N137:Q137"/>
    <mergeCell ref="N138:Q138"/>
    <mergeCell ref="N139:Q139"/>
    <mergeCell ref="C137:D137"/>
    <mergeCell ref="C138:D138"/>
    <mergeCell ref="C139:D139"/>
    <mergeCell ref="L13:M13"/>
    <mergeCell ref="L16:M17"/>
    <mergeCell ref="Q14:Q15"/>
    <mergeCell ref="R14:R15"/>
    <mergeCell ref="L14:M15"/>
    <mergeCell ref="O14:O15"/>
    <mergeCell ref="P14:P15"/>
    <mergeCell ref="K16:K17"/>
    <mergeCell ref="O16:O17"/>
    <mergeCell ref="Q16:Q17"/>
    <mergeCell ref="R16:R17"/>
    <mergeCell ref="R21:R22"/>
    <mergeCell ref="L23:M23"/>
    <mergeCell ref="L18:M18"/>
    <mergeCell ref="K21:K22"/>
    <mergeCell ref="L21:M22"/>
    <mergeCell ref="O21:O22"/>
    <mergeCell ref="Q21:Q22"/>
    <mergeCell ref="S14:S15"/>
    <mergeCell ref="P16:P17"/>
    <mergeCell ref="K19:K20"/>
    <mergeCell ref="L19:M20"/>
    <mergeCell ref="R19:R20"/>
    <mergeCell ref="S19:S20"/>
    <mergeCell ref="Q19:Q20"/>
    <mergeCell ref="O19:O20"/>
    <mergeCell ref="P19:P20"/>
    <mergeCell ref="K14:K15"/>
  </mergeCells>
  <printOptions/>
  <pageMargins left="0.3937007874015748" right="0.3937007874015748" top="0.3937007874015748" bottom="0.3937007874015748" header="0" footer="0"/>
  <pageSetup horizontalDpi="300" verticalDpi="300" orientation="landscape" paperSize="9" scale="9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zoomScale="180" zoomScaleNormal="180" workbookViewId="0" topLeftCell="A1">
      <selection activeCell="A2" sqref="A2"/>
    </sheetView>
  </sheetViews>
  <sheetFormatPr defaultColWidth="9.140625" defaultRowHeight="12.75"/>
  <cols>
    <col min="1" max="1" width="28.00390625" style="0" customWidth="1"/>
    <col min="2" max="2" width="15.140625" style="0" customWidth="1"/>
    <col min="3" max="3" width="14.57421875" style="0" hidden="1" customWidth="1"/>
    <col min="4" max="5" width="14.421875" style="0" customWidth="1"/>
    <col min="6" max="6" width="10.28125" style="0" customWidth="1"/>
    <col min="7" max="7" width="16.421875" style="0" bestFit="1" customWidth="1"/>
  </cols>
  <sheetData>
    <row r="1" spans="1:6" ht="18">
      <c r="A1" s="342" t="s">
        <v>451</v>
      </c>
      <c r="B1" s="343" t="s">
        <v>209</v>
      </c>
      <c r="C1" s="344"/>
      <c r="D1" s="345"/>
      <c r="E1" s="345"/>
      <c r="F1" s="346"/>
    </row>
    <row r="2" spans="1:6" ht="13.5" thickBot="1">
      <c r="A2" s="347" t="s">
        <v>210</v>
      </c>
      <c r="B2" s="348">
        <v>2008</v>
      </c>
      <c r="C2" s="348">
        <f>B2+1</f>
        <v>2009</v>
      </c>
      <c r="D2" s="349">
        <v>2009</v>
      </c>
      <c r="E2" s="350" t="s">
        <v>211</v>
      </c>
      <c r="F2" s="351" t="s">
        <v>212</v>
      </c>
    </row>
    <row r="3" spans="1:6" ht="12.75">
      <c r="A3" s="352" t="s">
        <v>213</v>
      </c>
      <c r="B3" s="353">
        <v>59944</v>
      </c>
      <c r="C3" s="354">
        <v>0</v>
      </c>
      <c r="D3" s="355">
        <v>59382</v>
      </c>
      <c r="E3" s="356">
        <f aca="true" t="shared" si="0" ref="E3:E30">D3-B3</f>
        <v>-562</v>
      </c>
      <c r="F3" s="357">
        <f aca="true" t="shared" si="1" ref="F3:F26">E3/B3</f>
        <v>-0.009375417055918857</v>
      </c>
    </row>
    <row r="4" spans="1:6" ht="12.75">
      <c r="A4" s="352" t="s">
        <v>214</v>
      </c>
      <c r="B4" s="358">
        <v>31249</v>
      </c>
      <c r="C4" s="360">
        <v>0</v>
      </c>
      <c r="D4" s="361">
        <v>30197</v>
      </c>
      <c r="E4" s="356">
        <f t="shared" si="0"/>
        <v>-1052</v>
      </c>
      <c r="F4" s="357">
        <f t="shared" si="1"/>
        <v>-0.03366507728247304</v>
      </c>
    </row>
    <row r="5" spans="1:6" ht="12.75">
      <c r="A5" s="105" t="s">
        <v>215</v>
      </c>
      <c r="B5" s="362">
        <f>B3-B4</f>
        <v>28695</v>
      </c>
      <c r="C5" s="363">
        <f>C3-C4</f>
        <v>0</v>
      </c>
      <c r="D5" s="364">
        <f>D3-D4</f>
        <v>29185</v>
      </c>
      <c r="E5" s="365">
        <f t="shared" si="0"/>
        <v>490</v>
      </c>
      <c r="F5" s="366">
        <f t="shared" si="1"/>
        <v>0.01707614566997735</v>
      </c>
    </row>
    <row r="6" spans="1:6" ht="12.75" hidden="1">
      <c r="A6" s="367" t="s">
        <v>216</v>
      </c>
      <c r="B6" s="368">
        <v>0</v>
      </c>
      <c r="C6" s="369">
        <v>0</v>
      </c>
      <c r="D6" s="370">
        <v>0</v>
      </c>
      <c r="E6" s="365">
        <f t="shared" si="0"/>
        <v>0</v>
      </c>
      <c r="F6" s="366" t="e">
        <f t="shared" si="1"/>
        <v>#DIV/0!</v>
      </c>
    </row>
    <row r="7" spans="1:6" ht="12.75" hidden="1">
      <c r="A7" s="105" t="s">
        <v>22</v>
      </c>
      <c r="B7" s="106">
        <f>B5-B6</f>
        <v>28695</v>
      </c>
      <c r="C7" s="106">
        <f>C5-C6</f>
        <v>0</v>
      </c>
      <c r="D7" s="371">
        <f>D5-D6</f>
        <v>29185</v>
      </c>
      <c r="E7" s="365">
        <f t="shared" si="0"/>
        <v>490</v>
      </c>
      <c r="F7" s="366">
        <f t="shared" si="1"/>
        <v>0.01707614566997735</v>
      </c>
    </row>
    <row r="8" spans="1:6" ht="12.75" hidden="1">
      <c r="A8" s="367" t="s">
        <v>217</v>
      </c>
      <c r="B8" s="353">
        <v>0</v>
      </c>
      <c r="C8" s="354">
        <v>0</v>
      </c>
      <c r="D8" s="355">
        <v>0</v>
      </c>
      <c r="E8" s="365">
        <f t="shared" si="0"/>
        <v>0</v>
      </c>
      <c r="F8" s="366" t="e">
        <f t="shared" si="1"/>
        <v>#DIV/0!</v>
      </c>
    </row>
    <row r="9" spans="1:6" ht="12.75" hidden="1">
      <c r="A9" s="372" t="s">
        <v>218</v>
      </c>
      <c r="B9" s="373">
        <f>B7-B8</f>
        <v>28695</v>
      </c>
      <c r="C9" s="373">
        <f>C7-C8</f>
        <v>0</v>
      </c>
      <c r="D9" s="374">
        <f>D7-D8</f>
        <v>29185</v>
      </c>
      <c r="E9" s="365">
        <f t="shared" si="0"/>
        <v>490</v>
      </c>
      <c r="F9" s="366">
        <f t="shared" si="1"/>
        <v>0.01707614566997735</v>
      </c>
    </row>
    <row r="10" spans="1:6" ht="12.75">
      <c r="A10" s="352" t="s">
        <v>219</v>
      </c>
      <c r="B10" s="353">
        <v>17592</v>
      </c>
      <c r="C10" s="354">
        <v>0</v>
      </c>
      <c r="D10" s="355">
        <v>15989</v>
      </c>
      <c r="E10" s="356">
        <f t="shared" si="0"/>
        <v>-1603</v>
      </c>
      <c r="F10" s="357">
        <f t="shared" si="1"/>
        <v>-0.09112096407457936</v>
      </c>
    </row>
    <row r="11" spans="1:6" ht="12.75">
      <c r="A11" s="352" t="s">
        <v>220</v>
      </c>
      <c r="B11" s="353">
        <v>3934</v>
      </c>
      <c r="C11" s="354">
        <v>0</v>
      </c>
      <c r="D11" s="355">
        <v>3873</v>
      </c>
      <c r="E11" s="356">
        <f t="shared" si="0"/>
        <v>-61</v>
      </c>
      <c r="F11" s="357">
        <f t="shared" si="1"/>
        <v>-0.015505846466700559</v>
      </c>
    </row>
    <row r="12" spans="1:6" ht="12.75">
      <c r="A12" s="352" t="s">
        <v>221</v>
      </c>
      <c r="B12" s="353">
        <v>832</v>
      </c>
      <c r="C12" s="354">
        <v>0</v>
      </c>
      <c r="D12" s="355">
        <v>628</v>
      </c>
      <c r="E12" s="356">
        <f t="shared" si="0"/>
        <v>-204</v>
      </c>
      <c r="F12" s="357">
        <f t="shared" si="1"/>
        <v>-0.24519230769230768</v>
      </c>
    </row>
    <row r="13" spans="1:6" ht="12.75" hidden="1">
      <c r="A13" s="352" t="s">
        <v>71</v>
      </c>
      <c r="B13" s="353">
        <v>0</v>
      </c>
      <c r="C13" s="354">
        <v>0</v>
      </c>
      <c r="D13" s="355">
        <v>0</v>
      </c>
      <c r="E13" s="356">
        <f t="shared" si="0"/>
        <v>0</v>
      </c>
      <c r="F13" s="357" t="e">
        <f t="shared" si="1"/>
        <v>#DIV/0!</v>
      </c>
    </row>
    <row r="14" spans="1:6" ht="12.75" hidden="1">
      <c r="A14" s="352" t="s">
        <v>71</v>
      </c>
      <c r="B14" s="353">
        <v>0</v>
      </c>
      <c r="C14" s="354">
        <v>0</v>
      </c>
      <c r="D14" s="355">
        <v>0</v>
      </c>
      <c r="E14" s="356">
        <f t="shared" si="0"/>
        <v>0</v>
      </c>
      <c r="F14" s="357" t="e">
        <f t="shared" si="1"/>
        <v>#DIV/0!</v>
      </c>
    </row>
    <row r="15" spans="1:6" ht="12.75" hidden="1">
      <c r="A15" s="352" t="s">
        <v>71</v>
      </c>
      <c r="B15" s="353">
        <v>0</v>
      </c>
      <c r="C15" s="354">
        <v>0</v>
      </c>
      <c r="D15" s="355">
        <v>0</v>
      </c>
      <c r="E15" s="356">
        <f t="shared" si="0"/>
        <v>0</v>
      </c>
      <c r="F15" s="357" t="e">
        <f t="shared" si="1"/>
        <v>#DIV/0!</v>
      </c>
    </row>
    <row r="16" spans="1:6" ht="12.75" hidden="1">
      <c r="A16" s="105" t="s">
        <v>29</v>
      </c>
      <c r="B16" s="106">
        <f>B9-B10-B11-B12-B13-B14-B15</f>
        <v>6337</v>
      </c>
      <c r="C16" s="106">
        <f>C9-C10-C11-C12-C13-C14-C15</f>
        <v>0</v>
      </c>
      <c r="D16" s="371">
        <f>D9-D10-D11-D12-D13-D14-D15</f>
        <v>8695</v>
      </c>
      <c r="E16" s="365">
        <f t="shared" si="0"/>
        <v>2358</v>
      </c>
      <c r="F16" s="366">
        <f t="shared" si="1"/>
        <v>0.3721003629477671</v>
      </c>
    </row>
    <row r="17" spans="1:6" ht="12.75" hidden="1">
      <c r="A17" s="352" t="s">
        <v>30</v>
      </c>
      <c r="B17" s="353">
        <v>0</v>
      </c>
      <c r="C17" s="354">
        <v>0</v>
      </c>
      <c r="D17" s="355">
        <v>0</v>
      </c>
      <c r="E17" s="365">
        <f t="shared" si="0"/>
        <v>0</v>
      </c>
      <c r="F17" s="366" t="e">
        <f t="shared" si="1"/>
        <v>#DIV/0!</v>
      </c>
    </row>
    <row r="18" spans="1:6" ht="12.75">
      <c r="A18" s="105" t="s">
        <v>222</v>
      </c>
      <c r="B18" s="106">
        <f>B16-B17</f>
        <v>6337</v>
      </c>
      <c r="C18" s="375">
        <f>C16-C17</f>
        <v>0</v>
      </c>
      <c r="D18" s="371">
        <f>D16-D17</f>
        <v>8695</v>
      </c>
      <c r="E18" s="365">
        <f t="shared" si="0"/>
        <v>2358</v>
      </c>
      <c r="F18" s="366">
        <f t="shared" si="1"/>
        <v>0.3721003629477671</v>
      </c>
    </row>
    <row r="19" spans="1:6" ht="12.75" hidden="1">
      <c r="A19" s="352" t="s">
        <v>223</v>
      </c>
      <c r="B19" s="353">
        <v>0</v>
      </c>
      <c r="C19" s="354">
        <v>0</v>
      </c>
      <c r="D19" s="355">
        <v>0</v>
      </c>
      <c r="E19" s="356">
        <f t="shared" si="0"/>
        <v>0</v>
      </c>
      <c r="F19" s="357" t="e">
        <f t="shared" si="1"/>
        <v>#DIV/0!</v>
      </c>
    </row>
    <row r="20" spans="1:6" ht="12.75">
      <c r="A20" s="352" t="s">
        <v>224</v>
      </c>
      <c r="B20" s="353">
        <v>3456</v>
      </c>
      <c r="C20" s="354">
        <v>0</v>
      </c>
      <c r="D20" s="355">
        <v>2990</v>
      </c>
      <c r="E20" s="356">
        <f t="shared" si="0"/>
        <v>-466</v>
      </c>
      <c r="F20" s="357">
        <f t="shared" si="1"/>
        <v>-0.13483796296296297</v>
      </c>
    </row>
    <row r="21" spans="1:6" ht="12.75">
      <c r="A21" s="105" t="s">
        <v>225</v>
      </c>
      <c r="B21" s="106">
        <f>B18-B20+B19</f>
        <v>2881</v>
      </c>
      <c r="C21" s="375">
        <f>C18-C20+C19</f>
        <v>0</v>
      </c>
      <c r="D21" s="371">
        <f>D18-D20+D19</f>
        <v>5705</v>
      </c>
      <c r="E21" s="365">
        <f t="shared" si="0"/>
        <v>2824</v>
      </c>
      <c r="F21" s="366">
        <f t="shared" si="1"/>
        <v>0.9802152030544949</v>
      </c>
    </row>
    <row r="22" spans="1:6" ht="12.75" hidden="1">
      <c r="A22" s="352" t="s">
        <v>35</v>
      </c>
      <c r="B22" s="353"/>
      <c r="C22" s="376"/>
      <c r="D22" s="377"/>
      <c r="E22" s="356">
        <f t="shared" si="0"/>
        <v>0</v>
      </c>
      <c r="F22" s="357" t="e">
        <f t="shared" si="1"/>
        <v>#DIV/0!</v>
      </c>
    </row>
    <row r="23" spans="1:6" ht="12.75">
      <c r="A23" s="352" t="s">
        <v>37</v>
      </c>
      <c r="B23" s="353">
        <v>-312</v>
      </c>
      <c r="C23" s="354">
        <v>0</v>
      </c>
      <c r="D23" s="355">
        <v>1538</v>
      </c>
      <c r="E23" s="356">
        <f t="shared" si="0"/>
        <v>1850</v>
      </c>
      <c r="F23" s="357">
        <f t="shared" si="1"/>
        <v>-5.92948717948718</v>
      </c>
    </row>
    <row r="24" spans="1:6" ht="12.75">
      <c r="A24" s="88" t="s">
        <v>226</v>
      </c>
      <c r="B24" s="378">
        <f>B21-B22-B23</f>
        <v>3193</v>
      </c>
      <c r="C24" s="113">
        <f>C21-C22-C23</f>
        <v>0</v>
      </c>
      <c r="D24" s="379">
        <f>D21-D22-D23</f>
        <v>4167</v>
      </c>
      <c r="E24" s="380">
        <f t="shared" si="0"/>
        <v>974</v>
      </c>
      <c r="F24" s="381">
        <f t="shared" si="1"/>
        <v>0.3050422799874726</v>
      </c>
    </row>
    <row r="25" spans="1:6" ht="12.75">
      <c r="A25" s="382" t="s">
        <v>227</v>
      </c>
      <c r="B25" s="333">
        <v>572</v>
      </c>
      <c r="C25" s="333"/>
      <c r="D25" s="333">
        <v>565</v>
      </c>
      <c r="E25" s="383">
        <f t="shared" si="0"/>
        <v>-7</v>
      </c>
      <c r="F25" s="384">
        <f t="shared" si="1"/>
        <v>-0.012237762237762238</v>
      </c>
    </row>
    <row r="26" spans="1:6" ht="13.5" thickBot="1">
      <c r="A26" s="385" t="s">
        <v>228</v>
      </c>
      <c r="B26" s="386">
        <f>B24-B25</f>
        <v>2621</v>
      </c>
      <c r="C26" s="386">
        <f>C24-C25</f>
        <v>0</v>
      </c>
      <c r="D26" s="386">
        <f>D24-D25</f>
        <v>3602</v>
      </c>
      <c r="E26" s="387">
        <f t="shared" si="0"/>
        <v>981</v>
      </c>
      <c r="F26" s="388">
        <f t="shared" si="1"/>
        <v>0.37428462418924074</v>
      </c>
    </row>
    <row r="27" spans="1:6" ht="12.75" hidden="1">
      <c r="A27" s="123" t="s">
        <v>229</v>
      </c>
      <c r="B27" s="73"/>
      <c r="C27" s="73"/>
      <c r="D27" s="73"/>
      <c r="E27" s="389">
        <f t="shared" si="0"/>
        <v>0</v>
      </c>
      <c r="F27" s="390"/>
    </row>
    <row r="28" spans="1:6" ht="12.75" hidden="1">
      <c r="A28" s="391" t="s">
        <v>230</v>
      </c>
      <c r="B28" s="392">
        <v>0</v>
      </c>
      <c r="C28" s="392">
        <v>722</v>
      </c>
      <c r="D28" s="393">
        <v>0</v>
      </c>
      <c r="E28" s="389">
        <f t="shared" si="0"/>
        <v>0</v>
      </c>
      <c r="F28" s="394" t="e">
        <f>E28/B28</f>
        <v>#DIV/0!</v>
      </c>
    </row>
    <row r="29" spans="1:6" ht="12.75" hidden="1">
      <c r="A29" s="395" t="s">
        <v>231</v>
      </c>
      <c r="B29" s="396">
        <v>116</v>
      </c>
      <c r="C29" s="396">
        <v>0</v>
      </c>
      <c r="D29" s="397">
        <v>116</v>
      </c>
      <c r="E29" s="389">
        <f t="shared" si="0"/>
        <v>0</v>
      </c>
      <c r="F29" s="398">
        <f>E29/B29</f>
        <v>0</v>
      </c>
    </row>
    <row r="30" spans="1:6" ht="12.75" hidden="1">
      <c r="A30" s="399" t="s">
        <v>232</v>
      </c>
      <c r="B30" s="400">
        <v>0</v>
      </c>
      <c r="C30" s="400">
        <v>0</v>
      </c>
      <c r="D30" s="401">
        <v>0</v>
      </c>
      <c r="E30" s="389">
        <f t="shared" si="0"/>
        <v>0</v>
      </c>
      <c r="F30" s="402" t="e">
        <f>E30/B30</f>
        <v>#DIV/0!</v>
      </c>
    </row>
    <row r="31" ht="13.5" thickTop="1"/>
    <row r="46" ht="12.75" hidden="1"/>
  </sheetData>
  <sheetProtection/>
  <printOptions/>
  <pageMargins left="0.7874015748031497" right="0.2755905511811024" top="0.5905511811023623" bottom="0.5905511811023623" header="0.5118110236220472" footer="0.5118110236220472"/>
  <pageSetup horizontalDpi="300" verticalDpi="300" orientation="landscape" paperSize="9" scale="14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5"/>
  <sheetViews>
    <sheetView zoomScale="200" zoomScaleNormal="200" workbookViewId="0" topLeftCell="A1">
      <selection activeCell="A29" sqref="A29"/>
    </sheetView>
  </sheetViews>
  <sheetFormatPr defaultColWidth="9.140625" defaultRowHeight="12.75"/>
  <cols>
    <col min="3" max="3" width="5.8515625" style="0" customWidth="1"/>
    <col min="4" max="4" width="10.28125" style="0" bestFit="1" customWidth="1"/>
    <col min="5" max="5" width="11.28125" style="0" hidden="1" customWidth="1"/>
    <col min="6" max="6" width="11.28125" style="0" bestFit="1" customWidth="1"/>
    <col min="7" max="7" width="11.7109375" style="0" hidden="1" customWidth="1"/>
    <col min="8" max="8" width="9.57421875" style="0" hidden="1" customWidth="1"/>
  </cols>
  <sheetData>
    <row r="1" spans="1:8" ht="18.75" thickBot="1">
      <c r="A1" s="705" t="str">
        <f>'Resultatopgørelse til analyse'!A1</f>
        <v>Carlsberg</v>
      </c>
      <c r="B1" s="706"/>
      <c r="C1" s="403" t="s">
        <v>233</v>
      </c>
      <c r="D1" s="212"/>
      <c r="E1" s="212"/>
      <c r="F1" s="263"/>
      <c r="G1" s="404"/>
      <c r="H1" s="404"/>
    </row>
    <row r="2" spans="1:8" ht="13.5" thickBot="1">
      <c r="A2" s="405" t="s">
        <v>234</v>
      </c>
      <c r="B2" s="406"/>
      <c r="C2" s="406"/>
      <c r="D2" s="407">
        <f>'Resultatopgørelse til analyse'!B2</f>
        <v>2008</v>
      </c>
      <c r="E2" s="407">
        <f>'Resultatopgørelse til analyse'!C2</f>
        <v>2009</v>
      </c>
      <c r="F2" s="408">
        <f>'Resultatopgørelse til analyse'!D2</f>
        <v>2009</v>
      </c>
      <c r="G2" s="409" t="str">
        <f>'Resultatopgørelse til analyse'!E2</f>
        <v>Ændring </v>
      </c>
      <c r="H2" s="409" t="s">
        <v>235</v>
      </c>
    </row>
    <row r="3" spans="1:8" ht="12.75" hidden="1">
      <c r="A3" s="93" t="s">
        <v>54</v>
      </c>
      <c r="B3" s="73"/>
      <c r="C3" s="73"/>
      <c r="D3" s="410">
        <v>0</v>
      </c>
      <c r="E3" s="389">
        <v>0</v>
      </c>
      <c r="F3" s="411">
        <v>0</v>
      </c>
      <c r="G3" s="289">
        <f aca="true" t="shared" si="0" ref="G3:G15">F3-D3</f>
        <v>0</v>
      </c>
      <c r="H3" s="412" t="e">
        <f aca="true" t="shared" si="1" ref="H3:H15">G3/D3</f>
        <v>#DIV/0!</v>
      </c>
    </row>
    <row r="4" spans="1:8" ht="12.75" hidden="1">
      <c r="A4" s="93" t="s">
        <v>57</v>
      </c>
      <c r="B4" s="73"/>
      <c r="C4" s="73"/>
      <c r="D4" s="410">
        <v>0</v>
      </c>
      <c r="E4" s="389">
        <v>0</v>
      </c>
      <c r="F4" s="411">
        <v>0</v>
      </c>
      <c r="G4" s="289">
        <f t="shared" si="0"/>
        <v>0</v>
      </c>
      <c r="H4" s="412" t="e">
        <f t="shared" si="1"/>
        <v>#DIV/0!</v>
      </c>
    </row>
    <row r="5" spans="1:8" ht="12.75" hidden="1">
      <c r="A5" s="93" t="s">
        <v>60</v>
      </c>
      <c r="B5" s="73"/>
      <c r="C5" s="73"/>
      <c r="D5" s="410">
        <v>123448</v>
      </c>
      <c r="E5" s="389">
        <v>0</v>
      </c>
      <c r="F5" s="411">
        <v>119286</v>
      </c>
      <c r="G5" s="289">
        <f t="shared" si="0"/>
        <v>-4162</v>
      </c>
      <c r="H5" s="412">
        <f t="shared" si="1"/>
        <v>-0.033714600479554144</v>
      </c>
    </row>
    <row r="6" spans="1:8" ht="12.75">
      <c r="A6" s="105" t="s">
        <v>62</v>
      </c>
      <c r="B6" s="413"/>
      <c r="C6" s="413"/>
      <c r="D6" s="106">
        <f>SUM(D3:D5)</f>
        <v>123448</v>
      </c>
      <c r="E6" s="375">
        <f>SUM(E3:E5)</f>
        <v>0</v>
      </c>
      <c r="F6" s="371">
        <f>SUM(F3:F5)</f>
        <v>119286</v>
      </c>
      <c r="G6" s="414">
        <f t="shared" si="0"/>
        <v>-4162</v>
      </c>
      <c r="H6" s="415">
        <f t="shared" si="1"/>
        <v>-0.033714600479554144</v>
      </c>
    </row>
    <row r="7" spans="1:8" ht="12.75">
      <c r="A7" s="93" t="s">
        <v>64</v>
      </c>
      <c r="B7" s="73"/>
      <c r="C7" s="73"/>
      <c r="D7" s="410">
        <v>19191</v>
      </c>
      <c r="E7" s="389">
        <v>0</v>
      </c>
      <c r="F7" s="411">
        <v>15229</v>
      </c>
      <c r="G7" s="289">
        <f t="shared" si="0"/>
        <v>-3962</v>
      </c>
      <c r="H7" s="412">
        <f t="shared" si="1"/>
        <v>-0.20645094054504715</v>
      </c>
    </row>
    <row r="8" spans="1:8" ht="12.75" hidden="1">
      <c r="A8" s="93" t="s">
        <v>236</v>
      </c>
      <c r="B8" s="73"/>
      <c r="C8" s="389"/>
      <c r="D8" s="410">
        <v>0</v>
      </c>
      <c r="E8" s="389">
        <v>0</v>
      </c>
      <c r="F8" s="411">
        <v>0</v>
      </c>
      <c r="G8" s="289">
        <f t="shared" si="0"/>
        <v>0</v>
      </c>
      <c r="H8" s="412" t="e">
        <f t="shared" si="1"/>
        <v>#DIV/0!</v>
      </c>
    </row>
    <row r="9" spans="1:8" ht="12.75" hidden="1">
      <c r="A9" s="93" t="s">
        <v>68</v>
      </c>
      <c r="B9" s="73"/>
      <c r="C9" s="73"/>
      <c r="D9" s="410">
        <v>0</v>
      </c>
      <c r="E9" s="389">
        <v>0</v>
      </c>
      <c r="F9" s="411">
        <v>0</v>
      </c>
      <c r="G9" s="289">
        <f t="shared" si="0"/>
        <v>0</v>
      </c>
      <c r="H9" s="412" t="e">
        <f t="shared" si="1"/>
        <v>#DIV/0!</v>
      </c>
    </row>
    <row r="10" spans="1:8" ht="12.75" hidden="1">
      <c r="A10" s="93" t="s">
        <v>70</v>
      </c>
      <c r="B10" s="73"/>
      <c r="C10" s="73"/>
      <c r="D10" s="410">
        <v>0</v>
      </c>
      <c r="E10" s="389">
        <v>0</v>
      </c>
      <c r="F10" s="411">
        <v>0</v>
      </c>
      <c r="G10" s="289">
        <f t="shared" si="0"/>
        <v>0</v>
      </c>
      <c r="H10" s="412" t="e">
        <f t="shared" si="1"/>
        <v>#DIV/0!</v>
      </c>
    </row>
    <row r="11" spans="1:8" ht="12.75" hidden="1">
      <c r="A11" s="93" t="s">
        <v>72</v>
      </c>
      <c r="B11" s="73"/>
      <c r="C11" s="73"/>
      <c r="D11" s="410">
        <v>0</v>
      </c>
      <c r="E11" s="389">
        <v>0</v>
      </c>
      <c r="F11" s="411">
        <v>0</v>
      </c>
      <c r="G11" s="289">
        <f t="shared" si="0"/>
        <v>0</v>
      </c>
      <c r="H11" s="412" t="e">
        <f t="shared" si="1"/>
        <v>#DIV/0!</v>
      </c>
    </row>
    <row r="12" spans="1:8" ht="12.75" hidden="1">
      <c r="A12" s="93" t="s">
        <v>71</v>
      </c>
      <c r="B12" s="73"/>
      <c r="C12" s="73"/>
      <c r="D12" s="410">
        <v>0</v>
      </c>
      <c r="E12" s="389">
        <v>0</v>
      </c>
      <c r="F12" s="411">
        <v>0</v>
      </c>
      <c r="G12" s="289">
        <f t="shared" si="0"/>
        <v>0</v>
      </c>
      <c r="H12" s="412" t="e">
        <f t="shared" si="1"/>
        <v>#DIV/0!</v>
      </c>
    </row>
    <row r="13" spans="1:8" ht="12.75" hidden="1">
      <c r="A13" s="93" t="s">
        <v>237</v>
      </c>
      <c r="B13" s="73"/>
      <c r="C13" s="73"/>
      <c r="D13" s="410">
        <v>0</v>
      </c>
      <c r="E13" s="389">
        <v>0</v>
      </c>
      <c r="F13" s="411">
        <v>0</v>
      </c>
      <c r="G13" s="289">
        <f t="shared" si="0"/>
        <v>0</v>
      </c>
      <c r="H13" s="412" t="e">
        <f t="shared" si="1"/>
        <v>#DIV/0!</v>
      </c>
    </row>
    <row r="14" spans="1:8" ht="12.75">
      <c r="A14" s="105" t="s">
        <v>76</v>
      </c>
      <c r="B14" s="413"/>
      <c r="C14" s="413"/>
      <c r="D14" s="106">
        <f>SUM(D7:D13)</f>
        <v>19191</v>
      </c>
      <c r="E14" s="375">
        <f>SUM(E7:E13)</f>
        <v>0</v>
      </c>
      <c r="F14" s="371">
        <f>SUM(F7:F13)</f>
        <v>15229</v>
      </c>
      <c r="G14" s="414">
        <f t="shared" si="0"/>
        <v>-3962</v>
      </c>
      <c r="H14" s="415">
        <f t="shared" si="1"/>
        <v>-0.20645094054504715</v>
      </c>
    </row>
    <row r="15" spans="1:8" ht="13.5" thickBot="1">
      <c r="A15" s="117" t="s">
        <v>78</v>
      </c>
      <c r="B15" s="416"/>
      <c r="C15" s="416"/>
      <c r="D15" s="417">
        <f>SUM(D6:D13)</f>
        <v>142639</v>
      </c>
      <c r="E15" s="119">
        <f>SUM(E6:E13)</f>
        <v>0</v>
      </c>
      <c r="F15" s="418">
        <f>SUM(F6:F13)</f>
        <v>134515</v>
      </c>
      <c r="G15" s="419">
        <f t="shared" si="0"/>
        <v>-8124</v>
      </c>
      <c r="H15" s="420">
        <f t="shared" si="1"/>
        <v>-0.0569549702395558</v>
      </c>
    </row>
    <row r="16" spans="1:8" ht="14.25" thickBot="1" thickTop="1">
      <c r="A16" s="123"/>
      <c r="B16" s="123"/>
      <c r="C16" s="123"/>
      <c r="D16" s="124"/>
      <c r="E16" s="124"/>
      <c r="F16" s="124"/>
      <c r="G16" s="389"/>
      <c r="H16" s="390"/>
    </row>
    <row r="17" spans="1:8" ht="12.75">
      <c r="A17" s="83" t="s">
        <v>238</v>
      </c>
      <c r="B17" s="421"/>
      <c r="C17" s="421"/>
      <c r="D17" s="422">
        <f>D33</f>
        <v>59901</v>
      </c>
      <c r="E17" s="423">
        <f>E33</f>
        <v>0</v>
      </c>
      <c r="F17" s="424">
        <f>F33</f>
        <v>59489</v>
      </c>
      <c r="G17" s="425">
        <f aca="true" t="shared" si="2" ref="G17:G35">F17-D17</f>
        <v>-412</v>
      </c>
      <c r="H17" s="426">
        <f aca="true" t="shared" si="3" ref="H17:H35">G17/D17</f>
        <v>-0.006878015392063571</v>
      </c>
    </row>
    <row r="18" spans="1:8" ht="12.75" hidden="1">
      <c r="A18" s="103"/>
      <c r="B18" s="123"/>
      <c r="C18" s="123"/>
      <c r="D18" s="427"/>
      <c r="E18" s="124"/>
      <c r="F18" s="428"/>
      <c r="G18" s="289">
        <f t="shared" si="2"/>
        <v>0</v>
      </c>
      <c r="H18" s="412" t="e">
        <f t="shared" si="3"/>
        <v>#DIV/0!</v>
      </c>
    </row>
    <row r="19" spans="1:8" ht="12.75" hidden="1">
      <c r="A19" s="103" t="s">
        <v>56</v>
      </c>
      <c r="B19" s="123"/>
      <c r="C19" s="123"/>
      <c r="D19" s="410">
        <v>0</v>
      </c>
      <c r="E19" s="389">
        <v>0</v>
      </c>
      <c r="F19" s="411">
        <v>0</v>
      </c>
      <c r="G19" s="289">
        <f t="shared" si="2"/>
        <v>0</v>
      </c>
      <c r="H19" s="412" t="e">
        <f t="shared" si="3"/>
        <v>#DIV/0!</v>
      </c>
    </row>
    <row r="20" spans="1:8" ht="12.75" hidden="1">
      <c r="A20" s="103"/>
      <c r="B20" s="123"/>
      <c r="C20" s="123"/>
      <c r="D20" s="427"/>
      <c r="E20" s="124"/>
      <c r="F20" s="428"/>
      <c r="G20" s="289">
        <f t="shared" si="2"/>
        <v>0</v>
      </c>
      <c r="H20" s="412" t="e">
        <f t="shared" si="3"/>
        <v>#DIV/0!</v>
      </c>
    </row>
    <row r="21" spans="1:8" ht="12.75" hidden="1">
      <c r="A21" s="104" t="s">
        <v>58</v>
      </c>
      <c r="B21" s="123"/>
      <c r="C21" s="123"/>
      <c r="D21" s="429">
        <v>0</v>
      </c>
      <c r="E21" s="430">
        <v>0</v>
      </c>
      <c r="F21" s="431">
        <v>0</v>
      </c>
      <c r="G21" s="289">
        <f t="shared" si="2"/>
        <v>0</v>
      </c>
      <c r="H21" s="412" t="e">
        <f t="shared" si="3"/>
        <v>#DIV/0!</v>
      </c>
    </row>
    <row r="22" spans="1:8" ht="12.75" hidden="1">
      <c r="A22" s="104" t="s">
        <v>71</v>
      </c>
      <c r="B22" s="123"/>
      <c r="C22" s="123"/>
      <c r="D22" s="429">
        <v>0</v>
      </c>
      <c r="E22" s="430">
        <v>0</v>
      </c>
      <c r="F22" s="431">
        <v>0</v>
      </c>
      <c r="G22" s="289">
        <f t="shared" si="2"/>
        <v>0</v>
      </c>
      <c r="H22" s="412" t="e">
        <f t="shared" si="3"/>
        <v>#DIV/0!</v>
      </c>
    </row>
    <row r="23" spans="1:8" ht="12.75" hidden="1">
      <c r="A23" s="93" t="s">
        <v>61</v>
      </c>
      <c r="B23" s="73"/>
      <c r="C23" s="389"/>
      <c r="D23" s="429">
        <v>0</v>
      </c>
      <c r="E23" s="430">
        <v>0</v>
      </c>
      <c r="F23" s="431">
        <v>0</v>
      </c>
      <c r="G23" s="289">
        <f t="shared" si="2"/>
        <v>0</v>
      </c>
      <c r="H23" s="412" t="e">
        <f t="shared" si="3"/>
        <v>#DIV/0!</v>
      </c>
    </row>
    <row r="24" spans="1:8" ht="12.75" hidden="1">
      <c r="A24" s="105" t="s">
        <v>63</v>
      </c>
      <c r="B24" s="432"/>
      <c r="C24" s="433"/>
      <c r="D24" s="383">
        <f>SUM(D21:D23)</f>
        <v>0</v>
      </c>
      <c r="E24" s="434">
        <f>SUM(E21:E23)</f>
        <v>0</v>
      </c>
      <c r="F24" s="435">
        <f>SUM(F21:F23)</f>
        <v>0</v>
      </c>
      <c r="G24" s="414">
        <f t="shared" si="2"/>
        <v>0</v>
      </c>
      <c r="H24" s="415" t="e">
        <f t="shared" si="3"/>
        <v>#DIV/0!</v>
      </c>
    </row>
    <row r="25" spans="1:8" ht="12.75">
      <c r="A25" s="104" t="s">
        <v>65</v>
      </c>
      <c r="B25" s="123"/>
      <c r="C25" s="436"/>
      <c r="D25" s="410">
        <v>82738</v>
      </c>
      <c r="E25" s="389">
        <v>0</v>
      </c>
      <c r="F25" s="411">
        <v>75026</v>
      </c>
      <c r="G25" s="289">
        <f t="shared" si="2"/>
        <v>-7712</v>
      </c>
      <c r="H25" s="412">
        <f t="shared" si="3"/>
        <v>-0.09320989146462327</v>
      </c>
    </row>
    <row r="26" spans="1:8" ht="12.75" hidden="1">
      <c r="A26" s="93" t="s">
        <v>66</v>
      </c>
      <c r="B26" s="73"/>
      <c r="C26" s="73"/>
      <c r="D26" s="410">
        <v>0</v>
      </c>
      <c r="E26" s="389">
        <v>0</v>
      </c>
      <c r="F26" s="411">
        <v>0</v>
      </c>
      <c r="G26" s="289">
        <f t="shared" si="2"/>
        <v>0</v>
      </c>
      <c r="H26" s="412" t="e">
        <f t="shared" si="3"/>
        <v>#DIV/0!</v>
      </c>
    </row>
    <row r="27" spans="1:8" ht="12.75" hidden="1">
      <c r="A27" s="93" t="s">
        <v>61</v>
      </c>
      <c r="B27" s="73"/>
      <c r="C27" s="73"/>
      <c r="D27" s="410">
        <v>0</v>
      </c>
      <c r="E27" s="389">
        <v>0</v>
      </c>
      <c r="F27" s="411">
        <v>0</v>
      </c>
      <c r="G27" s="289">
        <f t="shared" si="2"/>
        <v>0</v>
      </c>
      <c r="H27" s="412" t="e">
        <f t="shared" si="3"/>
        <v>#DIV/0!</v>
      </c>
    </row>
    <row r="28" spans="1:8" ht="12.75" hidden="1">
      <c r="A28" s="93" t="s">
        <v>67</v>
      </c>
      <c r="B28" s="73"/>
      <c r="C28" s="73"/>
      <c r="D28" s="410">
        <v>0</v>
      </c>
      <c r="E28" s="389">
        <v>0</v>
      </c>
      <c r="F28" s="411">
        <v>0</v>
      </c>
      <c r="G28" s="289">
        <f t="shared" si="2"/>
        <v>0</v>
      </c>
      <c r="H28" s="412" t="e">
        <f t="shared" si="3"/>
        <v>#DIV/0!</v>
      </c>
    </row>
    <row r="29" spans="1:8" ht="12.75" hidden="1">
      <c r="A29" s="93" t="s">
        <v>69</v>
      </c>
      <c r="B29" s="73"/>
      <c r="C29" s="73"/>
      <c r="D29" s="410">
        <v>0</v>
      </c>
      <c r="E29" s="389">
        <v>0</v>
      </c>
      <c r="F29" s="411">
        <v>0</v>
      </c>
      <c r="G29" s="289">
        <f t="shared" si="2"/>
        <v>0</v>
      </c>
      <c r="H29" s="412" t="e">
        <f t="shared" si="3"/>
        <v>#DIV/0!</v>
      </c>
    </row>
    <row r="30" spans="1:8" ht="12.75" hidden="1">
      <c r="A30" s="93" t="s">
        <v>40</v>
      </c>
      <c r="B30" s="73"/>
      <c r="C30" s="73"/>
      <c r="D30" s="410">
        <v>0</v>
      </c>
      <c r="E30" s="389">
        <v>0</v>
      </c>
      <c r="F30" s="411">
        <v>0</v>
      </c>
      <c r="G30" s="289">
        <f t="shared" si="2"/>
        <v>0</v>
      </c>
      <c r="H30" s="412" t="e">
        <f t="shared" si="3"/>
        <v>#DIV/0!</v>
      </c>
    </row>
    <row r="31" spans="1:8" ht="12.75">
      <c r="A31" s="105" t="s">
        <v>77</v>
      </c>
      <c r="B31" s="413"/>
      <c r="C31" s="413"/>
      <c r="D31" s="106">
        <f>SUM(D25:D30)</f>
        <v>82738</v>
      </c>
      <c r="E31" s="375">
        <f>SUM(E25:E30)</f>
        <v>0</v>
      </c>
      <c r="F31" s="371">
        <f>SUM(F25:F30)</f>
        <v>75026</v>
      </c>
      <c r="G31" s="414">
        <f t="shared" si="2"/>
        <v>-7712</v>
      </c>
      <c r="H31" s="415">
        <f t="shared" si="3"/>
        <v>-0.09320989146462327</v>
      </c>
    </row>
    <row r="32" spans="1:8" ht="12.75">
      <c r="A32" s="103" t="s">
        <v>239</v>
      </c>
      <c r="B32" s="123"/>
      <c r="C32" s="123"/>
      <c r="D32" s="427">
        <f>D31+D24+D19</f>
        <v>82738</v>
      </c>
      <c r="E32" s="124">
        <f>E31+E24+E19</f>
        <v>0</v>
      </c>
      <c r="F32" s="428">
        <f>F31+F24+F19</f>
        <v>75026</v>
      </c>
      <c r="G32" s="414">
        <f t="shared" si="2"/>
        <v>-7712</v>
      </c>
      <c r="H32" s="415">
        <f t="shared" si="3"/>
        <v>-0.09320989146462327</v>
      </c>
    </row>
    <row r="33" spans="1:8" ht="12.75" hidden="1">
      <c r="A33" s="93" t="s">
        <v>240</v>
      </c>
      <c r="B33" s="73"/>
      <c r="C33" s="73"/>
      <c r="D33" s="410">
        <f>D15-D32</f>
        <v>59901</v>
      </c>
      <c r="E33" s="389">
        <f>E15-E32</f>
        <v>0</v>
      </c>
      <c r="F33" s="411">
        <f>F15-F32</f>
        <v>59489</v>
      </c>
      <c r="G33" s="414">
        <f t="shared" si="2"/>
        <v>-412</v>
      </c>
      <c r="H33" s="415">
        <f t="shared" si="3"/>
        <v>-0.006878015392063571</v>
      </c>
    </row>
    <row r="34" spans="1:8" ht="12.75" hidden="1">
      <c r="A34" s="93"/>
      <c r="B34" s="73"/>
      <c r="C34" s="73"/>
      <c r="D34" s="437"/>
      <c r="E34" s="73"/>
      <c r="F34" s="438"/>
      <c r="G34" s="414">
        <f t="shared" si="2"/>
        <v>0</v>
      </c>
      <c r="H34" s="415" t="e">
        <f t="shared" si="3"/>
        <v>#DIV/0!</v>
      </c>
    </row>
    <row r="35" spans="1:8" ht="13.5" thickBot="1">
      <c r="A35" s="117" t="s">
        <v>79</v>
      </c>
      <c r="B35" s="416"/>
      <c r="C35" s="416"/>
      <c r="D35" s="439">
        <f>D32+D17</f>
        <v>142639</v>
      </c>
      <c r="E35" s="440">
        <f>E32+E17</f>
        <v>0</v>
      </c>
      <c r="F35" s="441">
        <f>F32+F17</f>
        <v>134515</v>
      </c>
      <c r="G35" s="419">
        <f t="shared" si="2"/>
        <v>-8124</v>
      </c>
      <c r="H35" s="420">
        <f t="shared" si="3"/>
        <v>-0.0569549702395558</v>
      </c>
    </row>
    <row r="36" ht="13.5" thickTop="1"/>
  </sheetData>
  <sheetProtection/>
  <mergeCells count="1">
    <mergeCell ref="A1:B1"/>
  </mergeCells>
  <printOptions/>
  <pageMargins left="0.5905511811023623" right="0.3937007874015748" top="0.984251968503937" bottom="0.984251968503937" header="0" footer="0"/>
  <pageSetup horizontalDpi="300" verticalDpi="300" orientation="portrait" paperSize="9" scale="12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Roskilde Handelsskole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Roskilde Handelsskole</dc:creator>
  <cp:keywords/>
  <dc:description/>
  <cp:lastModifiedBy>Jesper</cp:lastModifiedBy>
  <cp:lastPrinted>2011-01-17T15:06:04Z</cp:lastPrinted>
  <dcterms:created xsi:type="dcterms:W3CDTF">2004-10-06T14:11:26Z</dcterms:created>
  <dcterms:modified xsi:type="dcterms:W3CDTF">2011-01-17T15:06:19Z</dcterms:modified>
  <cp:category/>
  <cp:version/>
  <cp:contentType/>
  <cp:contentStatus/>
</cp:coreProperties>
</file>