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heckCompatibility="1" defaultThemeVersion="124226"/>
  <bookViews>
    <workbookView xWindow="480" yWindow="135" windowWidth="14355" windowHeight="7935" tabRatio="790" activeTab="1"/>
  </bookViews>
  <sheets>
    <sheet name="1.1 Prisoptimering" sheetId="20" r:id="rId1"/>
    <sheet name="1.2 Prisoptimering" sheetId="21" r:id="rId2"/>
    <sheet name="investering 2.1" sheetId="1" r:id="rId3"/>
    <sheet name="investering 2.2" sheetId="2" r:id="rId4"/>
    <sheet name="investering 2.3" sheetId="3" r:id="rId5"/>
    <sheet name="3.1 Effektiv rente annuitetslån" sheetId="4" r:id="rId6"/>
    <sheet name="note annuitetslån" sheetId="5" r:id="rId7"/>
    <sheet name="3.1 Effektiv rente serielån" sheetId="6" r:id="rId8"/>
    <sheet name="note serielån" sheetId="7" r:id="rId9"/>
    <sheet name="3.1 Effektiv rente stående lån" sheetId="8" r:id="rId10"/>
    <sheet name="note stående lån" sheetId="9" r:id="rId11"/>
    <sheet name="3.2 annuitetslån" sheetId="11" r:id="rId12"/>
    <sheet name="3.2 stående lån" sheetId="12" r:id="rId13"/>
    <sheet name="3.2 serielån " sheetId="13" r:id="rId14"/>
    <sheet name="3.3&amp;3.4 Sammenligning" sheetId="10" r:id="rId15"/>
    <sheet name="4.1 Resultatbudget" sheetId="14" r:id="rId16"/>
    <sheet name="4.3 Balance" sheetId="15" r:id="rId17"/>
    <sheet name="4.2 Likviditetsbudget" sheetId="16" r:id="rId18"/>
    <sheet name="opg 5.1 MR=MC produkt 1" sheetId="17" r:id="rId19"/>
    <sheet name="opg 5.1 Graf produkt 1" sheetId="18" r:id="rId20"/>
    <sheet name="5.2 MR=MC 2 markeder" sheetId="19" r:id="rId21"/>
  </sheets>
  <externalReferences>
    <externalReference r:id="rId22"/>
    <externalReference r:id="rId23"/>
  </externalReferences>
  <calcPr calcId="125725"/>
</workbook>
</file>

<file path=xl/calcChain.xml><?xml version="1.0" encoding="utf-8"?>
<calcChain xmlns="http://schemas.openxmlformats.org/spreadsheetml/2006/main">
  <c r="B67" i="21"/>
  <c r="K62"/>
  <c r="J62"/>
  <c r="I62"/>
  <c r="G62"/>
  <c r="F62"/>
  <c r="E62"/>
  <c r="C62"/>
  <c r="B62"/>
  <c r="A62"/>
  <c r="B38"/>
  <c r="A38"/>
  <c r="A36"/>
  <c r="B35"/>
  <c r="A35"/>
  <c r="L28"/>
  <c r="K28"/>
  <c r="I28"/>
  <c r="G28"/>
  <c r="F28"/>
  <c r="E28"/>
  <c r="J28" s="1"/>
  <c r="A28"/>
  <c r="L27"/>
  <c r="K27"/>
  <c r="I27"/>
  <c r="G27"/>
  <c r="F27"/>
  <c r="E27"/>
  <c r="J27" s="1"/>
  <c r="A27"/>
  <c r="L26"/>
  <c r="K26"/>
  <c r="I26"/>
  <c r="G26"/>
  <c r="F26"/>
  <c r="E26"/>
  <c r="J26" s="1"/>
  <c r="A26"/>
  <c r="L25"/>
  <c r="K25"/>
  <c r="I25"/>
  <c r="G25"/>
  <c r="F25"/>
  <c r="E25"/>
  <c r="J25" s="1"/>
  <c r="A25"/>
  <c r="L24"/>
  <c r="K24"/>
  <c r="I24"/>
  <c r="G24"/>
  <c r="F24"/>
  <c r="E24"/>
  <c r="J24" s="1"/>
  <c r="A24"/>
  <c r="K23"/>
  <c r="I23"/>
  <c r="G23"/>
  <c r="F23"/>
  <c r="E23"/>
  <c r="J23" s="1"/>
  <c r="L23" s="1"/>
  <c r="A23"/>
  <c r="L22"/>
  <c r="K22"/>
  <c r="I22"/>
  <c r="G22"/>
  <c r="F22"/>
  <c r="E22"/>
  <c r="J22" s="1"/>
  <c r="A22"/>
  <c r="C19"/>
  <c r="C20" s="1"/>
  <c r="B19"/>
  <c r="I19" s="1"/>
  <c r="K18"/>
  <c r="E18"/>
  <c r="C18"/>
  <c r="B18"/>
  <c r="F18" s="1"/>
  <c r="G18" s="1"/>
  <c r="K17"/>
  <c r="I17"/>
  <c r="G17"/>
  <c r="F17"/>
  <c r="E17"/>
  <c r="J17" s="1"/>
  <c r="L17" s="1"/>
  <c r="A17"/>
  <c r="C12"/>
  <c r="C13" s="1"/>
  <c r="B12"/>
  <c r="I12" s="1"/>
  <c r="K11"/>
  <c r="I11"/>
  <c r="G11"/>
  <c r="F11"/>
  <c r="E11"/>
  <c r="J11" s="1"/>
  <c r="L11" s="1"/>
  <c r="A11"/>
  <c r="I8"/>
  <c r="F8"/>
  <c r="I7"/>
  <c r="F7"/>
  <c r="I6"/>
  <c r="F6"/>
  <c r="B2"/>
  <c r="B36" s="1"/>
  <c r="C14" l="1"/>
  <c r="K13"/>
  <c r="C21"/>
  <c r="K21" s="1"/>
  <c r="K20"/>
  <c r="B37"/>
  <c r="A12"/>
  <c r="F12"/>
  <c r="G12" s="1"/>
  <c r="K12"/>
  <c r="L12" s="1"/>
  <c r="I18"/>
  <c r="J18" s="1"/>
  <c r="A19"/>
  <c r="F19"/>
  <c r="G19" s="1"/>
  <c r="K19"/>
  <c r="E12"/>
  <c r="J12" s="1"/>
  <c r="B13"/>
  <c r="E19"/>
  <c r="J19" s="1"/>
  <c r="B20"/>
  <c r="A18"/>
  <c r="L19" l="1"/>
  <c r="L18"/>
  <c r="F13"/>
  <c r="G13" s="1"/>
  <c r="A13"/>
  <c r="L13"/>
  <c r="E13"/>
  <c r="J13" s="1"/>
  <c r="I13"/>
  <c r="B14"/>
  <c r="C15"/>
  <c r="K14"/>
  <c r="F20"/>
  <c r="G20" s="1"/>
  <c r="A20"/>
  <c r="I20"/>
  <c r="B21"/>
  <c r="E20"/>
  <c r="J20" s="1"/>
  <c r="L20" s="1"/>
  <c r="I14" l="1"/>
  <c r="B15"/>
  <c r="E14"/>
  <c r="F14"/>
  <c r="G14" s="1"/>
  <c r="A14"/>
  <c r="C16"/>
  <c r="K16" s="1"/>
  <c r="K15"/>
  <c r="I21"/>
  <c r="E21"/>
  <c r="F21"/>
  <c r="G21" s="1"/>
  <c r="A21"/>
  <c r="E63"/>
  <c r="G63"/>
  <c r="J63"/>
  <c r="I63"/>
  <c r="K63"/>
  <c r="F63"/>
  <c r="C63"/>
  <c r="B63"/>
  <c r="J14" l="1"/>
  <c r="L14" s="1"/>
  <c r="F15"/>
  <c r="G15" s="1"/>
  <c r="A15"/>
  <c r="B16"/>
  <c r="E15"/>
  <c r="I15"/>
  <c r="J21"/>
  <c r="L21" s="1"/>
  <c r="J64" l="1"/>
  <c r="J66" s="1"/>
  <c r="G65"/>
  <c r="J65"/>
  <c r="I16"/>
  <c r="E16"/>
  <c r="F16"/>
  <c r="G16" s="1"/>
  <c r="A16"/>
  <c r="F64" s="1"/>
  <c r="J15"/>
  <c r="L15" s="1"/>
  <c r="C57" l="1"/>
  <c r="I65"/>
  <c r="K65"/>
  <c r="E65"/>
  <c r="B64"/>
  <c r="I64"/>
  <c r="I66" s="1"/>
  <c r="G64"/>
  <c r="G66" s="1"/>
  <c r="C58"/>
  <c r="C46"/>
  <c r="E64"/>
  <c r="E66" s="1"/>
  <c r="C65"/>
  <c r="B65"/>
  <c r="F65"/>
  <c r="C56"/>
  <c r="C49"/>
  <c r="C43"/>
  <c r="J16"/>
  <c r="L16" s="1"/>
  <c r="C44" s="1"/>
  <c r="C64"/>
  <c r="K64"/>
  <c r="K66" s="1"/>
  <c r="K67" s="1"/>
  <c r="J67" s="1"/>
  <c r="J68" s="1"/>
  <c r="H44" l="1"/>
  <c r="D44"/>
  <c r="E44" s="1"/>
  <c r="B44"/>
  <c r="B46"/>
  <c r="H46"/>
  <c r="D46"/>
  <c r="E46" s="1"/>
  <c r="H57"/>
  <c r="I57" s="1"/>
  <c r="D57"/>
  <c r="E57" s="1"/>
  <c r="B57"/>
  <c r="C51"/>
  <c r="C42"/>
  <c r="H49"/>
  <c r="I49" s="1"/>
  <c r="D49"/>
  <c r="E49" s="1"/>
  <c r="B49"/>
  <c r="B43"/>
  <c r="H43"/>
  <c r="D43"/>
  <c r="E43" s="1"/>
  <c r="H56"/>
  <c r="I56" s="1"/>
  <c r="D56"/>
  <c r="E56" s="1"/>
  <c r="B56"/>
  <c r="B58"/>
  <c r="H58"/>
  <c r="I58" s="1"/>
  <c r="D58"/>
  <c r="E58" s="1"/>
  <c r="C55"/>
  <c r="C50"/>
  <c r="C45"/>
  <c r="C52"/>
  <c r="C48"/>
  <c r="C53"/>
  <c r="C59"/>
  <c r="C54"/>
  <c r="C47"/>
  <c r="B50" l="1"/>
  <c r="H50"/>
  <c r="I50" s="1"/>
  <c r="D50"/>
  <c r="E50" s="1"/>
  <c r="H45"/>
  <c r="D45"/>
  <c r="E45" s="1"/>
  <c r="B45"/>
  <c r="B51"/>
  <c r="H51"/>
  <c r="I51" s="1"/>
  <c r="D51"/>
  <c r="E51" s="1"/>
  <c r="B54"/>
  <c r="H54"/>
  <c r="I54" s="1"/>
  <c r="D54"/>
  <c r="E54" s="1"/>
  <c r="H52"/>
  <c r="I52" s="1"/>
  <c r="D52"/>
  <c r="E52" s="1"/>
  <c r="B52"/>
  <c r="B42"/>
  <c r="H42"/>
  <c r="D42"/>
  <c r="C41"/>
  <c r="H53"/>
  <c r="I53" s="1"/>
  <c r="D53"/>
  <c r="E53" s="1"/>
  <c r="B53"/>
  <c r="B59"/>
  <c r="H59"/>
  <c r="I59" s="1"/>
  <c r="D59"/>
  <c r="E59" s="1"/>
  <c r="B47"/>
  <c r="H47"/>
  <c r="D47"/>
  <c r="E47" s="1"/>
  <c r="H48"/>
  <c r="D48"/>
  <c r="E48" s="1"/>
  <c r="B48"/>
  <c r="B55"/>
  <c r="H55"/>
  <c r="I55" s="1"/>
  <c r="D55"/>
  <c r="E55" s="1"/>
  <c r="I42" l="1"/>
  <c r="F42"/>
  <c r="E42"/>
  <c r="F43" l="1"/>
  <c r="G42"/>
  <c r="J42" s="1"/>
  <c r="F44" l="1"/>
  <c r="G43"/>
  <c r="I43"/>
  <c r="J43" s="1"/>
  <c r="F45" l="1"/>
  <c r="G44"/>
  <c r="I44"/>
  <c r="J44" s="1"/>
  <c r="F46" l="1"/>
  <c r="G45"/>
  <c r="I45"/>
  <c r="J45" s="1"/>
  <c r="F47" l="1"/>
  <c r="G46"/>
  <c r="I46"/>
  <c r="J46" s="1"/>
  <c r="F48" l="1"/>
  <c r="G47"/>
  <c r="I47"/>
  <c r="J47" s="1"/>
  <c r="F49" l="1"/>
  <c r="G48"/>
  <c r="I48"/>
  <c r="J48" s="1"/>
  <c r="F50" l="1"/>
  <c r="G49"/>
  <c r="J49" s="1"/>
  <c r="F51" l="1"/>
  <c r="G50"/>
  <c r="J50" s="1"/>
  <c r="F52" l="1"/>
  <c r="G51"/>
  <c r="J51" s="1"/>
  <c r="F53" l="1"/>
  <c r="G52"/>
  <c r="J52" s="1"/>
  <c r="F54" l="1"/>
  <c r="G53"/>
  <c r="J53" s="1"/>
  <c r="F55" l="1"/>
  <c r="G54"/>
  <c r="J54" s="1"/>
  <c r="F56" l="1"/>
  <c r="G55"/>
  <c r="J55" s="1"/>
  <c r="F57" l="1"/>
  <c r="G56"/>
  <c r="J56" s="1"/>
  <c r="B67" i="20"/>
  <c r="K62"/>
  <c r="J62"/>
  <c r="I62"/>
  <c r="G62"/>
  <c r="F62"/>
  <c r="E62"/>
  <c r="C62"/>
  <c r="B62"/>
  <c r="A62"/>
  <c r="B38"/>
  <c r="A38"/>
  <c r="A36"/>
  <c r="B35"/>
  <c r="B37" s="1"/>
  <c r="A35"/>
  <c r="L28"/>
  <c r="K28"/>
  <c r="I28"/>
  <c r="F28"/>
  <c r="G28" s="1"/>
  <c r="E28"/>
  <c r="A28"/>
  <c r="L27"/>
  <c r="K27"/>
  <c r="I27"/>
  <c r="F27"/>
  <c r="G27" s="1"/>
  <c r="E27"/>
  <c r="A27"/>
  <c r="L26"/>
  <c r="K26"/>
  <c r="I26"/>
  <c r="F26"/>
  <c r="G26" s="1"/>
  <c r="E26"/>
  <c r="A26"/>
  <c r="L25"/>
  <c r="K25"/>
  <c r="I25"/>
  <c r="F25"/>
  <c r="G25" s="1"/>
  <c r="E25"/>
  <c r="A25"/>
  <c r="L24"/>
  <c r="K24"/>
  <c r="I24"/>
  <c r="F24"/>
  <c r="G24" s="1"/>
  <c r="E24"/>
  <c r="A24"/>
  <c r="L23"/>
  <c r="K23"/>
  <c r="I23"/>
  <c r="F23"/>
  <c r="G23" s="1"/>
  <c r="E23"/>
  <c r="A23"/>
  <c r="L22"/>
  <c r="K22"/>
  <c r="I22"/>
  <c r="F22"/>
  <c r="G22" s="1"/>
  <c r="E22"/>
  <c r="A22"/>
  <c r="F65" s="1"/>
  <c r="K21"/>
  <c r="I21"/>
  <c r="F21"/>
  <c r="G21" s="1"/>
  <c r="E21"/>
  <c r="A21"/>
  <c r="K20"/>
  <c r="I20"/>
  <c r="F20"/>
  <c r="G20" s="1"/>
  <c r="E20"/>
  <c r="J20" s="1"/>
  <c r="A20"/>
  <c r="K19"/>
  <c r="K64" s="1"/>
  <c r="I19"/>
  <c r="F19"/>
  <c r="F64" s="1"/>
  <c r="E19"/>
  <c r="E64" s="1"/>
  <c r="A19"/>
  <c r="K18"/>
  <c r="I18"/>
  <c r="F18"/>
  <c r="G18" s="1"/>
  <c r="E18"/>
  <c r="A18"/>
  <c r="K17"/>
  <c r="I17"/>
  <c r="F17"/>
  <c r="G17" s="1"/>
  <c r="E17"/>
  <c r="A17"/>
  <c r="K16"/>
  <c r="I16"/>
  <c r="F16"/>
  <c r="G16" s="1"/>
  <c r="E16"/>
  <c r="J16" s="1"/>
  <c r="A16"/>
  <c r="K15"/>
  <c r="I15"/>
  <c r="F15"/>
  <c r="G15" s="1"/>
  <c r="E15"/>
  <c r="A15"/>
  <c r="K14"/>
  <c r="I14"/>
  <c r="F14"/>
  <c r="G14" s="1"/>
  <c r="E14"/>
  <c r="A14"/>
  <c r="K13"/>
  <c r="K63" s="1"/>
  <c r="I13"/>
  <c r="F13"/>
  <c r="F63" s="1"/>
  <c r="E13"/>
  <c r="E63" s="1"/>
  <c r="A13"/>
  <c r="K12"/>
  <c r="I12"/>
  <c r="F12"/>
  <c r="G12" s="1"/>
  <c r="E12"/>
  <c r="J12" s="1"/>
  <c r="A12"/>
  <c r="K11"/>
  <c r="I11"/>
  <c r="F11"/>
  <c r="G11" s="1"/>
  <c r="E11"/>
  <c r="A11"/>
  <c r="F8"/>
  <c r="I8" s="1"/>
  <c r="I7"/>
  <c r="F7"/>
  <c r="F6"/>
  <c r="I6" s="1"/>
  <c r="B2"/>
  <c r="B36" s="1"/>
  <c r="F58" i="21" l="1"/>
  <c r="G57"/>
  <c r="J57" s="1"/>
  <c r="E65" i="20"/>
  <c r="E66" s="1"/>
  <c r="J23"/>
  <c r="J25"/>
  <c r="J27"/>
  <c r="J65"/>
  <c r="K65"/>
  <c r="K66" s="1"/>
  <c r="K67" s="1"/>
  <c r="J67" s="1"/>
  <c r="I65"/>
  <c r="L16"/>
  <c r="L20"/>
  <c r="J11"/>
  <c r="L11" s="1"/>
  <c r="J15"/>
  <c r="J22"/>
  <c r="J17"/>
  <c r="L17" s="1"/>
  <c r="J21"/>
  <c r="L21" s="1"/>
  <c r="J14"/>
  <c r="L14" s="1"/>
  <c r="J18"/>
  <c r="L18" s="1"/>
  <c r="J24"/>
  <c r="J26"/>
  <c r="J28"/>
  <c r="J13"/>
  <c r="G13"/>
  <c r="G19"/>
  <c r="B63"/>
  <c r="G63"/>
  <c r="B64"/>
  <c r="G64"/>
  <c r="B65"/>
  <c r="G65"/>
  <c r="J19"/>
  <c r="C63"/>
  <c r="I63"/>
  <c r="C64"/>
  <c r="I64"/>
  <c r="C65"/>
  <c r="F59" i="21" l="1"/>
  <c r="G59" s="1"/>
  <c r="J59" s="1"/>
  <c r="G58"/>
  <c r="J58" s="1"/>
  <c r="I66" i="20"/>
  <c r="G66"/>
  <c r="L15"/>
  <c r="C45" s="1"/>
  <c r="L12"/>
  <c r="C57" s="1"/>
  <c r="L13"/>
  <c r="J63"/>
  <c r="L19"/>
  <c r="J64"/>
  <c r="C49"/>
  <c r="C50"/>
  <c r="C48"/>
  <c r="C55"/>
  <c r="H45" l="1"/>
  <c r="D45"/>
  <c r="E45" s="1"/>
  <c r="B45"/>
  <c r="B57"/>
  <c r="H57"/>
  <c r="I57" s="1"/>
  <c r="D57"/>
  <c r="E57" s="1"/>
  <c r="H48"/>
  <c r="I48" s="1"/>
  <c r="D48"/>
  <c r="E48" s="1"/>
  <c r="B48"/>
  <c r="B49"/>
  <c r="H49"/>
  <c r="I49" s="1"/>
  <c r="D49"/>
  <c r="E49" s="1"/>
  <c r="C51"/>
  <c r="C44"/>
  <c r="C42"/>
  <c r="C43"/>
  <c r="C59"/>
  <c r="C52"/>
  <c r="C54"/>
  <c r="C53"/>
  <c r="J66"/>
  <c r="J68" s="1"/>
  <c r="B55"/>
  <c r="H55"/>
  <c r="I55" s="1"/>
  <c r="D55"/>
  <c r="E55" s="1"/>
  <c r="B50"/>
  <c r="H50"/>
  <c r="I50" s="1"/>
  <c r="D50"/>
  <c r="E50" s="1"/>
  <c r="C47"/>
  <c r="C46"/>
  <c r="C56"/>
  <c r="C58"/>
  <c r="H44" l="1"/>
  <c r="D44"/>
  <c r="E44" s="1"/>
  <c r="B44"/>
  <c r="H47"/>
  <c r="D47"/>
  <c r="E47" s="1"/>
  <c r="B47"/>
  <c r="B53"/>
  <c r="H53"/>
  <c r="I53" s="1"/>
  <c r="D53"/>
  <c r="E53" s="1"/>
  <c r="H43"/>
  <c r="D43"/>
  <c r="E43" s="1"/>
  <c r="B43"/>
  <c r="B46"/>
  <c r="H46"/>
  <c r="D46"/>
  <c r="E46" s="1"/>
  <c r="B59"/>
  <c r="H59"/>
  <c r="I59" s="1"/>
  <c r="D59"/>
  <c r="E59" s="1"/>
  <c r="B51"/>
  <c r="H51"/>
  <c r="I51" s="1"/>
  <c r="D51"/>
  <c r="E51" s="1"/>
  <c r="H56"/>
  <c r="I56" s="1"/>
  <c r="D56"/>
  <c r="E56" s="1"/>
  <c r="B56"/>
  <c r="H52"/>
  <c r="I52" s="1"/>
  <c r="D52"/>
  <c r="E52" s="1"/>
  <c r="B52"/>
  <c r="B58"/>
  <c r="H58"/>
  <c r="I58" s="1"/>
  <c r="D58"/>
  <c r="E58" s="1"/>
  <c r="B54"/>
  <c r="H54"/>
  <c r="I54" s="1"/>
  <c r="D54"/>
  <c r="E54" s="1"/>
  <c r="B42"/>
  <c r="H42"/>
  <c r="D42"/>
  <c r="C41"/>
  <c r="F42" l="1"/>
  <c r="E42"/>
  <c r="F43" l="1"/>
  <c r="G42"/>
  <c r="I42"/>
  <c r="F44" l="1"/>
  <c r="G43"/>
  <c r="I43"/>
  <c r="J42"/>
  <c r="J43" l="1"/>
  <c r="F45"/>
  <c r="G44"/>
  <c r="I44"/>
  <c r="J44" l="1"/>
  <c r="F46"/>
  <c r="G45"/>
  <c r="I45"/>
  <c r="J45" l="1"/>
  <c r="F47"/>
  <c r="G46"/>
  <c r="I46"/>
  <c r="J46" l="1"/>
  <c r="F48"/>
  <c r="G47"/>
  <c r="I47"/>
  <c r="J47" l="1"/>
  <c r="F49"/>
  <c r="G48"/>
  <c r="J48" s="1"/>
  <c r="F50" l="1"/>
  <c r="G49"/>
  <c r="J49" s="1"/>
  <c r="F51" l="1"/>
  <c r="G50"/>
  <c r="J50" s="1"/>
  <c r="F52" l="1"/>
  <c r="G51"/>
  <c r="J51" s="1"/>
  <c r="F53" l="1"/>
  <c r="G52"/>
  <c r="J52" s="1"/>
  <c r="F54" l="1"/>
  <c r="G53"/>
  <c r="J53" s="1"/>
  <c r="F55" l="1"/>
  <c r="G54"/>
  <c r="J54" s="1"/>
  <c r="F56" l="1"/>
  <c r="G55"/>
  <c r="J55" s="1"/>
  <c r="F57" l="1"/>
  <c r="G56"/>
  <c r="J56" s="1"/>
  <c r="F58" l="1"/>
  <c r="G57"/>
  <c r="J57" s="1"/>
  <c r="F59" l="1"/>
  <c r="G59" s="1"/>
  <c r="J59" s="1"/>
  <c r="G58"/>
  <c r="J58" s="1"/>
  <c r="M125" i="19" l="1"/>
  <c r="M124"/>
  <c r="M123"/>
  <c r="M122"/>
  <c r="M121"/>
  <c r="M120"/>
  <c r="M119"/>
  <c r="M118"/>
  <c r="M96"/>
  <c r="M95"/>
  <c r="M94"/>
  <c r="M93"/>
  <c r="I88"/>
  <c r="D88"/>
  <c r="D89" s="1"/>
  <c r="E87"/>
  <c r="I86"/>
  <c r="H86"/>
  <c r="H88" s="1"/>
  <c r="F86"/>
  <c r="E86"/>
  <c r="D86"/>
  <c r="C86"/>
  <c r="C88" s="1"/>
  <c r="C89" s="1"/>
  <c r="J76"/>
  <c r="J79" s="1"/>
  <c r="J81" s="1"/>
  <c r="H76"/>
  <c r="M49"/>
  <c r="I49"/>
  <c r="E49"/>
  <c r="M44"/>
  <c r="I44"/>
  <c r="M40"/>
  <c r="I40"/>
  <c r="E40"/>
  <c r="M39"/>
  <c r="I39"/>
  <c r="M38"/>
  <c r="I38"/>
  <c r="E38"/>
  <c r="M36"/>
  <c r="I36"/>
  <c r="E36"/>
  <c r="C23"/>
  <c r="L21"/>
  <c r="L23" s="1"/>
  <c r="N20"/>
  <c r="R19"/>
  <c r="P19"/>
  <c r="N19"/>
  <c r="L18"/>
  <c r="L16"/>
  <c r="N15"/>
  <c r="M45" s="1"/>
  <c r="R14"/>
  <c r="P14"/>
  <c r="N14"/>
  <c r="E12"/>
  <c r="E77" s="1"/>
  <c r="R11"/>
  <c r="N11"/>
  <c r="I11"/>
  <c r="N9"/>
  <c r="N12" s="1"/>
  <c r="U8"/>
  <c r="R8"/>
  <c r="Q8"/>
  <c r="Q11" s="1"/>
  <c r="P8"/>
  <c r="N8"/>
  <c r="E7"/>
  <c r="J6"/>
  <c r="I6"/>
  <c r="F6"/>
  <c r="F11" s="1"/>
  <c r="F76" s="1"/>
  <c r="E6"/>
  <c r="E11" s="1"/>
  <c r="S5"/>
  <c r="S8" s="1"/>
  <c r="O5"/>
  <c r="K81" s="1"/>
  <c r="C84" s="1"/>
  <c r="M125" i="17"/>
  <c r="M124"/>
  <c r="M123"/>
  <c r="M122"/>
  <c r="M121"/>
  <c r="M120"/>
  <c r="M119"/>
  <c r="M118"/>
  <c r="M95"/>
  <c r="I88"/>
  <c r="D88"/>
  <c r="D89" s="1"/>
  <c r="E87"/>
  <c r="I86"/>
  <c r="H86"/>
  <c r="H88" s="1"/>
  <c r="F86"/>
  <c r="E86"/>
  <c r="D86"/>
  <c r="C86"/>
  <c r="C88" s="1"/>
  <c r="C89" s="1"/>
  <c r="J76"/>
  <c r="J79" s="1"/>
  <c r="J81" s="1"/>
  <c r="H76"/>
  <c r="M49"/>
  <c r="I49"/>
  <c r="E49"/>
  <c r="M44"/>
  <c r="I44"/>
  <c r="M40"/>
  <c r="I40"/>
  <c r="E40"/>
  <c r="M39"/>
  <c r="I39"/>
  <c r="M38"/>
  <c r="I38"/>
  <c r="E38"/>
  <c r="M36"/>
  <c r="I36"/>
  <c r="E36"/>
  <c r="C23"/>
  <c r="L21"/>
  <c r="L23" s="1"/>
  <c r="N20"/>
  <c r="R19"/>
  <c r="P19"/>
  <c r="N19"/>
  <c r="L18"/>
  <c r="L16"/>
  <c r="N15"/>
  <c r="M45" s="1"/>
  <c r="R14"/>
  <c r="P14"/>
  <c r="N14"/>
  <c r="E12"/>
  <c r="E77" s="1"/>
  <c r="R11"/>
  <c r="N11"/>
  <c r="I11"/>
  <c r="I76" s="1"/>
  <c r="N9"/>
  <c r="N12" s="1"/>
  <c r="U8"/>
  <c r="R8"/>
  <c r="Q8"/>
  <c r="Q11" s="1"/>
  <c r="P8"/>
  <c r="N8"/>
  <c r="E7"/>
  <c r="J6"/>
  <c r="I6"/>
  <c r="F6"/>
  <c r="F11" s="1"/>
  <c r="F76" s="1"/>
  <c r="E6"/>
  <c r="E11" s="1"/>
  <c r="S5"/>
  <c r="S8" s="1"/>
  <c r="O5"/>
  <c r="O8" s="1"/>
  <c r="E37" i="19" l="1"/>
  <c r="E41" s="1"/>
  <c r="E76"/>
  <c r="B84"/>
  <c r="J82"/>
  <c r="O76"/>
  <c r="Q16"/>
  <c r="Q21" s="1"/>
  <c r="I37"/>
  <c r="I41" s="1"/>
  <c r="O8"/>
  <c r="M37"/>
  <c r="M41" s="1"/>
  <c r="I76"/>
  <c r="K82" i="17"/>
  <c r="O11"/>
  <c r="E37"/>
  <c r="E41" s="1"/>
  <c r="E76"/>
  <c r="B84"/>
  <c r="J82"/>
  <c r="O76"/>
  <c r="Q16"/>
  <c r="Q21" s="1"/>
  <c r="I37"/>
  <c r="I41" s="1"/>
  <c r="K81"/>
  <c r="C84" s="1"/>
  <c r="M37"/>
  <c r="M41" s="1"/>
  <c r="A48" i="16"/>
  <c r="F40"/>
  <c r="F39"/>
  <c r="D39"/>
  <c r="C39"/>
  <c r="A39"/>
  <c r="D38"/>
  <c r="C38"/>
  <c r="F33"/>
  <c r="A33"/>
  <c r="A32"/>
  <c r="A31"/>
  <c r="F30"/>
  <c r="F29"/>
  <c r="A29"/>
  <c r="F28"/>
  <c r="A28"/>
  <c r="F26"/>
  <c r="A26"/>
  <c r="F25"/>
  <c r="A25"/>
  <c r="A20"/>
  <c r="A19"/>
  <c r="D18"/>
  <c r="A18"/>
  <c r="D17"/>
  <c r="A17"/>
  <c r="D16"/>
  <c r="A16"/>
  <c r="D15"/>
  <c r="A15"/>
  <c r="D14"/>
  <c r="A14"/>
  <c r="D13"/>
  <c r="A13"/>
  <c r="D11"/>
  <c r="A11"/>
  <c r="D10"/>
  <c r="A10"/>
  <c r="D9"/>
  <c r="A9"/>
  <c r="D8"/>
  <c r="A8"/>
  <c r="D7"/>
  <c r="D6"/>
  <c r="D5"/>
  <c r="D47" i="15"/>
  <c r="A47"/>
  <c r="A46"/>
  <c r="B45"/>
  <c r="E43"/>
  <c r="B43"/>
  <c r="A42"/>
  <c r="E40"/>
  <c r="B40"/>
  <c r="A39"/>
  <c r="E37"/>
  <c r="H37" s="1"/>
  <c r="B37"/>
  <c r="I35"/>
  <c r="H35"/>
  <c r="F35"/>
  <c r="E35"/>
  <c r="B35"/>
  <c r="H33"/>
  <c r="E33"/>
  <c r="E32"/>
  <c r="E36" s="1"/>
  <c r="F36" s="1"/>
  <c r="I31"/>
  <c r="H31"/>
  <c r="F31"/>
  <c r="E31"/>
  <c r="B31"/>
  <c r="E29"/>
  <c r="E28"/>
  <c r="H29" s="1"/>
  <c r="B28"/>
  <c r="H27"/>
  <c r="E27"/>
  <c r="B24"/>
  <c r="F23"/>
  <c r="I22"/>
  <c r="G22"/>
  <c r="F31" i="16" s="1"/>
  <c r="F22" i="15"/>
  <c r="E22"/>
  <c r="E11" i="16" s="1"/>
  <c r="I21" i="15"/>
  <c r="E18" i="16" s="1"/>
  <c r="F18" s="1"/>
  <c r="E21" i="15"/>
  <c r="E10" i="16" s="1"/>
  <c r="I20" i="15"/>
  <c r="E17" i="16" s="1"/>
  <c r="F17" s="1"/>
  <c r="E20" i="15"/>
  <c r="E9" i="16" s="1"/>
  <c r="I19" i="15"/>
  <c r="E16" i="16" s="1"/>
  <c r="F16" s="1"/>
  <c r="I18" i="15"/>
  <c r="E15" i="16" s="1"/>
  <c r="F15" s="1"/>
  <c r="E18" i="15"/>
  <c r="E7" i="16" s="1"/>
  <c r="A18" i="15"/>
  <c r="A36" s="1"/>
  <c r="I17"/>
  <c r="E14" i="16" s="1"/>
  <c r="F14" s="1"/>
  <c r="E17" i="15"/>
  <c r="E6" i="16" s="1"/>
  <c r="A17" i="15"/>
  <c r="A6" i="16" s="1"/>
  <c r="A16" i="15"/>
  <c r="C45" s="1"/>
  <c r="I15"/>
  <c r="H14"/>
  <c r="G14"/>
  <c r="D14"/>
  <c r="C14"/>
  <c r="F23" i="16" s="1"/>
  <c r="B14" i="15"/>
  <c r="B25" s="1"/>
  <c r="I13"/>
  <c r="E13"/>
  <c r="I12"/>
  <c r="I11"/>
  <c r="E11"/>
  <c r="I10"/>
  <c r="E10"/>
  <c r="I9"/>
  <c r="I14" s="1"/>
  <c r="E9"/>
  <c r="G8"/>
  <c r="C52" s="1"/>
  <c r="E8"/>
  <c r="E7"/>
  <c r="E6"/>
  <c r="H5"/>
  <c r="E5"/>
  <c r="E3"/>
  <c r="I3" s="1"/>
  <c r="B3"/>
  <c r="G3" s="1"/>
  <c r="D50" i="14"/>
  <c r="B37"/>
  <c r="E35"/>
  <c r="E34"/>
  <c r="B34"/>
  <c r="E31"/>
  <c r="B31"/>
  <c r="F6" i="15" s="1"/>
  <c r="E23" i="14"/>
  <c r="E21"/>
  <c r="F20" i="16" s="1"/>
  <c r="E20" i="14"/>
  <c r="F19" i="16" s="1"/>
  <c r="C18" i="14"/>
  <c r="E16"/>
  <c r="E14"/>
  <c r="E13"/>
  <c r="E12"/>
  <c r="E10"/>
  <c r="E8"/>
  <c r="B7"/>
  <c r="B9" s="1"/>
  <c r="B11" s="1"/>
  <c r="B17" s="1"/>
  <c r="B19" s="1"/>
  <c r="B22" s="1"/>
  <c r="B24" s="1"/>
  <c r="B26" s="1"/>
  <c r="D6"/>
  <c r="E6" s="1"/>
  <c r="A6"/>
  <c r="B32" i="15" s="1"/>
  <c r="E5" i="14"/>
  <c r="H36" i="15" s="1"/>
  <c r="I36" s="1"/>
  <c r="D5" i="14"/>
  <c r="E4"/>
  <c r="E7" s="1"/>
  <c r="E9" s="1"/>
  <c r="E3"/>
  <c r="A2"/>
  <c r="D55" i="13"/>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A6"/>
  <c r="E5"/>
  <c r="D5"/>
  <c r="F58" s="1"/>
  <c r="D55" i="12"/>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A6"/>
  <c r="E5"/>
  <c r="D5"/>
  <c r="F58" s="1"/>
  <c r="D55" i="11"/>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A6"/>
  <c r="G6" s="1"/>
  <c r="E5"/>
  <c r="D5"/>
  <c r="F58" s="1"/>
  <c r="D6" i="10"/>
  <c r="C6"/>
  <c r="B6"/>
  <c r="E4"/>
  <c r="E3"/>
  <c r="A24" i="9"/>
  <c r="A23"/>
  <c r="A22"/>
  <c r="C21"/>
  <c r="A21"/>
  <c r="A20"/>
  <c r="D19"/>
  <c r="D21" s="1"/>
  <c r="D22" s="1"/>
  <c r="C19"/>
  <c r="B19"/>
  <c r="B21" s="1"/>
  <c r="A19"/>
  <c r="A18"/>
  <c r="B16"/>
  <c r="A16"/>
  <c r="D12"/>
  <c r="N11"/>
  <c r="L11"/>
  <c r="J11"/>
  <c r="I11"/>
  <c r="F11"/>
  <c r="D11"/>
  <c r="G8"/>
  <c r="D5"/>
  <c r="A21" i="8"/>
  <c r="A22" s="1"/>
  <c r="B20"/>
  <c r="E15"/>
  <c r="D12"/>
  <c r="D11"/>
  <c r="G5" i="9" s="1"/>
  <c r="D10" i="8"/>
  <c r="D6"/>
  <c r="D3"/>
  <c r="A23" i="7"/>
  <c r="A22"/>
  <c r="A21"/>
  <c r="E20"/>
  <c r="E21" s="1"/>
  <c r="D20"/>
  <c r="C20"/>
  <c r="A20"/>
  <c r="A19"/>
  <c r="E18"/>
  <c r="D18"/>
  <c r="C18"/>
  <c r="A18"/>
  <c r="A17"/>
  <c r="A8"/>
  <c r="E7"/>
  <c r="E4"/>
  <c r="A22" i="6"/>
  <c r="A23" s="1"/>
  <c r="B21"/>
  <c r="E15"/>
  <c r="D11"/>
  <c r="A5" i="7" s="1"/>
  <c r="D10" i="6"/>
  <c r="D6"/>
  <c r="D3"/>
  <c r="D12" s="1"/>
  <c r="A30" i="5"/>
  <c r="A29"/>
  <c r="A28"/>
  <c r="C27"/>
  <c r="A27"/>
  <c r="A26"/>
  <c r="D25"/>
  <c r="D27" s="1"/>
  <c r="D28" s="1"/>
  <c r="C25"/>
  <c r="B25"/>
  <c r="B27" s="1"/>
  <c r="A25"/>
  <c r="A24"/>
  <c r="E22"/>
  <c r="B17"/>
  <c r="B20" s="1"/>
  <c r="B22" s="1"/>
  <c r="D15"/>
  <c r="D18" s="1"/>
  <c r="A20" s="1"/>
  <c r="A22" s="1"/>
  <c r="F14"/>
  <c r="D14"/>
  <c r="D17" s="1"/>
  <c r="G11"/>
  <c r="A6"/>
  <c r="A8" s="1"/>
  <c r="A22" i="4"/>
  <c r="B21"/>
  <c r="E16"/>
  <c r="D10"/>
  <c r="D7" i="5" s="1"/>
  <c r="D6" s="1"/>
  <c r="D9" i="4"/>
  <c r="D5"/>
  <c r="B4" i="10" s="1"/>
  <c r="D3" i="3"/>
  <c r="E3" s="1"/>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A15"/>
  <c r="E14"/>
  <c r="D14"/>
  <c r="E7"/>
  <c r="D4"/>
  <c r="C3"/>
  <c r="E2"/>
  <c r="C2" i="2"/>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E15"/>
  <c r="A15"/>
  <c r="A16" s="1"/>
  <c r="E14"/>
  <c r="D14"/>
  <c r="C14"/>
  <c r="E7"/>
  <c r="D4"/>
  <c r="C3"/>
  <c r="E3" s="1"/>
  <c r="E2"/>
  <c r="D4" i="1"/>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A15"/>
  <c r="E14"/>
  <c r="C14"/>
  <c r="D14" s="1"/>
  <c r="E7"/>
  <c r="C3"/>
  <c r="E3" s="1"/>
  <c r="E4" s="1"/>
  <c r="E6" s="1"/>
  <c r="E8" s="1"/>
  <c r="E2"/>
  <c r="M46" i="19" l="1"/>
  <c r="M43"/>
  <c r="M42"/>
  <c r="I42"/>
  <c r="I43"/>
  <c r="I47" s="1"/>
  <c r="I45"/>
  <c r="O11"/>
  <c r="K82"/>
  <c r="E43"/>
  <c r="E47" s="1"/>
  <c r="E42"/>
  <c r="E44"/>
  <c r="I45" i="17"/>
  <c r="I42"/>
  <c r="I43" s="1"/>
  <c r="I47" s="1"/>
  <c r="O16"/>
  <c r="Q13"/>
  <c r="Q18" s="1"/>
  <c r="Q23" s="1"/>
  <c r="N76"/>
  <c r="N79" s="1"/>
  <c r="M43"/>
  <c r="M42"/>
  <c r="M46"/>
  <c r="E42"/>
  <c r="E43" s="1"/>
  <c r="E47" s="1"/>
  <c r="E44"/>
  <c r="B51" i="15"/>
  <c r="E11" i="14"/>
  <c r="E17" s="1"/>
  <c r="F7" i="16"/>
  <c r="F9"/>
  <c r="F10"/>
  <c r="F11"/>
  <c r="F6"/>
  <c r="E14" i="15"/>
  <c r="G24"/>
  <c r="G25" s="1"/>
  <c r="H28"/>
  <c r="I28" s="1"/>
  <c r="E16" s="1"/>
  <c r="A29"/>
  <c r="B29" s="1"/>
  <c r="A31"/>
  <c r="A32"/>
  <c r="H32"/>
  <c r="I32" s="1"/>
  <c r="B33"/>
  <c r="B36"/>
  <c r="E39"/>
  <c r="H39"/>
  <c r="B42"/>
  <c r="B47"/>
  <c r="E47" s="1"/>
  <c r="H42" s="1"/>
  <c r="C51"/>
  <c r="A5" i="16"/>
  <c r="A7"/>
  <c r="F5" i="15"/>
  <c r="F28"/>
  <c r="F32"/>
  <c r="A35"/>
  <c r="B39"/>
  <c r="E42"/>
  <c r="G6" i="13"/>
  <c r="F5"/>
  <c r="F6"/>
  <c r="H6"/>
  <c r="A7"/>
  <c r="H4"/>
  <c r="G5"/>
  <c r="E6"/>
  <c r="H7"/>
  <c r="G6" i="12"/>
  <c r="F5"/>
  <c r="F6"/>
  <c r="H6"/>
  <c r="A7"/>
  <c r="H4"/>
  <c r="G5"/>
  <c r="E6"/>
  <c r="H7"/>
  <c r="F5" i="11"/>
  <c r="F6"/>
  <c r="H6"/>
  <c r="A7"/>
  <c r="H4"/>
  <c r="G5"/>
  <c r="E6"/>
  <c r="H7"/>
  <c r="A24" i="6"/>
  <c r="F23"/>
  <c r="D11" i="4"/>
  <c r="A19"/>
  <c r="E21"/>
  <c r="D22"/>
  <c r="A23"/>
  <c r="E6" i="5"/>
  <c r="A14"/>
  <c r="E14"/>
  <c r="E17" s="1"/>
  <c r="A2" i="7"/>
  <c r="A10"/>
  <c r="F21" i="6"/>
  <c r="D21" i="4"/>
  <c r="C4" i="10"/>
  <c r="A11" i="7"/>
  <c r="A18" i="6"/>
  <c r="D20"/>
  <c r="C20" s="1"/>
  <c r="E21"/>
  <c r="G21"/>
  <c r="F22"/>
  <c r="A23" i="8"/>
  <c r="F22"/>
  <c r="E11" i="9"/>
  <c r="M11" s="1"/>
  <c r="D14"/>
  <c r="D16" s="1"/>
  <c r="G11"/>
  <c r="D6"/>
  <c r="F20" i="8"/>
  <c r="B21" s="1"/>
  <c r="A11" i="9"/>
  <c r="D4" i="10"/>
  <c r="D15" i="8"/>
  <c r="D3" i="10" s="1"/>
  <c r="A18" i="8"/>
  <c r="E20"/>
  <c r="G20"/>
  <c r="F21"/>
  <c r="E4" i="3"/>
  <c r="E6" s="1"/>
  <c r="E8" s="1"/>
  <c r="B18" s="1"/>
  <c r="D18" s="1"/>
  <c r="F14"/>
  <c r="B19"/>
  <c r="D19" s="1"/>
  <c r="B17"/>
  <c r="D17" s="1"/>
  <c r="B15"/>
  <c r="D15" s="1"/>
  <c r="E10"/>
  <c r="B20" s="1"/>
  <c r="D20" s="1"/>
  <c r="F15"/>
  <c r="A16"/>
  <c r="E15"/>
  <c r="E4" i="2"/>
  <c r="E6" s="1"/>
  <c r="E8" s="1"/>
  <c r="E10" s="1"/>
  <c r="B20" s="1"/>
  <c r="D20" s="1"/>
  <c r="B19"/>
  <c r="D19" s="1"/>
  <c r="B17"/>
  <c r="D17" s="1"/>
  <c r="B15"/>
  <c r="D15" s="1"/>
  <c r="F14"/>
  <c r="A17"/>
  <c r="E16"/>
  <c r="F15"/>
  <c r="B19" i="1"/>
  <c r="D19" s="1"/>
  <c r="B18"/>
  <c r="D18" s="1"/>
  <c r="B17"/>
  <c r="D17" s="1"/>
  <c r="B16"/>
  <c r="D16" s="1"/>
  <c r="B15"/>
  <c r="D15" s="1"/>
  <c r="E10"/>
  <c r="B20" s="1"/>
  <c r="D20" s="1"/>
  <c r="F67"/>
  <c r="G15" s="1"/>
  <c r="F14"/>
  <c r="F15"/>
  <c r="A16"/>
  <c r="E15"/>
  <c r="M48" i="19" l="1"/>
  <c r="I48"/>
  <c r="E50"/>
  <c r="I35"/>
  <c r="I50"/>
  <c r="N76"/>
  <c r="N79" s="1"/>
  <c r="O16"/>
  <c r="Q13"/>
  <c r="Q18" s="1"/>
  <c r="Q23" s="1"/>
  <c r="M47"/>
  <c r="I50" i="17"/>
  <c r="E48"/>
  <c r="E50"/>
  <c r="O21"/>
  <c r="O19"/>
  <c r="O14"/>
  <c r="S14" s="1"/>
  <c r="S19" s="1"/>
  <c r="M47"/>
  <c r="H43" i="15"/>
  <c r="I42" s="1"/>
  <c r="I16" s="1"/>
  <c r="F42"/>
  <c r="F39"/>
  <c r="H40"/>
  <c r="F3" i="16"/>
  <c r="E19" i="14"/>
  <c r="F7" i="15"/>
  <c r="A30" i="16" s="1"/>
  <c r="I5" i="15"/>
  <c r="H6"/>
  <c r="H8" s="1"/>
  <c r="I39"/>
  <c r="E19" s="1"/>
  <c r="E8" i="16" s="1"/>
  <c r="F8" s="1"/>
  <c r="C47" i="15"/>
  <c r="E5" i="16"/>
  <c r="F5" s="1"/>
  <c r="D51" i="15"/>
  <c r="H5" i="13"/>
  <c r="A8"/>
  <c r="F7"/>
  <c r="G7"/>
  <c r="E7"/>
  <c r="A8" i="12"/>
  <c r="F7"/>
  <c r="G7"/>
  <c r="E7"/>
  <c r="H5"/>
  <c r="H5" i="11"/>
  <c r="A8"/>
  <c r="F7"/>
  <c r="G7"/>
  <c r="E7"/>
  <c r="B22" i="8"/>
  <c r="G21"/>
  <c r="E21"/>
  <c r="D21" s="1"/>
  <c r="C21" s="1"/>
  <c r="A24"/>
  <c r="F23"/>
  <c r="M3" i="7"/>
  <c r="I7"/>
  <c r="I6"/>
  <c r="I3"/>
  <c r="D8" i="5"/>
  <c r="D14" i="4"/>
  <c r="G14" i="5"/>
  <c r="D9"/>
  <c r="D20" i="8"/>
  <c r="E5" i="7"/>
  <c r="D21" i="6"/>
  <c r="C21" s="1"/>
  <c r="F21" i="4"/>
  <c r="E6" i="7"/>
  <c r="A17" i="5"/>
  <c r="A24" i="4"/>
  <c r="D23"/>
  <c r="B22" i="6"/>
  <c r="A25"/>
  <c r="F24"/>
  <c r="B16" i="3"/>
  <c r="D16" s="1"/>
  <c r="F67"/>
  <c r="H13" s="1"/>
  <c r="H14"/>
  <c r="E16"/>
  <c r="A17"/>
  <c r="F16"/>
  <c r="B16" i="2"/>
  <c r="D16" s="1"/>
  <c r="B18"/>
  <c r="D18" s="1"/>
  <c r="A18"/>
  <c r="F17"/>
  <c r="E17"/>
  <c r="H14"/>
  <c r="G16" i="1"/>
  <c r="E16"/>
  <c r="A17"/>
  <c r="F16"/>
  <c r="H14"/>
  <c r="H13"/>
  <c r="H17"/>
  <c r="H16"/>
  <c r="H15"/>
  <c r="G14"/>
  <c r="M50" i="19" l="1"/>
  <c r="M35"/>
  <c r="O21"/>
  <c r="O19"/>
  <c r="O14"/>
  <c r="S14" s="1"/>
  <c r="S19" s="1"/>
  <c r="E48"/>
  <c r="M93" i="17"/>
  <c r="I82"/>
  <c r="M50"/>
  <c r="M35"/>
  <c r="M48"/>
  <c r="I48"/>
  <c r="I35" s="1"/>
  <c r="E35"/>
  <c r="E13" i="16"/>
  <c r="F13" s="1"/>
  <c r="F21"/>
  <c r="I6" i="15"/>
  <c r="I8" s="1"/>
  <c r="B50"/>
  <c r="E22" i="14"/>
  <c r="E24" s="1"/>
  <c r="G8" i="13"/>
  <c r="E8"/>
  <c r="A9"/>
  <c r="F8"/>
  <c r="H8"/>
  <c r="G8" i="12"/>
  <c r="E8"/>
  <c r="A9"/>
  <c r="F8"/>
  <c r="H8"/>
  <c r="G8" i="11"/>
  <c r="E8"/>
  <c r="A9"/>
  <c r="F8"/>
  <c r="H8"/>
  <c r="B23" i="6"/>
  <c r="G22"/>
  <c r="E22"/>
  <c r="C24" i="4"/>
  <c r="A25"/>
  <c r="D24"/>
  <c r="G21"/>
  <c r="B22" s="1"/>
  <c r="C5" i="10"/>
  <c r="E11" i="7"/>
  <c r="E8"/>
  <c r="C20" i="8"/>
  <c r="D20" i="5"/>
  <c r="D22" s="1"/>
  <c r="D16" i="4"/>
  <c r="B3" i="10" s="1"/>
  <c r="C21" i="4"/>
  <c r="C22"/>
  <c r="A25" i="8"/>
  <c r="F24"/>
  <c r="A26" i="6"/>
  <c r="F25"/>
  <c r="C23" i="4"/>
  <c r="I4" i="7"/>
  <c r="B23" i="8"/>
  <c r="G22"/>
  <c r="E22"/>
  <c r="G16" i="3"/>
  <c r="G15"/>
  <c r="H15"/>
  <c r="H17"/>
  <c r="G14"/>
  <c r="H16"/>
  <c r="G17"/>
  <c r="E17"/>
  <c r="A18"/>
  <c r="F17"/>
  <c r="F16" i="2"/>
  <c r="F67"/>
  <c r="A19"/>
  <c r="F18"/>
  <c r="E18"/>
  <c r="G17" i="1"/>
  <c r="E17"/>
  <c r="A18"/>
  <c r="F17"/>
  <c r="I82" i="19" l="1"/>
  <c r="K75"/>
  <c r="E35"/>
  <c r="A121" i="17"/>
  <c r="E88"/>
  <c r="E89" s="1"/>
  <c r="A84"/>
  <c r="I92"/>
  <c r="K75"/>
  <c r="B52" i="15"/>
  <c r="D52" s="1"/>
  <c r="E25" i="14"/>
  <c r="F32" i="16" s="1"/>
  <c r="F34" s="1"/>
  <c r="F41" s="1"/>
  <c r="A10" i="13"/>
  <c r="F9"/>
  <c r="G9"/>
  <c r="E9"/>
  <c r="H9"/>
  <c r="A10" i="12"/>
  <c r="F9"/>
  <c r="G9"/>
  <c r="E9"/>
  <c r="H9"/>
  <c r="A10" i="11"/>
  <c r="F9"/>
  <c r="G9"/>
  <c r="E9"/>
  <c r="H9"/>
  <c r="A27" i="6"/>
  <c r="F26"/>
  <c r="D5" i="10"/>
  <c r="E22" i="4"/>
  <c r="A26"/>
  <c r="D25"/>
  <c r="C25"/>
  <c r="D22" i="6"/>
  <c r="C22" s="1"/>
  <c r="I5" i="7"/>
  <c r="B24" i="6"/>
  <c r="G23"/>
  <c r="E23"/>
  <c r="D23" s="1"/>
  <c r="C23" s="1"/>
  <c r="D22" i="8"/>
  <c r="B24"/>
  <c r="G23"/>
  <c r="E23"/>
  <c r="D23" s="1"/>
  <c r="C23" s="1"/>
  <c r="A26"/>
  <c r="F25"/>
  <c r="B5" i="10"/>
  <c r="N7" i="7"/>
  <c r="N6"/>
  <c r="N5"/>
  <c r="R3"/>
  <c r="N8"/>
  <c r="N4"/>
  <c r="N3"/>
  <c r="G18" i="3"/>
  <c r="E18"/>
  <c r="A19"/>
  <c r="F18"/>
  <c r="H18"/>
  <c r="G16" i="2"/>
  <c r="G17"/>
  <c r="H17"/>
  <c r="H15"/>
  <c r="G15"/>
  <c r="G14"/>
  <c r="H18"/>
  <c r="H16"/>
  <c r="H13"/>
  <c r="G18"/>
  <c r="A20"/>
  <c r="F19"/>
  <c r="G19"/>
  <c r="E19"/>
  <c r="H19"/>
  <c r="G18" i="1"/>
  <c r="E18"/>
  <c r="A19"/>
  <c r="F18"/>
  <c r="H18"/>
  <c r="M77" i="19" l="1"/>
  <c r="P76"/>
  <c r="I79" s="1"/>
  <c r="M76"/>
  <c r="M79" s="1"/>
  <c r="A121"/>
  <c r="E88"/>
  <c r="E89" s="1"/>
  <c r="E92" s="1"/>
  <c r="A84"/>
  <c r="I92"/>
  <c r="I99" i="17"/>
  <c r="K99"/>
  <c r="E92"/>
  <c r="M92" s="1"/>
  <c r="M94" s="1"/>
  <c r="M96" s="1"/>
  <c r="M77"/>
  <c r="P76"/>
  <c r="I79" s="1"/>
  <c r="M76"/>
  <c r="M79" s="1"/>
  <c r="I81" s="1"/>
  <c r="A81" s="1"/>
  <c r="A124"/>
  <c r="A122"/>
  <c r="A120"/>
  <c r="A118"/>
  <c r="C121"/>
  <c r="E121" s="1"/>
  <c r="J121" s="1"/>
  <c r="N121" s="1"/>
  <c r="F121"/>
  <c r="A125"/>
  <c r="A123"/>
  <c r="A119"/>
  <c r="U121"/>
  <c r="R121"/>
  <c r="I23" i="15"/>
  <c r="I24" s="1"/>
  <c r="I25" s="1"/>
  <c r="H23"/>
  <c r="H24" s="1"/>
  <c r="E23"/>
  <c r="E24" s="1"/>
  <c r="E25" s="1"/>
  <c r="C50" s="1"/>
  <c r="D50" s="1"/>
  <c r="E26" i="14"/>
  <c r="G10" i="13"/>
  <c r="E10"/>
  <c r="A11"/>
  <c r="F10"/>
  <c r="H10"/>
  <c r="G10" i="12"/>
  <c r="E10"/>
  <c r="A11"/>
  <c r="F10"/>
  <c r="H10"/>
  <c r="G10" i="11"/>
  <c r="E10"/>
  <c r="A11"/>
  <c r="F10"/>
  <c r="H10"/>
  <c r="B25" i="8"/>
  <c r="G24"/>
  <c r="E24"/>
  <c r="C22"/>
  <c r="S4" i="7"/>
  <c r="W3"/>
  <c r="S7"/>
  <c r="S6"/>
  <c r="S3"/>
  <c r="M11"/>
  <c r="K11"/>
  <c r="I11"/>
  <c r="L11"/>
  <c r="J11"/>
  <c r="I8"/>
  <c r="C26" i="4"/>
  <c r="A27"/>
  <c r="D26"/>
  <c r="C27" i="6"/>
  <c r="A28"/>
  <c r="F27"/>
  <c r="A27" i="8"/>
  <c r="F26"/>
  <c r="Q11" i="7"/>
  <c r="O11"/>
  <c r="R11"/>
  <c r="P11"/>
  <c r="N11"/>
  <c r="B25" i="6"/>
  <c r="G24"/>
  <c r="E24"/>
  <c r="D24" s="1"/>
  <c r="C24" s="1"/>
  <c r="F22" i="4"/>
  <c r="G19" i="3"/>
  <c r="E19"/>
  <c r="A20"/>
  <c r="F19"/>
  <c r="H19"/>
  <c r="A21" i="2"/>
  <c r="F20"/>
  <c r="G20"/>
  <c r="E20"/>
  <c r="H20"/>
  <c r="G19" i="1"/>
  <c r="E19"/>
  <c r="A20"/>
  <c r="F19"/>
  <c r="H19"/>
  <c r="I81" i="19" l="1"/>
  <c r="A81" s="1"/>
  <c r="M92"/>
  <c r="M97" s="1"/>
  <c r="A125"/>
  <c r="A123"/>
  <c r="A119"/>
  <c r="A122"/>
  <c r="A120"/>
  <c r="F121"/>
  <c r="C121"/>
  <c r="E121" s="1"/>
  <c r="A124"/>
  <c r="A118"/>
  <c r="R121"/>
  <c r="V121" s="1"/>
  <c r="U121"/>
  <c r="C123" i="17"/>
  <c r="E123" s="1"/>
  <c r="J123" s="1"/>
  <c r="N123" s="1"/>
  <c r="F123"/>
  <c r="R123"/>
  <c r="V123" s="1"/>
  <c r="U123"/>
  <c r="C118"/>
  <c r="E118" s="1"/>
  <c r="J118" s="1"/>
  <c r="N118" s="1"/>
  <c r="F118"/>
  <c r="R118"/>
  <c r="V118" s="1"/>
  <c r="U118"/>
  <c r="F125"/>
  <c r="C125"/>
  <c r="E125" s="1"/>
  <c r="R125"/>
  <c r="V125" s="1"/>
  <c r="U125"/>
  <c r="F120"/>
  <c r="C120"/>
  <c r="E120" s="1"/>
  <c r="U120"/>
  <c r="R120"/>
  <c r="V121"/>
  <c r="M99"/>
  <c r="A100" s="1"/>
  <c r="C119"/>
  <c r="E119" s="1"/>
  <c r="J119" s="1"/>
  <c r="N119" s="1"/>
  <c r="F119"/>
  <c r="R119"/>
  <c r="V119" s="1"/>
  <c r="U119"/>
  <c r="F124"/>
  <c r="C124"/>
  <c r="E124" s="1"/>
  <c r="R124"/>
  <c r="V124" s="1"/>
  <c r="U124"/>
  <c r="F122"/>
  <c r="C122"/>
  <c r="E122" s="1"/>
  <c r="R122"/>
  <c r="V122" s="1"/>
  <c r="U122"/>
  <c r="A12" i="13"/>
  <c r="F11"/>
  <c r="G11"/>
  <c r="E11"/>
  <c r="H11"/>
  <c r="A12" i="12"/>
  <c r="F11"/>
  <c r="G11"/>
  <c r="E11"/>
  <c r="H11"/>
  <c r="A12" i="11"/>
  <c r="F11"/>
  <c r="G11"/>
  <c r="E11"/>
  <c r="H11"/>
  <c r="W11" i="7"/>
  <c r="U11"/>
  <c r="S11"/>
  <c r="V11"/>
  <c r="T11"/>
  <c r="B26" i="6"/>
  <c r="G25"/>
  <c r="E25"/>
  <c r="D25" s="1"/>
  <c r="C25" s="1"/>
  <c r="AK11" i="7"/>
  <c r="AI11"/>
  <c r="AL11"/>
  <c r="AJ11"/>
  <c r="AH11"/>
  <c r="S5"/>
  <c r="D24" i="8"/>
  <c r="B26"/>
  <c r="G25"/>
  <c r="E25"/>
  <c r="D25" s="1"/>
  <c r="C25" s="1"/>
  <c r="G22" i="4"/>
  <c r="B23" s="1"/>
  <c r="X7" i="7"/>
  <c r="X6"/>
  <c r="X5"/>
  <c r="AB3"/>
  <c r="X8"/>
  <c r="X4"/>
  <c r="X3"/>
  <c r="A28" i="8"/>
  <c r="F27"/>
  <c r="A29" i="6"/>
  <c r="F28"/>
  <c r="C28"/>
  <c r="A28" i="4"/>
  <c r="D27"/>
  <c r="B27"/>
  <c r="C27"/>
  <c r="S8" i="7"/>
  <c r="G20" i="3"/>
  <c r="E20"/>
  <c r="A21"/>
  <c r="F20"/>
  <c r="H20"/>
  <c r="I21" i="2"/>
  <c r="G21"/>
  <c r="E21"/>
  <c r="I22"/>
  <c r="A22"/>
  <c r="F21"/>
  <c r="H21"/>
  <c r="G20" i="1"/>
  <c r="E20"/>
  <c r="A21"/>
  <c r="F20"/>
  <c r="H20"/>
  <c r="F124" i="19" l="1"/>
  <c r="C124"/>
  <c r="E124" s="1"/>
  <c r="J124" s="1"/>
  <c r="N124" s="1"/>
  <c r="U124"/>
  <c r="R124"/>
  <c r="F122"/>
  <c r="C122"/>
  <c r="E122" s="1"/>
  <c r="J122" s="1"/>
  <c r="N122" s="1"/>
  <c r="R122"/>
  <c r="V122" s="1"/>
  <c r="U122"/>
  <c r="C118"/>
  <c r="E118" s="1"/>
  <c r="F118"/>
  <c r="R118"/>
  <c r="V118" s="1"/>
  <c r="U118"/>
  <c r="F125"/>
  <c r="C125"/>
  <c r="E125" s="1"/>
  <c r="J125" s="1"/>
  <c r="N125" s="1"/>
  <c r="U125"/>
  <c r="R125"/>
  <c r="F119"/>
  <c r="C119"/>
  <c r="E119" s="1"/>
  <c r="J119" s="1"/>
  <c r="N119" s="1"/>
  <c r="R119"/>
  <c r="V119" s="1"/>
  <c r="U119"/>
  <c r="J121"/>
  <c r="N121" s="1"/>
  <c r="C120"/>
  <c r="E120" s="1"/>
  <c r="J120" s="1"/>
  <c r="N120" s="1"/>
  <c r="F120"/>
  <c r="U120"/>
  <c r="R120"/>
  <c r="C123"/>
  <c r="E123" s="1"/>
  <c r="J123" s="1"/>
  <c r="N123" s="1"/>
  <c r="F123"/>
  <c r="R123"/>
  <c r="V123" s="1"/>
  <c r="U123"/>
  <c r="J120" i="17"/>
  <c r="N120" s="1"/>
  <c r="J125"/>
  <c r="N125" s="1"/>
  <c r="J122"/>
  <c r="N122" s="1"/>
  <c r="J124"/>
  <c r="N124" s="1"/>
  <c r="V120"/>
  <c r="I12" i="13"/>
  <c r="G12"/>
  <c r="E12"/>
  <c r="I13"/>
  <c r="A13"/>
  <c r="F12"/>
  <c r="H12"/>
  <c r="I12" i="12"/>
  <c r="G12"/>
  <c r="E12"/>
  <c r="I13"/>
  <c r="A13"/>
  <c r="F12"/>
  <c r="H12"/>
  <c r="I12" i="11"/>
  <c r="G12"/>
  <c r="E12"/>
  <c r="I13"/>
  <c r="A13"/>
  <c r="F12"/>
  <c r="H12"/>
  <c r="E27" i="4"/>
  <c r="C28"/>
  <c r="A29"/>
  <c r="D28"/>
  <c r="B28"/>
  <c r="AA11" i="7"/>
  <c r="Y11"/>
  <c r="AB11"/>
  <c r="Z11"/>
  <c r="X11"/>
  <c r="B27" i="6"/>
  <c r="G26"/>
  <c r="E26"/>
  <c r="F27" i="4"/>
  <c r="G27" s="1"/>
  <c r="AQ11" i="7"/>
  <c r="AO11"/>
  <c r="AM11"/>
  <c r="AP11"/>
  <c r="AN11"/>
  <c r="C29" i="6"/>
  <c r="A30"/>
  <c r="F29"/>
  <c r="A29" i="8"/>
  <c r="F28"/>
  <c r="E23" i="4"/>
  <c r="B27" i="8"/>
  <c r="G26"/>
  <c r="E26"/>
  <c r="C24"/>
  <c r="AC4" i="7"/>
  <c r="AG3"/>
  <c r="AC7"/>
  <c r="AC6"/>
  <c r="AC5"/>
  <c r="AC3"/>
  <c r="I22" i="3"/>
  <c r="A22"/>
  <c r="F21"/>
  <c r="I21"/>
  <c r="G21"/>
  <c r="E21"/>
  <c r="H21"/>
  <c r="I23" i="2"/>
  <c r="A23"/>
  <c r="F22"/>
  <c r="G22"/>
  <c r="E22"/>
  <c r="H22"/>
  <c r="I22" i="1"/>
  <c r="A22"/>
  <c r="F21"/>
  <c r="I21"/>
  <c r="G21"/>
  <c r="E21"/>
  <c r="H21"/>
  <c r="V120" i="19" l="1"/>
  <c r="J118"/>
  <c r="N118" s="1"/>
  <c r="V125"/>
  <c r="V124"/>
  <c r="I14" i="13"/>
  <c r="A14"/>
  <c r="F13"/>
  <c r="G13"/>
  <c r="E13"/>
  <c r="H13"/>
  <c r="I14" i="12"/>
  <c r="A14"/>
  <c r="F13"/>
  <c r="G13"/>
  <c r="E13"/>
  <c r="H13"/>
  <c r="I14" i="11"/>
  <c r="A14"/>
  <c r="F13"/>
  <c r="G13"/>
  <c r="E13"/>
  <c r="H13"/>
  <c r="D26" i="8"/>
  <c r="B28"/>
  <c r="G27"/>
  <c r="E27"/>
  <c r="D27" s="1"/>
  <c r="C27" s="1"/>
  <c r="A30"/>
  <c r="F29"/>
  <c r="A31" i="6"/>
  <c r="F30"/>
  <c r="C30"/>
  <c r="AH7" i="7"/>
  <c r="AH6"/>
  <c r="AH5"/>
  <c r="AL3"/>
  <c r="AH8"/>
  <c r="AH4"/>
  <c r="AH3"/>
  <c r="F23" i="4"/>
  <c r="AU11" i="7"/>
  <c r="AS11"/>
  <c r="AV11"/>
  <c r="AT11"/>
  <c r="AR11"/>
  <c r="D26" i="6"/>
  <c r="C26" s="1"/>
  <c r="B28"/>
  <c r="G27"/>
  <c r="E27"/>
  <c r="D27" s="1"/>
  <c r="E28" i="4"/>
  <c r="F28" s="1"/>
  <c r="G28" s="1"/>
  <c r="A30"/>
  <c r="D29"/>
  <c r="B29"/>
  <c r="C29"/>
  <c r="G22" i="3"/>
  <c r="E22"/>
  <c r="I23"/>
  <c r="A23"/>
  <c r="F22"/>
  <c r="H22"/>
  <c r="G23" i="2"/>
  <c r="E23"/>
  <c r="I24"/>
  <c r="A24"/>
  <c r="F23"/>
  <c r="H23"/>
  <c r="G22" i="1"/>
  <c r="E22"/>
  <c r="I23"/>
  <c r="A23"/>
  <c r="F22"/>
  <c r="H22"/>
  <c r="G14" i="13" l="1"/>
  <c r="E14"/>
  <c r="I15"/>
  <c r="A15"/>
  <c r="F14"/>
  <c r="H14"/>
  <c r="G14" i="12"/>
  <c r="E14"/>
  <c r="I15"/>
  <c r="A15"/>
  <c r="F14"/>
  <c r="H14"/>
  <c r="G14" i="11"/>
  <c r="E14"/>
  <c r="I15"/>
  <c r="A15"/>
  <c r="F14"/>
  <c r="H14"/>
  <c r="E29" i="4"/>
  <c r="C30"/>
  <c r="A31"/>
  <c r="D30"/>
  <c r="B30"/>
  <c r="AM8" i="7"/>
  <c r="AM4"/>
  <c r="AQ3"/>
  <c r="AM7"/>
  <c r="AM6"/>
  <c r="AM5"/>
  <c r="AM3"/>
  <c r="G23" i="4"/>
  <c r="B24" s="1"/>
  <c r="BA11" i="7"/>
  <c r="AY11"/>
  <c r="AW11"/>
  <c r="AZ11"/>
  <c r="AX11"/>
  <c r="A32" i="6"/>
  <c r="F31"/>
  <c r="C31"/>
  <c r="A31" i="8"/>
  <c r="F30"/>
  <c r="F29" i="4"/>
  <c r="G29" s="1"/>
  <c r="B29" i="6"/>
  <c r="G28"/>
  <c r="E28"/>
  <c r="D28" s="1"/>
  <c r="AG11" i="7"/>
  <c r="AE11"/>
  <c r="AC11"/>
  <c r="AF11"/>
  <c r="AD11"/>
  <c r="AC8"/>
  <c r="B29" i="8"/>
  <c r="G28"/>
  <c r="E28"/>
  <c r="D28" s="1"/>
  <c r="C28" s="1"/>
  <c r="C26"/>
  <c r="I24" i="3"/>
  <c r="A24"/>
  <c r="F23"/>
  <c r="G23"/>
  <c r="E23"/>
  <c r="H23"/>
  <c r="I25" i="2"/>
  <c r="A25"/>
  <c r="F24"/>
  <c r="G24"/>
  <c r="E24"/>
  <c r="H24"/>
  <c r="I24" i="1"/>
  <c r="A24"/>
  <c r="F23"/>
  <c r="G23"/>
  <c r="E23"/>
  <c r="H23"/>
  <c r="I16" i="13" l="1"/>
  <c r="A16"/>
  <c r="F15"/>
  <c r="G15"/>
  <c r="E15"/>
  <c r="H15"/>
  <c r="I16" i="12"/>
  <c r="A16"/>
  <c r="F15"/>
  <c r="G15"/>
  <c r="E15"/>
  <c r="H15"/>
  <c r="I16" i="11"/>
  <c r="A16"/>
  <c r="F15"/>
  <c r="G15"/>
  <c r="E15"/>
  <c r="H15"/>
  <c r="AR7" i="7"/>
  <c r="AR6"/>
  <c r="AR5"/>
  <c r="AV3"/>
  <c r="AR8"/>
  <c r="AR4"/>
  <c r="AR3"/>
  <c r="A32" i="8"/>
  <c r="F31"/>
  <c r="E30" i="4"/>
  <c r="A32"/>
  <c r="D31"/>
  <c r="B31"/>
  <c r="C31"/>
  <c r="B30" i="8"/>
  <c r="G29"/>
  <c r="E29"/>
  <c r="D29" s="1"/>
  <c r="B30" i="6"/>
  <c r="G29"/>
  <c r="E29"/>
  <c r="D29" s="1"/>
  <c r="A33"/>
  <c r="F32"/>
  <c r="C32"/>
  <c r="E24" i="4"/>
  <c r="F30"/>
  <c r="G30" s="1"/>
  <c r="G24" i="3"/>
  <c r="E24"/>
  <c r="I25"/>
  <c r="A25"/>
  <c r="F24"/>
  <c r="H24"/>
  <c r="G25" i="2"/>
  <c r="E25"/>
  <c r="I26"/>
  <c r="A26"/>
  <c r="F25"/>
  <c r="H25"/>
  <c r="G24" i="1"/>
  <c r="E24"/>
  <c r="I25"/>
  <c r="A25"/>
  <c r="F24"/>
  <c r="H24"/>
  <c r="G16" i="13" l="1"/>
  <c r="E16"/>
  <c r="I17"/>
  <c r="A17"/>
  <c r="F16"/>
  <c r="H16"/>
  <c r="G16" i="12"/>
  <c r="E16"/>
  <c r="I17"/>
  <c r="A17"/>
  <c r="F16"/>
  <c r="H16"/>
  <c r="G16" i="11"/>
  <c r="E16"/>
  <c r="I17"/>
  <c r="A17"/>
  <c r="F16"/>
  <c r="H16"/>
  <c r="F24" i="4"/>
  <c r="C33" i="6"/>
  <c r="A34"/>
  <c r="F33"/>
  <c r="AW8" i="7"/>
  <c r="AW4"/>
  <c r="BA3"/>
  <c r="AW7"/>
  <c r="AW6"/>
  <c r="AW5"/>
  <c r="AW3"/>
  <c r="C29" i="8"/>
  <c r="B31"/>
  <c r="G30"/>
  <c r="E30"/>
  <c r="D30" s="1"/>
  <c r="C30" s="1"/>
  <c r="E31" i="4"/>
  <c r="C32"/>
  <c r="A33"/>
  <c r="D32"/>
  <c r="B32"/>
  <c r="A33" i="8"/>
  <c r="F32"/>
  <c r="B31" i="6"/>
  <c r="G30"/>
  <c r="E30"/>
  <c r="D30" s="1"/>
  <c r="F31" i="4"/>
  <c r="G31" s="1"/>
  <c r="I26" i="3"/>
  <c r="A26"/>
  <c r="F25"/>
  <c r="G25"/>
  <c r="E25"/>
  <c r="H25"/>
  <c r="I27" i="2"/>
  <c r="A27"/>
  <c r="F26"/>
  <c r="G26"/>
  <c r="E26"/>
  <c r="H26"/>
  <c r="I26" i="1"/>
  <c r="A26"/>
  <c r="F25"/>
  <c r="G25"/>
  <c r="E25"/>
  <c r="H25"/>
  <c r="I18" i="13" l="1"/>
  <c r="A18"/>
  <c r="F17"/>
  <c r="G17"/>
  <c r="E17"/>
  <c r="H17"/>
  <c r="I18" i="12"/>
  <c r="A18"/>
  <c r="F17"/>
  <c r="G17"/>
  <c r="E17"/>
  <c r="H17"/>
  <c r="I18" i="11"/>
  <c r="A18"/>
  <c r="F17"/>
  <c r="G17"/>
  <c r="E17"/>
  <c r="H17"/>
  <c r="B32" i="6"/>
  <c r="G31"/>
  <c r="E31"/>
  <c r="D31" s="1"/>
  <c r="A34" i="8"/>
  <c r="F33"/>
  <c r="A35" i="6"/>
  <c r="F34"/>
  <c r="C34"/>
  <c r="E32" i="4"/>
  <c r="F32" s="1"/>
  <c r="G32" s="1"/>
  <c r="A34"/>
  <c r="D33"/>
  <c r="B33"/>
  <c r="C33"/>
  <c r="B32" i="8"/>
  <c r="G31"/>
  <c r="E31"/>
  <c r="D31" s="1"/>
  <c r="C31" s="1"/>
  <c r="G24" i="4"/>
  <c r="B25" s="1"/>
  <c r="G26" i="3"/>
  <c r="E26"/>
  <c r="I27"/>
  <c r="A27"/>
  <c r="F26"/>
  <c r="H26"/>
  <c r="G27" i="2"/>
  <c r="E27"/>
  <c r="I28"/>
  <c r="A28"/>
  <c r="F27"/>
  <c r="H27"/>
  <c r="G26" i="1"/>
  <c r="E26"/>
  <c r="I27"/>
  <c r="A27"/>
  <c r="F26"/>
  <c r="H26"/>
  <c r="G18" i="13" l="1"/>
  <c r="E18"/>
  <c r="I19"/>
  <c r="A19"/>
  <c r="F18"/>
  <c r="H18"/>
  <c r="G18" i="12"/>
  <c r="E18"/>
  <c r="I19"/>
  <c r="A19"/>
  <c r="F18"/>
  <c r="H18"/>
  <c r="G18" i="11"/>
  <c r="E18"/>
  <c r="I19"/>
  <c r="A19"/>
  <c r="F18"/>
  <c r="H18"/>
  <c r="E25" i="4"/>
  <c r="F25" s="1"/>
  <c r="B33" i="8"/>
  <c r="G32"/>
  <c r="E32"/>
  <c r="D32" s="1"/>
  <c r="C32" s="1"/>
  <c r="E33" i="4"/>
  <c r="C34"/>
  <c r="A35"/>
  <c r="D34"/>
  <c r="B34"/>
  <c r="A35" i="8"/>
  <c r="F34"/>
  <c r="F33" i="4"/>
  <c r="G33" s="1"/>
  <c r="C35" i="6"/>
  <c r="A36"/>
  <c r="F35"/>
  <c r="B33"/>
  <c r="G32"/>
  <c r="E32"/>
  <c r="D32" s="1"/>
  <c r="I28" i="3"/>
  <c r="A28"/>
  <c r="F27"/>
  <c r="G27"/>
  <c r="E27"/>
  <c r="H27"/>
  <c r="I29" i="2"/>
  <c r="A29"/>
  <c r="F28"/>
  <c r="G28"/>
  <c r="E28"/>
  <c r="H28"/>
  <c r="I28" i="1"/>
  <c r="A28"/>
  <c r="F27"/>
  <c r="G27"/>
  <c r="E27"/>
  <c r="H27"/>
  <c r="I20" i="13" l="1"/>
  <c r="A20"/>
  <c r="F19"/>
  <c r="G19"/>
  <c r="E19"/>
  <c r="H19"/>
  <c r="I20" i="12"/>
  <c r="A20"/>
  <c r="F19"/>
  <c r="G19"/>
  <c r="E19"/>
  <c r="H19"/>
  <c r="I20" i="11"/>
  <c r="A20"/>
  <c r="F19"/>
  <c r="G19"/>
  <c r="E19"/>
  <c r="H19"/>
  <c r="B34" i="6"/>
  <c r="G33"/>
  <c r="E33"/>
  <c r="D33" s="1"/>
  <c r="A37"/>
  <c r="F36"/>
  <c r="C36"/>
  <c r="A36" i="8"/>
  <c r="F35"/>
  <c r="E34" i="4"/>
  <c r="F34" s="1"/>
  <c r="G34" s="1"/>
  <c r="A36"/>
  <c r="D35"/>
  <c r="B35"/>
  <c r="C35"/>
  <c r="B34" i="8"/>
  <c r="G33"/>
  <c r="E33"/>
  <c r="D33" s="1"/>
  <c r="C33" s="1"/>
  <c r="G25" i="4"/>
  <c r="B26" s="1"/>
  <c r="G28" i="3"/>
  <c r="E28"/>
  <c r="I29"/>
  <c r="A29"/>
  <c r="F28"/>
  <c r="H28"/>
  <c r="G29" i="2"/>
  <c r="E29"/>
  <c r="I30"/>
  <c r="A30"/>
  <c r="F29"/>
  <c r="H29"/>
  <c r="G28" i="1"/>
  <c r="E28"/>
  <c r="I29"/>
  <c r="A29"/>
  <c r="F28"/>
  <c r="H28"/>
  <c r="G20" i="13" l="1"/>
  <c r="E20"/>
  <c r="I21"/>
  <c r="A21"/>
  <c r="F20"/>
  <c r="H20"/>
  <c r="G20" i="12"/>
  <c r="E20"/>
  <c r="I21"/>
  <c r="A21"/>
  <c r="F20"/>
  <c r="H20"/>
  <c r="G20" i="11"/>
  <c r="E20"/>
  <c r="I21"/>
  <c r="A21"/>
  <c r="F20"/>
  <c r="H20"/>
  <c r="E26" i="4"/>
  <c r="F26" s="1"/>
  <c r="G26" s="1"/>
  <c r="C37" i="6"/>
  <c r="A38"/>
  <c r="F37"/>
  <c r="B35" i="8"/>
  <c r="G34"/>
  <c r="E34"/>
  <c r="D34" s="1"/>
  <c r="C34" s="1"/>
  <c r="E35" i="4"/>
  <c r="F35" s="1"/>
  <c r="G35" s="1"/>
  <c r="C36"/>
  <c r="A37"/>
  <c r="D36"/>
  <c r="B36"/>
  <c r="A37" i="8"/>
  <c r="F36"/>
  <c r="B35" i="6"/>
  <c r="G34"/>
  <c r="E34"/>
  <c r="D34" s="1"/>
  <c r="I30" i="3"/>
  <c r="A30"/>
  <c r="F29"/>
  <c r="G29"/>
  <c r="E29"/>
  <c r="H29"/>
  <c r="I31" i="2"/>
  <c r="A31"/>
  <c r="F30"/>
  <c r="G30"/>
  <c r="E30"/>
  <c r="H30"/>
  <c r="I30" i="1"/>
  <c r="A30"/>
  <c r="F29"/>
  <c r="G29"/>
  <c r="E29"/>
  <c r="H29"/>
  <c r="I22" i="13" l="1"/>
  <c r="A22"/>
  <c r="F21"/>
  <c r="G21"/>
  <c r="E21"/>
  <c r="H21"/>
  <c r="I22" i="12"/>
  <c r="A22"/>
  <c r="F21"/>
  <c r="G21"/>
  <c r="E21"/>
  <c r="H21"/>
  <c r="I22" i="11"/>
  <c r="A22"/>
  <c r="F21"/>
  <c r="G21"/>
  <c r="E21"/>
  <c r="H21"/>
  <c r="B36" i="6"/>
  <c r="G35"/>
  <c r="E35"/>
  <c r="D35" s="1"/>
  <c r="A38" i="8"/>
  <c r="F37"/>
  <c r="E36" i="4"/>
  <c r="F36" s="1"/>
  <c r="G36" s="1"/>
  <c r="A38"/>
  <c r="D37"/>
  <c r="B37"/>
  <c r="C37"/>
  <c r="B36" i="8"/>
  <c r="G35"/>
  <c r="E35"/>
  <c r="D35" s="1"/>
  <c r="C35" s="1"/>
  <c r="A39" i="6"/>
  <c r="F38"/>
  <c r="C38"/>
  <c r="G30" i="3"/>
  <c r="E30"/>
  <c r="I31"/>
  <c r="A31"/>
  <c r="F30"/>
  <c r="H30"/>
  <c r="G31" i="2"/>
  <c r="E31"/>
  <c r="I32"/>
  <c r="A32"/>
  <c r="F31"/>
  <c r="H31"/>
  <c r="G30" i="1"/>
  <c r="E30"/>
  <c r="I31"/>
  <c r="A31"/>
  <c r="F30"/>
  <c r="H30"/>
  <c r="G22" i="13" l="1"/>
  <c r="E22"/>
  <c r="I23"/>
  <c r="A23"/>
  <c r="F22"/>
  <c r="H22"/>
  <c r="G22" i="12"/>
  <c r="E22"/>
  <c r="I23"/>
  <c r="A23"/>
  <c r="F22"/>
  <c r="H22"/>
  <c r="G22" i="11"/>
  <c r="E22"/>
  <c r="I23"/>
  <c r="A23"/>
  <c r="F22"/>
  <c r="H22"/>
  <c r="C39" i="6"/>
  <c r="A40"/>
  <c r="F39"/>
  <c r="A39" i="8"/>
  <c r="F38"/>
  <c r="B37"/>
  <c r="G36"/>
  <c r="E36"/>
  <c r="D36" s="1"/>
  <c r="C36" s="1"/>
  <c r="E37" i="4"/>
  <c r="F37" s="1"/>
  <c r="G37" s="1"/>
  <c r="C38"/>
  <c r="A39"/>
  <c r="D38"/>
  <c r="B38"/>
  <c r="B37" i="6"/>
  <c r="G36"/>
  <c r="E36"/>
  <c r="D36" s="1"/>
  <c r="I32" i="3"/>
  <c r="A32"/>
  <c r="F31"/>
  <c r="G31"/>
  <c r="E31"/>
  <c r="H31"/>
  <c r="I33" i="2"/>
  <c r="A33"/>
  <c r="F32"/>
  <c r="G32"/>
  <c r="E32"/>
  <c r="H32"/>
  <c r="I32" i="1"/>
  <c r="A32"/>
  <c r="F31"/>
  <c r="G31"/>
  <c r="E31"/>
  <c r="H31"/>
  <c r="I24" i="13" l="1"/>
  <c r="A24"/>
  <c r="F23"/>
  <c r="G23"/>
  <c r="E23"/>
  <c r="H23"/>
  <c r="I24" i="12"/>
  <c r="A24"/>
  <c r="F23"/>
  <c r="G23"/>
  <c r="E23"/>
  <c r="H23"/>
  <c r="I24" i="11"/>
  <c r="A24"/>
  <c r="F23"/>
  <c r="G23"/>
  <c r="E23"/>
  <c r="H23"/>
  <c r="B38" i="6"/>
  <c r="G37"/>
  <c r="E37"/>
  <c r="D37" s="1"/>
  <c r="A41"/>
  <c r="F40"/>
  <c r="C40"/>
  <c r="E38" i="4"/>
  <c r="F38" s="1"/>
  <c r="G38" s="1"/>
  <c r="A40"/>
  <c r="D39"/>
  <c r="B39"/>
  <c r="C39"/>
  <c r="B38" i="8"/>
  <c r="G37"/>
  <c r="E37"/>
  <c r="D37" s="1"/>
  <c r="C37" s="1"/>
  <c r="A40"/>
  <c r="F39"/>
  <c r="G32" i="3"/>
  <c r="E32"/>
  <c r="I33"/>
  <c r="A33"/>
  <c r="F32"/>
  <c r="H32"/>
  <c r="G33" i="2"/>
  <c r="E33"/>
  <c r="I34"/>
  <c r="A34"/>
  <c r="F33"/>
  <c r="H33"/>
  <c r="G32" i="1"/>
  <c r="E32"/>
  <c r="I33"/>
  <c r="A33"/>
  <c r="F32"/>
  <c r="H32"/>
  <c r="G24" i="13" l="1"/>
  <c r="E24"/>
  <c r="I25"/>
  <c r="A25"/>
  <c r="F24"/>
  <c r="H24"/>
  <c r="G24" i="12"/>
  <c r="E24"/>
  <c r="I25"/>
  <c r="A25"/>
  <c r="F24"/>
  <c r="H24"/>
  <c r="G24" i="11"/>
  <c r="E24"/>
  <c r="I25"/>
  <c r="A25"/>
  <c r="F24"/>
  <c r="H24"/>
  <c r="B39" i="8"/>
  <c r="G38"/>
  <c r="E38"/>
  <c r="D38" s="1"/>
  <c r="C38" s="1"/>
  <c r="E39" i="4"/>
  <c r="C40"/>
  <c r="A41"/>
  <c r="D40"/>
  <c r="B40"/>
  <c r="A41" i="8"/>
  <c r="F40"/>
  <c r="F39" i="4"/>
  <c r="G39" s="1"/>
  <c r="C41" i="6"/>
  <c r="A42"/>
  <c r="F41"/>
  <c r="B39"/>
  <c r="G38"/>
  <c r="E38"/>
  <c r="D38" s="1"/>
  <c r="I34" i="3"/>
  <c r="A34"/>
  <c r="F33"/>
  <c r="G33"/>
  <c r="E33"/>
  <c r="H33"/>
  <c r="I35" i="2"/>
  <c r="A35"/>
  <c r="F34"/>
  <c r="G34"/>
  <c r="E34"/>
  <c r="H34"/>
  <c r="I34" i="1"/>
  <c r="A34"/>
  <c r="F33"/>
  <c r="G33"/>
  <c r="E33"/>
  <c r="H33"/>
  <c r="I26" i="13" l="1"/>
  <c r="A26"/>
  <c r="F25"/>
  <c r="G25"/>
  <c r="E25"/>
  <c r="H25"/>
  <c r="I26" i="12"/>
  <c r="A26"/>
  <c r="F25"/>
  <c r="G25"/>
  <c r="E25"/>
  <c r="H25"/>
  <c r="I26" i="11"/>
  <c r="A26"/>
  <c r="F25"/>
  <c r="G25"/>
  <c r="E25"/>
  <c r="H25"/>
  <c r="B40" i="6"/>
  <c r="G39"/>
  <c r="E39"/>
  <c r="D39" s="1"/>
  <c r="A43"/>
  <c r="F42"/>
  <c r="C42"/>
  <c r="A42" i="8"/>
  <c r="F41"/>
  <c r="E40" i="4"/>
  <c r="F40" s="1"/>
  <c r="G40" s="1"/>
  <c r="A42"/>
  <c r="D41"/>
  <c r="B41"/>
  <c r="C41"/>
  <c r="B40" i="8"/>
  <c r="G39"/>
  <c r="E39"/>
  <c r="D39" s="1"/>
  <c r="C39" s="1"/>
  <c r="G34" i="3"/>
  <c r="E34"/>
  <c r="I35"/>
  <c r="A35"/>
  <c r="F34"/>
  <c r="H34"/>
  <c r="G35" i="2"/>
  <c r="E35"/>
  <c r="I36"/>
  <c r="A36"/>
  <c r="F35"/>
  <c r="H35"/>
  <c r="G34" i="1"/>
  <c r="E34"/>
  <c r="I35"/>
  <c r="A35"/>
  <c r="F34"/>
  <c r="H34"/>
  <c r="G26" i="13" l="1"/>
  <c r="E26"/>
  <c r="I27"/>
  <c r="A27"/>
  <c r="F26"/>
  <c r="H26"/>
  <c r="G26" i="12"/>
  <c r="E26"/>
  <c r="I27"/>
  <c r="A27"/>
  <c r="F26"/>
  <c r="H26"/>
  <c r="G26" i="11"/>
  <c r="E26"/>
  <c r="I27"/>
  <c r="A27"/>
  <c r="F26"/>
  <c r="H26"/>
  <c r="B41" i="8"/>
  <c r="G40"/>
  <c r="E40"/>
  <c r="D40" s="1"/>
  <c r="C40" s="1"/>
  <c r="E41" i="4"/>
  <c r="C42"/>
  <c r="A43"/>
  <c r="D42"/>
  <c r="B42"/>
  <c r="C43" i="6"/>
  <c r="A44"/>
  <c r="F43"/>
  <c r="F41" i="4"/>
  <c r="G41" s="1"/>
  <c r="A43" i="8"/>
  <c r="F42"/>
  <c r="B41" i="6"/>
  <c r="G40"/>
  <c r="E40"/>
  <c r="D40" s="1"/>
  <c r="I36" i="3"/>
  <c r="A36"/>
  <c r="F35"/>
  <c r="G35"/>
  <c r="E35"/>
  <c r="H35"/>
  <c r="I37" i="2"/>
  <c r="A37"/>
  <c r="F36"/>
  <c r="G36"/>
  <c r="E36"/>
  <c r="H36"/>
  <c r="I36" i="1"/>
  <c r="A36"/>
  <c r="F35"/>
  <c r="G35"/>
  <c r="E35"/>
  <c r="H35"/>
  <c r="I28" i="13" l="1"/>
  <c r="A28"/>
  <c r="F27"/>
  <c r="G27"/>
  <c r="E27"/>
  <c r="H27"/>
  <c r="I28" i="12"/>
  <c r="A28"/>
  <c r="F27"/>
  <c r="G27"/>
  <c r="E27"/>
  <c r="H27"/>
  <c r="I28" i="11"/>
  <c r="A28"/>
  <c r="F27"/>
  <c r="G27"/>
  <c r="E27"/>
  <c r="H27"/>
  <c r="B42" i="6"/>
  <c r="G41"/>
  <c r="E41"/>
  <c r="D41" s="1"/>
  <c r="A44" i="8"/>
  <c r="F43"/>
  <c r="A45" i="6"/>
  <c r="F44"/>
  <c r="C44"/>
  <c r="E42" i="4"/>
  <c r="F42" s="1"/>
  <c r="G42" s="1"/>
  <c r="A44"/>
  <c r="D43"/>
  <c r="B43"/>
  <c r="C43"/>
  <c r="B42" i="8"/>
  <c r="G41"/>
  <c r="E41"/>
  <c r="D41" s="1"/>
  <c r="C41" s="1"/>
  <c r="I37" i="3"/>
  <c r="G36"/>
  <c r="E36"/>
  <c r="A37"/>
  <c r="F36"/>
  <c r="H36"/>
  <c r="I38" i="2"/>
  <c r="A38"/>
  <c r="G37"/>
  <c r="E37"/>
  <c r="F37"/>
  <c r="H37"/>
  <c r="I37" i="1"/>
  <c r="G36"/>
  <c r="E36"/>
  <c r="A37"/>
  <c r="F36"/>
  <c r="H36"/>
  <c r="I29" i="13" l="1"/>
  <c r="A29"/>
  <c r="G28"/>
  <c r="E28"/>
  <c r="F28"/>
  <c r="H28"/>
  <c r="I29" i="12"/>
  <c r="A29"/>
  <c r="G28"/>
  <c r="E28"/>
  <c r="F28"/>
  <c r="H28"/>
  <c r="I29" i="11"/>
  <c r="A29"/>
  <c r="G28"/>
  <c r="E28"/>
  <c r="F28"/>
  <c r="H28"/>
  <c r="B43" i="8"/>
  <c r="G42"/>
  <c r="E42"/>
  <c r="D42" s="1"/>
  <c r="C42" s="1"/>
  <c r="E43" i="4"/>
  <c r="C44"/>
  <c r="A45"/>
  <c r="D44"/>
  <c r="B44"/>
  <c r="A45" i="8"/>
  <c r="F44"/>
  <c r="F43" i="4"/>
  <c r="G43" s="1"/>
  <c r="C45" i="6"/>
  <c r="A46"/>
  <c r="F45"/>
  <c r="B43"/>
  <c r="G42"/>
  <c r="E42"/>
  <c r="D42" s="1"/>
  <c r="F37" i="3"/>
  <c r="I38"/>
  <c r="A38"/>
  <c r="G37"/>
  <c r="E37"/>
  <c r="H37"/>
  <c r="I39" i="2"/>
  <c r="A39"/>
  <c r="F38"/>
  <c r="E38"/>
  <c r="G38"/>
  <c r="H38"/>
  <c r="I38" i="1"/>
  <c r="F37"/>
  <c r="A38"/>
  <c r="G37"/>
  <c r="E37"/>
  <c r="H37"/>
  <c r="I30" i="13" l="1"/>
  <c r="A30"/>
  <c r="F29"/>
  <c r="E29"/>
  <c r="G29"/>
  <c r="H29"/>
  <c r="I30" i="12"/>
  <c r="A30"/>
  <c r="F29"/>
  <c r="E29"/>
  <c r="G29"/>
  <c r="H29"/>
  <c r="I30" i="11"/>
  <c r="A30"/>
  <c r="F29"/>
  <c r="G29"/>
  <c r="E29"/>
  <c r="H29"/>
  <c r="B44" i="6"/>
  <c r="G43"/>
  <c r="E43"/>
  <c r="D43" s="1"/>
  <c r="A47"/>
  <c r="F46"/>
  <c r="C46"/>
  <c r="A46" i="8"/>
  <c r="F45"/>
  <c r="E44" i="4"/>
  <c r="F44" s="1"/>
  <c r="G44" s="1"/>
  <c r="A46"/>
  <c r="D45"/>
  <c r="B45"/>
  <c r="C45"/>
  <c r="B44" i="8"/>
  <c r="G43"/>
  <c r="E43"/>
  <c r="D43" s="1"/>
  <c r="C43" s="1"/>
  <c r="I39" i="3"/>
  <c r="A39"/>
  <c r="F38"/>
  <c r="G38"/>
  <c r="E38"/>
  <c r="H38"/>
  <c r="G39" i="2"/>
  <c r="E39"/>
  <c r="I40"/>
  <c r="A40"/>
  <c r="F39"/>
  <c r="H39"/>
  <c r="I39" i="1"/>
  <c r="A39"/>
  <c r="F38"/>
  <c r="G38"/>
  <c r="E38"/>
  <c r="H38"/>
  <c r="G30" i="13" l="1"/>
  <c r="E30"/>
  <c r="I31"/>
  <c r="A31"/>
  <c r="F30"/>
  <c r="H30"/>
  <c r="G30" i="12"/>
  <c r="E30"/>
  <c r="I31"/>
  <c r="A31"/>
  <c r="F30"/>
  <c r="H30"/>
  <c r="G30" i="11"/>
  <c r="E30"/>
  <c r="I31"/>
  <c r="A31"/>
  <c r="F30"/>
  <c r="H30"/>
  <c r="B45" i="8"/>
  <c r="G44"/>
  <c r="E44"/>
  <c r="D44" s="1"/>
  <c r="C44" s="1"/>
  <c r="E45" i="4"/>
  <c r="C46"/>
  <c r="A47"/>
  <c r="D46"/>
  <c r="B46"/>
  <c r="C47" i="6"/>
  <c r="A48"/>
  <c r="F47"/>
  <c r="F45" i="4"/>
  <c r="G45" s="1"/>
  <c r="A47" i="8"/>
  <c r="F46"/>
  <c r="B45" i="6"/>
  <c r="G44"/>
  <c r="E44"/>
  <c r="D44" s="1"/>
  <c r="I40" i="3"/>
  <c r="A40"/>
  <c r="G39"/>
  <c r="E39"/>
  <c r="F39"/>
  <c r="H39"/>
  <c r="I41" i="2"/>
  <c r="A41"/>
  <c r="F40"/>
  <c r="E40"/>
  <c r="G40"/>
  <c r="H40"/>
  <c r="I40" i="1"/>
  <c r="A40"/>
  <c r="F39"/>
  <c r="G39"/>
  <c r="E39"/>
  <c r="H39"/>
  <c r="I32" i="13" l="1"/>
  <c r="A32"/>
  <c r="F31"/>
  <c r="E31"/>
  <c r="G31"/>
  <c r="H31"/>
  <c r="I32" i="12"/>
  <c r="A32"/>
  <c r="F31"/>
  <c r="E31"/>
  <c r="G31"/>
  <c r="H31"/>
  <c r="I32" i="11"/>
  <c r="A32"/>
  <c r="F31"/>
  <c r="G31"/>
  <c r="E31"/>
  <c r="H31"/>
  <c r="B46" i="6"/>
  <c r="G45"/>
  <c r="E45"/>
  <c r="D45" s="1"/>
  <c r="A48" i="8"/>
  <c r="F47"/>
  <c r="A49" i="6"/>
  <c r="F48"/>
  <c r="C48"/>
  <c r="E46" i="4"/>
  <c r="F46" s="1"/>
  <c r="G46" s="1"/>
  <c r="A48"/>
  <c r="D47"/>
  <c r="B47"/>
  <c r="C47"/>
  <c r="B46" i="8"/>
  <c r="G45"/>
  <c r="E45"/>
  <c r="D45" s="1"/>
  <c r="C45" s="1"/>
  <c r="G40" i="3"/>
  <c r="E40"/>
  <c r="I41"/>
  <c r="A41"/>
  <c r="F40"/>
  <c r="H40"/>
  <c r="I42" i="2"/>
  <c r="A42"/>
  <c r="F41"/>
  <c r="G41"/>
  <c r="E41"/>
  <c r="H41"/>
  <c r="G40" i="1"/>
  <c r="E40"/>
  <c r="I41"/>
  <c r="A41"/>
  <c r="F40"/>
  <c r="H40"/>
  <c r="G32" i="13" l="1"/>
  <c r="E32"/>
  <c r="I33"/>
  <c r="A33"/>
  <c r="F32"/>
  <c r="H32"/>
  <c r="G32" i="12"/>
  <c r="E32"/>
  <c r="I33"/>
  <c r="A33"/>
  <c r="F32"/>
  <c r="H32"/>
  <c r="G32" i="11"/>
  <c r="E32"/>
  <c r="I33"/>
  <c r="A33"/>
  <c r="F32"/>
  <c r="H32"/>
  <c r="B47" i="8"/>
  <c r="G46"/>
  <c r="E46"/>
  <c r="D46" s="1"/>
  <c r="C46" s="1"/>
  <c r="E47" i="4"/>
  <c r="C48"/>
  <c r="A49"/>
  <c r="D48"/>
  <c r="B48"/>
  <c r="A49" i="8"/>
  <c r="F48"/>
  <c r="F47" i="4"/>
  <c r="G47" s="1"/>
  <c r="C49" i="6"/>
  <c r="A50"/>
  <c r="F49"/>
  <c r="B47"/>
  <c r="G46"/>
  <c r="E46"/>
  <c r="D46" s="1"/>
  <c r="I42" i="3"/>
  <c r="A42"/>
  <c r="F41"/>
  <c r="G41"/>
  <c r="E41"/>
  <c r="H41"/>
  <c r="G42" i="2"/>
  <c r="E42"/>
  <c r="I43"/>
  <c r="A43"/>
  <c r="F42"/>
  <c r="H42"/>
  <c r="I42" i="1"/>
  <c r="A42"/>
  <c r="F41"/>
  <c r="G41"/>
  <c r="E41"/>
  <c r="H41"/>
  <c r="I34" i="13" l="1"/>
  <c r="A34"/>
  <c r="F33"/>
  <c r="G33"/>
  <c r="E33"/>
  <c r="H33"/>
  <c r="I34" i="12"/>
  <c r="A34"/>
  <c r="F33"/>
  <c r="E33"/>
  <c r="G33"/>
  <c r="H33"/>
  <c r="I34" i="11"/>
  <c r="A34"/>
  <c r="F33"/>
  <c r="G33"/>
  <c r="E33"/>
  <c r="H33"/>
  <c r="B48" i="6"/>
  <c r="G47"/>
  <c r="E47"/>
  <c r="D47" s="1"/>
  <c r="A51"/>
  <c r="F50"/>
  <c r="C50"/>
  <c r="A50" i="8"/>
  <c r="F49"/>
  <c r="E48" i="4"/>
  <c r="F48" s="1"/>
  <c r="G48" s="1"/>
  <c r="A50"/>
  <c r="D49"/>
  <c r="B49"/>
  <c r="C49"/>
  <c r="B48" i="8"/>
  <c r="G47"/>
  <c r="E47"/>
  <c r="D47" s="1"/>
  <c r="C47" s="1"/>
  <c r="G42" i="3"/>
  <c r="E42"/>
  <c r="I43"/>
  <c r="A43"/>
  <c r="F42"/>
  <c r="H42"/>
  <c r="I44" i="2"/>
  <c r="A44"/>
  <c r="F43"/>
  <c r="G43"/>
  <c r="E43"/>
  <c r="H43"/>
  <c r="G42" i="1"/>
  <c r="E42"/>
  <c r="I43"/>
  <c r="A43"/>
  <c r="F42"/>
  <c r="H42"/>
  <c r="G34" i="13" l="1"/>
  <c r="E34"/>
  <c r="I35"/>
  <c r="A35"/>
  <c r="F34"/>
  <c r="H34"/>
  <c r="G34" i="12"/>
  <c r="E34"/>
  <c r="I35"/>
  <c r="A35"/>
  <c r="F34"/>
  <c r="H34"/>
  <c r="G34" i="11"/>
  <c r="E34"/>
  <c r="I35"/>
  <c r="A35"/>
  <c r="F34"/>
  <c r="H34"/>
  <c r="B49" i="8"/>
  <c r="G48"/>
  <c r="E48"/>
  <c r="D48" s="1"/>
  <c r="C48" s="1"/>
  <c r="E49" i="4"/>
  <c r="C50"/>
  <c r="A51"/>
  <c r="D50"/>
  <c r="B50"/>
  <c r="C51" i="6"/>
  <c r="A52"/>
  <c r="F51"/>
  <c r="F49" i="4"/>
  <c r="G49" s="1"/>
  <c r="A51" i="8"/>
  <c r="F50"/>
  <c r="B49" i="6"/>
  <c r="G48"/>
  <c r="E48"/>
  <c r="D48" s="1"/>
  <c r="I44" i="3"/>
  <c r="A44"/>
  <c r="F43"/>
  <c r="G43"/>
  <c r="E43"/>
  <c r="H43"/>
  <c r="G44" i="2"/>
  <c r="E44"/>
  <c r="I45"/>
  <c r="A45"/>
  <c r="F44"/>
  <c r="H44"/>
  <c r="I44" i="1"/>
  <c r="A44"/>
  <c r="F43"/>
  <c r="G43"/>
  <c r="E43"/>
  <c r="H43"/>
  <c r="I36" i="13" l="1"/>
  <c r="A36"/>
  <c r="F35"/>
  <c r="G35"/>
  <c r="E35"/>
  <c r="H35"/>
  <c r="I36" i="12"/>
  <c r="A36"/>
  <c r="F35"/>
  <c r="G35"/>
  <c r="E35"/>
  <c r="H35"/>
  <c r="I36" i="11"/>
  <c r="A36"/>
  <c r="F35"/>
  <c r="G35"/>
  <c r="E35"/>
  <c r="H35"/>
  <c r="B50" i="6"/>
  <c r="G49"/>
  <c r="E49"/>
  <c r="D49" s="1"/>
  <c r="A52" i="8"/>
  <c r="F51"/>
  <c r="A53" i="6"/>
  <c r="F52"/>
  <c r="C52"/>
  <c r="E50" i="4"/>
  <c r="F50" s="1"/>
  <c r="G50" s="1"/>
  <c r="A52"/>
  <c r="D51"/>
  <c r="B51"/>
  <c r="C51"/>
  <c r="B50" i="8"/>
  <c r="G49"/>
  <c r="E49"/>
  <c r="D49" s="1"/>
  <c r="C49" s="1"/>
  <c r="G44" i="3"/>
  <c r="E44"/>
  <c r="I45"/>
  <c r="A45"/>
  <c r="F44"/>
  <c r="H44"/>
  <c r="I46" i="2"/>
  <c r="A46"/>
  <c r="F45"/>
  <c r="G45"/>
  <c r="E45"/>
  <c r="H45"/>
  <c r="G44" i="1"/>
  <c r="E44"/>
  <c r="I45"/>
  <c r="A45"/>
  <c r="F44"/>
  <c r="H44"/>
  <c r="G36" i="13" l="1"/>
  <c r="E36"/>
  <c r="I37"/>
  <c r="A37"/>
  <c r="F36"/>
  <c r="H36"/>
  <c r="G36" i="12"/>
  <c r="E36"/>
  <c r="I37"/>
  <c r="A37"/>
  <c r="F36"/>
  <c r="H36"/>
  <c r="G36" i="11"/>
  <c r="E36"/>
  <c r="I37"/>
  <c r="A37"/>
  <c r="F36"/>
  <c r="H36"/>
  <c r="B51" i="8"/>
  <c r="G50"/>
  <c r="E50"/>
  <c r="D50" s="1"/>
  <c r="C50" s="1"/>
  <c r="E51" i="4"/>
  <c r="C52"/>
  <c r="A53"/>
  <c r="D52"/>
  <c r="B52"/>
  <c r="A53" i="8"/>
  <c r="F52"/>
  <c r="F51" i="4"/>
  <c r="G51" s="1"/>
  <c r="C53" i="6"/>
  <c r="A54"/>
  <c r="F53"/>
  <c r="B51"/>
  <c r="G50"/>
  <c r="E50"/>
  <c r="D50" s="1"/>
  <c r="I46" i="3"/>
  <c r="A46"/>
  <c r="F45"/>
  <c r="G45"/>
  <c r="E45"/>
  <c r="H45"/>
  <c r="G46" i="2"/>
  <c r="E46"/>
  <c r="I47"/>
  <c r="A47"/>
  <c r="F46"/>
  <c r="H46"/>
  <c r="I46" i="1"/>
  <c r="A46"/>
  <c r="F45"/>
  <c r="G45"/>
  <c r="E45"/>
  <c r="H45"/>
  <c r="I38" i="13" l="1"/>
  <c r="A38"/>
  <c r="F37"/>
  <c r="G37"/>
  <c r="E37"/>
  <c r="H37"/>
  <c r="I38" i="12"/>
  <c r="A38"/>
  <c r="F37"/>
  <c r="G37"/>
  <c r="E37"/>
  <c r="H37"/>
  <c r="I38" i="11"/>
  <c r="A38"/>
  <c r="F37"/>
  <c r="G37"/>
  <c r="E37"/>
  <c r="H37"/>
  <c r="B52" i="6"/>
  <c r="G51"/>
  <c r="E51"/>
  <c r="D51" s="1"/>
  <c r="A55"/>
  <c r="F54"/>
  <c r="C54"/>
  <c r="A54" i="8"/>
  <c r="F53"/>
  <c r="E52" i="4"/>
  <c r="F52" s="1"/>
  <c r="G52" s="1"/>
  <c r="A54"/>
  <c r="D53"/>
  <c r="B53"/>
  <c r="C53"/>
  <c r="B52" i="8"/>
  <c r="G51"/>
  <c r="E51"/>
  <c r="D51" s="1"/>
  <c r="C51" s="1"/>
  <c r="G46" i="3"/>
  <c r="E46"/>
  <c r="I47"/>
  <c r="A47"/>
  <c r="F46"/>
  <c r="H46"/>
  <c r="I48" i="2"/>
  <c r="A48"/>
  <c r="F47"/>
  <c r="G47"/>
  <c r="E47"/>
  <c r="H47"/>
  <c r="G46" i="1"/>
  <c r="E46"/>
  <c r="I47"/>
  <c r="A47"/>
  <c r="F46"/>
  <c r="H46"/>
  <c r="G38" i="13" l="1"/>
  <c r="E38"/>
  <c r="I39"/>
  <c r="A39"/>
  <c r="F38"/>
  <c r="H38"/>
  <c r="G38" i="12"/>
  <c r="E38"/>
  <c r="I39"/>
  <c r="A39"/>
  <c r="F38"/>
  <c r="H38"/>
  <c r="G38" i="11"/>
  <c r="E38"/>
  <c r="I39"/>
  <c r="A39"/>
  <c r="F38"/>
  <c r="H38"/>
  <c r="B53" i="8"/>
  <c r="G52"/>
  <c r="E52"/>
  <c r="D52" s="1"/>
  <c r="C52" s="1"/>
  <c r="E53" i="4"/>
  <c r="C54"/>
  <c r="A55"/>
  <c r="D54"/>
  <c r="B54"/>
  <c r="C55" i="6"/>
  <c r="A56"/>
  <c r="F55"/>
  <c r="F53" i="4"/>
  <c r="G53" s="1"/>
  <c r="A55" i="8"/>
  <c r="F54"/>
  <c r="B53" i="6"/>
  <c r="G52"/>
  <c r="E52"/>
  <c r="D52" s="1"/>
  <c r="I48" i="3"/>
  <c r="A48"/>
  <c r="F47"/>
  <c r="G47"/>
  <c r="E47"/>
  <c r="H47"/>
  <c r="G48" i="2"/>
  <c r="E48"/>
  <c r="I49"/>
  <c r="A49"/>
  <c r="F48"/>
  <c r="H48"/>
  <c r="I48" i="1"/>
  <c r="A48"/>
  <c r="F47"/>
  <c r="G47"/>
  <c r="E47"/>
  <c r="H47"/>
  <c r="I40" i="13" l="1"/>
  <c r="A40"/>
  <c r="F39"/>
  <c r="G39"/>
  <c r="E39"/>
  <c r="H39"/>
  <c r="I40" i="12"/>
  <c r="A40"/>
  <c r="F39"/>
  <c r="G39"/>
  <c r="E39"/>
  <c r="H39"/>
  <c r="I40" i="11"/>
  <c r="A40"/>
  <c r="F39"/>
  <c r="G39"/>
  <c r="E39"/>
  <c r="H39"/>
  <c r="B54" i="6"/>
  <c r="G53"/>
  <c r="E53"/>
  <c r="D53" s="1"/>
  <c r="A56" i="8"/>
  <c r="F55"/>
  <c r="A57" i="6"/>
  <c r="F56"/>
  <c r="C56"/>
  <c r="E54" i="4"/>
  <c r="F54" s="1"/>
  <c r="G54" s="1"/>
  <c r="A56"/>
  <c r="D55"/>
  <c r="B55"/>
  <c r="C55"/>
  <c r="B54" i="8"/>
  <c r="G53"/>
  <c r="E53"/>
  <c r="D53" s="1"/>
  <c r="C53" s="1"/>
  <c r="G48" i="3"/>
  <c r="E48"/>
  <c r="I49"/>
  <c r="A49"/>
  <c r="F48"/>
  <c r="H48"/>
  <c r="I50" i="2"/>
  <c r="A50"/>
  <c r="F49"/>
  <c r="G49"/>
  <c r="E49"/>
  <c r="H49"/>
  <c r="G48" i="1"/>
  <c r="E48"/>
  <c r="I49"/>
  <c r="A49"/>
  <c r="F48"/>
  <c r="H48"/>
  <c r="G40" i="13" l="1"/>
  <c r="E40"/>
  <c r="I41"/>
  <c r="A41"/>
  <c r="F40"/>
  <c r="H40"/>
  <c r="G40" i="12"/>
  <c r="E40"/>
  <c r="I41"/>
  <c r="A41"/>
  <c r="F40"/>
  <c r="H40"/>
  <c r="G40" i="11"/>
  <c r="E40"/>
  <c r="I41"/>
  <c r="A41"/>
  <c r="F40"/>
  <c r="H40"/>
  <c r="B55" i="8"/>
  <c r="G54"/>
  <c r="E54"/>
  <c r="D54" s="1"/>
  <c r="C54" s="1"/>
  <c r="E55" i="4"/>
  <c r="C56"/>
  <c r="A57"/>
  <c r="D56"/>
  <c r="B56"/>
  <c r="A57" i="8"/>
  <c r="F56"/>
  <c r="F55" i="4"/>
  <c r="G55" s="1"/>
  <c r="C57" i="6"/>
  <c r="A58"/>
  <c r="F57"/>
  <c r="B55"/>
  <c r="G54"/>
  <c r="E54"/>
  <c r="D54" s="1"/>
  <c r="I50" i="3"/>
  <c r="A50"/>
  <c r="F49"/>
  <c r="G49"/>
  <c r="E49"/>
  <c r="H49"/>
  <c r="G50" i="2"/>
  <c r="E50"/>
  <c r="I51"/>
  <c r="A51"/>
  <c r="F50"/>
  <c r="H50"/>
  <c r="I50" i="1"/>
  <c r="A50"/>
  <c r="F49"/>
  <c r="G49"/>
  <c r="E49"/>
  <c r="H49"/>
  <c r="I42" i="13" l="1"/>
  <c r="A42"/>
  <c r="F41"/>
  <c r="G41"/>
  <c r="E41"/>
  <c r="H41"/>
  <c r="I42" i="12"/>
  <c r="A42"/>
  <c r="F41"/>
  <c r="G41"/>
  <c r="E41"/>
  <c r="H41"/>
  <c r="I42" i="11"/>
  <c r="A42"/>
  <c r="F41"/>
  <c r="G41"/>
  <c r="E41"/>
  <c r="H41"/>
  <c r="B56" i="6"/>
  <c r="G55"/>
  <c r="E55"/>
  <c r="D55" s="1"/>
  <c r="A59"/>
  <c r="F58"/>
  <c r="C58"/>
  <c r="A58" i="8"/>
  <c r="F57"/>
  <c r="E56" i="4"/>
  <c r="F56" s="1"/>
  <c r="G56" s="1"/>
  <c r="A58"/>
  <c r="D57"/>
  <c r="B57"/>
  <c r="C57"/>
  <c r="B56" i="8"/>
  <c r="G55"/>
  <c r="E55"/>
  <c r="D55" s="1"/>
  <c r="C55" s="1"/>
  <c r="G50" i="3"/>
  <c r="E50"/>
  <c r="I51"/>
  <c r="A51"/>
  <c r="F50"/>
  <c r="H50"/>
  <c r="I52" i="2"/>
  <c r="A52"/>
  <c r="F51"/>
  <c r="G51"/>
  <c r="E51"/>
  <c r="H51"/>
  <c r="G50" i="1"/>
  <c r="E50"/>
  <c r="I51"/>
  <c r="A51"/>
  <c r="F50"/>
  <c r="H50"/>
  <c r="G42" i="13" l="1"/>
  <c r="E42"/>
  <c r="I43"/>
  <c r="A43"/>
  <c r="F42"/>
  <c r="H42"/>
  <c r="G42" i="12"/>
  <c r="E42"/>
  <c r="I43"/>
  <c r="A43"/>
  <c r="F42"/>
  <c r="H42"/>
  <c r="G42" i="11"/>
  <c r="E42"/>
  <c r="I43"/>
  <c r="A43"/>
  <c r="F42"/>
  <c r="H42"/>
  <c r="B57" i="8"/>
  <c r="G56"/>
  <c r="E56"/>
  <c r="D56" s="1"/>
  <c r="C56" s="1"/>
  <c r="E57" i="4"/>
  <c r="C58"/>
  <c r="A59"/>
  <c r="D58"/>
  <c r="B58"/>
  <c r="C59" i="6"/>
  <c r="A60"/>
  <c r="F59"/>
  <c r="F57" i="4"/>
  <c r="G57" s="1"/>
  <c r="A59" i="8"/>
  <c r="F58"/>
  <c r="B57" i="6"/>
  <c r="G56"/>
  <c r="E56"/>
  <c r="D56" s="1"/>
  <c r="I52" i="3"/>
  <c r="A52"/>
  <c r="F51"/>
  <c r="G51"/>
  <c r="E51"/>
  <c r="H51"/>
  <c r="G52" i="2"/>
  <c r="E52"/>
  <c r="I53"/>
  <c r="A53"/>
  <c r="F52"/>
  <c r="H52"/>
  <c r="I52" i="1"/>
  <c r="A52"/>
  <c r="F51"/>
  <c r="G51"/>
  <c r="E51"/>
  <c r="H51"/>
  <c r="I44" i="13" l="1"/>
  <c r="A44"/>
  <c r="F43"/>
  <c r="G43"/>
  <c r="E43"/>
  <c r="H43"/>
  <c r="I44" i="12"/>
  <c r="A44"/>
  <c r="F43"/>
  <c r="G43"/>
  <c r="E43"/>
  <c r="H43"/>
  <c r="I44" i="11"/>
  <c r="A44"/>
  <c r="F43"/>
  <c r="G43"/>
  <c r="E43"/>
  <c r="H43"/>
  <c r="B58" i="6"/>
  <c r="G57"/>
  <c r="E57"/>
  <c r="D57" s="1"/>
  <c r="A60" i="8"/>
  <c r="F59"/>
  <c r="A61" i="6"/>
  <c r="F60"/>
  <c r="C60"/>
  <c r="E58" i="4"/>
  <c r="F58" s="1"/>
  <c r="G58" s="1"/>
  <c r="A60"/>
  <c r="D59"/>
  <c r="B59"/>
  <c r="C59"/>
  <c r="B58" i="8"/>
  <c r="G57"/>
  <c r="E57"/>
  <c r="D57" s="1"/>
  <c r="C57" s="1"/>
  <c r="G52" i="3"/>
  <c r="E52"/>
  <c r="I53"/>
  <c r="A53"/>
  <c r="F52"/>
  <c r="H52"/>
  <c r="I54" i="2"/>
  <c r="A54"/>
  <c r="F53"/>
  <c r="G53"/>
  <c r="E53"/>
  <c r="H53"/>
  <c r="G52" i="1"/>
  <c r="E52"/>
  <c r="I53"/>
  <c r="A53"/>
  <c r="F52"/>
  <c r="H52"/>
  <c r="G44" i="13" l="1"/>
  <c r="E44"/>
  <c r="I45"/>
  <c r="A45"/>
  <c r="F44"/>
  <c r="H44"/>
  <c r="G44" i="12"/>
  <c r="E44"/>
  <c r="I45"/>
  <c r="A45"/>
  <c r="F44"/>
  <c r="H44"/>
  <c r="G44" i="11"/>
  <c r="E44"/>
  <c r="I45"/>
  <c r="A45"/>
  <c r="F44"/>
  <c r="H44"/>
  <c r="B59" i="8"/>
  <c r="G58"/>
  <c r="E58"/>
  <c r="D58" s="1"/>
  <c r="C58" s="1"/>
  <c r="E59" i="4"/>
  <c r="C60"/>
  <c r="A61"/>
  <c r="D60"/>
  <c r="B60"/>
  <c r="A61" i="8"/>
  <c r="F60"/>
  <c r="F59" i="4"/>
  <c r="G59" s="1"/>
  <c r="C61" i="6"/>
  <c r="A62"/>
  <c r="F61"/>
  <c r="B59"/>
  <c r="G58"/>
  <c r="E58"/>
  <c r="D58" s="1"/>
  <c r="I54" i="3"/>
  <c r="A54"/>
  <c r="F53"/>
  <c r="G53"/>
  <c r="E53"/>
  <c r="H53"/>
  <c r="G54" i="2"/>
  <c r="E54"/>
  <c r="I55"/>
  <c r="A55"/>
  <c r="F54"/>
  <c r="H54"/>
  <c r="I54" i="1"/>
  <c r="A54"/>
  <c r="F53"/>
  <c r="G53"/>
  <c r="E53"/>
  <c r="H53"/>
  <c r="I46" i="13" l="1"/>
  <c r="A46"/>
  <c r="F45"/>
  <c r="G45"/>
  <c r="E45"/>
  <c r="H45"/>
  <c r="I46" i="12"/>
  <c r="A46"/>
  <c r="F45"/>
  <c r="G45"/>
  <c r="E45"/>
  <c r="H45"/>
  <c r="I46" i="11"/>
  <c r="A46"/>
  <c r="F45"/>
  <c r="G45"/>
  <c r="E45"/>
  <c r="H45"/>
  <c r="B60" i="6"/>
  <c r="G59"/>
  <c r="E59"/>
  <c r="D59" s="1"/>
  <c r="A63"/>
  <c r="F62"/>
  <c r="C62"/>
  <c r="A62" i="8"/>
  <c r="F61"/>
  <c r="E60" i="4"/>
  <c r="F60" s="1"/>
  <c r="G60" s="1"/>
  <c r="A62"/>
  <c r="D61"/>
  <c r="B61"/>
  <c r="C61"/>
  <c r="B60" i="8"/>
  <c r="G59"/>
  <c r="E59"/>
  <c r="D59" s="1"/>
  <c r="C59" s="1"/>
  <c r="G54" i="3"/>
  <c r="E54"/>
  <c r="I55"/>
  <c r="A55"/>
  <c r="F54"/>
  <c r="H54"/>
  <c r="I56" i="2"/>
  <c r="A56"/>
  <c r="F55"/>
  <c r="G55"/>
  <c r="E55"/>
  <c r="H55"/>
  <c r="G54" i="1"/>
  <c r="E54"/>
  <c r="I55"/>
  <c r="A55"/>
  <c r="F54"/>
  <c r="H54"/>
  <c r="G46" i="13" l="1"/>
  <c r="E46"/>
  <c r="I47"/>
  <c r="A47"/>
  <c r="F46"/>
  <c r="H46"/>
  <c r="G46" i="12"/>
  <c r="E46"/>
  <c r="I47"/>
  <c r="A47"/>
  <c r="F46"/>
  <c r="H46"/>
  <c r="G46" i="11"/>
  <c r="E46"/>
  <c r="I47"/>
  <c r="A47"/>
  <c r="F46"/>
  <c r="H46"/>
  <c r="B61" i="8"/>
  <c r="G60"/>
  <c r="E60"/>
  <c r="D60" s="1"/>
  <c r="C60" s="1"/>
  <c r="E61" i="4"/>
  <c r="C62"/>
  <c r="A63"/>
  <c r="D62"/>
  <c r="B62"/>
  <c r="C63" i="6"/>
  <c r="A64"/>
  <c r="F63"/>
  <c r="F61" i="4"/>
  <c r="G61" s="1"/>
  <c r="A63" i="8"/>
  <c r="F62"/>
  <c r="B61" i="6"/>
  <c r="G60"/>
  <c r="E60"/>
  <c r="D60" s="1"/>
  <c r="I56" i="3"/>
  <c r="A56"/>
  <c r="F55"/>
  <c r="G55"/>
  <c r="E55"/>
  <c r="H55"/>
  <c r="G56" i="2"/>
  <c r="E56"/>
  <c r="I57"/>
  <c r="A57"/>
  <c r="F56"/>
  <c r="H56"/>
  <c r="I56" i="1"/>
  <c r="A56"/>
  <c r="F55"/>
  <c r="G55"/>
  <c r="E55"/>
  <c r="H55"/>
  <c r="I48" i="13" l="1"/>
  <c r="A48"/>
  <c r="F47"/>
  <c r="G47"/>
  <c r="E47"/>
  <c r="H47"/>
  <c r="I48" i="12"/>
  <c r="A48"/>
  <c r="F47"/>
  <c r="G47"/>
  <c r="E47"/>
  <c r="H47"/>
  <c r="I48" i="11"/>
  <c r="A48"/>
  <c r="F47"/>
  <c r="G47"/>
  <c r="E47"/>
  <c r="H47"/>
  <c r="B62" i="6"/>
  <c r="G61"/>
  <c r="E61"/>
  <c r="D61" s="1"/>
  <c r="A64" i="8"/>
  <c r="F63"/>
  <c r="A65" i="6"/>
  <c r="F64"/>
  <c r="C64"/>
  <c r="E62" i="4"/>
  <c r="F62" s="1"/>
  <c r="G62" s="1"/>
  <c r="A64"/>
  <c r="D63"/>
  <c r="B63"/>
  <c r="C63"/>
  <c r="B62" i="8"/>
  <c r="G61"/>
  <c r="E61"/>
  <c r="D61" s="1"/>
  <c r="C61" s="1"/>
  <c r="G56" i="3"/>
  <c r="E56"/>
  <c r="I57"/>
  <c r="A57"/>
  <c r="F56"/>
  <c r="H56"/>
  <c r="I58" i="2"/>
  <c r="A58"/>
  <c r="F57"/>
  <c r="G57"/>
  <c r="E57"/>
  <c r="H57"/>
  <c r="G56" i="1"/>
  <c r="E56"/>
  <c r="I57"/>
  <c r="A57"/>
  <c r="F56"/>
  <c r="H56"/>
  <c r="G48" i="13" l="1"/>
  <c r="E48"/>
  <c r="I49"/>
  <c r="A49"/>
  <c r="F48"/>
  <c r="H48"/>
  <c r="G48" i="12"/>
  <c r="E48"/>
  <c r="I49"/>
  <c r="A49"/>
  <c r="F48"/>
  <c r="H48"/>
  <c r="G48" i="11"/>
  <c r="E48"/>
  <c r="I49"/>
  <c r="A49"/>
  <c r="F48"/>
  <c r="H48"/>
  <c r="B63" i="8"/>
  <c r="G62"/>
  <c r="E62"/>
  <c r="D62" s="1"/>
  <c r="C62" s="1"/>
  <c r="E63" i="4"/>
  <c r="C64"/>
  <c r="A65"/>
  <c r="D64"/>
  <c r="B64"/>
  <c r="A65" i="8"/>
  <c r="F64"/>
  <c r="F63" i="4"/>
  <c r="G63" s="1"/>
  <c r="C65" i="6"/>
  <c r="A66"/>
  <c r="F65"/>
  <c r="B63"/>
  <c r="G62"/>
  <c r="E62"/>
  <c r="D62" s="1"/>
  <c r="I58" i="3"/>
  <c r="A58"/>
  <c r="F57"/>
  <c r="G57"/>
  <c r="E57"/>
  <c r="H57"/>
  <c r="G58" i="2"/>
  <c r="E58"/>
  <c r="I59"/>
  <c r="A59"/>
  <c r="F58"/>
  <c r="H58"/>
  <c r="I58" i="1"/>
  <c r="A58"/>
  <c r="F57"/>
  <c r="G57"/>
  <c r="E57"/>
  <c r="H57"/>
  <c r="I50" i="13" l="1"/>
  <c r="A50"/>
  <c r="F49"/>
  <c r="G49"/>
  <c r="E49"/>
  <c r="H49"/>
  <c r="I50" i="12"/>
  <c r="A50"/>
  <c r="F49"/>
  <c r="G49"/>
  <c r="E49"/>
  <c r="H49"/>
  <c r="I50" i="11"/>
  <c r="A50"/>
  <c r="F49"/>
  <c r="G49"/>
  <c r="E49"/>
  <c r="H49"/>
  <c r="B64" i="6"/>
  <c r="G63"/>
  <c r="E63"/>
  <c r="D63" s="1"/>
  <c r="A67"/>
  <c r="F66"/>
  <c r="C66"/>
  <c r="A66" i="8"/>
  <c r="F65"/>
  <c r="E64" i="4"/>
  <c r="F64" s="1"/>
  <c r="G64" s="1"/>
  <c r="A66"/>
  <c r="D65"/>
  <c r="B65"/>
  <c r="C65"/>
  <c r="B64" i="8"/>
  <c r="G63"/>
  <c r="E63"/>
  <c r="D63" s="1"/>
  <c r="C63" s="1"/>
  <c r="G58" i="3"/>
  <c r="E58"/>
  <c r="I59"/>
  <c r="A59"/>
  <c r="F58"/>
  <c r="H58"/>
  <c r="I60" i="2"/>
  <c r="A60"/>
  <c r="F59"/>
  <c r="G59"/>
  <c r="E59"/>
  <c r="H59"/>
  <c r="G58" i="1"/>
  <c r="E58"/>
  <c r="I59"/>
  <c r="A59"/>
  <c r="F58"/>
  <c r="H58"/>
  <c r="G50" i="13" l="1"/>
  <c r="E50"/>
  <c r="I51"/>
  <c r="A51"/>
  <c r="F50"/>
  <c r="H50"/>
  <c r="G50" i="12"/>
  <c r="E50"/>
  <c r="I51"/>
  <c r="A51"/>
  <c r="F50"/>
  <c r="H50"/>
  <c r="G50" i="11"/>
  <c r="E50"/>
  <c r="I51"/>
  <c r="A51"/>
  <c r="F50"/>
  <c r="H50"/>
  <c r="B65" i="8"/>
  <c r="G64"/>
  <c r="E64"/>
  <c r="D64" s="1"/>
  <c r="C64" s="1"/>
  <c r="E65" i="4"/>
  <c r="C66"/>
  <c r="A67"/>
  <c r="D66"/>
  <c r="B66"/>
  <c r="C67" i="6"/>
  <c r="A68"/>
  <c r="F67"/>
  <c r="F65" i="4"/>
  <c r="G65" s="1"/>
  <c r="A67" i="8"/>
  <c r="F66"/>
  <c r="B65" i="6"/>
  <c r="G64"/>
  <c r="E64"/>
  <c r="D64" s="1"/>
  <c r="I60" i="3"/>
  <c r="A60"/>
  <c r="F59"/>
  <c r="G59"/>
  <c r="E59"/>
  <c r="H59"/>
  <c r="G60" i="2"/>
  <c r="E60"/>
  <c r="I61"/>
  <c r="A61"/>
  <c r="F60"/>
  <c r="H60"/>
  <c r="I60" i="1"/>
  <c r="A60"/>
  <c r="F59"/>
  <c r="G59"/>
  <c r="E59"/>
  <c r="H59"/>
  <c r="I52" i="13" l="1"/>
  <c r="A52"/>
  <c r="F51"/>
  <c r="G51"/>
  <c r="E51"/>
  <c r="H51"/>
  <c r="I52" i="12"/>
  <c r="A52"/>
  <c r="F51"/>
  <c r="G51"/>
  <c r="E51"/>
  <c r="H51"/>
  <c r="I52" i="11"/>
  <c r="A52"/>
  <c r="F51"/>
  <c r="G51"/>
  <c r="E51"/>
  <c r="H51"/>
  <c r="B66" i="6"/>
  <c r="G65"/>
  <c r="E65"/>
  <c r="D65" s="1"/>
  <c r="A68" i="8"/>
  <c r="F67"/>
  <c r="A69" i="6"/>
  <c r="F68"/>
  <c r="C68"/>
  <c r="E66" i="4"/>
  <c r="F66" s="1"/>
  <c r="G66" s="1"/>
  <c r="A68"/>
  <c r="D67"/>
  <c r="B67"/>
  <c r="C67"/>
  <c r="B66" i="8"/>
  <c r="G65"/>
  <c r="E65"/>
  <c r="D65" s="1"/>
  <c r="C65" s="1"/>
  <c r="G60" i="3"/>
  <c r="E60"/>
  <c r="I61"/>
  <c r="A61"/>
  <c r="F60"/>
  <c r="H60"/>
  <c r="I62" i="2"/>
  <c r="A62"/>
  <c r="F61"/>
  <c r="G61"/>
  <c r="E61"/>
  <c r="H61"/>
  <c r="G60" i="1"/>
  <c r="E60"/>
  <c r="I61"/>
  <c r="A61"/>
  <c r="F60"/>
  <c r="H60"/>
  <c r="G52" i="13" l="1"/>
  <c r="E52"/>
  <c r="I53"/>
  <c r="A53"/>
  <c r="F52"/>
  <c r="H52"/>
  <c r="G52" i="12"/>
  <c r="E52"/>
  <c r="I53"/>
  <c r="A53"/>
  <c r="F52"/>
  <c r="H52"/>
  <c r="G52" i="11"/>
  <c r="E52"/>
  <c r="I53"/>
  <c r="A53"/>
  <c r="F52"/>
  <c r="H52"/>
  <c r="B67" i="8"/>
  <c r="G66"/>
  <c r="E66"/>
  <c r="D66" s="1"/>
  <c r="C66" s="1"/>
  <c r="E67" i="4"/>
  <c r="C68"/>
  <c r="A69"/>
  <c r="D68"/>
  <c r="B68"/>
  <c r="A69" i="8"/>
  <c r="F68"/>
  <c r="F67" i="4"/>
  <c r="G67" s="1"/>
  <c r="C69" i="6"/>
  <c r="A70"/>
  <c r="F69"/>
  <c r="B67"/>
  <c r="G66"/>
  <c r="E66"/>
  <c r="D66" s="1"/>
  <c r="I62" i="3"/>
  <c r="A62"/>
  <c r="F61"/>
  <c r="G61"/>
  <c r="E61"/>
  <c r="H61"/>
  <c r="G62" i="2"/>
  <c r="E62"/>
  <c r="I63"/>
  <c r="A63"/>
  <c r="F62"/>
  <c r="H62"/>
  <c r="I62" i="1"/>
  <c r="A62"/>
  <c r="F61"/>
  <c r="G61"/>
  <c r="E61"/>
  <c r="H61"/>
  <c r="I54" i="13" l="1"/>
  <c r="A54"/>
  <c r="F53"/>
  <c r="G53"/>
  <c r="E53"/>
  <c r="H53"/>
  <c r="I54" i="12"/>
  <c r="A54"/>
  <c r="F53"/>
  <c r="G53"/>
  <c r="E53"/>
  <c r="H53"/>
  <c r="I54" i="11"/>
  <c r="A54"/>
  <c r="F53"/>
  <c r="G53"/>
  <c r="E53"/>
  <c r="H53"/>
  <c r="B68" i="6"/>
  <c r="G67"/>
  <c r="E67"/>
  <c r="D67" s="1"/>
  <c r="A71"/>
  <c r="F70"/>
  <c r="C70"/>
  <c r="A70" i="8"/>
  <c r="F69"/>
  <c r="E68" i="4"/>
  <c r="F68" s="1"/>
  <c r="G68" s="1"/>
  <c r="A70"/>
  <c r="D69"/>
  <c r="B69"/>
  <c r="C69"/>
  <c r="B68" i="8"/>
  <c r="G67"/>
  <c r="E67"/>
  <c r="D67" s="1"/>
  <c r="C67" s="1"/>
  <c r="G62" i="3"/>
  <c r="E62"/>
  <c r="I63"/>
  <c r="A63"/>
  <c r="F62"/>
  <c r="H62"/>
  <c r="I64" i="2"/>
  <c r="A64"/>
  <c r="F63"/>
  <c r="G63"/>
  <c r="E63"/>
  <c r="H63"/>
  <c r="G62" i="1"/>
  <c r="E62"/>
  <c r="I63"/>
  <c r="A63"/>
  <c r="F62"/>
  <c r="H62"/>
  <c r="G54" i="13" l="1"/>
  <c r="E54"/>
  <c r="I55"/>
  <c r="A55"/>
  <c r="F54"/>
  <c r="H54"/>
  <c r="G54" i="12"/>
  <c r="E54"/>
  <c r="I55"/>
  <c r="A55"/>
  <c r="F54"/>
  <c r="H54"/>
  <c r="G54" i="11"/>
  <c r="E54"/>
  <c r="I55"/>
  <c r="A55"/>
  <c r="F54"/>
  <c r="H54"/>
  <c r="B69" i="8"/>
  <c r="G68"/>
  <c r="E68"/>
  <c r="D68" s="1"/>
  <c r="C68" s="1"/>
  <c r="E69" i="4"/>
  <c r="C70"/>
  <c r="A71"/>
  <c r="D70"/>
  <c r="B70"/>
  <c r="C71" i="6"/>
  <c r="A72"/>
  <c r="F71"/>
  <c r="F69" i="4"/>
  <c r="G69" s="1"/>
  <c r="A71" i="8"/>
  <c r="F70"/>
  <c r="B69" i="6"/>
  <c r="G68"/>
  <c r="E68"/>
  <c r="D68" s="1"/>
  <c r="I64" i="3"/>
  <c r="A64"/>
  <c r="F63"/>
  <c r="G63"/>
  <c r="E63"/>
  <c r="H63"/>
  <c r="G64" i="2"/>
  <c r="E64"/>
  <c r="F64"/>
  <c r="H64"/>
  <c r="H65" s="1"/>
  <c r="I64" i="1"/>
  <c r="A64"/>
  <c r="F63"/>
  <c r="G63"/>
  <c r="E63"/>
  <c r="H63"/>
  <c r="F55" i="13" l="1"/>
  <c r="G55"/>
  <c r="E55"/>
  <c r="H55"/>
  <c r="H56" s="1"/>
  <c r="F55" i="12"/>
  <c r="G55"/>
  <c r="E55"/>
  <c r="H55"/>
  <c r="H56" s="1"/>
  <c r="F55" i="11"/>
  <c r="G55"/>
  <c r="E55"/>
  <c r="H55"/>
  <c r="H56" s="1"/>
  <c r="B70" i="6"/>
  <c r="G69"/>
  <c r="E69"/>
  <c r="D69" s="1"/>
  <c r="A72" i="8"/>
  <c r="F71"/>
  <c r="A73" i="6"/>
  <c r="F72"/>
  <c r="C72"/>
  <c r="E70" i="4"/>
  <c r="F70" s="1"/>
  <c r="G70" s="1"/>
  <c r="A72"/>
  <c r="D71"/>
  <c r="B71"/>
  <c r="C71"/>
  <c r="B70" i="8"/>
  <c r="G69"/>
  <c r="E69"/>
  <c r="D69" s="1"/>
  <c r="C69" s="1"/>
  <c r="G64" i="3"/>
  <c r="E64"/>
  <c r="F64"/>
  <c r="H64"/>
  <c r="H65" s="1"/>
  <c r="F69" i="2"/>
  <c r="F70" s="1"/>
  <c r="F68" s="1"/>
  <c r="F65"/>
  <c r="G64" i="1"/>
  <c r="E64"/>
  <c r="F64"/>
  <c r="H64"/>
  <c r="H65" s="1"/>
  <c r="F56" i="13" l="1"/>
  <c r="I6" s="1"/>
  <c r="F60"/>
  <c r="F61" s="1"/>
  <c r="F59" s="1"/>
  <c r="F60" i="12"/>
  <c r="F61" s="1"/>
  <c r="F59" s="1"/>
  <c r="F56"/>
  <c r="I6" s="1"/>
  <c r="F56" i="11"/>
  <c r="I6" s="1"/>
  <c r="F60"/>
  <c r="F61" s="1"/>
  <c r="F59" s="1"/>
  <c r="B71" i="8"/>
  <c r="G70"/>
  <c r="E70"/>
  <c r="D70" s="1"/>
  <c r="C70" s="1"/>
  <c r="E71" i="4"/>
  <c r="C72"/>
  <c r="A73"/>
  <c r="D72"/>
  <c r="B72"/>
  <c r="A73" i="8"/>
  <c r="F72"/>
  <c r="F71" i="4"/>
  <c r="G71" s="1"/>
  <c r="C73" i="6"/>
  <c r="A74"/>
  <c r="F73"/>
  <c r="B71"/>
  <c r="G70"/>
  <c r="E70"/>
  <c r="D70" s="1"/>
  <c r="F69" i="3"/>
  <c r="F70" s="1"/>
  <c r="F68" s="1"/>
  <c r="F65"/>
  <c r="I15" i="2"/>
  <c r="F69" i="1"/>
  <c r="F70" s="1"/>
  <c r="F68" s="1"/>
  <c r="F65"/>
  <c r="F57" i="13" l="1"/>
  <c r="I7"/>
  <c r="I8"/>
  <c r="I9"/>
  <c r="I10"/>
  <c r="I11"/>
  <c r="F57" i="12"/>
  <c r="I7"/>
  <c r="I8"/>
  <c r="I9"/>
  <c r="I10"/>
  <c r="I11"/>
  <c r="F57" i="11"/>
  <c r="I7"/>
  <c r="I8"/>
  <c r="I9"/>
  <c r="I10"/>
  <c r="I11"/>
  <c r="B72" i="6"/>
  <c r="G71"/>
  <c r="E71"/>
  <c r="D71" s="1"/>
  <c r="A75"/>
  <c r="F74"/>
  <c r="C74"/>
  <c r="A74" i="8"/>
  <c r="F73"/>
  <c r="E72" i="4"/>
  <c r="F72" s="1"/>
  <c r="G72" s="1"/>
  <c r="A74"/>
  <c r="D73"/>
  <c r="B73"/>
  <c r="C73"/>
  <c r="B72" i="8"/>
  <c r="G71"/>
  <c r="E71"/>
  <c r="D71" s="1"/>
  <c r="C71" s="1"/>
  <c r="I15" i="3"/>
  <c r="F66" i="2"/>
  <c r="I16"/>
  <c r="I17"/>
  <c r="I18"/>
  <c r="I19"/>
  <c r="I20"/>
  <c r="I15" i="1"/>
  <c r="B73" i="8" l="1"/>
  <c r="G72"/>
  <c r="E72"/>
  <c r="D72" s="1"/>
  <c r="C72" s="1"/>
  <c r="E73" i="4"/>
  <c r="C74"/>
  <c r="A75"/>
  <c r="D74"/>
  <c r="B74"/>
  <c r="C75" i="6"/>
  <c r="A76"/>
  <c r="F75"/>
  <c r="F73" i="4"/>
  <c r="G73" s="1"/>
  <c r="A75" i="8"/>
  <c r="F74"/>
  <c r="B73" i="6"/>
  <c r="G72"/>
  <c r="E72"/>
  <c r="D72" s="1"/>
  <c r="F66" i="3"/>
  <c r="I16"/>
  <c r="I17"/>
  <c r="I18"/>
  <c r="I19"/>
  <c r="I20"/>
  <c r="F66" i="1"/>
  <c r="A73" s="1"/>
  <c r="I16"/>
  <c r="I17"/>
  <c r="I18"/>
  <c r="I19"/>
  <c r="I20"/>
  <c r="B74" i="6" l="1"/>
  <c r="G73"/>
  <c r="E73"/>
  <c r="D73" s="1"/>
  <c r="A76" i="8"/>
  <c r="F75"/>
  <c r="A77" i="6"/>
  <c r="F76"/>
  <c r="C76"/>
  <c r="E74" i="4"/>
  <c r="F74" s="1"/>
  <c r="G74" s="1"/>
  <c r="A76"/>
  <c r="D75"/>
  <c r="B75"/>
  <c r="C75"/>
  <c r="B74" i="8"/>
  <c r="G73"/>
  <c r="E73"/>
  <c r="D73" s="1"/>
  <c r="C73" s="1"/>
  <c r="B75" l="1"/>
  <c r="G74"/>
  <c r="E74"/>
  <c r="D74" s="1"/>
  <c r="C74" s="1"/>
  <c r="E75" i="4"/>
  <c r="C76"/>
  <c r="A77"/>
  <c r="D76"/>
  <c r="B76"/>
  <c r="A77" i="8"/>
  <c r="F76"/>
  <c r="F75" i="4"/>
  <c r="G75" s="1"/>
  <c r="C77" i="6"/>
  <c r="A78"/>
  <c r="F77"/>
  <c r="B75"/>
  <c r="G74"/>
  <c r="E74"/>
  <c r="D74" s="1"/>
  <c r="B76" l="1"/>
  <c r="G75"/>
  <c r="E75"/>
  <c r="D75" s="1"/>
  <c r="A79"/>
  <c r="F78"/>
  <c r="C78"/>
  <c r="A78" i="8"/>
  <c r="F77"/>
  <c r="E76" i="4"/>
  <c r="F76" s="1"/>
  <c r="G76" s="1"/>
  <c r="A78"/>
  <c r="D77"/>
  <c r="B77"/>
  <c r="C77"/>
  <c r="B76" i="8"/>
  <c r="G75"/>
  <c r="E75"/>
  <c r="D75" s="1"/>
  <c r="C75" s="1"/>
  <c r="B77" l="1"/>
  <c r="G76"/>
  <c r="E76"/>
  <c r="D76" s="1"/>
  <c r="C76" s="1"/>
  <c r="E77" i="4"/>
  <c r="C78"/>
  <c r="A79"/>
  <c r="D78"/>
  <c r="B78"/>
  <c r="C79" i="6"/>
  <c r="A80"/>
  <c r="F79"/>
  <c r="F77" i="4"/>
  <c r="G77" s="1"/>
  <c r="A79" i="8"/>
  <c r="F78"/>
  <c r="B77" i="6"/>
  <c r="G76"/>
  <c r="E76"/>
  <c r="D76" s="1"/>
  <c r="B78" l="1"/>
  <c r="G77"/>
  <c r="E77"/>
  <c r="D77" s="1"/>
  <c r="A80" i="8"/>
  <c r="F79"/>
  <c r="A81" i="6"/>
  <c r="F80"/>
  <c r="C80"/>
  <c r="E78" i="4"/>
  <c r="F78" s="1"/>
  <c r="G78" s="1"/>
  <c r="A80"/>
  <c r="D79"/>
  <c r="B79"/>
  <c r="C79"/>
  <c r="B78" i="8"/>
  <c r="G77"/>
  <c r="E77"/>
  <c r="D77" s="1"/>
  <c r="C77" s="1"/>
  <c r="B79" l="1"/>
  <c r="G78"/>
  <c r="E78"/>
  <c r="D78" s="1"/>
  <c r="C78" s="1"/>
  <c r="E79" i="4"/>
  <c r="C80"/>
  <c r="A81"/>
  <c r="D80"/>
  <c r="B80"/>
  <c r="A81" i="8"/>
  <c r="F80"/>
  <c r="F79" i="4"/>
  <c r="G79" s="1"/>
  <c r="C81" i="6"/>
  <c r="A82"/>
  <c r="F81"/>
  <c r="B79"/>
  <c r="G78"/>
  <c r="E78"/>
  <c r="D78" s="1"/>
  <c r="B80" l="1"/>
  <c r="G79"/>
  <c r="E79"/>
  <c r="D79" s="1"/>
  <c r="A83"/>
  <c r="F82"/>
  <c r="C82"/>
  <c r="A82" i="8"/>
  <c r="F81"/>
  <c r="E80" i="4"/>
  <c r="F80" s="1"/>
  <c r="G80" s="1"/>
  <c r="A82"/>
  <c r="D81"/>
  <c r="B81"/>
  <c r="C81"/>
  <c r="B80" i="8"/>
  <c r="G79"/>
  <c r="E79"/>
  <c r="D79" s="1"/>
  <c r="C79" s="1"/>
  <c r="B81" l="1"/>
  <c r="G80"/>
  <c r="E80"/>
  <c r="D80" s="1"/>
  <c r="C80" s="1"/>
  <c r="E81" i="4"/>
  <c r="C82"/>
  <c r="A83"/>
  <c r="D82"/>
  <c r="B82"/>
  <c r="C83" i="6"/>
  <c r="A84"/>
  <c r="F83"/>
  <c r="F81" i="4"/>
  <c r="G81" s="1"/>
  <c r="A83" i="8"/>
  <c r="F82"/>
  <c r="B81" i="6"/>
  <c r="G80"/>
  <c r="E80"/>
  <c r="D80" s="1"/>
  <c r="B82" l="1"/>
  <c r="G81"/>
  <c r="E81"/>
  <c r="D81" s="1"/>
  <c r="A84" i="8"/>
  <c r="F83"/>
  <c r="A85" i="6"/>
  <c r="F84"/>
  <c r="C84"/>
  <c r="E82" i="4"/>
  <c r="F82" s="1"/>
  <c r="G82" s="1"/>
  <c r="A84"/>
  <c r="D83"/>
  <c r="B83"/>
  <c r="C83"/>
  <c r="B82" i="8"/>
  <c r="G81"/>
  <c r="E81"/>
  <c r="D81" s="1"/>
  <c r="C81" s="1"/>
  <c r="B83" l="1"/>
  <c r="G82"/>
  <c r="E82"/>
  <c r="D82" s="1"/>
  <c r="C82" s="1"/>
  <c r="E83" i="4"/>
  <c r="C84"/>
  <c r="A85"/>
  <c r="D84"/>
  <c r="B84"/>
  <c r="A85" i="8"/>
  <c r="F84"/>
  <c r="F83" i="4"/>
  <c r="G83" s="1"/>
  <c r="C85" i="6"/>
  <c r="A86"/>
  <c r="F85"/>
  <c r="B83"/>
  <c r="G82"/>
  <c r="E82"/>
  <c r="D82" s="1"/>
  <c r="B84" l="1"/>
  <c r="G83"/>
  <c r="E83"/>
  <c r="D83" s="1"/>
  <c r="A87"/>
  <c r="F86"/>
  <c r="C86"/>
  <c r="A86" i="8"/>
  <c r="F85"/>
  <c r="E84" i="4"/>
  <c r="F84" s="1"/>
  <c r="G84" s="1"/>
  <c r="A86"/>
  <c r="D85"/>
  <c r="B85"/>
  <c r="C85"/>
  <c r="B84" i="8"/>
  <c r="G83"/>
  <c r="E83"/>
  <c r="D83" s="1"/>
  <c r="C83" s="1"/>
  <c r="B85" l="1"/>
  <c r="G84"/>
  <c r="E84"/>
  <c r="D84" s="1"/>
  <c r="C84" s="1"/>
  <c r="E85" i="4"/>
  <c r="C86"/>
  <c r="A87"/>
  <c r="D86"/>
  <c r="B86"/>
  <c r="C87" i="6"/>
  <c r="A88"/>
  <c r="F87"/>
  <c r="F85" i="4"/>
  <c r="G85" s="1"/>
  <c r="A87" i="8"/>
  <c r="F86"/>
  <c r="B85" i="6"/>
  <c r="G84"/>
  <c r="E84"/>
  <c r="D84" s="1"/>
  <c r="B86" l="1"/>
  <c r="G85"/>
  <c r="E85"/>
  <c r="D85" s="1"/>
  <c r="A88" i="8"/>
  <c r="F87"/>
  <c r="A89" i="6"/>
  <c r="F88"/>
  <c r="C88"/>
  <c r="E86" i="4"/>
  <c r="F86" s="1"/>
  <c r="G86" s="1"/>
  <c r="A88"/>
  <c r="D87"/>
  <c r="B87"/>
  <c r="C87"/>
  <c r="B86" i="8"/>
  <c r="G85"/>
  <c r="E85"/>
  <c r="D85" s="1"/>
  <c r="C85" s="1"/>
  <c r="B87" l="1"/>
  <c r="G86"/>
  <c r="E86"/>
  <c r="D86" s="1"/>
  <c r="C86" s="1"/>
  <c r="E87" i="4"/>
  <c r="C88"/>
  <c r="A89"/>
  <c r="D88"/>
  <c r="B88"/>
  <c r="A89" i="8"/>
  <c r="F88"/>
  <c r="F87" i="4"/>
  <c r="G87" s="1"/>
  <c r="C89" i="6"/>
  <c r="A90"/>
  <c r="F89"/>
  <c r="B87"/>
  <c r="G86"/>
  <c r="E86"/>
  <c r="D86" s="1"/>
  <c r="B88" l="1"/>
  <c r="G87"/>
  <c r="E87"/>
  <c r="D87" s="1"/>
  <c r="A91"/>
  <c r="F90"/>
  <c r="C90"/>
  <c r="A90" i="8"/>
  <c r="F89"/>
  <c r="E88" i="4"/>
  <c r="F88" s="1"/>
  <c r="G88" s="1"/>
  <c r="A90"/>
  <c r="D89"/>
  <c r="B89"/>
  <c r="C89"/>
  <c r="B88" i="8"/>
  <c r="G87"/>
  <c r="E87"/>
  <c r="D87" s="1"/>
  <c r="C87" s="1"/>
  <c r="B89" l="1"/>
  <c r="G88"/>
  <c r="E88"/>
  <c r="D88" s="1"/>
  <c r="C88" s="1"/>
  <c r="E89" i="4"/>
  <c r="C90"/>
  <c r="A91"/>
  <c r="D90"/>
  <c r="B90"/>
  <c r="C91" i="6"/>
  <c r="A92"/>
  <c r="F91"/>
  <c r="F89" i="4"/>
  <c r="G89" s="1"/>
  <c r="A91" i="8"/>
  <c r="F90"/>
  <c r="B89" i="6"/>
  <c r="G88"/>
  <c r="E88"/>
  <c r="D88" s="1"/>
  <c r="B90" l="1"/>
  <c r="G89"/>
  <c r="E89"/>
  <c r="D89" s="1"/>
  <c r="A92" i="8"/>
  <c r="F91"/>
  <c r="A93" i="6"/>
  <c r="F92"/>
  <c r="C92"/>
  <c r="E90" i="4"/>
  <c r="F90" s="1"/>
  <c r="G90" s="1"/>
  <c r="A92"/>
  <c r="D91"/>
  <c r="B91"/>
  <c r="C91"/>
  <c r="B90" i="8"/>
  <c r="G89"/>
  <c r="E89"/>
  <c r="D89" s="1"/>
  <c r="C89" s="1"/>
  <c r="B91" l="1"/>
  <c r="G90"/>
  <c r="E90"/>
  <c r="D90" s="1"/>
  <c r="C90" s="1"/>
  <c r="E91" i="4"/>
  <c r="C92"/>
  <c r="A93"/>
  <c r="D92"/>
  <c r="B92"/>
  <c r="A93" i="8"/>
  <c r="F92"/>
  <c r="F91" i="4"/>
  <c r="G91" s="1"/>
  <c r="C93" i="6"/>
  <c r="A94"/>
  <c r="F93"/>
  <c r="B91"/>
  <c r="G90"/>
  <c r="E90"/>
  <c r="D90" s="1"/>
  <c r="B92" l="1"/>
  <c r="G91"/>
  <c r="E91"/>
  <c r="D91" s="1"/>
  <c r="A95"/>
  <c r="F94"/>
  <c r="C94"/>
  <c r="A94" i="8"/>
  <c r="F93"/>
  <c r="E92" i="4"/>
  <c r="F92" s="1"/>
  <c r="G92" s="1"/>
  <c r="A94"/>
  <c r="D93"/>
  <c r="B93"/>
  <c r="C93"/>
  <c r="B92" i="8"/>
  <c r="G91"/>
  <c r="E91"/>
  <c r="D91" s="1"/>
  <c r="C91" s="1"/>
  <c r="B93" l="1"/>
  <c r="G92"/>
  <c r="E92"/>
  <c r="D92" s="1"/>
  <c r="C92" s="1"/>
  <c r="E93" i="4"/>
  <c r="C94"/>
  <c r="A95"/>
  <c r="D94"/>
  <c r="B94"/>
  <c r="C95" i="6"/>
  <c r="A96"/>
  <c r="F95"/>
  <c r="F93" i="4"/>
  <c r="G93" s="1"/>
  <c r="A95" i="8"/>
  <c r="F94"/>
  <c r="B93" i="6"/>
  <c r="G92"/>
  <c r="E92"/>
  <c r="D92" s="1"/>
  <c r="B94" l="1"/>
  <c r="G93"/>
  <c r="E93"/>
  <c r="D93" s="1"/>
  <c r="A96" i="8"/>
  <c r="F95"/>
  <c r="A97" i="6"/>
  <c r="F96"/>
  <c r="C96"/>
  <c r="E94" i="4"/>
  <c r="F94" s="1"/>
  <c r="G94" s="1"/>
  <c r="A96"/>
  <c r="D95"/>
  <c r="B95"/>
  <c r="C95"/>
  <c r="B94" i="8"/>
  <c r="G93"/>
  <c r="E93"/>
  <c r="D93" s="1"/>
  <c r="C93" s="1"/>
  <c r="B95" l="1"/>
  <c r="G94"/>
  <c r="E94"/>
  <c r="D94" s="1"/>
  <c r="C94" s="1"/>
  <c r="E95" i="4"/>
  <c r="C96"/>
  <c r="A97"/>
  <c r="D96"/>
  <c r="B96"/>
  <c r="A97" i="8"/>
  <c r="F96"/>
  <c r="F95" i="4"/>
  <c r="G95" s="1"/>
  <c r="C97" i="6"/>
  <c r="A98"/>
  <c r="F97"/>
  <c r="B95"/>
  <c r="G94"/>
  <c r="E94"/>
  <c r="D94" s="1"/>
  <c r="B96" l="1"/>
  <c r="G95"/>
  <c r="E95"/>
  <c r="D95" s="1"/>
  <c r="A99"/>
  <c r="F98"/>
  <c r="C98"/>
  <c r="A98" i="8"/>
  <c r="F97"/>
  <c r="E96" i="4"/>
  <c r="F96" s="1"/>
  <c r="G96" s="1"/>
  <c r="A98"/>
  <c r="D97"/>
  <c r="B97"/>
  <c r="C97"/>
  <c r="B96" i="8"/>
  <c r="G95"/>
  <c r="E95"/>
  <c r="D95" s="1"/>
  <c r="C95" s="1"/>
  <c r="B97" l="1"/>
  <c r="G96"/>
  <c r="E96"/>
  <c r="D96" s="1"/>
  <c r="C96" s="1"/>
  <c r="E97" i="4"/>
  <c r="C98"/>
  <c r="A99"/>
  <c r="D98"/>
  <c r="B98"/>
  <c r="C99" i="6"/>
  <c r="A100"/>
  <c r="F99"/>
  <c r="F97" i="4"/>
  <c r="G97" s="1"/>
  <c r="A99" i="8"/>
  <c r="F98"/>
  <c r="B97" i="6"/>
  <c r="G96"/>
  <c r="E96"/>
  <c r="D96" s="1"/>
  <c r="B98" l="1"/>
  <c r="G97"/>
  <c r="E97"/>
  <c r="D97" s="1"/>
  <c r="A100" i="8"/>
  <c r="F99"/>
  <c r="A101" i="6"/>
  <c r="F100"/>
  <c r="C100"/>
  <c r="E98" i="4"/>
  <c r="F98" s="1"/>
  <c r="G98" s="1"/>
  <c r="A100"/>
  <c r="D99"/>
  <c r="B99"/>
  <c r="C99"/>
  <c r="B98" i="8"/>
  <c r="G97"/>
  <c r="E97"/>
  <c r="D97" s="1"/>
  <c r="C97" s="1"/>
  <c r="B99" l="1"/>
  <c r="G98"/>
  <c r="E98"/>
  <c r="D98" s="1"/>
  <c r="C98" s="1"/>
  <c r="E99" i="4"/>
  <c r="C100"/>
  <c r="A101"/>
  <c r="D100"/>
  <c r="B100"/>
  <c r="A101" i="8"/>
  <c r="F100"/>
  <c r="F99" i="4"/>
  <c r="G99" s="1"/>
  <c r="C101" i="6"/>
  <c r="A102"/>
  <c r="F101"/>
  <c r="B99"/>
  <c r="G98"/>
  <c r="E98"/>
  <c r="D98" s="1"/>
  <c r="B100" l="1"/>
  <c r="G99"/>
  <c r="E99"/>
  <c r="D99" s="1"/>
  <c r="A103"/>
  <c r="F102"/>
  <c r="C102"/>
  <c r="A102" i="8"/>
  <c r="F101"/>
  <c r="E100" i="4"/>
  <c r="F100" s="1"/>
  <c r="G100" s="1"/>
  <c r="A102"/>
  <c r="D101"/>
  <c r="B101"/>
  <c r="C101"/>
  <c r="B100" i="8"/>
  <c r="G99"/>
  <c r="E99"/>
  <c r="D99" s="1"/>
  <c r="C99" s="1"/>
  <c r="B101" l="1"/>
  <c r="G100"/>
  <c r="E100"/>
  <c r="D100" s="1"/>
  <c r="C100" s="1"/>
  <c r="E101" i="4"/>
  <c r="C102"/>
  <c r="A103"/>
  <c r="D102"/>
  <c r="B102"/>
  <c r="C103" i="6"/>
  <c r="A104"/>
  <c r="F103"/>
  <c r="F101" i="4"/>
  <c r="G101" s="1"/>
  <c r="A103" i="8"/>
  <c r="F102"/>
  <c r="B101" i="6"/>
  <c r="G100"/>
  <c r="E100"/>
  <c r="D100" s="1"/>
  <c r="B102" l="1"/>
  <c r="G101"/>
  <c r="E101"/>
  <c r="D101" s="1"/>
  <c r="A104" i="8"/>
  <c r="F103"/>
  <c r="A105" i="6"/>
  <c r="F104"/>
  <c r="C104"/>
  <c r="E102" i="4"/>
  <c r="F102" s="1"/>
  <c r="G102" s="1"/>
  <c r="A104"/>
  <c r="D103"/>
  <c r="B103"/>
  <c r="C103"/>
  <c r="B102" i="8"/>
  <c r="G101"/>
  <c r="E101"/>
  <c r="D101" s="1"/>
  <c r="C101" s="1"/>
  <c r="B103" l="1"/>
  <c r="G102"/>
  <c r="E102"/>
  <c r="D102" s="1"/>
  <c r="C102" s="1"/>
  <c r="E103" i="4"/>
  <c r="C104"/>
  <c r="A105"/>
  <c r="D104"/>
  <c r="B104"/>
  <c r="A105" i="8"/>
  <c r="F104"/>
  <c r="F103" i="4"/>
  <c r="G103" s="1"/>
  <c r="C105" i="6"/>
  <c r="A106"/>
  <c r="F105"/>
  <c r="B103"/>
  <c r="G102"/>
  <c r="E102"/>
  <c r="D102" s="1"/>
  <c r="B104" l="1"/>
  <c r="G103"/>
  <c r="E103"/>
  <c r="D103" s="1"/>
  <c r="A107"/>
  <c r="F106"/>
  <c r="C106"/>
  <c r="A106" i="8"/>
  <c r="F105"/>
  <c r="E104" i="4"/>
  <c r="F104" s="1"/>
  <c r="G104" s="1"/>
  <c r="A106"/>
  <c r="D105"/>
  <c r="B105"/>
  <c r="C105"/>
  <c r="B104" i="8"/>
  <c r="G103"/>
  <c r="E103"/>
  <c r="D103" s="1"/>
  <c r="C103" s="1"/>
  <c r="B105" l="1"/>
  <c r="G104"/>
  <c r="E104"/>
  <c r="D104" s="1"/>
  <c r="C104" s="1"/>
  <c r="E105" i="4"/>
  <c r="C106"/>
  <c r="A107"/>
  <c r="D106"/>
  <c r="B106"/>
  <c r="C107" i="6"/>
  <c r="A108"/>
  <c r="F107"/>
  <c r="F105" i="4"/>
  <c r="G105" s="1"/>
  <c r="A107" i="8"/>
  <c r="F106"/>
  <c r="B105" i="6"/>
  <c r="G104"/>
  <c r="E104"/>
  <c r="D104" s="1"/>
  <c r="B106" l="1"/>
  <c r="G105"/>
  <c r="E105"/>
  <c r="D105" s="1"/>
  <c r="A108" i="8"/>
  <c r="F107"/>
  <c r="A109" i="6"/>
  <c r="F108"/>
  <c r="C108"/>
  <c r="E106" i="4"/>
  <c r="F106" s="1"/>
  <c r="G106" s="1"/>
  <c r="A108"/>
  <c r="D107"/>
  <c r="B107"/>
  <c r="C107"/>
  <c r="B106" i="8"/>
  <c r="G105"/>
  <c r="E105"/>
  <c r="D105" s="1"/>
  <c r="C105" s="1"/>
  <c r="B107" l="1"/>
  <c r="G106"/>
  <c r="E106"/>
  <c r="D106" s="1"/>
  <c r="C106" s="1"/>
  <c r="E107" i="4"/>
  <c r="C108"/>
  <c r="A109"/>
  <c r="D108"/>
  <c r="B108"/>
  <c r="A109" i="8"/>
  <c r="F108"/>
  <c r="F107" i="4"/>
  <c r="G107" s="1"/>
  <c r="C109" i="6"/>
  <c r="A110"/>
  <c r="F109"/>
  <c r="B107"/>
  <c r="G106"/>
  <c r="E106"/>
  <c r="D106" s="1"/>
  <c r="B108" l="1"/>
  <c r="G107"/>
  <c r="E107"/>
  <c r="D107" s="1"/>
  <c r="A111"/>
  <c r="F110"/>
  <c r="C110"/>
  <c r="A110" i="8"/>
  <c r="F109"/>
  <c r="E108" i="4"/>
  <c r="F108" s="1"/>
  <c r="G108" s="1"/>
  <c r="A110"/>
  <c r="D109"/>
  <c r="B109"/>
  <c r="C109"/>
  <c r="B108" i="8"/>
  <c r="G107"/>
  <c r="E107"/>
  <c r="D107" s="1"/>
  <c r="C107" s="1"/>
  <c r="B109" l="1"/>
  <c r="G108"/>
  <c r="E108"/>
  <c r="D108" s="1"/>
  <c r="C108" s="1"/>
  <c r="E109" i="4"/>
  <c r="C110"/>
  <c r="A111"/>
  <c r="D110"/>
  <c r="B110"/>
  <c r="C111" i="6"/>
  <c r="A112"/>
  <c r="F111"/>
  <c r="F109" i="4"/>
  <c r="G109" s="1"/>
  <c r="A111" i="8"/>
  <c r="F110"/>
  <c r="B109" i="6"/>
  <c r="G108"/>
  <c r="E108"/>
  <c r="D108" s="1"/>
  <c r="B110" l="1"/>
  <c r="G109"/>
  <c r="E109"/>
  <c r="D109" s="1"/>
  <c r="A112" i="8"/>
  <c r="F111"/>
  <c r="A113" i="6"/>
  <c r="F112"/>
  <c r="C112"/>
  <c r="E110" i="4"/>
  <c r="F110" s="1"/>
  <c r="G110" s="1"/>
  <c r="A112"/>
  <c r="D111"/>
  <c r="B111"/>
  <c r="C111"/>
  <c r="B110" i="8"/>
  <c r="G109"/>
  <c r="E109"/>
  <c r="D109" s="1"/>
  <c r="C109" s="1"/>
  <c r="B111" l="1"/>
  <c r="G110"/>
  <c r="E110"/>
  <c r="D110" s="1"/>
  <c r="C110" s="1"/>
  <c r="E111" i="4"/>
  <c r="C112"/>
  <c r="A113"/>
  <c r="D112"/>
  <c r="B112"/>
  <c r="A113" i="8"/>
  <c r="F112"/>
  <c r="F111" i="4"/>
  <c r="G111" s="1"/>
  <c r="C113" i="6"/>
  <c r="A114"/>
  <c r="F113"/>
  <c r="B111"/>
  <c r="G110"/>
  <c r="E110"/>
  <c r="D110" s="1"/>
  <c r="B112" l="1"/>
  <c r="G111"/>
  <c r="E111"/>
  <c r="D111" s="1"/>
  <c r="A115"/>
  <c r="F114"/>
  <c r="C114"/>
  <c r="A114" i="8"/>
  <c r="F113"/>
  <c r="E112" i="4"/>
  <c r="F112" s="1"/>
  <c r="G112" s="1"/>
  <c r="A114"/>
  <c r="D113"/>
  <c r="B113"/>
  <c r="C113"/>
  <c r="B112" i="8"/>
  <c r="G111"/>
  <c r="E111"/>
  <c r="D111" s="1"/>
  <c r="C111" s="1"/>
  <c r="B113" l="1"/>
  <c r="G112"/>
  <c r="E112"/>
  <c r="D112" s="1"/>
  <c r="C112" s="1"/>
  <c r="E113" i="4"/>
  <c r="C114"/>
  <c r="A115"/>
  <c r="D114"/>
  <c r="B114"/>
  <c r="C115" i="6"/>
  <c r="A116"/>
  <c r="F115"/>
  <c r="F113" i="4"/>
  <c r="G113" s="1"/>
  <c r="A115" i="8"/>
  <c r="F114"/>
  <c r="B113" i="6"/>
  <c r="G112"/>
  <c r="E112"/>
  <c r="D112" s="1"/>
  <c r="B114" l="1"/>
  <c r="G113"/>
  <c r="E113"/>
  <c r="D113" s="1"/>
  <c r="A116" i="8"/>
  <c r="F115"/>
  <c r="A117" i="6"/>
  <c r="F116"/>
  <c r="C116"/>
  <c r="E114" i="4"/>
  <c r="F114" s="1"/>
  <c r="G114" s="1"/>
  <c r="A116"/>
  <c r="D115"/>
  <c r="B115"/>
  <c r="C115"/>
  <c r="B114" i="8"/>
  <c r="G113"/>
  <c r="E113"/>
  <c r="D113" s="1"/>
  <c r="C113" s="1"/>
  <c r="B115" l="1"/>
  <c r="G114"/>
  <c r="E114"/>
  <c r="D114" s="1"/>
  <c r="C114" s="1"/>
  <c r="E115" i="4"/>
  <c r="C116"/>
  <c r="A117"/>
  <c r="D116"/>
  <c r="B116"/>
  <c r="A117" i="8"/>
  <c r="F116"/>
  <c r="F115" i="4"/>
  <c r="G115" s="1"/>
  <c r="C117" i="6"/>
  <c r="A118"/>
  <c r="F117"/>
  <c r="B115"/>
  <c r="G114"/>
  <c r="E114"/>
  <c r="D114" s="1"/>
  <c r="B116" l="1"/>
  <c r="G115"/>
  <c r="E115"/>
  <c r="D115" s="1"/>
  <c r="A119"/>
  <c r="F118"/>
  <c r="C118"/>
  <c r="A118" i="8"/>
  <c r="F117"/>
  <c r="E116" i="4"/>
  <c r="F116" s="1"/>
  <c r="G116" s="1"/>
  <c r="A118"/>
  <c r="D117"/>
  <c r="B117"/>
  <c r="C117"/>
  <c r="B116" i="8"/>
  <c r="G115"/>
  <c r="E115"/>
  <c r="D115" s="1"/>
  <c r="C115" s="1"/>
  <c r="B117" l="1"/>
  <c r="G116"/>
  <c r="E116"/>
  <c r="D116" s="1"/>
  <c r="C116" s="1"/>
  <c r="E117" i="4"/>
  <c r="C118"/>
  <c r="A119"/>
  <c r="D118"/>
  <c r="B118"/>
  <c r="C119" i="6"/>
  <c r="A120"/>
  <c r="F119"/>
  <c r="F117" i="4"/>
  <c r="G117" s="1"/>
  <c r="A119" i="8"/>
  <c r="F118"/>
  <c r="B117" i="6"/>
  <c r="G116"/>
  <c r="E116"/>
  <c r="D116" s="1"/>
  <c r="B118" l="1"/>
  <c r="G117"/>
  <c r="E117"/>
  <c r="D117" s="1"/>
  <c r="A120" i="8"/>
  <c r="F119"/>
  <c r="A121" i="6"/>
  <c r="F120"/>
  <c r="C120"/>
  <c r="E118" i="4"/>
  <c r="F118" s="1"/>
  <c r="G118" s="1"/>
  <c r="A120"/>
  <c r="D119"/>
  <c r="B119"/>
  <c r="C119"/>
  <c r="B118" i="8"/>
  <c r="G117"/>
  <c r="E117"/>
  <c r="D117" s="1"/>
  <c r="C117" s="1"/>
  <c r="B119" l="1"/>
  <c r="G118"/>
  <c r="E118"/>
  <c r="D118" s="1"/>
  <c r="C118" s="1"/>
  <c r="E119" i="4"/>
  <c r="C120"/>
  <c r="A121"/>
  <c r="D120"/>
  <c r="B120"/>
  <c r="A121" i="8"/>
  <c r="F120"/>
  <c r="F119" i="4"/>
  <c r="G119" s="1"/>
  <c r="C121" i="6"/>
  <c r="A122"/>
  <c r="F121"/>
  <c r="B119"/>
  <c r="G118"/>
  <c r="E118"/>
  <c r="D118" s="1"/>
  <c r="B120" l="1"/>
  <c r="G119"/>
  <c r="E119"/>
  <c r="D119" s="1"/>
  <c r="A123"/>
  <c r="F122"/>
  <c r="C122"/>
  <c r="A122" i="8"/>
  <c r="F121"/>
  <c r="E120" i="4"/>
  <c r="F120" s="1"/>
  <c r="G120" s="1"/>
  <c r="A122"/>
  <c r="D121"/>
  <c r="B121"/>
  <c r="C121"/>
  <c r="B120" i="8"/>
  <c r="G119"/>
  <c r="E119"/>
  <c r="D119" s="1"/>
  <c r="C119" s="1"/>
  <c r="B121" l="1"/>
  <c r="G120"/>
  <c r="E120"/>
  <c r="D120" s="1"/>
  <c r="C120" s="1"/>
  <c r="E121" i="4"/>
  <c r="C122"/>
  <c r="A123"/>
  <c r="D122"/>
  <c r="B122"/>
  <c r="C123" i="6"/>
  <c r="A124"/>
  <c r="F123"/>
  <c r="F121" i="4"/>
  <c r="G121" s="1"/>
  <c r="A123" i="8"/>
  <c r="F122"/>
  <c r="B121" i="6"/>
  <c r="G120"/>
  <c r="E120"/>
  <c r="D120" s="1"/>
  <c r="B122" l="1"/>
  <c r="G121"/>
  <c r="E121"/>
  <c r="D121" s="1"/>
  <c r="A124" i="8"/>
  <c r="F123"/>
  <c r="A125" i="6"/>
  <c r="F124"/>
  <c r="C124"/>
  <c r="E122" i="4"/>
  <c r="F122" s="1"/>
  <c r="G122" s="1"/>
  <c r="A124"/>
  <c r="D123"/>
  <c r="B123"/>
  <c r="C123"/>
  <c r="B122" i="8"/>
  <c r="G121"/>
  <c r="E121"/>
  <c r="D121" s="1"/>
  <c r="C121" s="1"/>
  <c r="B123" l="1"/>
  <c r="G122"/>
  <c r="E122"/>
  <c r="D122" s="1"/>
  <c r="C122" s="1"/>
  <c r="E123" i="4"/>
  <c r="C124"/>
  <c r="A125"/>
  <c r="D124"/>
  <c r="B124"/>
  <c r="A125" i="8"/>
  <c r="F124"/>
  <c r="F123" i="4"/>
  <c r="G123" s="1"/>
  <c r="C125" i="6"/>
  <c r="A126"/>
  <c r="F125"/>
  <c r="B123"/>
  <c r="G122"/>
  <c r="E122"/>
  <c r="D122" s="1"/>
  <c r="B124" l="1"/>
  <c r="G123"/>
  <c r="E123"/>
  <c r="D123" s="1"/>
  <c r="A127"/>
  <c r="F126"/>
  <c r="C126"/>
  <c r="A126" i="8"/>
  <c r="F125"/>
  <c r="E124" i="4"/>
  <c r="F124" s="1"/>
  <c r="G124" s="1"/>
  <c r="A126"/>
  <c r="D125"/>
  <c r="B125"/>
  <c r="C125"/>
  <c r="B124" i="8"/>
  <c r="G123"/>
  <c r="E123"/>
  <c r="D123" s="1"/>
  <c r="C123" s="1"/>
  <c r="B125" l="1"/>
  <c r="G124"/>
  <c r="E124"/>
  <c r="D124" s="1"/>
  <c r="C124" s="1"/>
  <c r="E125" i="4"/>
  <c r="C126"/>
  <c r="A127"/>
  <c r="D126"/>
  <c r="B126"/>
  <c r="C127" i="6"/>
  <c r="A128"/>
  <c r="F127"/>
  <c r="F125" i="4"/>
  <c r="G125" s="1"/>
  <c r="A127" i="8"/>
  <c r="F126"/>
  <c r="B125" i="6"/>
  <c r="G124"/>
  <c r="E124"/>
  <c r="D124" s="1"/>
  <c r="B126" l="1"/>
  <c r="G125"/>
  <c r="E125"/>
  <c r="D125" s="1"/>
  <c r="A128" i="8"/>
  <c r="F127"/>
  <c r="A129" i="6"/>
  <c r="F128"/>
  <c r="C128"/>
  <c r="E126" i="4"/>
  <c r="F126" s="1"/>
  <c r="G126" s="1"/>
  <c r="A128"/>
  <c r="D127"/>
  <c r="B127"/>
  <c r="C127"/>
  <c r="B126" i="8"/>
  <c r="G125"/>
  <c r="E125"/>
  <c r="D125" s="1"/>
  <c r="C125" s="1"/>
  <c r="B127" l="1"/>
  <c r="G126"/>
  <c r="E126"/>
  <c r="D126" s="1"/>
  <c r="C126" s="1"/>
  <c r="E127" i="4"/>
  <c r="C128"/>
  <c r="A129"/>
  <c r="D128"/>
  <c r="B128"/>
  <c r="A129" i="8"/>
  <c r="F128"/>
  <c r="F127" i="4"/>
  <c r="G127" s="1"/>
  <c r="C129" i="6"/>
  <c r="A130"/>
  <c r="F129"/>
  <c r="B127"/>
  <c r="G126"/>
  <c r="E126"/>
  <c r="D126" s="1"/>
  <c r="B128" l="1"/>
  <c r="G127"/>
  <c r="E127"/>
  <c r="D127" s="1"/>
  <c r="A131"/>
  <c r="F130"/>
  <c r="C130"/>
  <c r="A130" i="8"/>
  <c r="F129"/>
  <c r="E128" i="4"/>
  <c r="F128" s="1"/>
  <c r="G128" s="1"/>
  <c r="A130"/>
  <c r="D129"/>
  <c r="B129"/>
  <c r="C129"/>
  <c r="B128" i="8"/>
  <c r="G127"/>
  <c r="E127"/>
  <c r="D127" s="1"/>
  <c r="C127" s="1"/>
  <c r="B129" l="1"/>
  <c r="G128"/>
  <c r="E128"/>
  <c r="D128" s="1"/>
  <c r="C128" s="1"/>
  <c r="E129" i="4"/>
  <c r="C130"/>
  <c r="A131"/>
  <c r="D130"/>
  <c r="B130"/>
  <c r="C131" i="6"/>
  <c r="A132"/>
  <c r="F131"/>
  <c r="F129" i="4"/>
  <c r="G129" s="1"/>
  <c r="A131" i="8"/>
  <c r="F130"/>
  <c r="B129" i="6"/>
  <c r="G128"/>
  <c r="E128"/>
  <c r="D128" s="1"/>
  <c r="B130" l="1"/>
  <c r="G129"/>
  <c r="E129"/>
  <c r="D129" s="1"/>
  <c r="A132" i="8"/>
  <c r="F131"/>
  <c r="A133" i="6"/>
  <c r="F132"/>
  <c r="C132"/>
  <c r="E130" i="4"/>
  <c r="F130" s="1"/>
  <c r="G130" s="1"/>
  <c r="A132"/>
  <c r="D131"/>
  <c r="B131"/>
  <c r="C131"/>
  <c r="B130" i="8"/>
  <c r="G129"/>
  <c r="E129"/>
  <c r="D129" s="1"/>
  <c r="C129" s="1"/>
  <c r="B131" l="1"/>
  <c r="G130"/>
  <c r="E130"/>
  <c r="D130" s="1"/>
  <c r="C130" s="1"/>
  <c r="E131" i="4"/>
  <c r="C132"/>
  <c r="A133"/>
  <c r="D132"/>
  <c r="B132"/>
  <c r="A133" i="8"/>
  <c r="F132"/>
  <c r="F131" i="4"/>
  <c r="G131" s="1"/>
  <c r="C133" i="6"/>
  <c r="A134"/>
  <c r="F133"/>
  <c r="B131"/>
  <c r="G130"/>
  <c r="E130"/>
  <c r="D130" s="1"/>
  <c r="B132" l="1"/>
  <c r="G131"/>
  <c r="E131"/>
  <c r="D131" s="1"/>
  <c r="A135"/>
  <c r="F134"/>
  <c r="C134"/>
  <c r="A134" i="8"/>
  <c r="F133"/>
  <c r="E132" i="4"/>
  <c r="F132" s="1"/>
  <c r="G132" s="1"/>
  <c r="A134"/>
  <c r="D133"/>
  <c r="B133"/>
  <c r="C133"/>
  <c r="B132" i="8"/>
  <c r="G131"/>
  <c r="E131"/>
  <c r="D131" s="1"/>
  <c r="C131" s="1"/>
  <c r="B133" l="1"/>
  <c r="G132"/>
  <c r="E132"/>
  <c r="D132" s="1"/>
  <c r="C132" s="1"/>
  <c r="E133" i="4"/>
  <c r="C134"/>
  <c r="A135"/>
  <c r="D134"/>
  <c r="B134"/>
  <c r="C135" i="6"/>
  <c r="A136"/>
  <c r="F135"/>
  <c r="F133" i="4"/>
  <c r="G133" s="1"/>
  <c r="A135" i="8"/>
  <c r="F134"/>
  <c r="B133" i="6"/>
  <c r="G132"/>
  <c r="E132"/>
  <c r="D132" s="1"/>
  <c r="B134" l="1"/>
  <c r="G133"/>
  <c r="E133"/>
  <c r="D133" s="1"/>
  <c r="A136" i="8"/>
  <c r="F135"/>
  <c r="A137" i="6"/>
  <c r="F136"/>
  <c r="C136"/>
  <c r="E134" i="4"/>
  <c r="F134" s="1"/>
  <c r="G134" s="1"/>
  <c r="A136"/>
  <c r="D135"/>
  <c r="B135"/>
  <c r="C135"/>
  <c r="B134" i="8"/>
  <c r="G133"/>
  <c r="E133"/>
  <c r="D133" s="1"/>
  <c r="C133" s="1"/>
  <c r="B135" l="1"/>
  <c r="G134"/>
  <c r="E134"/>
  <c r="D134" s="1"/>
  <c r="C134" s="1"/>
  <c r="E135" i="4"/>
  <c r="C136"/>
  <c r="A137"/>
  <c r="D136"/>
  <c r="B136"/>
  <c r="A137" i="8"/>
  <c r="F136"/>
  <c r="F135" i="4"/>
  <c r="G135" s="1"/>
  <c r="C137" i="6"/>
  <c r="A138"/>
  <c r="F137"/>
  <c r="B135"/>
  <c r="G134"/>
  <c r="E134"/>
  <c r="D134" s="1"/>
  <c r="B136" l="1"/>
  <c r="G135"/>
  <c r="E135"/>
  <c r="D135" s="1"/>
  <c r="A139"/>
  <c r="F138"/>
  <c r="C138"/>
  <c r="A138" i="8"/>
  <c r="F137"/>
  <c r="E136" i="4"/>
  <c r="F136" s="1"/>
  <c r="G136" s="1"/>
  <c r="A138"/>
  <c r="D137"/>
  <c r="B137"/>
  <c r="C137"/>
  <c r="B136" i="8"/>
  <c r="G135"/>
  <c r="E135"/>
  <c r="D135" s="1"/>
  <c r="C135" s="1"/>
  <c r="B137" l="1"/>
  <c r="G136"/>
  <c r="E136"/>
  <c r="D136" s="1"/>
  <c r="C136" s="1"/>
  <c r="E137" i="4"/>
  <c r="C138"/>
  <c r="A139"/>
  <c r="D138"/>
  <c r="B138"/>
  <c r="C139" i="6"/>
  <c r="A140"/>
  <c r="F139"/>
  <c r="F137" i="4"/>
  <c r="G137" s="1"/>
  <c r="A139" i="8"/>
  <c r="F138"/>
  <c r="B137" i="6"/>
  <c r="G136"/>
  <c r="E136"/>
  <c r="D136" s="1"/>
  <c r="B138" l="1"/>
  <c r="G137"/>
  <c r="E137"/>
  <c r="D137" s="1"/>
  <c r="A140" i="8"/>
  <c r="F139"/>
  <c r="A141" i="6"/>
  <c r="F140"/>
  <c r="C140"/>
  <c r="E138" i="4"/>
  <c r="F138" s="1"/>
  <c r="G138" s="1"/>
  <c r="A140"/>
  <c r="D139"/>
  <c r="B139"/>
  <c r="C139"/>
  <c r="B138" i="8"/>
  <c r="G137"/>
  <c r="E137"/>
  <c r="D137" s="1"/>
  <c r="C137" s="1"/>
  <c r="B139" l="1"/>
  <c r="G138"/>
  <c r="E138"/>
  <c r="D138" s="1"/>
  <c r="C138" s="1"/>
  <c r="E139" i="4"/>
  <c r="C140"/>
  <c r="A141"/>
  <c r="D140"/>
  <c r="B140"/>
  <c r="A141" i="8"/>
  <c r="F140"/>
  <c r="F139" i="4"/>
  <c r="G139" s="1"/>
  <c r="C141" i="6"/>
  <c r="A142"/>
  <c r="F141"/>
  <c r="B139"/>
  <c r="G138"/>
  <c r="E138"/>
  <c r="D138" s="1"/>
  <c r="B140" l="1"/>
  <c r="G139"/>
  <c r="E139"/>
  <c r="D139" s="1"/>
  <c r="A143"/>
  <c r="F142"/>
  <c r="C142"/>
  <c r="A142" i="8"/>
  <c r="F141"/>
  <c r="E140" i="4"/>
  <c r="F140" s="1"/>
  <c r="G140" s="1"/>
  <c r="A142"/>
  <c r="D141"/>
  <c r="B141"/>
  <c r="C141"/>
  <c r="B140" i="8"/>
  <c r="G139"/>
  <c r="E139"/>
  <c r="D139" s="1"/>
  <c r="C139" s="1"/>
  <c r="B141" l="1"/>
  <c r="G140"/>
  <c r="E140"/>
  <c r="D140" s="1"/>
  <c r="C140" s="1"/>
  <c r="E141" i="4"/>
  <c r="C142"/>
  <c r="A143"/>
  <c r="D142"/>
  <c r="B142"/>
  <c r="C143" i="6"/>
  <c r="A144"/>
  <c r="F143"/>
  <c r="F141" i="4"/>
  <c r="G141" s="1"/>
  <c r="A143" i="8"/>
  <c r="F142"/>
  <c r="B141" i="6"/>
  <c r="G140"/>
  <c r="E140"/>
  <c r="D140" s="1"/>
  <c r="B142" l="1"/>
  <c r="G141"/>
  <c r="E141"/>
  <c r="D141" s="1"/>
  <c r="A144" i="8"/>
  <c r="F143"/>
  <c r="A145" i="6"/>
  <c r="F144"/>
  <c r="C144"/>
  <c r="E142" i="4"/>
  <c r="F142" s="1"/>
  <c r="G142" s="1"/>
  <c r="A144"/>
  <c r="D143"/>
  <c r="B143"/>
  <c r="C143"/>
  <c r="B142" i="8"/>
  <c r="G141"/>
  <c r="E141"/>
  <c r="D141" s="1"/>
  <c r="C141" s="1"/>
  <c r="B143" l="1"/>
  <c r="G142"/>
  <c r="E142"/>
  <c r="D142" s="1"/>
  <c r="C142" s="1"/>
  <c r="E143" i="4"/>
  <c r="C144"/>
  <c r="A145"/>
  <c r="D144"/>
  <c r="B144"/>
  <c r="A145" i="8"/>
  <c r="F144"/>
  <c r="F143" i="4"/>
  <c r="G143" s="1"/>
  <c r="C145" i="6"/>
  <c r="A146"/>
  <c r="F145"/>
  <c r="B143"/>
  <c r="G142"/>
  <c r="E142"/>
  <c r="D142" s="1"/>
  <c r="B144" l="1"/>
  <c r="G143"/>
  <c r="E143"/>
  <c r="D143" s="1"/>
  <c r="A147"/>
  <c r="F146"/>
  <c r="C146"/>
  <c r="A146" i="8"/>
  <c r="F145"/>
  <c r="E144" i="4"/>
  <c r="F144" s="1"/>
  <c r="G144" s="1"/>
  <c r="A146"/>
  <c r="D145"/>
  <c r="B145"/>
  <c r="C145"/>
  <c r="B144" i="8"/>
  <c r="G143"/>
  <c r="E143"/>
  <c r="D143" s="1"/>
  <c r="C143" s="1"/>
  <c r="B145" l="1"/>
  <c r="G144"/>
  <c r="E144"/>
  <c r="D144" s="1"/>
  <c r="C144" s="1"/>
  <c r="E145" i="4"/>
  <c r="C146"/>
  <c r="A147"/>
  <c r="D146"/>
  <c r="B146"/>
  <c r="C147" i="6"/>
  <c r="A148"/>
  <c r="F147"/>
  <c r="F145" i="4"/>
  <c r="G145" s="1"/>
  <c r="A147" i="8"/>
  <c r="F146"/>
  <c r="B145" i="6"/>
  <c r="G144"/>
  <c r="E144"/>
  <c r="D144" s="1"/>
  <c r="B146" l="1"/>
  <c r="G145"/>
  <c r="E145"/>
  <c r="D145" s="1"/>
  <c r="A148" i="8"/>
  <c r="F147"/>
  <c r="A149" i="6"/>
  <c r="F148"/>
  <c r="C148"/>
  <c r="E146" i="4"/>
  <c r="F146" s="1"/>
  <c r="G146" s="1"/>
  <c r="A148"/>
  <c r="D147"/>
  <c r="B147"/>
  <c r="C147"/>
  <c r="B146" i="8"/>
  <c r="G145"/>
  <c r="E145"/>
  <c r="D145" s="1"/>
  <c r="C145" s="1"/>
  <c r="B147" l="1"/>
  <c r="G146"/>
  <c r="E146"/>
  <c r="D146" s="1"/>
  <c r="C146" s="1"/>
  <c r="E147" i="4"/>
  <c r="C148"/>
  <c r="A149"/>
  <c r="D148"/>
  <c r="B148"/>
  <c r="A149" i="8"/>
  <c r="F148"/>
  <c r="F147" i="4"/>
  <c r="G147" s="1"/>
  <c r="C149" i="6"/>
  <c r="A150"/>
  <c r="F149"/>
  <c r="B147"/>
  <c r="G146"/>
  <c r="E146"/>
  <c r="D146" s="1"/>
  <c r="B148" l="1"/>
  <c r="G147"/>
  <c r="E147"/>
  <c r="D147" s="1"/>
  <c r="A151"/>
  <c r="F150"/>
  <c r="C150"/>
  <c r="A150" i="8"/>
  <c r="F149"/>
  <c r="E148" i="4"/>
  <c r="F148" s="1"/>
  <c r="G148" s="1"/>
  <c r="A150"/>
  <c r="D149"/>
  <c r="B149"/>
  <c r="C149"/>
  <c r="B148" i="8"/>
  <c r="G147"/>
  <c r="E147"/>
  <c r="D147" s="1"/>
  <c r="C147" s="1"/>
  <c r="B149" l="1"/>
  <c r="G148"/>
  <c r="E148"/>
  <c r="D148" s="1"/>
  <c r="C148" s="1"/>
  <c r="E149" i="4"/>
  <c r="C150"/>
  <c r="A151"/>
  <c r="D150"/>
  <c r="B150"/>
  <c r="C151" i="6"/>
  <c r="A152"/>
  <c r="F151"/>
  <c r="F149" i="4"/>
  <c r="G149" s="1"/>
  <c r="A151" i="8"/>
  <c r="F150"/>
  <c r="B149" i="6"/>
  <c r="G148"/>
  <c r="E148"/>
  <c r="D148" s="1"/>
  <c r="B150" l="1"/>
  <c r="G149"/>
  <c r="E149"/>
  <c r="D149" s="1"/>
  <c r="A152" i="8"/>
  <c r="F151"/>
  <c r="A153" i="6"/>
  <c r="F152"/>
  <c r="C152"/>
  <c r="E150" i="4"/>
  <c r="F150" s="1"/>
  <c r="G150" s="1"/>
  <c r="A152"/>
  <c r="D151"/>
  <c r="B151"/>
  <c r="C151"/>
  <c r="B150" i="8"/>
  <c r="G149"/>
  <c r="E149"/>
  <c r="D149" s="1"/>
  <c r="C149" s="1"/>
  <c r="B151" l="1"/>
  <c r="G150"/>
  <c r="E150"/>
  <c r="D150" s="1"/>
  <c r="C150" s="1"/>
  <c r="E151" i="4"/>
  <c r="C152"/>
  <c r="A153"/>
  <c r="D152"/>
  <c r="B152"/>
  <c r="A153" i="8"/>
  <c r="F152"/>
  <c r="F151" i="4"/>
  <c r="G151" s="1"/>
  <c r="C153" i="6"/>
  <c r="A154"/>
  <c r="F153"/>
  <c r="B151"/>
  <c r="G150"/>
  <c r="E150"/>
  <c r="D150" s="1"/>
  <c r="B152" l="1"/>
  <c r="G151"/>
  <c r="E151"/>
  <c r="D151" s="1"/>
  <c r="A155"/>
  <c r="F154"/>
  <c r="C154"/>
  <c r="A154" i="8"/>
  <c r="F153"/>
  <c r="E152" i="4"/>
  <c r="F152" s="1"/>
  <c r="G152" s="1"/>
  <c r="A154"/>
  <c r="D153"/>
  <c r="B153"/>
  <c r="C153"/>
  <c r="B152" i="8"/>
  <c r="G151"/>
  <c r="E151"/>
  <c r="D151" s="1"/>
  <c r="C151" s="1"/>
  <c r="B153" l="1"/>
  <c r="G152"/>
  <c r="E152"/>
  <c r="D152" s="1"/>
  <c r="C152" s="1"/>
  <c r="E153" i="4"/>
  <c r="C154"/>
  <c r="A155"/>
  <c r="D154"/>
  <c r="B154"/>
  <c r="C155" i="6"/>
  <c r="A156"/>
  <c r="F155"/>
  <c r="F153" i="4"/>
  <c r="G153" s="1"/>
  <c r="A155" i="8"/>
  <c r="F154"/>
  <c r="B153" i="6"/>
  <c r="G152"/>
  <c r="E152"/>
  <c r="D152" s="1"/>
  <c r="B154" l="1"/>
  <c r="G153"/>
  <c r="E153"/>
  <c r="D153" s="1"/>
  <c r="A156" i="8"/>
  <c r="F155"/>
  <c r="A157" i="6"/>
  <c r="F156"/>
  <c r="C156"/>
  <c r="E154" i="4"/>
  <c r="F154" s="1"/>
  <c r="G154" s="1"/>
  <c r="A156"/>
  <c r="D155"/>
  <c r="B155"/>
  <c r="C155"/>
  <c r="B154" i="8"/>
  <c r="G153"/>
  <c r="E153"/>
  <c r="D153" s="1"/>
  <c r="C153" s="1"/>
  <c r="B155" l="1"/>
  <c r="G154"/>
  <c r="E154"/>
  <c r="D154" s="1"/>
  <c r="C154" s="1"/>
  <c r="E155" i="4"/>
  <c r="C156"/>
  <c r="A157"/>
  <c r="D156"/>
  <c r="B156"/>
  <c r="A157" i="8"/>
  <c r="F156"/>
  <c r="F155" i="4"/>
  <c r="G155" s="1"/>
  <c r="C157" i="6"/>
  <c r="A158"/>
  <c r="F157"/>
  <c r="B155"/>
  <c r="G154"/>
  <c r="E154"/>
  <c r="D154" s="1"/>
  <c r="B156" l="1"/>
  <c r="G155"/>
  <c r="E155"/>
  <c r="D155" s="1"/>
  <c r="A159"/>
  <c r="F158"/>
  <c r="C158"/>
  <c r="A158" i="8"/>
  <c r="F157"/>
  <c r="E156" i="4"/>
  <c r="F156" s="1"/>
  <c r="G156" s="1"/>
  <c r="A158"/>
  <c r="D157"/>
  <c r="B157"/>
  <c r="C157"/>
  <c r="B156" i="8"/>
  <c r="G155"/>
  <c r="E155"/>
  <c r="D155" s="1"/>
  <c r="C155" s="1"/>
  <c r="B157" l="1"/>
  <c r="G156"/>
  <c r="E156"/>
  <c r="D156" s="1"/>
  <c r="C156" s="1"/>
  <c r="E157" i="4"/>
  <c r="C158"/>
  <c r="A159"/>
  <c r="D158"/>
  <c r="B158"/>
  <c r="C159" i="6"/>
  <c r="A160"/>
  <c r="F159"/>
  <c r="F157" i="4"/>
  <c r="G157" s="1"/>
  <c r="A159" i="8"/>
  <c r="F158"/>
  <c r="B157" i="6"/>
  <c r="G156"/>
  <c r="E156"/>
  <c r="D156" s="1"/>
  <c r="B158" l="1"/>
  <c r="G157"/>
  <c r="E157"/>
  <c r="D157" s="1"/>
  <c r="A160" i="8"/>
  <c r="F159"/>
  <c r="A161" i="6"/>
  <c r="F160"/>
  <c r="C160"/>
  <c r="E158" i="4"/>
  <c r="F158" s="1"/>
  <c r="G158" s="1"/>
  <c r="A160"/>
  <c r="D159"/>
  <c r="B159"/>
  <c r="C159"/>
  <c r="B158" i="8"/>
  <c r="G157"/>
  <c r="E157"/>
  <c r="D157" s="1"/>
  <c r="C157" s="1"/>
  <c r="B159" l="1"/>
  <c r="G158"/>
  <c r="E158"/>
  <c r="D158" s="1"/>
  <c r="C158" s="1"/>
  <c r="E159" i="4"/>
  <c r="C160"/>
  <c r="A161"/>
  <c r="D160"/>
  <c r="B160"/>
  <c r="A161" i="8"/>
  <c r="F160"/>
  <c r="F159" i="4"/>
  <c r="G159" s="1"/>
  <c r="C161" i="6"/>
  <c r="A162"/>
  <c r="F161"/>
  <c r="B159"/>
  <c r="G158"/>
  <c r="E158"/>
  <c r="D158" s="1"/>
  <c r="B160" l="1"/>
  <c r="G159"/>
  <c r="E159"/>
  <c r="D159" s="1"/>
  <c r="A163"/>
  <c r="F162"/>
  <c r="C162"/>
  <c r="A162" i="8"/>
  <c r="F161"/>
  <c r="E160" i="4"/>
  <c r="F160" s="1"/>
  <c r="G160" s="1"/>
  <c r="A162"/>
  <c r="D161"/>
  <c r="B161"/>
  <c r="C161"/>
  <c r="B160" i="8"/>
  <c r="G159"/>
  <c r="E159"/>
  <c r="D159" s="1"/>
  <c r="C159" s="1"/>
  <c r="B161" l="1"/>
  <c r="G160"/>
  <c r="E160"/>
  <c r="D160" s="1"/>
  <c r="C160" s="1"/>
  <c r="E161" i="4"/>
  <c r="C162"/>
  <c r="A163"/>
  <c r="D162"/>
  <c r="B162"/>
  <c r="C163" i="6"/>
  <c r="A164"/>
  <c r="F163"/>
  <c r="F161" i="4"/>
  <c r="G161" s="1"/>
  <c r="A163" i="8"/>
  <c r="F162"/>
  <c r="B161" i="6"/>
  <c r="G160"/>
  <c r="E160"/>
  <c r="D160" s="1"/>
  <c r="B162" l="1"/>
  <c r="G161"/>
  <c r="E161"/>
  <c r="D161" s="1"/>
  <c r="A164" i="8"/>
  <c r="F163"/>
  <c r="A165" i="6"/>
  <c r="F164"/>
  <c r="C164"/>
  <c r="E162" i="4"/>
  <c r="F162" s="1"/>
  <c r="G162" s="1"/>
  <c r="A164"/>
  <c r="D163"/>
  <c r="B163"/>
  <c r="C163"/>
  <c r="B162" i="8"/>
  <c r="G161"/>
  <c r="E161"/>
  <c r="D161" s="1"/>
  <c r="C161" s="1"/>
  <c r="B163" l="1"/>
  <c r="G162"/>
  <c r="E162"/>
  <c r="D162" s="1"/>
  <c r="C162" s="1"/>
  <c r="E163" i="4"/>
  <c r="C164"/>
  <c r="A165"/>
  <c r="D164"/>
  <c r="B164"/>
  <c r="A165" i="8"/>
  <c r="F164"/>
  <c r="F163" i="4"/>
  <c r="G163" s="1"/>
  <c r="C165" i="6"/>
  <c r="A166"/>
  <c r="F165"/>
  <c r="B163"/>
  <c r="G162"/>
  <c r="E162"/>
  <c r="D162" s="1"/>
  <c r="B164" l="1"/>
  <c r="G163"/>
  <c r="E163"/>
  <c r="D163" s="1"/>
  <c r="A167"/>
  <c r="F166"/>
  <c r="C166"/>
  <c r="A166" i="8"/>
  <c r="F165"/>
  <c r="E164" i="4"/>
  <c r="F164" s="1"/>
  <c r="G164" s="1"/>
  <c r="A166"/>
  <c r="D165"/>
  <c r="B165"/>
  <c r="C165"/>
  <c r="B164" i="8"/>
  <c r="G163"/>
  <c r="E163"/>
  <c r="D163" s="1"/>
  <c r="C163" s="1"/>
  <c r="B165" l="1"/>
  <c r="G164"/>
  <c r="E164"/>
  <c r="D164" s="1"/>
  <c r="C164" s="1"/>
  <c r="E165" i="4"/>
  <c r="C166"/>
  <c r="A167"/>
  <c r="D166"/>
  <c r="B166"/>
  <c r="C167" i="6"/>
  <c r="A168"/>
  <c r="F167"/>
  <c r="F165" i="4"/>
  <c r="G165" s="1"/>
  <c r="A167" i="8"/>
  <c r="F166"/>
  <c r="B165" i="6"/>
  <c r="G164"/>
  <c r="E164"/>
  <c r="D164" s="1"/>
  <c r="B166" l="1"/>
  <c r="G165"/>
  <c r="E165"/>
  <c r="D165" s="1"/>
  <c r="A168" i="8"/>
  <c r="F167"/>
  <c r="A169" i="6"/>
  <c r="F168"/>
  <c r="C168"/>
  <c r="E166" i="4"/>
  <c r="F166" s="1"/>
  <c r="G166" s="1"/>
  <c r="A168"/>
  <c r="D167"/>
  <c r="B167"/>
  <c r="C167"/>
  <c r="B166" i="8"/>
  <c r="G165"/>
  <c r="E165"/>
  <c r="D165" s="1"/>
  <c r="C165" s="1"/>
  <c r="B167" l="1"/>
  <c r="G166"/>
  <c r="E166"/>
  <c r="D166" s="1"/>
  <c r="C166" s="1"/>
  <c r="E167" i="4"/>
  <c r="C168"/>
  <c r="A169"/>
  <c r="D168"/>
  <c r="B168"/>
  <c r="A169" i="8"/>
  <c r="F168"/>
  <c r="F167" i="4"/>
  <c r="G167" s="1"/>
  <c r="C169" i="6"/>
  <c r="A170"/>
  <c r="F169"/>
  <c r="B167"/>
  <c r="G166"/>
  <c r="E166"/>
  <c r="D166" s="1"/>
  <c r="B168" l="1"/>
  <c r="G167"/>
  <c r="E167"/>
  <c r="D167" s="1"/>
  <c r="A171"/>
  <c r="F170"/>
  <c r="C170"/>
  <c r="A170" i="8"/>
  <c r="F169"/>
  <c r="E168" i="4"/>
  <c r="F168" s="1"/>
  <c r="G168" s="1"/>
  <c r="A170"/>
  <c r="D169"/>
  <c r="B169"/>
  <c r="C169"/>
  <c r="B168" i="8"/>
  <c r="G167"/>
  <c r="E167"/>
  <c r="D167" s="1"/>
  <c r="C167" s="1"/>
  <c r="B169" l="1"/>
  <c r="G168"/>
  <c r="E168"/>
  <c r="D168" s="1"/>
  <c r="C168" s="1"/>
  <c r="E169" i="4"/>
  <c r="C170"/>
  <c r="A171"/>
  <c r="D170"/>
  <c r="B170"/>
  <c r="C171" i="6"/>
  <c r="A172"/>
  <c r="F171"/>
  <c r="F169" i="4"/>
  <c r="G169" s="1"/>
  <c r="A171" i="8"/>
  <c r="F170"/>
  <c r="B169" i="6"/>
  <c r="G168"/>
  <c r="E168"/>
  <c r="D168" s="1"/>
  <c r="B170" l="1"/>
  <c r="G169"/>
  <c r="E169"/>
  <c r="D169" s="1"/>
  <c r="A172" i="8"/>
  <c r="F171"/>
  <c r="A173" i="6"/>
  <c r="F172"/>
  <c r="C172"/>
  <c r="E170" i="4"/>
  <c r="F170" s="1"/>
  <c r="G170" s="1"/>
  <c r="A172"/>
  <c r="D171"/>
  <c r="B171"/>
  <c r="C171"/>
  <c r="B170" i="8"/>
  <c r="G169"/>
  <c r="E169"/>
  <c r="D169" s="1"/>
  <c r="C169" s="1"/>
  <c r="B171" l="1"/>
  <c r="G170"/>
  <c r="E170"/>
  <c r="D170" s="1"/>
  <c r="C170" s="1"/>
  <c r="E171" i="4"/>
  <c r="C172"/>
  <c r="A173"/>
  <c r="D172"/>
  <c r="B172"/>
  <c r="A173" i="8"/>
  <c r="F172"/>
  <c r="F171" i="4"/>
  <c r="G171" s="1"/>
  <c r="C173" i="6"/>
  <c r="A174"/>
  <c r="F173"/>
  <c r="B171"/>
  <c r="G170"/>
  <c r="E170"/>
  <c r="D170" s="1"/>
  <c r="B172" l="1"/>
  <c r="G171"/>
  <c r="E171"/>
  <c r="D171" s="1"/>
  <c r="A175"/>
  <c r="F174"/>
  <c r="C174"/>
  <c r="A174" i="8"/>
  <c r="F173"/>
  <c r="E172" i="4"/>
  <c r="F172" s="1"/>
  <c r="G172" s="1"/>
  <c r="A174"/>
  <c r="D173"/>
  <c r="B173"/>
  <c r="C173"/>
  <c r="B172" i="8"/>
  <c r="G171"/>
  <c r="E171"/>
  <c r="D171" s="1"/>
  <c r="C171" s="1"/>
  <c r="B173" l="1"/>
  <c r="G172"/>
  <c r="E172"/>
  <c r="D172" s="1"/>
  <c r="C172" s="1"/>
  <c r="E173" i="4"/>
  <c r="C174"/>
  <c r="A175"/>
  <c r="D174"/>
  <c r="B174"/>
  <c r="C175" i="6"/>
  <c r="A176"/>
  <c r="F175"/>
  <c r="F173" i="4"/>
  <c r="G173" s="1"/>
  <c r="A175" i="8"/>
  <c r="F174"/>
  <c r="B173" i="6"/>
  <c r="G172"/>
  <c r="E172"/>
  <c r="D172" s="1"/>
  <c r="B174" l="1"/>
  <c r="G173"/>
  <c r="E173"/>
  <c r="D173" s="1"/>
  <c r="A176" i="8"/>
  <c r="F175"/>
  <c r="A177" i="6"/>
  <c r="F176"/>
  <c r="C176"/>
  <c r="E174" i="4"/>
  <c r="F174" s="1"/>
  <c r="G174" s="1"/>
  <c r="A176"/>
  <c r="D175"/>
  <c r="B175"/>
  <c r="C175"/>
  <c r="B174" i="8"/>
  <c r="G173"/>
  <c r="E173"/>
  <c r="D173" s="1"/>
  <c r="C173" s="1"/>
  <c r="B175" l="1"/>
  <c r="G174"/>
  <c r="E174"/>
  <c r="D174" s="1"/>
  <c r="C174" s="1"/>
  <c r="E175" i="4"/>
  <c r="C176"/>
  <c r="A177"/>
  <c r="D176"/>
  <c r="B176"/>
  <c r="A177" i="8"/>
  <c r="F176"/>
  <c r="F175" i="4"/>
  <c r="G175" s="1"/>
  <c r="C177" i="6"/>
  <c r="A178"/>
  <c r="F177"/>
  <c r="B175"/>
  <c r="G174"/>
  <c r="E174"/>
  <c r="D174" s="1"/>
  <c r="B176" l="1"/>
  <c r="G175"/>
  <c r="E175"/>
  <c r="D175" s="1"/>
  <c r="A179"/>
  <c r="F178"/>
  <c r="C178"/>
  <c r="A178" i="8"/>
  <c r="F177"/>
  <c r="E176" i="4"/>
  <c r="F176" s="1"/>
  <c r="G176" s="1"/>
  <c r="A178"/>
  <c r="D177"/>
  <c r="B177"/>
  <c r="C177"/>
  <c r="B176" i="8"/>
  <c r="G175"/>
  <c r="E175"/>
  <c r="D175" s="1"/>
  <c r="C175" s="1"/>
  <c r="B177" l="1"/>
  <c r="G176"/>
  <c r="E176"/>
  <c r="D176" s="1"/>
  <c r="C176" s="1"/>
  <c r="E177" i="4"/>
  <c r="C178"/>
  <c r="A179"/>
  <c r="D178"/>
  <c r="B178"/>
  <c r="C179" i="6"/>
  <c r="A180"/>
  <c r="F179"/>
  <c r="F177" i="4"/>
  <c r="G177" s="1"/>
  <c r="A179" i="8"/>
  <c r="F178"/>
  <c r="B177" i="6"/>
  <c r="G176"/>
  <c r="E176"/>
  <c r="D176" s="1"/>
  <c r="B178" l="1"/>
  <c r="G177"/>
  <c r="E177"/>
  <c r="D177" s="1"/>
  <c r="A180" i="8"/>
  <c r="F179"/>
  <c r="A181" i="6"/>
  <c r="F180"/>
  <c r="C180"/>
  <c r="E178" i="4"/>
  <c r="F178" s="1"/>
  <c r="G178" s="1"/>
  <c r="A180"/>
  <c r="D179"/>
  <c r="B179"/>
  <c r="C179"/>
  <c r="B178" i="8"/>
  <c r="G177"/>
  <c r="E177"/>
  <c r="D177" s="1"/>
  <c r="C177" s="1"/>
  <c r="B179" l="1"/>
  <c r="G178"/>
  <c r="E178"/>
  <c r="D178" s="1"/>
  <c r="C178" s="1"/>
  <c r="E179" i="4"/>
  <c r="C180"/>
  <c r="A181"/>
  <c r="D180"/>
  <c r="B180"/>
  <c r="A181" i="8"/>
  <c r="F180"/>
  <c r="F179" i="4"/>
  <c r="G179" s="1"/>
  <c r="C181" i="6"/>
  <c r="A182"/>
  <c r="F181"/>
  <c r="B179"/>
  <c r="G178"/>
  <c r="E178"/>
  <c r="D178" s="1"/>
  <c r="B180" l="1"/>
  <c r="G179"/>
  <c r="E179"/>
  <c r="D179" s="1"/>
  <c r="A183"/>
  <c r="F182"/>
  <c r="C182"/>
  <c r="A182" i="8"/>
  <c r="F181"/>
  <c r="E180" i="4"/>
  <c r="F180" s="1"/>
  <c r="G180" s="1"/>
  <c r="A182"/>
  <c r="D181"/>
  <c r="B181"/>
  <c r="C181"/>
  <c r="B180" i="8"/>
  <c r="G179"/>
  <c r="E179"/>
  <c r="D179" s="1"/>
  <c r="C179" s="1"/>
  <c r="B181" l="1"/>
  <c r="G180"/>
  <c r="E180"/>
  <c r="D180" s="1"/>
  <c r="C180" s="1"/>
  <c r="E181" i="4"/>
  <c r="C182"/>
  <c r="A183"/>
  <c r="D182"/>
  <c r="B182"/>
  <c r="C183" i="6"/>
  <c r="A184"/>
  <c r="F183"/>
  <c r="F181" i="4"/>
  <c r="G181" s="1"/>
  <c r="A183" i="8"/>
  <c r="F182"/>
  <c r="B181" i="6"/>
  <c r="G180"/>
  <c r="E180"/>
  <c r="D180" s="1"/>
  <c r="B182" l="1"/>
  <c r="G181"/>
  <c r="E181"/>
  <c r="D181" s="1"/>
  <c r="A184" i="8"/>
  <c r="F183"/>
  <c r="A185" i="6"/>
  <c r="F184"/>
  <c r="C184"/>
  <c r="E182" i="4"/>
  <c r="F182" s="1"/>
  <c r="G182" s="1"/>
  <c r="A184"/>
  <c r="D183"/>
  <c r="B183"/>
  <c r="C183"/>
  <c r="B182" i="8"/>
  <c r="G181"/>
  <c r="E181"/>
  <c r="D181" s="1"/>
  <c r="C181" s="1"/>
  <c r="B183" l="1"/>
  <c r="G182"/>
  <c r="E182"/>
  <c r="D182" s="1"/>
  <c r="C182" s="1"/>
  <c r="E183" i="4"/>
  <c r="C184"/>
  <c r="A185"/>
  <c r="D184"/>
  <c r="B184"/>
  <c r="A185" i="8"/>
  <c r="F184"/>
  <c r="F183" i="4"/>
  <c r="G183" s="1"/>
  <c r="C185" i="6"/>
  <c r="A186"/>
  <c r="F185"/>
  <c r="B183"/>
  <c r="G182"/>
  <c r="E182"/>
  <c r="D182" s="1"/>
  <c r="B184" l="1"/>
  <c r="G183"/>
  <c r="E183"/>
  <c r="D183" s="1"/>
  <c r="A187"/>
  <c r="F186"/>
  <c r="C186"/>
  <c r="A186" i="8"/>
  <c r="F185"/>
  <c r="E184" i="4"/>
  <c r="F184" s="1"/>
  <c r="G184" s="1"/>
  <c r="A186"/>
  <c r="D185"/>
  <c r="B185"/>
  <c r="C185"/>
  <c r="B184" i="8"/>
  <c r="G183"/>
  <c r="E183"/>
  <c r="D183" s="1"/>
  <c r="C183" s="1"/>
  <c r="B185" l="1"/>
  <c r="G184"/>
  <c r="E184"/>
  <c r="D184" s="1"/>
  <c r="C184" s="1"/>
  <c r="E185" i="4"/>
  <c r="C186"/>
  <c r="A187"/>
  <c r="D186"/>
  <c r="B186"/>
  <c r="C187" i="6"/>
  <c r="A188"/>
  <c r="F187"/>
  <c r="F185" i="4"/>
  <c r="G185" s="1"/>
  <c r="A187" i="8"/>
  <c r="F186"/>
  <c r="B185" i="6"/>
  <c r="G184"/>
  <c r="E184"/>
  <c r="D184" s="1"/>
  <c r="B186" l="1"/>
  <c r="G185"/>
  <c r="E185"/>
  <c r="D185" s="1"/>
  <c r="A188" i="8"/>
  <c r="F187"/>
  <c r="A189" i="6"/>
  <c r="F188"/>
  <c r="C188"/>
  <c r="E186" i="4"/>
  <c r="F186" s="1"/>
  <c r="G186" s="1"/>
  <c r="A188"/>
  <c r="D187"/>
  <c r="B187"/>
  <c r="C187"/>
  <c r="B186" i="8"/>
  <c r="G185"/>
  <c r="E185"/>
  <c r="D185" s="1"/>
  <c r="C185" s="1"/>
  <c r="B187" l="1"/>
  <c r="G186"/>
  <c r="E186"/>
  <c r="D186" s="1"/>
  <c r="C186" s="1"/>
  <c r="E187" i="4"/>
  <c r="C188"/>
  <c r="A189"/>
  <c r="D188"/>
  <c r="B188"/>
  <c r="A189" i="8"/>
  <c r="F188"/>
  <c r="F187" i="4"/>
  <c r="G187" s="1"/>
  <c r="C189" i="6"/>
  <c r="A190"/>
  <c r="F189"/>
  <c r="B187"/>
  <c r="G186"/>
  <c r="E186"/>
  <c r="D186" s="1"/>
  <c r="B188" l="1"/>
  <c r="G187"/>
  <c r="E187"/>
  <c r="D187" s="1"/>
  <c r="A191"/>
  <c r="F190"/>
  <c r="C190"/>
  <c r="A190" i="8"/>
  <c r="F189"/>
  <c r="E188" i="4"/>
  <c r="F188" s="1"/>
  <c r="G188" s="1"/>
  <c r="A190"/>
  <c r="D189"/>
  <c r="B189"/>
  <c r="C189"/>
  <c r="B188" i="8"/>
  <c r="G187"/>
  <c r="E187"/>
  <c r="D187" s="1"/>
  <c r="C187" s="1"/>
  <c r="B189" l="1"/>
  <c r="G188"/>
  <c r="E188"/>
  <c r="D188" s="1"/>
  <c r="C188" s="1"/>
  <c r="E189" i="4"/>
  <c r="C190"/>
  <c r="A191"/>
  <c r="D190"/>
  <c r="B190"/>
  <c r="C191" i="6"/>
  <c r="A192"/>
  <c r="F191"/>
  <c r="F189" i="4"/>
  <c r="G189" s="1"/>
  <c r="A191" i="8"/>
  <c r="F190"/>
  <c r="B189" i="6"/>
  <c r="G188"/>
  <c r="E188"/>
  <c r="D188" s="1"/>
  <c r="B190" l="1"/>
  <c r="G189"/>
  <c r="E189"/>
  <c r="D189" s="1"/>
  <c r="A192" i="8"/>
  <c r="F191"/>
  <c r="A193" i="6"/>
  <c r="F192"/>
  <c r="C192"/>
  <c r="E190" i="4"/>
  <c r="F190" s="1"/>
  <c r="G190" s="1"/>
  <c r="A192"/>
  <c r="D191"/>
  <c r="B191"/>
  <c r="C191"/>
  <c r="B190" i="8"/>
  <c r="G189"/>
  <c r="E189"/>
  <c r="D189" s="1"/>
  <c r="C189" s="1"/>
  <c r="B191" l="1"/>
  <c r="G190"/>
  <c r="E190"/>
  <c r="D190" s="1"/>
  <c r="C190" s="1"/>
  <c r="E191" i="4"/>
  <c r="C192"/>
  <c r="A193"/>
  <c r="D192"/>
  <c r="B192"/>
  <c r="A193" i="8"/>
  <c r="F192"/>
  <c r="F191" i="4"/>
  <c r="G191" s="1"/>
  <c r="C193" i="6"/>
  <c r="A194"/>
  <c r="F193"/>
  <c r="B191"/>
  <c r="G190"/>
  <c r="E190"/>
  <c r="D190" s="1"/>
  <c r="B192" l="1"/>
  <c r="G191"/>
  <c r="E191"/>
  <c r="D191" s="1"/>
  <c r="A195"/>
  <c r="F194"/>
  <c r="C194"/>
  <c r="A194" i="8"/>
  <c r="F193"/>
  <c r="E192" i="4"/>
  <c r="F192" s="1"/>
  <c r="G192" s="1"/>
  <c r="A194"/>
  <c r="D193"/>
  <c r="B193"/>
  <c r="C193"/>
  <c r="B192" i="8"/>
  <c r="G191"/>
  <c r="E191"/>
  <c r="D191" s="1"/>
  <c r="C191" s="1"/>
  <c r="B193" l="1"/>
  <c r="G192"/>
  <c r="E192"/>
  <c r="D192" s="1"/>
  <c r="C192" s="1"/>
  <c r="E193" i="4"/>
  <c r="C194"/>
  <c r="A195"/>
  <c r="D194"/>
  <c r="B194"/>
  <c r="C195" i="6"/>
  <c r="A196"/>
  <c r="F195"/>
  <c r="F193" i="4"/>
  <c r="G193" s="1"/>
  <c r="A195" i="8"/>
  <c r="F194"/>
  <c r="B193" i="6"/>
  <c r="G192"/>
  <c r="E192"/>
  <c r="D192" s="1"/>
  <c r="B194" l="1"/>
  <c r="G193"/>
  <c r="E193"/>
  <c r="D193" s="1"/>
  <c r="A196" i="8"/>
  <c r="F195"/>
  <c r="A197" i="6"/>
  <c r="F196"/>
  <c r="C196"/>
  <c r="E194" i="4"/>
  <c r="F194" s="1"/>
  <c r="G194" s="1"/>
  <c r="A196"/>
  <c r="D195"/>
  <c r="B195"/>
  <c r="C195"/>
  <c r="B194" i="8"/>
  <c r="G193"/>
  <c r="E193"/>
  <c r="D193" s="1"/>
  <c r="C193" s="1"/>
  <c r="B195" l="1"/>
  <c r="G194"/>
  <c r="E194"/>
  <c r="D194" s="1"/>
  <c r="C194" s="1"/>
  <c r="E195" i="4"/>
  <c r="C196"/>
  <c r="A197"/>
  <c r="D196"/>
  <c r="B196"/>
  <c r="A197" i="8"/>
  <c r="F196"/>
  <c r="F195" i="4"/>
  <c r="G195" s="1"/>
  <c r="C197" i="6"/>
  <c r="A198"/>
  <c r="F197"/>
  <c r="B195"/>
  <c r="G194"/>
  <c r="E194"/>
  <c r="D194" s="1"/>
  <c r="B196" l="1"/>
  <c r="G195"/>
  <c r="E195"/>
  <c r="D195" s="1"/>
  <c r="A199"/>
  <c r="F198"/>
  <c r="C198"/>
  <c r="A198" i="8"/>
  <c r="F197"/>
  <c r="E196" i="4"/>
  <c r="F196" s="1"/>
  <c r="G196" s="1"/>
  <c r="A198"/>
  <c r="D197"/>
  <c r="B197"/>
  <c r="C197"/>
  <c r="B196" i="8"/>
  <c r="G195"/>
  <c r="E195"/>
  <c r="D195" s="1"/>
  <c r="C195" s="1"/>
  <c r="B197" l="1"/>
  <c r="G196"/>
  <c r="E196"/>
  <c r="D196" s="1"/>
  <c r="C196" s="1"/>
  <c r="E197" i="4"/>
  <c r="C198"/>
  <c r="A199"/>
  <c r="D198"/>
  <c r="B198"/>
  <c r="C199" i="6"/>
  <c r="A200"/>
  <c r="F199"/>
  <c r="F197" i="4"/>
  <c r="G197" s="1"/>
  <c r="A199" i="8"/>
  <c r="F198"/>
  <c r="B197" i="6"/>
  <c r="G196"/>
  <c r="E196"/>
  <c r="D196" s="1"/>
  <c r="B198" l="1"/>
  <c r="G197"/>
  <c r="E197"/>
  <c r="D197" s="1"/>
  <c r="A200" i="8"/>
  <c r="F199"/>
  <c r="A201" i="6"/>
  <c r="F200"/>
  <c r="C200"/>
  <c r="E198" i="4"/>
  <c r="F198" s="1"/>
  <c r="G198" s="1"/>
  <c r="A200"/>
  <c r="D199"/>
  <c r="B199"/>
  <c r="C199"/>
  <c r="B198" i="8"/>
  <c r="G197"/>
  <c r="E197"/>
  <c r="D197" s="1"/>
  <c r="C197" s="1"/>
  <c r="B199" l="1"/>
  <c r="G198"/>
  <c r="E198"/>
  <c r="D198" s="1"/>
  <c r="C198" s="1"/>
  <c r="E199" i="4"/>
  <c r="C200"/>
  <c r="A201"/>
  <c r="D200"/>
  <c r="B200"/>
  <c r="A201" i="8"/>
  <c r="F200"/>
  <c r="F199" i="4"/>
  <c r="G199" s="1"/>
  <c r="C201" i="6"/>
  <c r="A202"/>
  <c r="F201"/>
  <c r="B199"/>
  <c r="G198"/>
  <c r="E198"/>
  <c r="D198" s="1"/>
  <c r="B200" l="1"/>
  <c r="G199"/>
  <c r="E199"/>
  <c r="D199" s="1"/>
  <c r="A203"/>
  <c r="F202"/>
  <c r="C202"/>
  <c r="A202" i="8"/>
  <c r="F201"/>
  <c r="E200" i="4"/>
  <c r="F200" s="1"/>
  <c r="G200" s="1"/>
  <c r="A202"/>
  <c r="D201"/>
  <c r="B201"/>
  <c r="C201"/>
  <c r="B200" i="8"/>
  <c r="G199"/>
  <c r="E199"/>
  <c r="D199" s="1"/>
  <c r="C199" s="1"/>
  <c r="B201" l="1"/>
  <c r="G200"/>
  <c r="E200"/>
  <c r="D200" s="1"/>
  <c r="C200" s="1"/>
  <c r="E201" i="4"/>
  <c r="C202"/>
  <c r="A203"/>
  <c r="D202"/>
  <c r="B202"/>
  <c r="C203" i="6"/>
  <c r="A204"/>
  <c r="F203"/>
  <c r="F201" i="4"/>
  <c r="G201" s="1"/>
  <c r="A203" i="8"/>
  <c r="F202"/>
  <c r="B201" i="6"/>
  <c r="G200"/>
  <c r="E200"/>
  <c r="D200" s="1"/>
  <c r="B202" l="1"/>
  <c r="G201"/>
  <c r="E201"/>
  <c r="D201" s="1"/>
  <c r="A204" i="8"/>
  <c r="F203"/>
  <c r="A205" i="6"/>
  <c r="F204"/>
  <c r="C204"/>
  <c r="E202" i="4"/>
  <c r="F202" s="1"/>
  <c r="G202" s="1"/>
  <c r="A204"/>
  <c r="D203"/>
  <c r="B203"/>
  <c r="C203"/>
  <c r="B202" i="8"/>
  <c r="G201"/>
  <c r="E201"/>
  <c r="D201" s="1"/>
  <c r="C201" s="1"/>
  <c r="B203" l="1"/>
  <c r="G202"/>
  <c r="E202"/>
  <c r="D202" s="1"/>
  <c r="C202" s="1"/>
  <c r="E203" i="4"/>
  <c r="C204"/>
  <c r="A205"/>
  <c r="D204"/>
  <c r="B204"/>
  <c r="A205" i="8"/>
  <c r="F204"/>
  <c r="F203" i="4"/>
  <c r="G203" s="1"/>
  <c r="C205" i="6"/>
  <c r="A206"/>
  <c r="F205"/>
  <c r="B203"/>
  <c r="G202"/>
  <c r="E202"/>
  <c r="D202" s="1"/>
  <c r="B204" l="1"/>
  <c r="G203"/>
  <c r="E203"/>
  <c r="D203" s="1"/>
  <c r="A207"/>
  <c r="F206"/>
  <c r="C206"/>
  <c r="A206" i="8"/>
  <c r="F205"/>
  <c r="E204" i="4"/>
  <c r="F204" s="1"/>
  <c r="G204" s="1"/>
  <c r="A206"/>
  <c r="D205"/>
  <c r="B205"/>
  <c r="C205"/>
  <c r="B204" i="8"/>
  <c r="G203"/>
  <c r="E203"/>
  <c r="D203" s="1"/>
  <c r="C203" s="1"/>
  <c r="B205" l="1"/>
  <c r="G204"/>
  <c r="E204"/>
  <c r="D204" s="1"/>
  <c r="C204" s="1"/>
  <c r="E205" i="4"/>
  <c r="C206"/>
  <c r="A207"/>
  <c r="D206"/>
  <c r="B206"/>
  <c r="C207" i="6"/>
  <c r="A208"/>
  <c r="F207"/>
  <c r="F205" i="4"/>
  <c r="G205" s="1"/>
  <c r="A207" i="8"/>
  <c r="F206"/>
  <c r="B205" i="6"/>
  <c r="G204"/>
  <c r="E204"/>
  <c r="D204" s="1"/>
  <c r="B206" l="1"/>
  <c r="G205"/>
  <c r="E205"/>
  <c r="D205" s="1"/>
  <c r="A208" i="8"/>
  <c r="F207"/>
  <c r="A209" i="6"/>
  <c r="F208"/>
  <c r="C208"/>
  <c r="E206" i="4"/>
  <c r="F206" s="1"/>
  <c r="G206" s="1"/>
  <c r="A208"/>
  <c r="D207"/>
  <c r="B207"/>
  <c r="C207"/>
  <c r="B206" i="8"/>
  <c r="G205"/>
  <c r="E205"/>
  <c r="D205" s="1"/>
  <c r="C205" s="1"/>
  <c r="B207" l="1"/>
  <c r="G206"/>
  <c r="E206"/>
  <c r="D206" s="1"/>
  <c r="C206" s="1"/>
  <c r="E207" i="4"/>
  <c r="C208"/>
  <c r="A209"/>
  <c r="D208"/>
  <c r="B208"/>
  <c r="A209" i="8"/>
  <c r="F208"/>
  <c r="F207" i="4"/>
  <c r="G207" s="1"/>
  <c r="C209" i="6"/>
  <c r="A210"/>
  <c r="F209"/>
  <c r="B207"/>
  <c r="G206"/>
  <c r="E206"/>
  <c r="D206" s="1"/>
  <c r="B208" l="1"/>
  <c r="G207"/>
  <c r="E207"/>
  <c r="D207" s="1"/>
  <c r="A211"/>
  <c r="F210"/>
  <c r="C210"/>
  <c r="A210" i="8"/>
  <c r="F209"/>
  <c r="E208" i="4"/>
  <c r="F208" s="1"/>
  <c r="G208" s="1"/>
  <c r="A210"/>
  <c r="D209"/>
  <c r="B209"/>
  <c r="C209"/>
  <c r="B208" i="8"/>
  <c r="G207"/>
  <c r="E207"/>
  <c r="D207" s="1"/>
  <c r="C207" s="1"/>
  <c r="B209" l="1"/>
  <c r="G208"/>
  <c r="E208"/>
  <c r="D208" s="1"/>
  <c r="C208" s="1"/>
  <c r="E209" i="4"/>
  <c r="C210"/>
  <c r="A211"/>
  <c r="D210"/>
  <c r="B210"/>
  <c r="C211" i="6"/>
  <c r="A212"/>
  <c r="F211"/>
  <c r="F209" i="4"/>
  <c r="G209" s="1"/>
  <c r="A211" i="8"/>
  <c r="F210"/>
  <c r="B209" i="6"/>
  <c r="G208"/>
  <c r="E208"/>
  <c r="D208" s="1"/>
  <c r="B210" l="1"/>
  <c r="G209"/>
  <c r="E209"/>
  <c r="D209" s="1"/>
  <c r="A212" i="8"/>
  <c r="F211"/>
  <c r="A213" i="6"/>
  <c r="F212"/>
  <c r="C212"/>
  <c r="E210" i="4"/>
  <c r="F210" s="1"/>
  <c r="G210" s="1"/>
  <c r="A212"/>
  <c r="D211"/>
  <c r="B211"/>
  <c r="C211"/>
  <c r="B210" i="8"/>
  <c r="G209"/>
  <c r="E209"/>
  <c r="D209" s="1"/>
  <c r="C209" s="1"/>
  <c r="B211" l="1"/>
  <c r="G210"/>
  <c r="E210"/>
  <c r="D210" s="1"/>
  <c r="C210" s="1"/>
  <c r="E211" i="4"/>
  <c r="C212"/>
  <c r="A213"/>
  <c r="D212"/>
  <c r="B212"/>
  <c r="A213" i="8"/>
  <c r="F212"/>
  <c r="F211" i="4"/>
  <c r="G211" s="1"/>
  <c r="C213" i="6"/>
  <c r="A214"/>
  <c r="F213"/>
  <c r="B211"/>
  <c r="G210"/>
  <c r="E210"/>
  <c r="D210" s="1"/>
  <c r="B212" l="1"/>
  <c r="G211"/>
  <c r="E211"/>
  <c r="D211" s="1"/>
  <c r="A215"/>
  <c r="F214"/>
  <c r="C214"/>
  <c r="A214" i="8"/>
  <c r="F213"/>
  <c r="E212" i="4"/>
  <c r="F212" s="1"/>
  <c r="G212" s="1"/>
  <c r="A214"/>
  <c r="D213"/>
  <c r="B213"/>
  <c r="C213"/>
  <c r="B212" i="8"/>
  <c r="G211"/>
  <c r="E211"/>
  <c r="D211" s="1"/>
  <c r="C211" s="1"/>
  <c r="B213" l="1"/>
  <c r="G212"/>
  <c r="E212"/>
  <c r="D212" s="1"/>
  <c r="C212" s="1"/>
  <c r="E213" i="4"/>
  <c r="C214"/>
  <c r="A215"/>
  <c r="D214"/>
  <c r="B214"/>
  <c r="C215" i="6"/>
  <c r="A216"/>
  <c r="F215"/>
  <c r="F213" i="4"/>
  <c r="G213" s="1"/>
  <c r="A215" i="8"/>
  <c r="F214"/>
  <c r="B213" i="6"/>
  <c r="G212"/>
  <c r="E212"/>
  <c r="D212" s="1"/>
  <c r="B214" l="1"/>
  <c r="G213"/>
  <c r="E213"/>
  <c r="D213" s="1"/>
  <c r="A216" i="8"/>
  <c r="F215"/>
  <c r="A217" i="6"/>
  <c r="F216"/>
  <c r="C216"/>
  <c r="E214" i="4"/>
  <c r="F214" s="1"/>
  <c r="G214" s="1"/>
  <c r="A216"/>
  <c r="D215"/>
  <c r="B215"/>
  <c r="C215"/>
  <c r="B214" i="8"/>
  <c r="G213"/>
  <c r="E213"/>
  <c r="D213" s="1"/>
  <c r="C213" s="1"/>
  <c r="B215" l="1"/>
  <c r="G214"/>
  <c r="E214"/>
  <c r="D214" s="1"/>
  <c r="C214" s="1"/>
  <c r="E215" i="4"/>
  <c r="C216"/>
  <c r="A217"/>
  <c r="D216"/>
  <c r="B216"/>
  <c r="A217" i="8"/>
  <c r="F216"/>
  <c r="F215" i="4"/>
  <c r="G215" s="1"/>
  <c r="C217" i="6"/>
  <c r="A218"/>
  <c r="F217"/>
  <c r="B215"/>
  <c r="G214"/>
  <c r="E214"/>
  <c r="D214" s="1"/>
  <c r="B216" l="1"/>
  <c r="G215"/>
  <c r="E215"/>
  <c r="D215" s="1"/>
  <c r="A219"/>
  <c r="F218"/>
  <c r="C218"/>
  <c r="A218" i="8"/>
  <c r="F217"/>
  <c r="E216" i="4"/>
  <c r="F216" s="1"/>
  <c r="G216" s="1"/>
  <c r="A218"/>
  <c r="D217"/>
  <c r="B217"/>
  <c r="C217"/>
  <c r="B216" i="8"/>
  <c r="G215"/>
  <c r="E215"/>
  <c r="D215" s="1"/>
  <c r="C215" s="1"/>
  <c r="B217" l="1"/>
  <c r="G216"/>
  <c r="E216"/>
  <c r="D216" s="1"/>
  <c r="C216" s="1"/>
  <c r="E217" i="4"/>
  <c r="C218"/>
  <c r="A219"/>
  <c r="D218"/>
  <c r="B218"/>
  <c r="C219" i="6"/>
  <c r="A220"/>
  <c r="F219"/>
  <c r="F217" i="4"/>
  <c r="G217" s="1"/>
  <c r="A219" i="8"/>
  <c r="F218"/>
  <c r="B217" i="6"/>
  <c r="G216"/>
  <c r="E216"/>
  <c r="D216" s="1"/>
  <c r="B218" l="1"/>
  <c r="G217"/>
  <c r="E217"/>
  <c r="D217" s="1"/>
  <c r="A220" i="8"/>
  <c r="F219"/>
  <c r="A221" i="6"/>
  <c r="F220"/>
  <c r="C220"/>
  <c r="E218" i="4"/>
  <c r="F218" s="1"/>
  <c r="G218" s="1"/>
  <c r="A220"/>
  <c r="D219"/>
  <c r="B219"/>
  <c r="C219"/>
  <c r="B218" i="8"/>
  <c r="G217"/>
  <c r="E217"/>
  <c r="D217" s="1"/>
  <c r="C217" s="1"/>
  <c r="B219" l="1"/>
  <c r="G218"/>
  <c r="E218"/>
  <c r="D218" s="1"/>
  <c r="C218" s="1"/>
  <c r="E219" i="4"/>
  <c r="C220"/>
  <c r="A221"/>
  <c r="D220"/>
  <c r="B220"/>
  <c r="A221" i="8"/>
  <c r="F220"/>
  <c r="F219" i="4"/>
  <c r="G219" s="1"/>
  <c r="C221" i="6"/>
  <c r="A222"/>
  <c r="F221"/>
  <c r="B219"/>
  <c r="G218"/>
  <c r="E218"/>
  <c r="D218" s="1"/>
  <c r="B220" l="1"/>
  <c r="G219"/>
  <c r="E219"/>
  <c r="D219" s="1"/>
  <c r="A223"/>
  <c r="F222"/>
  <c r="C222"/>
  <c r="A222" i="8"/>
  <c r="F221"/>
  <c r="E220" i="4"/>
  <c r="F220" s="1"/>
  <c r="G220" s="1"/>
  <c r="A222"/>
  <c r="D221"/>
  <c r="B221"/>
  <c r="C221"/>
  <c r="B220" i="8"/>
  <c r="G219"/>
  <c r="E219"/>
  <c r="D219" s="1"/>
  <c r="C219" s="1"/>
  <c r="B221" l="1"/>
  <c r="G220"/>
  <c r="E220"/>
  <c r="D220" s="1"/>
  <c r="C220" s="1"/>
  <c r="E221" i="4"/>
  <c r="C222"/>
  <c r="A223"/>
  <c r="D222"/>
  <c r="B222"/>
  <c r="C223" i="6"/>
  <c r="A224"/>
  <c r="F223"/>
  <c r="F221" i="4"/>
  <c r="G221" s="1"/>
  <c r="A223" i="8"/>
  <c r="F222"/>
  <c r="B221" i="6"/>
  <c r="G220"/>
  <c r="E220"/>
  <c r="D220" s="1"/>
  <c r="B222" l="1"/>
  <c r="G221"/>
  <c r="E221"/>
  <c r="D221" s="1"/>
  <c r="A224" i="8"/>
  <c r="F223"/>
  <c r="A225" i="6"/>
  <c r="F224"/>
  <c r="C224"/>
  <c r="E222" i="4"/>
  <c r="F222" s="1"/>
  <c r="G222" s="1"/>
  <c r="A224"/>
  <c r="D223"/>
  <c r="B223"/>
  <c r="C223"/>
  <c r="B222" i="8"/>
  <c r="G221"/>
  <c r="E221"/>
  <c r="D221" s="1"/>
  <c r="C221" s="1"/>
  <c r="B223" l="1"/>
  <c r="G222"/>
  <c r="E222"/>
  <c r="D222" s="1"/>
  <c r="C222" s="1"/>
  <c r="E223" i="4"/>
  <c r="C224"/>
  <c r="A225"/>
  <c r="D224"/>
  <c r="B224"/>
  <c r="A225" i="8"/>
  <c r="F224"/>
  <c r="F223" i="4"/>
  <c r="G223" s="1"/>
  <c r="C225" i="6"/>
  <c r="A226"/>
  <c r="F225"/>
  <c r="B223"/>
  <c r="G222"/>
  <c r="E222"/>
  <c r="D222" s="1"/>
  <c r="B224" l="1"/>
  <c r="G223"/>
  <c r="E223"/>
  <c r="D223" s="1"/>
  <c r="A227"/>
  <c r="F226"/>
  <c r="C226"/>
  <c r="A226" i="8"/>
  <c r="F225"/>
  <c r="E224" i="4"/>
  <c r="F224" s="1"/>
  <c r="G224" s="1"/>
  <c r="A226"/>
  <c r="D225"/>
  <c r="B225"/>
  <c r="C225"/>
  <c r="B224" i="8"/>
  <c r="G223"/>
  <c r="E223"/>
  <c r="D223" s="1"/>
  <c r="C223" s="1"/>
  <c r="B225" l="1"/>
  <c r="G224"/>
  <c r="E224"/>
  <c r="D224" s="1"/>
  <c r="C224" s="1"/>
  <c r="E225" i="4"/>
  <c r="C226"/>
  <c r="A227"/>
  <c r="D226"/>
  <c r="B226"/>
  <c r="C227" i="6"/>
  <c r="A228"/>
  <c r="F227"/>
  <c r="F225" i="4"/>
  <c r="G225" s="1"/>
  <c r="A227" i="8"/>
  <c r="F226"/>
  <c r="B225" i="6"/>
  <c r="G224"/>
  <c r="E224"/>
  <c r="D224" s="1"/>
  <c r="B226" l="1"/>
  <c r="G225"/>
  <c r="E225"/>
  <c r="D225" s="1"/>
  <c r="A228" i="8"/>
  <c r="F227"/>
  <c r="A229" i="6"/>
  <c r="F228"/>
  <c r="C228"/>
  <c r="E226" i="4"/>
  <c r="F226" s="1"/>
  <c r="G226" s="1"/>
  <c r="A228"/>
  <c r="D227"/>
  <c r="B227"/>
  <c r="C227"/>
  <c r="B226" i="8"/>
  <c r="G225"/>
  <c r="E225"/>
  <c r="D225" s="1"/>
  <c r="C225" s="1"/>
  <c r="B227" l="1"/>
  <c r="G226"/>
  <c r="E226"/>
  <c r="D226" s="1"/>
  <c r="C226" s="1"/>
  <c r="E227" i="4"/>
  <c r="C228"/>
  <c r="A229"/>
  <c r="D228"/>
  <c r="B228"/>
  <c r="A229" i="8"/>
  <c r="F228"/>
  <c r="F227" i="4"/>
  <c r="G227" s="1"/>
  <c r="C229" i="6"/>
  <c r="A230"/>
  <c r="F229"/>
  <c r="B227"/>
  <c r="G226"/>
  <c r="E226"/>
  <c r="D226" s="1"/>
  <c r="B228" l="1"/>
  <c r="G227"/>
  <c r="E227"/>
  <c r="D227" s="1"/>
  <c r="A231"/>
  <c r="F230"/>
  <c r="C230"/>
  <c r="A230" i="8"/>
  <c r="F229"/>
  <c r="E228" i="4"/>
  <c r="F228" s="1"/>
  <c r="G228" s="1"/>
  <c r="A230"/>
  <c r="D229"/>
  <c r="B229"/>
  <c r="C229"/>
  <c r="B228" i="8"/>
  <c r="G227"/>
  <c r="E227"/>
  <c r="D227" s="1"/>
  <c r="C227" s="1"/>
  <c r="B229" l="1"/>
  <c r="G228"/>
  <c r="E228"/>
  <c r="D228" s="1"/>
  <c r="C228" s="1"/>
  <c r="E229" i="4"/>
  <c r="C230"/>
  <c r="A231"/>
  <c r="D230"/>
  <c r="B230"/>
  <c r="C231" i="6"/>
  <c r="A232"/>
  <c r="F231"/>
  <c r="F229" i="4"/>
  <c r="G229" s="1"/>
  <c r="A231" i="8"/>
  <c r="F230"/>
  <c r="B229" i="6"/>
  <c r="G228"/>
  <c r="E228"/>
  <c r="D228" s="1"/>
  <c r="B230" l="1"/>
  <c r="G229"/>
  <c r="E229"/>
  <c r="D229" s="1"/>
  <c r="A232" i="8"/>
  <c r="F231"/>
  <c r="A233" i="6"/>
  <c r="F232"/>
  <c r="C232"/>
  <c r="E230" i="4"/>
  <c r="F230" s="1"/>
  <c r="G230" s="1"/>
  <c r="A232"/>
  <c r="D231"/>
  <c r="B231"/>
  <c r="C231"/>
  <c r="B230" i="8"/>
  <c r="G229"/>
  <c r="E229"/>
  <c r="D229" s="1"/>
  <c r="C229" s="1"/>
  <c r="B231" l="1"/>
  <c r="G230"/>
  <c r="E230"/>
  <c r="D230" s="1"/>
  <c r="C230" s="1"/>
  <c r="E231" i="4"/>
  <c r="C232"/>
  <c r="A233"/>
  <c r="D232"/>
  <c r="B232"/>
  <c r="A233" i="8"/>
  <c r="F232"/>
  <c r="F231" i="4"/>
  <c r="G231" s="1"/>
  <c r="C233" i="6"/>
  <c r="A234"/>
  <c r="F233"/>
  <c r="B231"/>
  <c r="G230"/>
  <c r="E230"/>
  <c r="D230" s="1"/>
  <c r="B232" l="1"/>
  <c r="G231"/>
  <c r="E231"/>
  <c r="D231" s="1"/>
  <c r="A235"/>
  <c r="F234"/>
  <c r="C234"/>
  <c r="A234" i="8"/>
  <c r="F233"/>
  <c r="E232" i="4"/>
  <c r="F232" s="1"/>
  <c r="G232" s="1"/>
  <c r="A234"/>
  <c r="D233"/>
  <c r="B233"/>
  <c r="C233"/>
  <c r="B232" i="8"/>
  <c r="G231"/>
  <c r="E231"/>
  <c r="D231" s="1"/>
  <c r="C231" s="1"/>
  <c r="B233" l="1"/>
  <c r="G232"/>
  <c r="E232"/>
  <c r="D232" s="1"/>
  <c r="C232" s="1"/>
  <c r="E233" i="4"/>
  <c r="C234"/>
  <c r="A235"/>
  <c r="D234"/>
  <c r="B234"/>
  <c r="C235" i="6"/>
  <c r="A236"/>
  <c r="F235"/>
  <c r="F233" i="4"/>
  <c r="G233" s="1"/>
  <c r="A235" i="8"/>
  <c r="F234"/>
  <c r="B233" i="6"/>
  <c r="G232"/>
  <c r="E232"/>
  <c r="D232" s="1"/>
  <c r="B234" l="1"/>
  <c r="G233"/>
  <c r="E233"/>
  <c r="D233" s="1"/>
  <c r="A236" i="8"/>
  <c r="F235"/>
  <c r="A237" i="6"/>
  <c r="F236"/>
  <c r="C236"/>
  <c r="E234" i="4"/>
  <c r="F234" s="1"/>
  <c r="G234" s="1"/>
  <c r="A236"/>
  <c r="D235"/>
  <c r="B235"/>
  <c r="C235"/>
  <c r="B234" i="8"/>
  <c r="G233"/>
  <c r="E233"/>
  <c r="D233" s="1"/>
  <c r="C233" s="1"/>
  <c r="B235" l="1"/>
  <c r="G234"/>
  <c r="E234"/>
  <c r="D234" s="1"/>
  <c r="C234" s="1"/>
  <c r="E235" i="4"/>
  <c r="C236"/>
  <c r="A237"/>
  <c r="D236"/>
  <c r="B236"/>
  <c r="A237" i="8"/>
  <c r="F236"/>
  <c r="F235" i="4"/>
  <c r="G235" s="1"/>
  <c r="C237" i="6"/>
  <c r="A238"/>
  <c r="F237"/>
  <c r="B235"/>
  <c r="G234"/>
  <c r="E234"/>
  <c r="D234" s="1"/>
  <c r="B236" l="1"/>
  <c r="G235"/>
  <c r="E235"/>
  <c r="D235" s="1"/>
  <c r="A239"/>
  <c r="F238"/>
  <c r="C238"/>
  <c r="A238" i="8"/>
  <c r="F237"/>
  <c r="E236" i="4"/>
  <c r="F236" s="1"/>
  <c r="G236" s="1"/>
  <c r="A238"/>
  <c r="D237"/>
  <c r="B237"/>
  <c r="C237"/>
  <c r="B236" i="8"/>
  <c r="G235"/>
  <c r="E235"/>
  <c r="D235" s="1"/>
  <c r="C235" s="1"/>
  <c r="B237" l="1"/>
  <c r="G236"/>
  <c r="E236"/>
  <c r="D236" s="1"/>
  <c r="C236" s="1"/>
  <c r="E237" i="4"/>
  <c r="C238"/>
  <c r="A239"/>
  <c r="D238"/>
  <c r="B238"/>
  <c r="C239" i="6"/>
  <c r="A240"/>
  <c r="F239"/>
  <c r="F237" i="4"/>
  <c r="G237" s="1"/>
  <c r="A239" i="8"/>
  <c r="F238"/>
  <c r="B237" i="6"/>
  <c r="G236"/>
  <c r="E236"/>
  <c r="D236" s="1"/>
  <c r="B238" l="1"/>
  <c r="G237"/>
  <c r="E237"/>
  <c r="D237" s="1"/>
  <c r="A240" i="8"/>
  <c r="F239"/>
  <c r="A241" i="6"/>
  <c r="F240"/>
  <c r="C240"/>
  <c r="E238" i="4"/>
  <c r="F238" s="1"/>
  <c r="G238" s="1"/>
  <c r="A240"/>
  <c r="D239"/>
  <c r="B239"/>
  <c r="C239"/>
  <c r="B238" i="8"/>
  <c r="G237"/>
  <c r="E237"/>
  <c r="D237" s="1"/>
  <c r="C237" s="1"/>
  <c r="B239" l="1"/>
  <c r="G238"/>
  <c r="E238"/>
  <c r="D238" s="1"/>
  <c r="C238" s="1"/>
  <c r="E239" i="4"/>
  <c r="C240"/>
  <c r="A241"/>
  <c r="D240"/>
  <c r="B240"/>
  <c r="A241" i="8"/>
  <c r="F240"/>
  <c r="F239" i="4"/>
  <c r="G239" s="1"/>
  <c r="C241" i="6"/>
  <c r="A242"/>
  <c r="F241"/>
  <c r="B239"/>
  <c r="G238"/>
  <c r="E238"/>
  <c r="D238" s="1"/>
  <c r="B240" l="1"/>
  <c r="G239"/>
  <c r="E239"/>
  <c r="D239" s="1"/>
  <c r="A243"/>
  <c r="F242"/>
  <c r="C242"/>
  <c r="A242" i="8"/>
  <c r="F241"/>
  <c r="E240" i="4"/>
  <c r="F240" s="1"/>
  <c r="G240" s="1"/>
  <c r="A242"/>
  <c r="D241"/>
  <c r="B241"/>
  <c r="C241"/>
  <c r="B240" i="8"/>
  <c r="G239"/>
  <c r="E239"/>
  <c r="D239" s="1"/>
  <c r="C239" s="1"/>
  <c r="B241" l="1"/>
  <c r="G240"/>
  <c r="E240"/>
  <c r="D240" s="1"/>
  <c r="C240" s="1"/>
  <c r="E241" i="4"/>
  <c r="C242"/>
  <c r="A243"/>
  <c r="D242"/>
  <c r="B242"/>
  <c r="C243" i="6"/>
  <c r="A244"/>
  <c r="F243"/>
  <c r="F241" i="4"/>
  <c r="G241" s="1"/>
  <c r="A243" i="8"/>
  <c r="F242"/>
  <c r="B241" i="6"/>
  <c r="G240"/>
  <c r="E240"/>
  <c r="D240" s="1"/>
  <c r="B242" l="1"/>
  <c r="G241"/>
  <c r="E241"/>
  <c r="D241" s="1"/>
  <c r="A244" i="8"/>
  <c r="F243"/>
  <c r="A245" i="6"/>
  <c r="F244"/>
  <c r="C244"/>
  <c r="E242" i="4"/>
  <c r="F242" s="1"/>
  <c r="G242" s="1"/>
  <c r="A244"/>
  <c r="D243"/>
  <c r="B243"/>
  <c r="C243"/>
  <c r="B242" i="8"/>
  <c r="G241"/>
  <c r="E241"/>
  <c r="D241" s="1"/>
  <c r="C241" s="1"/>
  <c r="B243" l="1"/>
  <c r="G242"/>
  <c r="E242"/>
  <c r="D242" s="1"/>
  <c r="C242" s="1"/>
  <c r="E243" i="4"/>
  <c r="C244"/>
  <c r="A245"/>
  <c r="D244"/>
  <c r="B244"/>
  <c r="A245" i="8"/>
  <c r="F244"/>
  <c r="F243" i="4"/>
  <c r="G243" s="1"/>
  <c r="C245" i="6"/>
  <c r="A246"/>
  <c r="F245"/>
  <c r="B243"/>
  <c r="G242"/>
  <c r="E242"/>
  <c r="D242" s="1"/>
  <c r="B244" l="1"/>
  <c r="G243"/>
  <c r="E243"/>
  <c r="D243" s="1"/>
  <c r="A247"/>
  <c r="F246"/>
  <c r="C246"/>
  <c r="A246" i="8"/>
  <c r="F245"/>
  <c r="E244" i="4"/>
  <c r="F244" s="1"/>
  <c r="G244" s="1"/>
  <c r="A246"/>
  <c r="D245"/>
  <c r="B245"/>
  <c r="C245"/>
  <c r="B244" i="8"/>
  <c r="G243"/>
  <c r="E243"/>
  <c r="D243" s="1"/>
  <c r="C243" s="1"/>
  <c r="B245" l="1"/>
  <c r="G244"/>
  <c r="E244"/>
  <c r="D244" s="1"/>
  <c r="C244" s="1"/>
  <c r="E245" i="4"/>
  <c r="C246"/>
  <c r="A247"/>
  <c r="D246"/>
  <c r="B246"/>
  <c r="C247" i="6"/>
  <c r="A248"/>
  <c r="F247"/>
  <c r="F245" i="4"/>
  <c r="G245" s="1"/>
  <c r="A247" i="8"/>
  <c r="F246"/>
  <c r="B245" i="6"/>
  <c r="G244"/>
  <c r="E244"/>
  <c r="D244" s="1"/>
  <c r="B246" l="1"/>
  <c r="G245"/>
  <c r="E245"/>
  <c r="D245" s="1"/>
  <c r="A248" i="8"/>
  <c r="F247"/>
  <c r="A249" i="6"/>
  <c r="F248"/>
  <c r="C248"/>
  <c r="E246" i="4"/>
  <c r="F246" s="1"/>
  <c r="G246" s="1"/>
  <c r="A248"/>
  <c r="D247"/>
  <c r="B247"/>
  <c r="C247"/>
  <c r="B246" i="8"/>
  <c r="G245"/>
  <c r="E245"/>
  <c r="D245" s="1"/>
  <c r="C245" s="1"/>
  <c r="B247" l="1"/>
  <c r="G246"/>
  <c r="E246"/>
  <c r="D246" s="1"/>
  <c r="C246" s="1"/>
  <c r="E247" i="4"/>
  <c r="C248"/>
  <c r="A249"/>
  <c r="D248"/>
  <c r="B248"/>
  <c r="A249" i="8"/>
  <c r="F248"/>
  <c r="F247" i="4"/>
  <c r="G247" s="1"/>
  <c r="C249" i="6"/>
  <c r="A250"/>
  <c r="F249"/>
  <c r="B247"/>
  <c r="G246"/>
  <c r="E246"/>
  <c r="D246" s="1"/>
  <c r="B248" l="1"/>
  <c r="G247"/>
  <c r="E247"/>
  <c r="D247" s="1"/>
  <c r="A251"/>
  <c r="F250"/>
  <c r="C250"/>
  <c r="A250" i="8"/>
  <c r="F249"/>
  <c r="E248" i="4"/>
  <c r="F248" s="1"/>
  <c r="G248" s="1"/>
  <c r="A250"/>
  <c r="D249"/>
  <c r="B249"/>
  <c r="C249"/>
  <c r="B248" i="8"/>
  <c r="G247"/>
  <c r="E247"/>
  <c r="D247" s="1"/>
  <c r="C247" s="1"/>
  <c r="B249" l="1"/>
  <c r="G248"/>
  <c r="E248"/>
  <c r="D248" s="1"/>
  <c r="C248" s="1"/>
  <c r="E249" i="4"/>
  <c r="C250"/>
  <c r="A251"/>
  <c r="D250"/>
  <c r="B250"/>
  <c r="C251" i="6"/>
  <c r="A252"/>
  <c r="F251"/>
  <c r="F249" i="4"/>
  <c r="G249" s="1"/>
  <c r="A251" i="8"/>
  <c r="F250"/>
  <c r="B249" i="6"/>
  <c r="G248"/>
  <c r="E248"/>
  <c r="D248" s="1"/>
  <c r="B250" l="1"/>
  <c r="G249"/>
  <c r="E249"/>
  <c r="D249" s="1"/>
  <c r="A252" i="8"/>
  <c r="F251"/>
  <c r="A253" i="6"/>
  <c r="F252"/>
  <c r="C252"/>
  <c r="E250" i="4"/>
  <c r="F250" s="1"/>
  <c r="G250" s="1"/>
  <c r="A252"/>
  <c r="D251"/>
  <c r="B251"/>
  <c r="C251"/>
  <c r="B250" i="8"/>
  <c r="G249"/>
  <c r="E249"/>
  <c r="D249" s="1"/>
  <c r="C249" s="1"/>
  <c r="B251" l="1"/>
  <c r="G250"/>
  <c r="E250"/>
  <c r="D250" s="1"/>
  <c r="C250" s="1"/>
  <c r="E251" i="4"/>
  <c r="C252"/>
  <c r="A253"/>
  <c r="D252"/>
  <c r="B252"/>
  <c r="A253" i="8"/>
  <c r="F252"/>
  <c r="F251" i="4"/>
  <c r="G251" s="1"/>
  <c r="C253" i="6"/>
  <c r="A254"/>
  <c r="F253"/>
  <c r="B251"/>
  <c r="G250"/>
  <c r="E250"/>
  <c r="D250" s="1"/>
  <c r="B252" l="1"/>
  <c r="G251"/>
  <c r="E251"/>
  <c r="D251" s="1"/>
  <c r="A255"/>
  <c r="F254"/>
  <c r="C254"/>
  <c r="A254" i="8"/>
  <c r="F253"/>
  <c r="E252" i="4"/>
  <c r="F252" s="1"/>
  <c r="G252" s="1"/>
  <c r="A254"/>
  <c r="D253"/>
  <c r="B253"/>
  <c r="C253"/>
  <c r="B252" i="8"/>
  <c r="G251"/>
  <c r="E251"/>
  <c r="D251" s="1"/>
  <c r="C251" s="1"/>
  <c r="B253" l="1"/>
  <c r="G252"/>
  <c r="E252"/>
  <c r="D252" s="1"/>
  <c r="C252" s="1"/>
  <c r="E253" i="4"/>
  <c r="C254"/>
  <c r="A255"/>
  <c r="D254"/>
  <c r="B254"/>
  <c r="C255" i="6"/>
  <c r="A256"/>
  <c r="F255"/>
  <c r="F253" i="4"/>
  <c r="G253" s="1"/>
  <c r="A255" i="8"/>
  <c r="F254"/>
  <c r="B253" i="6"/>
  <c r="G252"/>
  <c r="E252"/>
  <c r="D252" s="1"/>
  <c r="B254" l="1"/>
  <c r="G253"/>
  <c r="E253"/>
  <c r="D253" s="1"/>
  <c r="A256" i="8"/>
  <c r="F255"/>
  <c r="A257" i="6"/>
  <c r="F256"/>
  <c r="C256"/>
  <c r="E254" i="4"/>
  <c r="F254" s="1"/>
  <c r="G254" s="1"/>
  <c r="A256"/>
  <c r="D255"/>
  <c r="B255"/>
  <c r="C255"/>
  <c r="B254" i="8"/>
  <c r="G253"/>
  <c r="E253"/>
  <c r="D253" s="1"/>
  <c r="C253" s="1"/>
  <c r="B255" l="1"/>
  <c r="G254"/>
  <c r="E254"/>
  <c r="D254" s="1"/>
  <c r="C254" s="1"/>
  <c r="E255" i="4"/>
  <c r="C256"/>
  <c r="A257"/>
  <c r="D256"/>
  <c r="B256"/>
  <c r="A257" i="8"/>
  <c r="F256"/>
  <c r="F255" i="4"/>
  <c r="G255" s="1"/>
  <c r="C257" i="6"/>
  <c r="A258"/>
  <c r="F257"/>
  <c r="B255"/>
  <c r="G254"/>
  <c r="E254"/>
  <c r="D254" s="1"/>
  <c r="B256" l="1"/>
  <c r="G255"/>
  <c r="E255"/>
  <c r="D255" s="1"/>
  <c r="A259"/>
  <c r="F258"/>
  <c r="C258"/>
  <c r="A258" i="8"/>
  <c r="F257"/>
  <c r="E256" i="4"/>
  <c r="F256" s="1"/>
  <c r="G256" s="1"/>
  <c r="A258"/>
  <c r="D257"/>
  <c r="B257"/>
  <c r="C257"/>
  <c r="B256" i="8"/>
  <c r="G255"/>
  <c r="E255"/>
  <c r="D255" s="1"/>
  <c r="C255" s="1"/>
  <c r="B257" l="1"/>
  <c r="G256"/>
  <c r="E256"/>
  <c r="D256" s="1"/>
  <c r="C256" s="1"/>
  <c r="E257" i="4"/>
  <c r="C258"/>
  <c r="A259"/>
  <c r="D258"/>
  <c r="B258"/>
  <c r="C259" i="6"/>
  <c r="A260"/>
  <c r="F259"/>
  <c r="F257" i="4"/>
  <c r="G257" s="1"/>
  <c r="A259" i="8"/>
  <c r="F258"/>
  <c r="B257" i="6"/>
  <c r="G256"/>
  <c r="E256"/>
  <c r="D256" s="1"/>
  <c r="B258" l="1"/>
  <c r="G257"/>
  <c r="E257"/>
  <c r="D257" s="1"/>
  <c r="A260" i="8"/>
  <c r="F259"/>
  <c r="A261" i="6"/>
  <c r="F260"/>
  <c r="C260"/>
  <c r="E258" i="4"/>
  <c r="F258" s="1"/>
  <c r="G258" s="1"/>
  <c r="A260"/>
  <c r="D259"/>
  <c r="B259"/>
  <c r="C259"/>
  <c r="B258" i="8"/>
  <c r="G257"/>
  <c r="E257"/>
  <c r="D257" s="1"/>
  <c r="C257" s="1"/>
  <c r="B259" l="1"/>
  <c r="G258"/>
  <c r="E258"/>
  <c r="D258" s="1"/>
  <c r="C258" s="1"/>
  <c r="E259" i="4"/>
  <c r="C260"/>
  <c r="A261"/>
  <c r="D260"/>
  <c r="B260"/>
  <c r="A261" i="8"/>
  <c r="F260"/>
  <c r="F259" i="4"/>
  <c r="G259" s="1"/>
  <c r="C261" i="6"/>
  <c r="A262"/>
  <c r="F261"/>
  <c r="B259"/>
  <c r="G258"/>
  <c r="E258"/>
  <c r="D258" s="1"/>
  <c r="B260" l="1"/>
  <c r="G259"/>
  <c r="E259"/>
  <c r="D259" s="1"/>
  <c r="A263"/>
  <c r="F262"/>
  <c r="C262"/>
  <c r="A262" i="8"/>
  <c r="F261"/>
  <c r="E260" i="4"/>
  <c r="F260" s="1"/>
  <c r="G260" s="1"/>
  <c r="A262"/>
  <c r="D261"/>
  <c r="B261"/>
  <c r="C261"/>
  <c r="B260" i="8"/>
  <c r="G259"/>
  <c r="E259"/>
  <c r="D259" s="1"/>
  <c r="C259" s="1"/>
  <c r="B261" l="1"/>
  <c r="G260"/>
  <c r="E260"/>
  <c r="D260" s="1"/>
  <c r="C260" s="1"/>
  <c r="E261" i="4"/>
  <c r="C262"/>
  <c r="A263"/>
  <c r="D262"/>
  <c r="B262"/>
  <c r="C263" i="6"/>
  <c r="A264"/>
  <c r="F263"/>
  <c r="F261" i="4"/>
  <c r="G261" s="1"/>
  <c r="A263" i="8"/>
  <c r="F262"/>
  <c r="B261" i="6"/>
  <c r="G260"/>
  <c r="E260"/>
  <c r="D260" s="1"/>
  <c r="B262" l="1"/>
  <c r="G261"/>
  <c r="E261"/>
  <c r="D261" s="1"/>
  <c r="A264" i="8"/>
  <c r="F263"/>
  <c r="A265" i="6"/>
  <c r="F264"/>
  <c r="C264"/>
  <c r="E262" i="4"/>
  <c r="F262" s="1"/>
  <c r="G262" s="1"/>
  <c r="A264"/>
  <c r="D263"/>
  <c r="B263"/>
  <c r="C263"/>
  <c r="B262" i="8"/>
  <c r="G261"/>
  <c r="E261"/>
  <c r="D261" s="1"/>
  <c r="C261" s="1"/>
  <c r="B263" l="1"/>
  <c r="G262"/>
  <c r="E262"/>
  <c r="D262" s="1"/>
  <c r="C262" s="1"/>
  <c r="E263" i="4"/>
  <c r="C264"/>
  <c r="A265"/>
  <c r="D264"/>
  <c r="B264"/>
  <c r="A265" i="8"/>
  <c r="F264"/>
  <c r="F263" i="4"/>
  <c r="G263" s="1"/>
  <c r="C265" i="6"/>
  <c r="A266"/>
  <c r="F265"/>
  <c r="B263"/>
  <c r="G262"/>
  <c r="E262"/>
  <c r="D262" s="1"/>
  <c r="B264" l="1"/>
  <c r="G263"/>
  <c r="E263"/>
  <c r="D263" s="1"/>
  <c r="A267"/>
  <c r="F266"/>
  <c r="C266"/>
  <c r="A266" i="8"/>
  <c r="F265"/>
  <c r="E264" i="4"/>
  <c r="F264" s="1"/>
  <c r="G264" s="1"/>
  <c r="A266"/>
  <c r="D265"/>
  <c r="B265"/>
  <c r="C265"/>
  <c r="B264" i="8"/>
  <c r="G263"/>
  <c r="E263"/>
  <c r="D263" s="1"/>
  <c r="C263" s="1"/>
  <c r="B265" l="1"/>
  <c r="G264"/>
  <c r="E264"/>
  <c r="D264" s="1"/>
  <c r="C264" s="1"/>
  <c r="E265" i="4"/>
  <c r="C266"/>
  <c r="A267"/>
  <c r="D266"/>
  <c r="B266"/>
  <c r="C267" i="6"/>
  <c r="A268"/>
  <c r="F267"/>
  <c r="F265" i="4"/>
  <c r="G265" s="1"/>
  <c r="A267" i="8"/>
  <c r="F266"/>
  <c r="B265" i="6"/>
  <c r="G264"/>
  <c r="E264"/>
  <c r="D264" s="1"/>
  <c r="B266" l="1"/>
  <c r="G265"/>
  <c r="E265"/>
  <c r="D265" s="1"/>
  <c r="A268" i="8"/>
  <c r="F267"/>
  <c r="A269" i="6"/>
  <c r="F268"/>
  <c r="C268"/>
  <c r="E266" i="4"/>
  <c r="F266" s="1"/>
  <c r="G266" s="1"/>
  <c r="A268"/>
  <c r="D267"/>
  <c r="B267"/>
  <c r="C267"/>
  <c r="B266" i="8"/>
  <c r="G265"/>
  <c r="E265"/>
  <c r="D265" s="1"/>
  <c r="C265" s="1"/>
  <c r="B267" l="1"/>
  <c r="G266"/>
  <c r="E266"/>
  <c r="D266" s="1"/>
  <c r="C266" s="1"/>
  <c r="E267" i="4"/>
  <c r="C268"/>
  <c r="A269"/>
  <c r="D268"/>
  <c r="B268"/>
  <c r="A269" i="8"/>
  <c r="F268"/>
  <c r="F267" i="4"/>
  <c r="G267" s="1"/>
  <c r="C269" i="6"/>
  <c r="A270"/>
  <c r="F269"/>
  <c r="B267"/>
  <c r="G266"/>
  <c r="E266"/>
  <c r="D266" s="1"/>
  <c r="B268" l="1"/>
  <c r="G267"/>
  <c r="E267"/>
  <c r="D267" s="1"/>
  <c r="A271"/>
  <c r="F270"/>
  <c r="C270"/>
  <c r="A270" i="8"/>
  <c r="F269"/>
  <c r="E268" i="4"/>
  <c r="F268" s="1"/>
  <c r="G268" s="1"/>
  <c r="A270"/>
  <c r="D269"/>
  <c r="B269"/>
  <c r="C269"/>
  <c r="B268" i="8"/>
  <c r="G267"/>
  <c r="E267"/>
  <c r="D267" s="1"/>
  <c r="C267" s="1"/>
  <c r="B269" l="1"/>
  <c r="G268"/>
  <c r="E268"/>
  <c r="D268" s="1"/>
  <c r="C268" s="1"/>
  <c r="E269" i="4"/>
  <c r="C270"/>
  <c r="A271"/>
  <c r="D270"/>
  <c r="B270"/>
  <c r="C271" i="6"/>
  <c r="A272"/>
  <c r="F271"/>
  <c r="F269" i="4"/>
  <c r="G269" s="1"/>
  <c r="A271" i="8"/>
  <c r="F270"/>
  <c r="B269" i="6"/>
  <c r="G268"/>
  <c r="E268"/>
  <c r="D268" s="1"/>
  <c r="B270" l="1"/>
  <c r="G269"/>
  <c r="E269"/>
  <c r="D269" s="1"/>
  <c r="A272" i="8"/>
  <c r="F271"/>
  <c r="A273" i="6"/>
  <c r="F272"/>
  <c r="C272"/>
  <c r="E270" i="4"/>
  <c r="F270" s="1"/>
  <c r="G270" s="1"/>
  <c r="A272"/>
  <c r="D271"/>
  <c r="B271"/>
  <c r="C271"/>
  <c r="B270" i="8"/>
  <c r="G269"/>
  <c r="E269"/>
  <c r="D269" s="1"/>
  <c r="C269" s="1"/>
  <c r="B271" l="1"/>
  <c r="G270"/>
  <c r="E270"/>
  <c r="D270" s="1"/>
  <c r="C270" s="1"/>
  <c r="E271" i="4"/>
  <c r="C272"/>
  <c r="A273"/>
  <c r="D272"/>
  <c r="B272"/>
  <c r="A273" i="8"/>
  <c r="F272"/>
  <c r="F271" i="4"/>
  <c r="G271" s="1"/>
  <c r="C273" i="6"/>
  <c r="A274"/>
  <c r="F273"/>
  <c r="B271"/>
  <c r="G270"/>
  <c r="E270"/>
  <c r="D270" s="1"/>
  <c r="B272" l="1"/>
  <c r="G271"/>
  <c r="E271"/>
  <c r="D271" s="1"/>
  <c r="A275"/>
  <c r="F274"/>
  <c r="C274"/>
  <c r="A274" i="8"/>
  <c r="F273"/>
  <c r="E272" i="4"/>
  <c r="F272" s="1"/>
  <c r="G272" s="1"/>
  <c r="A274"/>
  <c r="D273"/>
  <c r="B273"/>
  <c r="C273"/>
  <c r="B272" i="8"/>
  <c r="G271"/>
  <c r="E271"/>
  <c r="D271" s="1"/>
  <c r="C271" s="1"/>
  <c r="B273" l="1"/>
  <c r="G272"/>
  <c r="E272"/>
  <c r="D272" s="1"/>
  <c r="C272" s="1"/>
  <c r="E273" i="4"/>
  <c r="C274"/>
  <c r="A275"/>
  <c r="D274"/>
  <c r="B274"/>
  <c r="C275" i="6"/>
  <c r="A276"/>
  <c r="F275"/>
  <c r="F273" i="4"/>
  <c r="G273" s="1"/>
  <c r="A275" i="8"/>
  <c r="F274"/>
  <c r="B273" i="6"/>
  <c r="G272"/>
  <c r="E272"/>
  <c r="D272" s="1"/>
  <c r="B274" l="1"/>
  <c r="G273"/>
  <c r="E273"/>
  <c r="D273" s="1"/>
  <c r="A276" i="8"/>
  <c r="F275"/>
  <c r="A277" i="6"/>
  <c r="F276"/>
  <c r="C276"/>
  <c r="E274" i="4"/>
  <c r="F274" s="1"/>
  <c r="G274" s="1"/>
  <c r="A276"/>
  <c r="D275"/>
  <c r="B275"/>
  <c r="C275"/>
  <c r="B274" i="8"/>
  <c r="G273"/>
  <c r="E273"/>
  <c r="D273" s="1"/>
  <c r="C273" s="1"/>
  <c r="B275" l="1"/>
  <c r="G274"/>
  <c r="E274"/>
  <c r="D274" s="1"/>
  <c r="C274" s="1"/>
  <c r="E275" i="4"/>
  <c r="C276"/>
  <c r="A277"/>
  <c r="D276"/>
  <c r="B276"/>
  <c r="A277" i="8"/>
  <c r="F276"/>
  <c r="F275" i="4"/>
  <c r="G275" s="1"/>
  <c r="C277" i="6"/>
  <c r="A278"/>
  <c r="F277"/>
  <c r="B275"/>
  <c r="G274"/>
  <c r="E274"/>
  <c r="D274" s="1"/>
  <c r="B276" l="1"/>
  <c r="G275"/>
  <c r="E275"/>
  <c r="D275" s="1"/>
  <c r="A279"/>
  <c r="F278"/>
  <c r="C278"/>
  <c r="A278" i="8"/>
  <c r="F277"/>
  <c r="E276" i="4"/>
  <c r="F276" s="1"/>
  <c r="G276" s="1"/>
  <c r="A278"/>
  <c r="D277"/>
  <c r="B277"/>
  <c r="C277"/>
  <c r="B276" i="8"/>
  <c r="G275"/>
  <c r="E275"/>
  <c r="D275" s="1"/>
  <c r="C275" s="1"/>
  <c r="B277" l="1"/>
  <c r="G276"/>
  <c r="E276"/>
  <c r="D276" s="1"/>
  <c r="C276" s="1"/>
  <c r="E277" i="4"/>
  <c r="C278"/>
  <c r="A279"/>
  <c r="D278"/>
  <c r="B278"/>
  <c r="C279" i="6"/>
  <c r="A280"/>
  <c r="F279"/>
  <c r="F277" i="4"/>
  <c r="G277" s="1"/>
  <c r="A279" i="8"/>
  <c r="F278"/>
  <c r="B277" i="6"/>
  <c r="G276"/>
  <c r="E276"/>
  <c r="D276" s="1"/>
  <c r="B278" l="1"/>
  <c r="G277"/>
  <c r="E277"/>
  <c r="D277" s="1"/>
  <c r="A280" i="8"/>
  <c r="F279"/>
  <c r="A281" i="6"/>
  <c r="F280"/>
  <c r="C280"/>
  <c r="E278" i="4"/>
  <c r="F278" s="1"/>
  <c r="G278" s="1"/>
  <c r="A280"/>
  <c r="D279"/>
  <c r="B279"/>
  <c r="C279"/>
  <c r="B278" i="8"/>
  <c r="G277"/>
  <c r="E277"/>
  <c r="D277" s="1"/>
  <c r="C277" s="1"/>
  <c r="B279" l="1"/>
  <c r="G278"/>
  <c r="E278"/>
  <c r="D278" s="1"/>
  <c r="C278" s="1"/>
  <c r="E279" i="4"/>
  <c r="C280"/>
  <c r="A281"/>
  <c r="D280"/>
  <c r="B280"/>
  <c r="A281" i="8"/>
  <c r="F280"/>
  <c r="F279" i="4"/>
  <c r="G279" s="1"/>
  <c r="C281" i="6"/>
  <c r="A282"/>
  <c r="F281"/>
  <c r="B279"/>
  <c r="G278"/>
  <c r="E278"/>
  <c r="D278" s="1"/>
  <c r="B280" l="1"/>
  <c r="G279"/>
  <c r="E279"/>
  <c r="D279" s="1"/>
  <c r="A283"/>
  <c r="F282"/>
  <c r="C282"/>
  <c r="A282" i="8"/>
  <c r="F281"/>
  <c r="E280" i="4"/>
  <c r="F280" s="1"/>
  <c r="G280" s="1"/>
  <c r="A282"/>
  <c r="D281"/>
  <c r="B281"/>
  <c r="C281"/>
  <c r="B280" i="8"/>
  <c r="G279"/>
  <c r="E279"/>
  <c r="D279" s="1"/>
  <c r="C279" s="1"/>
  <c r="B281" l="1"/>
  <c r="G280"/>
  <c r="E280"/>
  <c r="D280" s="1"/>
  <c r="C280" s="1"/>
  <c r="E281" i="4"/>
  <c r="C282"/>
  <c r="A283"/>
  <c r="D282"/>
  <c r="B282"/>
  <c r="C283" i="6"/>
  <c r="A284"/>
  <c r="F283"/>
  <c r="F281" i="4"/>
  <c r="G281" s="1"/>
  <c r="A283" i="8"/>
  <c r="F282"/>
  <c r="B281" i="6"/>
  <c r="G280"/>
  <c r="E280"/>
  <c r="D280" s="1"/>
  <c r="B282" l="1"/>
  <c r="G281"/>
  <c r="E281"/>
  <c r="D281" s="1"/>
  <c r="A284" i="8"/>
  <c r="F283"/>
  <c r="A285" i="6"/>
  <c r="F284"/>
  <c r="C284"/>
  <c r="E282" i="4"/>
  <c r="F282" s="1"/>
  <c r="G282" s="1"/>
  <c r="A284"/>
  <c r="D283"/>
  <c r="B283"/>
  <c r="C283"/>
  <c r="B282" i="8"/>
  <c r="G281"/>
  <c r="E281"/>
  <c r="D281" s="1"/>
  <c r="C281" s="1"/>
  <c r="B283" l="1"/>
  <c r="G282"/>
  <c r="E282"/>
  <c r="D282" s="1"/>
  <c r="C282" s="1"/>
  <c r="E283" i="4"/>
  <c r="C284"/>
  <c r="A285"/>
  <c r="D284"/>
  <c r="B284"/>
  <c r="A285" i="8"/>
  <c r="F284"/>
  <c r="F283" i="4"/>
  <c r="G283" s="1"/>
  <c r="C285" i="6"/>
  <c r="A286"/>
  <c r="F285"/>
  <c r="B283"/>
  <c r="G282"/>
  <c r="E282"/>
  <c r="D282" s="1"/>
  <c r="B284" l="1"/>
  <c r="G283"/>
  <c r="E283"/>
  <c r="D283" s="1"/>
  <c r="A287"/>
  <c r="F286"/>
  <c r="C286"/>
  <c r="A286" i="8"/>
  <c r="F285"/>
  <c r="E284" i="4"/>
  <c r="F284" s="1"/>
  <c r="G284" s="1"/>
  <c r="A286"/>
  <c r="D285"/>
  <c r="B285"/>
  <c r="C285"/>
  <c r="B284" i="8"/>
  <c r="G283"/>
  <c r="E283"/>
  <c r="D283" s="1"/>
  <c r="C283" s="1"/>
  <c r="B285" l="1"/>
  <c r="G284"/>
  <c r="E284"/>
  <c r="D284" s="1"/>
  <c r="C284" s="1"/>
  <c r="E285" i="4"/>
  <c r="C286"/>
  <c r="A287"/>
  <c r="D286"/>
  <c r="B286"/>
  <c r="C287" i="6"/>
  <c r="A288"/>
  <c r="F287"/>
  <c r="F285" i="4"/>
  <c r="G285" s="1"/>
  <c r="A287" i="8"/>
  <c r="F286"/>
  <c r="B285" i="6"/>
  <c r="G284"/>
  <c r="E284"/>
  <c r="D284" s="1"/>
  <c r="B286" l="1"/>
  <c r="G285"/>
  <c r="E285"/>
  <c r="D285" s="1"/>
  <c r="A288" i="8"/>
  <c r="F287"/>
  <c r="A289" i="6"/>
  <c r="F288"/>
  <c r="C288"/>
  <c r="E286" i="4"/>
  <c r="F286" s="1"/>
  <c r="G286" s="1"/>
  <c r="A288"/>
  <c r="D287"/>
  <c r="B287"/>
  <c r="C287"/>
  <c r="B286" i="8"/>
  <c r="G285"/>
  <c r="E285"/>
  <c r="D285" s="1"/>
  <c r="C285" s="1"/>
  <c r="B287" l="1"/>
  <c r="G286"/>
  <c r="E286"/>
  <c r="D286" s="1"/>
  <c r="C286" s="1"/>
  <c r="E287" i="4"/>
  <c r="C288"/>
  <c r="A289"/>
  <c r="D288"/>
  <c r="B288"/>
  <c r="A289" i="8"/>
  <c r="F288"/>
  <c r="F287" i="4"/>
  <c r="G287" s="1"/>
  <c r="C289" i="6"/>
  <c r="A290"/>
  <c r="F289"/>
  <c r="B287"/>
  <c r="G286"/>
  <c r="E286"/>
  <c r="D286" s="1"/>
  <c r="B288" l="1"/>
  <c r="G287"/>
  <c r="E287"/>
  <c r="D287" s="1"/>
  <c r="A291"/>
  <c r="F290"/>
  <c r="C290"/>
  <c r="A290" i="8"/>
  <c r="F289"/>
  <c r="E288" i="4"/>
  <c r="F288" s="1"/>
  <c r="G288" s="1"/>
  <c r="A290"/>
  <c r="D289"/>
  <c r="B289"/>
  <c r="C289"/>
  <c r="B288" i="8"/>
  <c r="G287"/>
  <c r="E287"/>
  <c r="D287" s="1"/>
  <c r="C287" s="1"/>
  <c r="B289" l="1"/>
  <c r="G288"/>
  <c r="E288"/>
  <c r="D288" s="1"/>
  <c r="C288" s="1"/>
  <c r="E289" i="4"/>
  <c r="C290"/>
  <c r="A291"/>
  <c r="D290"/>
  <c r="B290"/>
  <c r="C291" i="6"/>
  <c r="A292"/>
  <c r="F291"/>
  <c r="F289" i="4"/>
  <c r="G289" s="1"/>
  <c r="A291" i="8"/>
  <c r="F290"/>
  <c r="B289" i="6"/>
  <c r="G288"/>
  <c r="E288"/>
  <c r="D288" s="1"/>
  <c r="B290" l="1"/>
  <c r="G289"/>
  <c r="E289"/>
  <c r="D289" s="1"/>
  <c r="A292" i="8"/>
  <c r="F291"/>
  <c r="A293" i="6"/>
  <c r="F292"/>
  <c r="C292"/>
  <c r="E290" i="4"/>
  <c r="F290" s="1"/>
  <c r="G290" s="1"/>
  <c r="A292"/>
  <c r="D291"/>
  <c r="B291"/>
  <c r="C291"/>
  <c r="B290" i="8"/>
  <c r="G289"/>
  <c r="E289"/>
  <c r="D289" s="1"/>
  <c r="C289" s="1"/>
  <c r="B291" l="1"/>
  <c r="G290"/>
  <c r="E290"/>
  <c r="D290" s="1"/>
  <c r="C290" s="1"/>
  <c r="E291" i="4"/>
  <c r="C292"/>
  <c r="A293"/>
  <c r="D292"/>
  <c r="B292"/>
  <c r="A293" i="8"/>
  <c r="F292"/>
  <c r="F291" i="4"/>
  <c r="G291" s="1"/>
  <c r="C293" i="6"/>
  <c r="A294"/>
  <c r="F293"/>
  <c r="B291"/>
  <c r="G290"/>
  <c r="E290"/>
  <c r="D290" s="1"/>
  <c r="B292" l="1"/>
  <c r="G291"/>
  <c r="E291"/>
  <c r="D291" s="1"/>
  <c r="A295"/>
  <c r="F294"/>
  <c r="C294"/>
  <c r="A294" i="8"/>
  <c r="F293"/>
  <c r="E292" i="4"/>
  <c r="F292" s="1"/>
  <c r="G292" s="1"/>
  <c r="A294"/>
  <c r="D293"/>
  <c r="B293"/>
  <c r="C293"/>
  <c r="B292" i="8"/>
  <c r="G291"/>
  <c r="E291"/>
  <c r="D291" s="1"/>
  <c r="C291" s="1"/>
  <c r="B293" l="1"/>
  <c r="G292"/>
  <c r="E292"/>
  <c r="D292" s="1"/>
  <c r="C292" s="1"/>
  <c r="E293" i="4"/>
  <c r="C294"/>
  <c r="A295"/>
  <c r="D294"/>
  <c r="B294"/>
  <c r="C295" i="6"/>
  <c r="A296"/>
  <c r="F295"/>
  <c r="F293" i="4"/>
  <c r="G293" s="1"/>
  <c r="A295" i="8"/>
  <c r="F294"/>
  <c r="B293" i="6"/>
  <c r="G292"/>
  <c r="E292"/>
  <c r="D292" s="1"/>
  <c r="B294" l="1"/>
  <c r="G293"/>
  <c r="E293"/>
  <c r="D293" s="1"/>
  <c r="A296" i="8"/>
  <c r="F295"/>
  <c r="A297" i="6"/>
  <c r="F296"/>
  <c r="C296"/>
  <c r="E294" i="4"/>
  <c r="F294" s="1"/>
  <c r="G294" s="1"/>
  <c r="A296"/>
  <c r="D295"/>
  <c r="B295"/>
  <c r="C295"/>
  <c r="B294" i="8"/>
  <c r="G293"/>
  <c r="E293"/>
  <c r="D293" s="1"/>
  <c r="C293" s="1"/>
  <c r="B295" l="1"/>
  <c r="G294"/>
  <c r="E294"/>
  <c r="D294" s="1"/>
  <c r="C294" s="1"/>
  <c r="E295" i="4"/>
  <c r="C296"/>
  <c r="A297"/>
  <c r="D296"/>
  <c r="B296"/>
  <c r="A297" i="8"/>
  <c r="F296"/>
  <c r="F295" i="4"/>
  <c r="G295" s="1"/>
  <c r="C297" i="6"/>
  <c r="A298"/>
  <c r="F297"/>
  <c r="B295"/>
  <c r="G294"/>
  <c r="E294"/>
  <c r="D294" s="1"/>
  <c r="B296" l="1"/>
  <c r="G295"/>
  <c r="E295"/>
  <c r="D295" s="1"/>
  <c r="A299"/>
  <c r="F298"/>
  <c r="C298"/>
  <c r="A298" i="8"/>
  <c r="F297"/>
  <c r="E296" i="4"/>
  <c r="F296" s="1"/>
  <c r="G296" s="1"/>
  <c r="A298"/>
  <c r="D297"/>
  <c r="B297"/>
  <c r="C297"/>
  <c r="B296" i="8"/>
  <c r="G295"/>
  <c r="E295"/>
  <c r="D295" s="1"/>
  <c r="C295" s="1"/>
  <c r="B297" l="1"/>
  <c r="G296"/>
  <c r="E296"/>
  <c r="D296" s="1"/>
  <c r="C296" s="1"/>
  <c r="E297" i="4"/>
  <c r="C298"/>
  <c r="A299"/>
  <c r="D298"/>
  <c r="B298"/>
  <c r="C299" i="6"/>
  <c r="A300"/>
  <c r="F299"/>
  <c r="F297" i="4"/>
  <c r="G297" s="1"/>
  <c r="A299" i="8"/>
  <c r="F298"/>
  <c r="B297" i="6"/>
  <c r="G296"/>
  <c r="E296"/>
  <c r="D296" s="1"/>
  <c r="B298" l="1"/>
  <c r="G297"/>
  <c r="E297"/>
  <c r="D297" s="1"/>
  <c r="A300" i="8"/>
  <c r="F299"/>
  <c r="A301" i="6"/>
  <c r="F300"/>
  <c r="C300"/>
  <c r="E298" i="4"/>
  <c r="F298" s="1"/>
  <c r="G298" s="1"/>
  <c r="A300"/>
  <c r="D299"/>
  <c r="B299"/>
  <c r="C299"/>
  <c r="B298" i="8"/>
  <c r="G297"/>
  <c r="E297"/>
  <c r="D297" s="1"/>
  <c r="C297" s="1"/>
  <c r="B299" l="1"/>
  <c r="G298"/>
  <c r="E298"/>
  <c r="D298" s="1"/>
  <c r="C298" s="1"/>
  <c r="E299" i="4"/>
  <c r="C300"/>
  <c r="A301"/>
  <c r="D300"/>
  <c r="B300"/>
  <c r="A301" i="8"/>
  <c r="F300"/>
  <c r="F299" i="4"/>
  <c r="G299" s="1"/>
  <c r="C301" i="6"/>
  <c r="A302"/>
  <c r="F301"/>
  <c r="B299"/>
  <c r="G298"/>
  <c r="E298"/>
  <c r="D298" s="1"/>
  <c r="B300" l="1"/>
  <c r="G299"/>
  <c r="E299"/>
  <c r="D299" s="1"/>
  <c r="A303"/>
  <c r="F302"/>
  <c r="C302"/>
  <c r="A302" i="8"/>
  <c r="F301"/>
  <c r="E300" i="4"/>
  <c r="F300" s="1"/>
  <c r="G300" s="1"/>
  <c r="A302"/>
  <c r="D301"/>
  <c r="B301"/>
  <c r="C301"/>
  <c r="B300" i="8"/>
  <c r="G299"/>
  <c r="E299"/>
  <c r="D299" s="1"/>
  <c r="C299" s="1"/>
  <c r="B301" l="1"/>
  <c r="G300"/>
  <c r="E300"/>
  <c r="D300" s="1"/>
  <c r="C300" s="1"/>
  <c r="E301" i="4"/>
  <c r="C302"/>
  <c r="A303"/>
  <c r="D302"/>
  <c r="B302"/>
  <c r="C303" i="6"/>
  <c r="A304"/>
  <c r="F303"/>
  <c r="F301" i="4"/>
  <c r="G301" s="1"/>
  <c r="A303" i="8"/>
  <c r="F302"/>
  <c r="B301" i="6"/>
  <c r="G300"/>
  <c r="E300"/>
  <c r="D300" s="1"/>
  <c r="B302" l="1"/>
  <c r="G301"/>
  <c r="E301"/>
  <c r="D301" s="1"/>
  <c r="A304" i="8"/>
  <c r="F303"/>
  <c r="A305" i="6"/>
  <c r="F304"/>
  <c r="C304"/>
  <c r="E302" i="4"/>
  <c r="F302" s="1"/>
  <c r="G302" s="1"/>
  <c r="A304"/>
  <c r="D303"/>
  <c r="B303"/>
  <c r="C303"/>
  <c r="B302" i="8"/>
  <c r="G301"/>
  <c r="E301"/>
  <c r="D301" s="1"/>
  <c r="C301" s="1"/>
  <c r="B303" l="1"/>
  <c r="G302"/>
  <c r="E302"/>
  <c r="D302" s="1"/>
  <c r="C302" s="1"/>
  <c r="E303" i="4"/>
  <c r="C304"/>
  <c r="A305"/>
  <c r="D304"/>
  <c r="B304"/>
  <c r="A305" i="8"/>
  <c r="F304"/>
  <c r="F303" i="4"/>
  <c r="G303" s="1"/>
  <c r="C305" i="6"/>
  <c r="A306"/>
  <c r="F305"/>
  <c r="B303"/>
  <c r="G302"/>
  <c r="E302"/>
  <c r="D302" s="1"/>
  <c r="B304" l="1"/>
  <c r="G303"/>
  <c r="E303"/>
  <c r="D303" s="1"/>
  <c r="A307"/>
  <c r="F306"/>
  <c r="C306"/>
  <c r="A306" i="8"/>
  <c r="F305"/>
  <c r="E304" i="4"/>
  <c r="F304" s="1"/>
  <c r="G304" s="1"/>
  <c r="A306"/>
  <c r="D305"/>
  <c r="B305"/>
  <c r="C305"/>
  <c r="B304" i="8"/>
  <c r="G303"/>
  <c r="E303"/>
  <c r="D303" s="1"/>
  <c r="C303" s="1"/>
  <c r="B305" l="1"/>
  <c r="G304"/>
  <c r="E304"/>
  <c r="D304" s="1"/>
  <c r="C304" s="1"/>
  <c r="E305" i="4"/>
  <c r="C306"/>
  <c r="A307"/>
  <c r="D306"/>
  <c r="B306"/>
  <c r="C307" i="6"/>
  <c r="A308"/>
  <c r="F307"/>
  <c r="F305" i="4"/>
  <c r="G305" s="1"/>
  <c r="A307" i="8"/>
  <c r="F306"/>
  <c r="B305" i="6"/>
  <c r="G304"/>
  <c r="E304"/>
  <c r="D304" s="1"/>
  <c r="B306" l="1"/>
  <c r="G305"/>
  <c r="E305"/>
  <c r="D305" s="1"/>
  <c r="A308" i="8"/>
  <c r="F307"/>
  <c r="A309" i="6"/>
  <c r="F308"/>
  <c r="C308"/>
  <c r="E306" i="4"/>
  <c r="F306" s="1"/>
  <c r="G306" s="1"/>
  <c r="A308"/>
  <c r="D307"/>
  <c r="B307"/>
  <c r="C307"/>
  <c r="B306" i="8"/>
  <c r="G305"/>
  <c r="E305"/>
  <c r="D305" s="1"/>
  <c r="C305" s="1"/>
  <c r="B307" l="1"/>
  <c r="G306"/>
  <c r="E306"/>
  <c r="D306" s="1"/>
  <c r="C306" s="1"/>
  <c r="E307" i="4"/>
  <c r="C308"/>
  <c r="A309"/>
  <c r="D308"/>
  <c r="B308"/>
  <c r="A309" i="8"/>
  <c r="F308"/>
  <c r="F307" i="4"/>
  <c r="G307" s="1"/>
  <c r="C309" i="6"/>
  <c r="A310"/>
  <c r="F309"/>
  <c r="B307"/>
  <c r="G306"/>
  <c r="E306"/>
  <c r="D306" s="1"/>
  <c r="B308" l="1"/>
  <c r="G307"/>
  <c r="E307"/>
  <c r="D307" s="1"/>
  <c r="A311"/>
  <c r="F310"/>
  <c r="C310"/>
  <c r="A310" i="8"/>
  <c r="F309"/>
  <c r="E308" i="4"/>
  <c r="F308" s="1"/>
  <c r="G308" s="1"/>
  <c r="A310"/>
  <c r="D309"/>
  <c r="B309"/>
  <c r="C309"/>
  <c r="B308" i="8"/>
  <c r="G307"/>
  <c r="E307"/>
  <c r="D307" s="1"/>
  <c r="C307" s="1"/>
  <c r="B309" l="1"/>
  <c r="G308"/>
  <c r="E308"/>
  <c r="D308" s="1"/>
  <c r="C308" s="1"/>
  <c r="E309" i="4"/>
  <c r="C310"/>
  <c r="A311"/>
  <c r="D310"/>
  <c r="B310"/>
  <c r="C311" i="6"/>
  <c r="A312"/>
  <c r="F311"/>
  <c r="F309" i="4"/>
  <c r="G309" s="1"/>
  <c r="A311" i="8"/>
  <c r="F310"/>
  <c r="B309" i="6"/>
  <c r="G308"/>
  <c r="E308"/>
  <c r="D308" s="1"/>
  <c r="B310" l="1"/>
  <c r="G309"/>
  <c r="E309"/>
  <c r="D309" s="1"/>
  <c r="A312" i="8"/>
  <c r="F311"/>
  <c r="A313" i="6"/>
  <c r="F312"/>
  <c r="C312"/>
  <c r="E310" i="4"/>
  <c r="F310" s="1"/>
  <c r="G310" s="1"/>
  <c r="A312"/>
  <c r="D311"/>
  <c r="B311"/>
  <c r="C311"/>
  <c r="B310" i="8"/>
  <c r="G309"/>
  <c r="E309"/>
  <c r="D309" s="1"/>
  <c r="C309" s="1"/>
  <c r="B311" l="1"/>
  <c r="G310"/>
  <c r="E310"/>
  <c r="D310" s="1"/>
  <c r="C310" s="1"/>
  <c r="E311" i="4"/>
  <c r="C312"/>
  <c r="A313"/>
  <c r="D312"/>
  <c r="B312"/>
  <c r="A313" i="8"/>
  <c r="F312"/>
  <c r="F311" i="4"/>
  <c r="G311" s="1"/>
  <c r="C313" i="6"/>
  <c r="A314"/>
  <c r="F313"/>
  <c r="B311"/>
  <c r="G310"/>
  <c r="E310"/>
  <c r="D310" s="1"/>
  <c r="B312" l="1"/>
  <c r="G311"/>
  <c r="E311"/>
  <c r="D311" s="1"/>
  <c r="A315"/>
  <c r="F314"/>
  <c r="C314"/>
  <c r="A314" i="8"/>
  <c r="F313"/>
  <c r="E312" i="4"/>
  <c r="F312" s="1"/>
  <c r="G312" s="1"/>
  <c r="A314"/>
  <c r="D313"/>
  <c r="B313"/>
  <c r="C313"/>
  <c r="B312" i="8"/>
  <c r="G311"/>
  <c r="E311"/>
  <c r="D311" s="1"/>
  <c r="C311" s="1"/>
  <c r="B313" l="1"/>
  <c r="G312"/>
  <c r="E312"/>
  <c r="D312" s="1"/>
  <c r="C312" s="1"/>
  <c r="E313" i="4"/>
  <c r="C314"/>
  <c r="A315"/>
  <c r="D314"/>
  <c r="B314"/>
  <c r="C315" i="6"/>
  <c r="A316"/>
  <c r="F315"/>
  <c r="F313" i="4"/>
  <c r="G313" s="1"/>
  <c r="A315" i="8"/>
  <c r="F314"/>
  <c r="B313" i="6"/>
  <c r="G312"/>
  <c r="E312"/>
  <c r="D312" s="1"/>
  <c r="B314" l="1"/>
  <c r="G313"/>
  <c r="E313"/>
  <c r="D313" s="1"/>
  <c r="A316" i="8"/>
  <c r="F315"/>
  <c r="A317" i="6"/>
  <c r="F316"/>
  <c r="C316"/>
  <c r="E314" i="4"/>
  <c r="F314" s="1"/>
  <c r="G314" s="1"/>
  <c r="A316"/>
  <c r="D315"/>
  <c r="B315"/>
  <c r="C315"/>
  <c r="B314" i="8"/>
  <c r="G313"/>
  <c r="E313"/>
  <c r="D313" s="1"/>
  <c r="C313" s="1"/>
  <c r="B315" l="1"/>
  <c r="G314"/>
  <c r="E314"/>
  <c r="D314" s="1"/>
  <c r="C314" s="1"/>
  <c r="E315" i="4"/>
  <c r="C316"/>
  <c r="A317"/>
  <c r="D316"/>
  <c r="B316"/>
  <c r="A317" i="8"/>
  <c r="F316"/>
  <c r="F315" i="4"/>
  <c r="G315" s="1"/>
  <c r="C317" i="6"/>
  <c r="A318"/>
  <c r="F317"/>
  <c r="B315"/>
  <c r="G314"/>
  <c r="E314"/>
  <c r="D314" s="1"/>
  <c r="B316" l="1"/>
  <c r="G315"/>
  <c r="E315"/>
  <c r="D315" s="1"/>
  <c r="A319"/>
  <c r="F318"/>
  <c r="C318"/>
  <c r="A318" i="8"/>
  <c r="F317"/>
  <c r="E316" i="4"/>
  <c r="F316" s="1"/>
  <c r="G316" s="1"/>
  <c r="A318"/>
  <c r="D317"/>
  <c r="B317"/>
  <c r="C317"/>
  <c r="B316" i="8"/>
  <c r="G315"/>
  <c r="E315"/>
  <c r="D315" s="1"/>
  <c r="C315" s="1"/>
  <c r="B317" l="1"/>
  <c r="G316"/>
  <c r="E316"/>
  <c r="D316" s="1"/>
  <c r="C316" s="1"/>
  <c r="E317" i="4"/>
  <c r="C318"/>
  <c r="A319"/>
  <c r="D318"/>
  <c r="B318"/>
  <c r="C319" i="6"/>
  <c r="A320"/>
  <c r="F319"/>
  <c r="F317" i="4"/>
  <c r="G317" s="1"/>
  <c r="A319" i="8"/>
  <c r="F318"/>
  <c r="B317" i="6"/>
  <c r="G316"/>
  <c r="E316"/>
  <c r="D316" s="1"/>
  <c r="B318" l="1"/>
  <c r="G317"/>
  <c r="E317"/>
  <c r="D317" s="1"/>
  <c r="A320" i="8"/>
  <c r="F319"/>
  <c r="A321" i="6"/>
  <c r="F320"/>
  <c r="C320"/>
  <c r="E318" i="4"/>
  <c r="F318" s="1"/>
  <c r="G318" s="1"/>
  <c r="A320"/>
  <c r="D319"/>
  <c r="B319"/>
  <c r="C319"/>
  <c r="B318" i="8"/>
  <c r="G317"/>
  <c r="E317"/>
  <c r="D317" s="1"/>
  <c r="C317" s="1"/>
  <c r="B319" l="1"/>
  <c r="G318"/>
  <c r="E318"/>
  <c r="D318" s="1"/>
  <c r="C318" s="1"/>
  <c r="E319" i="4"/>
  <c r="C320"/>
  <c r="A321"/>
  <c r="D320"/>
  <c r="B320"/>
  <c r="A321" i="8"/>
  <c r="F320"/>
  <c r="F319" i="4"/>
  <c r="G319" s="1"/>
  <c r="C321" i="6"/>
  <c r="A322"/>
  <c r="F321"/>
  <c r="B319"/>
  <c r="G318"/>
  <c r="E318"/>
  <c r="D318" s="1"/>
  <c r="B320" l="1"/>
  <c r="G319"/>
  <c r="E319"/>
  <c r="D319" s="1"/>
  <c r="A323"/>
  <c r="F322"/>
  <c r="C322"/>
  <c r="A322" i="8"/>
  <c r="F321"/>
  <c r="E320" i="4"/>
  <c r="F320" s="1"/>
  <c r="G320" s="1"/>
  <c r="A322"/>
  <c r="D321"/>
  <c r="B321"/>
  <c r="C321"/>
  <c r="B320" i="8"/>
  <c r="G319"/>
  <c r="E319"/>
  <c r="D319" s="1"/>
  <c r="C319" s="1"/>
  <c r="B321" l="1"/>
  <c r="G320"/>
  <c r="E320"/>
  <c r="D320" s="1"/>
  <c r="C320" s="1"/>
  <c r="E321" i="4"/>
  <c r="C322"/>
  <c r="A323"/>
  <c r="D322"/>
  <c r="B322"/>
  <c r="C323" i="6"/>
  <c r="A324"/>
  <c r="F323"/>
  <c r="F321" i="4"/>
  <c r="G321" s="1"/>
  <c r="A323" i="8"/>
  <c r="F322"/>
  <c r="B321" i="6"/>
  <c r="G320"/>
  <c r="E320"/>
  <c r="D320" s="1"/>
  <c r="B322" l="1"/>
  <c r="G321"/>
  <c r="E321"/>
  <c r="D321" s="1"/>
  <c r="A324" i="8"/>
  <c r="F323"/>
  <c r="A325" i="6"/>
  <c r="F324"/>
  <c r="C324"/>
  <c r="E322" i="4"/>
  <c r="F322" s="1"/>
  <c r="G322" s="1"/>
  <c r="A324"/>
  <c r="D323"/>
  <c r="B323"/>
  <c r="C323"/>
  <c r="B322" i="8"/>
  <c r="G321"/>
  <c r="E321"/>
  <c r="D321" s="1"/>
  <c r="C321" s="1"/>
  <c r="B323" l="1"/>
  <c r="G322"/>
  <c r="E322"/>
  <c r="D322" s="1"/>
  <c r="C322" s="1"/>
  <c r="E323" i="4"/>
  <c r="C324"/>
  <c r="A325"/>
  <c r="D324"/>
  <c r="B324"/>
  <c r="A325" i="8"/>
  <c r="F324"/>
  <c r="F323" i="4"/>
  <c r="G323" s="1"/>
  <c r="C325" i="6"/>
  <c r="A326"/>
  <c r="F325"/>
  <c r="B323"/>
  <c r="G322"/>
  <c r="E322"/>
  <c r="D322" s="1"/>
  <c r="B324" l="1"/>
  <c r="G323"/>
  <c r="E323"/>
  <c r="D323" s="1"/>
  <c r="A327"/>
  <c r="F326"/>
  <c r="C326"/>
  <c r="A326" i="8"/>
  <c r="F325"/>
  <c r="E324" i="4"/>
  <c r="F324" s="1"/>
  <c r="G324" s="1"/>
  <c r="A326"/>
  <c r="D325"/>
  <c r="B325"/>
  <c r="C325"/>
  <c r="B324" i="8"/>
  <c r="G323"/>
  <c r="E323"/>
  <c r="D323" s="1"/>
  <c r="C323" s="1"/>
  <c r="B325" l="1"/>
  <c r="G324"/>
  <c r="E324"/>
  <c r="D324" s="1"/>
  <c r="C324" s="1"/>
  <c r="E325" i="4"/>
  <c r="C326"/>
  <c r="A327"/>
  <c r="D326"/>
  <c r="B326"/>
  <c r="C327" i="6"/>
  <c r="A328"/>
  <c r="F327"/>
  <c r="F325" i="4"/>
  <c r="G325" s="1"/>
  <c r="A327" i="8"/>
  <c r="F326"/>
  <c r="B325" i="6"/>
  <c r="G324"/>
  <c r="E324"/>
  <c r="D324" s="1"/>
  <c r="B326" l="1"/>
  <c r="G325"/>
  <c r="E325"/>
  <c r="D325" s="1"/>
  <c r="A328" i="8"/>
  <c r="F327"/>
  <c r="A329" i="6"/>
  <c r="F328"/>
  <c r="C328"/>
  <c r="E326" i="4"/>
  <c r="F326" s="1"/>
  <c r="G326" s="1"/>
  <c r="A328"/>
  <c r="D327"/>
  <c r="B327"/>
  <c r="C327"/>
  <c r="B326" i="8"/>
  <c r="G325"/>
  <c r="E325"/>
  <c r="D325" s="1"/>
  <c r="C325" s="1"/>
  <c r="B327" l="1"/>
  <c r="G326"/>
  <c r="E326"/>
  <c r="D326" s="1"/>
  <c r="C326" s="1"/>
  <c r="E327" i="4"/>
  <c r="C328"/>
  <c r="A329"/>
  <c r="D328"/>
  <c r="B328"/>
  <c r="A329" i="8"/>
  <c r="F328"/>
  <c r="F327" i="4"/>
  <c r="G327" s="1"/>
  <c r="C329" i="6"/>
  <c r="A330"/>
  <c r="F329"/>
  <c r="B327"/>
  <c r="G326"/>
  <c r="E326"/>
  <c r="D326" s="1"/>
  <c r="B328" l="1"/>
  <c r="G327"/>
  <c r="E327"/>
  <c r="D327" s="1"/>
  <c r="A331"/>
  <c r="F330"/>
  <c r="C330"/>
  <c r="A330" i="8"/>
  <c r="F329"/>
  <c r="E328" i="4"/>
  <c r="F328" s="1"/>
  <c r="G328" s="1"/>
  <c r="A330"/>
  <c r="D329"/>
  <c r="B329"/>
  <c r="C329"/>
  <c r="B328" i="8"/>
  <c r="G327"/>
  <c r="E327"/>
  <c r="D327" s="1"/>
  <c r="C327" s="1"/>
  <c r="B329" l="1"/>
  <c r="G328"/>
  <c r="E328"/>
  <c r="D328" s="1"/>
  <c r="C328" s="1"/>
  <c r="E329" i="4"/>
  <c r="C330"/>
  <c r="A331"/>
  <c r="D330"/>
  <c r="B330"/>
  <c r="C331" i="6"/>
  <c r="A332"/>
  <c r="F331"/>
  <c r="F329" i="4"/>
  <c r="G329" s="1"/>
  <c r="A331" i="8"/>
  <c r="F330"/>
  <c r="B329" i="6"/>
  <c r="G328"/>
  <c r="E328"/>
  <c r="D328" s="1"/>
  <c r="B330" l="1"/>
  <c r="G329"/>
  <c r="E329"/>
  <c r="D329" s="1"/>
  <c r="A332" i="8"/>
  <c r="F331"/>
  <c r="A333" i="6"/>
  <c r="F332"/>
  <c r="C332"/>
  <c r="E330" i="4"/>
  <c r="F330" s="1"/>
  <c r="G330" s="1"/>
  <c r="A332"/>
  <c r="D331"/>
  <c r="B331"/>
  <c r="C331"/>
  <c r="B330" i="8"/>
  <c r="G329"/>
  <c r="E329"/>
  <c r="D329" s="1"/>
  <c r="C329" s="1"/>
  <c r="B331" l="1"/>
  <c r="G330"/>
  <c r="E330"/>
  <c r="D330" s="1"/>
  <c r="C330" s="1"/>
  <c r="E331" i="4"/>
  <c r="C332"/>
  <c r="A333"/>
  <c r="D332"/>
  <c r="B332"/>
  <c r="A333" i="8"/>
  <c r="F332"/>
  <c r="F331" i="4"/>
  <c r="G331" s="1"/>
  <c r="C333" i="6"/>
  <c r="A334"/>
  <c r="F333"/>
  <c r="B331"/>
  <c r="G330"/>
  <c r="E330"/>
  <c r="D330" s="1"/>
  <c r="B332" l="1"/>
  <c r="G331"/>
  <c r="E331"/>
  <c r="D331" s="1"/>
  <c r="A335"/>
  <c r="F334"/>
  <c r="C334"/>
  <c r="A334" i="8"/>
  <c r="F333"/>
  <c r="E332" i="4"/>
  <c r="F332" s="1"/>
  <c r="G332" s="1"/>
  <c r="A334"/>
  <c r="D333"/>
  <c r="B333"/>
  <c r="C333"/>
  <c r="B332" i="8"/>
  <c r="G331"/>
  <c r="E331"/>
  <c r="D331" s="1"/>
  <c r="C331" s="1"/>
  <c r="B333" l="1"/>
  <c r="G332"/>
  <c r="E332"/>
  <c r="D332" s="1"/>
  <c r="C332" s="1"/>
  <c r="E333" i="4"/>
  <c r="C334"/>
  <c r="A335"/>
  <c r="D334"/>
  <c r="B334"/>
  <c r="C335" i="6"/>
  <c r="A336"/>
  <c r="F335"/>
  <c r="F333" i="4"/>
  <c r="G333" s="1"/>
  <c r="A335" i="8"/>
  <c r="F334"/>
  <c r="B333" i="6"/>
  <c r="G332"/>
  <c r="E332"/>
  <c r="D332" s="1"/>
  <c r="B334" l="1"/>
  <c r="G333"/>
  <c r="E333"/>
  <c r="D333" s="1"/>
  <c r="A336" i="8"/>
  <c r="F335"/>
  <c r="A337" i="6"/>
  <c r="F336"/>
  <c r="C336"/>
  <c r="E334" i="4"/>
  <c r="F334" s="1"/>
  <c r="G334" s="1"/>
  <c r="A336"/>
  <c r="D335"/>
  <c r="B335"/>
  <c r="C335"/>
  <c r="B334" i="8"/>
  <c r="G333"/>
  <c r="E333"/>
  <c r="D333" s="1"/>
  <c r="C333" s="1"/>
  <c r="G334" l="1"/>
  <c r="B335"/>
  <c r="E334"/>
  <c r="D334" s="1"/>
  <c r="C334" s="1"/>
  <c r="E335" i="4"/>
  <c r="C336"/>
  <c r="A337"/>
  <c r="D336"/>
  <c r="B336"/>
  <c r="A337" i="8"/>
  <c r="F336"/>
  <c r="F335" i="4"/>
  <c r="G335" s="1"/>
  <c r="C337" i="6"/>
  <c r="A338"/>
  <c r="F337"/>
  <c r="B335"/>
  <c r="G334"/>
  <c r="E334"/>
  <c r="D334" s="1"/>
  <c r="B336" l="1"/>
  <c r="G335"/>
  <c r="E335"/>
  <c r="D335" s="1"/>
  <c r="A339"/>
  <c r="F338"/>
  <c r="C338"/>
  <c r="A338" i="8"/>
  <c r="F337"/>
  <c r="B336"/>
  <c r="G335"/>
  <c r="E335"/>
  <c r="D335" s="1"/>
  <c r="C335" s="1"/>
  <c r="E336" i="4"/>
  <c r="F336" s="1"/>
  <c r="G336" s="1"/>
  <c r="A338"/>
  <c r="D337"/>
  <c r="B337"/>
  <c r="C337"/>
  <c r="B337" i="8" l="1"/>
  <c r="G336"/>
  <c r="E336"/>
  <c r="D336" s="1"/>
  <c r="C336" s="1"/>
  <c r="C339" i="6"/>
  <c r="A340"/>
  <c r="F339"/>
  <c r="E337" i="4"/>
  <c r="F337" s="1"/>
  <c r="G337" s="1"/>
  <c r="C338"/>
  <c r="A339"/>
  <c r="D338"/>
  <c r="B338"/>
  <c r="A339" i="8"/>
  <c r="F338"/>
  <c r="B337" i="6"/>
  <c r="G336"/>
  <c r="E336"/>
  <c r="D336" s="1"/>
  <c r="B338" l="1"/>
  <c r="G337"/>
  <c r="E337"/>
  <c r="D337" s="1"/>
  <c r="A340" i="8"/>
  <c r="F339"/>
  <c r="E338" i="4"/>
  <c r="F338" s="1"/>
  <c r="G338" s="1"/>
  <c r="A340"/>
  <c r="D339"/>
  <c r="B339"/>
  <c r="C339"/>
  <c r="A341" i="6"/>
  <c r="F340"/>
  <c r="C340"/>
  <c r="B338" i="8"/>
  <c r="G337"/>
  <c r="E337"/>
  <c r="D337" s="1"/>
  <c r="C337" s="1"/>
  <c r="B339" l="1"/>
  <c r="G338"/>
  <c r="E338"/>
  <c r="D338" s="1"/>
  <c r="C338" s="1"/>
  <c r="F339" i="4"/>
  <c r="A341" i="8"/>
  <c r="F340"/>
  <c r="C341" i="6"/>
  <c r="A342"/>
  <c r="F341"/>
  <c r="G339" i="4"/>
  <c r="E339"/>
  <c r="C340"/>
  <c r="A341"/>
  <c r="D340"/>
  <c r="B340"/>
  <c r="B339" i="6"/>
  <c r="G338"/>
  <c r="E338"/>
  <c r="D338" s="1"/>
  <c r="B340" l="1"/>
  <c r="G339"/>
  <c r="E339"/>
  <c r="D339" s="1"/>
  <c r="F340" i="4"/>
  <c r="A343" i="6"/>
  <c r="F342"/>
  <c r="C342"/>
  <c r="G340" i="4"/>
  <c r="E340"/>
  <c r="A342"/>
  <c r="D341"/>
  <c r="B341"/>
  <c r="C341"/>
  <c r="A342" i="8"/>
  <c r="F341"/>
  <c r="B340"/>
  <c r="G339"/>
  <c r="E339"/>
  <c r="D339" s="1"/>
  <c r="C339" s="1"/>
  <c r="B341" l="1"/>
  <c r="G340"/>
  <c r="E340"/>
  <c r="D340" s="1"/>
  <c r="C340" s="1"/>
  <c r="A343"/>
  <c r="F342"/>
  <c r="E341" i="4"/>
  <c r="C342"/>
  <c r="A343"/>
  <c r="D342"/>
  <c r="B342"/>
  <c r="F341"/>
  <c r="G341" s="1"/>
  <c r="C343" i="6"/>
  <c r="A344"/>
  <c r="F343"/>
  <c r="B341"/>
  <c r="G340"/>
  <c r="E340"/>
  <c r="D340" s="1"/>
  <c r="B342" l="1"/>
  <c r="G341"/>
  <c r="E341"/>
  <c r="D341" s="1"/>
  <c r="A345"/>
  <c r="F344"/>
  <c r="C344"/>
  <c r="A344" i="8"/>
  <c r="F343"/>
  <c r="E342" i="4"/>
  <c r="F342" s="1"/>
  <c r="G342" s="1"/>
  <c r="A344"/>
  <c r="D343"/>
  <c r="B343"/>
  <c r="C343"/>
  <c r="B342" i="8"/>
  <c r="G341"/>
  <c r="E341"/>
  <c r="D341" s="1"/>
  <c r="C341" s="1"/>
  <c r="B343" l="1"/>
  <c r="G342"/>
  <c r="E342"/>
  <c r="D342" s="1"/>
  <c r="C342" s="1"/>
  <c r="G343" i="4"/>
  <c r="E343"/>
  <c r="C344"/>
  <c r="A345"/>
  <c r="D344"/>
  <c r="B344"/>
  <c r="A345" i="8"/>
  <c r="F344"/>
  <c r="C345" i="6"/>
  <c r="A346"/>
  <c r="F345"/>
  <c r="F343" i="4"/>
  <c r="B343" i="6"/>
  <c r="G342"/>
  <c r="E342"/>
  <c r="D342" s="1"/>
  <c r="B344" l="1"/>
  <c r="G343"/>
  <c r="E343"/>
  <c r="D343" s="1"/>
  <c r="A346" i="8"/>
  <c r="F345"/>
  <c r="F344" i="4"/>
  <c r="A347" i="6"/>
  <c r="F346"/>
  <c r="C346"/>
  <c r="G344" i="4"/>
  <c r="E344"/>
  <c r="A346"/>
  <c r="D345"/>
  <c r="B345"/>
  <c r="C345"/>
  <c r="B344" i="8"/>
  <c r="G343"/>
  <c r="E343"/>
  <c r="D343" s="1"/>
  <c r="C343" s="1"/>
  <c r="B345" l="1"/>
  <c r="G344"/>
  <c r="E344"/>
  <c r="D344" s="1"/>
  <c r="C344" s="1"/>
  <c r="E345" i="4"/>
  <c r="C346"/>
  <c r="A347"/>
  <c r="D346"/>
  <c r="B346"/>
  <c r="A347" i="8"/>
  <c r="F346"/>
  <c r="F345" i="4"/>
  <c r="G345" s="1"/>
  <c r="C347" i="6"/>
  <c r="A348"/>
  <c r="F347"/>
  <c r="B345"/>
  <c r="G344"/>
  <c r="E344"/>
  <c r="D344" s="1"/>
  <c r="B346" l="1"/>
  <c r="G345"/>
  <c r="E345"/>
  <c r="D345" s="1"/>
  <c r="A349"/>
  <c r="F348"/>
  <c r="C348"/>
  <c r="A348" i="8"/>
  <c r="F347"/>
  <c r="E346" i="4"/>
  <c r="F346" s="1"/>
  <c r="G346" s="1"/>
  <c r="A348"/>
  <c r="D347"/>
  <c r="B347"/>
  <c r="C347"/>
  <c r="B346" i="8"/>
  <c r="G345"/>
  <c r="E345"/>
  <c r="D345" s="1"/>
  <c r="C345" s="1"/>
  <c r="B347" l="1"/>
  <c r="G346"/>
  <c r="E346"/>
  <c r="D346" s="1"/>
  <c r="C346" s="1"/>
  <c r="G347" i="4"/>
  <c r="E347"/>
  <c r="C348"/>
  <c r="A349"/>
  <c r="D348"/>
  <c r="B348"/>
  <c r="C349" i="6"/>
  <c r="A350"/>
  <c r="F349"/>
  <c r="F347" i="4"/>
  <c r="A349" i="8"/>
  <c r="F348"/>
  <c r="B347" i="6"/>
  <c r="G346"/>
  <c r="E346"/>
  <c r="D346" s="1"/>
  <c r="B348" l="1"/>
  <c r="G347"/>
  <c r="E347"/>
  <c r="D347" s="1"/>
  <c r="A350" i="8"/>
  <c r="F349"/>
  <c r="F348" i="4"/>
  <c r="A351" i="6"/>
  <c r="F350"/>
  <c r="C350"/>
  <c r="G348" i="4"/>
  <c r="E348"/>
  <c r="A350"/>
  <c r="D349"/>
  <c r="B349"/>
  <c r="C349"/>
  <c r="B348" i="8"/>
  <c r="G347"/>
  <c r="E347"/>
  <c r="D347" s="1"/>
  <c r="C347" s="1"/>
  <c r="B349" l="1"/>
  <c r="G348"/>
  <c r="E348"/>
  <c r="D348" s="1"/>
  <c r="C348" s="1"/>
  <c r="E349" i="4"/>
  <c r="C350"/>
  <c r="A351"/>
  <c r="D350"/>
  <c r="B350"/>
  <c r="A351" i="8"/>
  <c r="F350"/>
  <c r="F349" i="4"/>
  <c r="G349" s="1"/>
  <c r="C351" i="6"/>
  <c r="A352"/>
  <c r="F351"/>
  <c r="B349"/>
  <c r="G348"/>
  <c r="E348"/>
  <c r="D348" s="1"/>
  <c r="B350" l="1"/>
  <c r="G349"/>
  <c r="E349"/>
  <c r="D349" s="1"/>
  <c r="A353"/>
  <c r="F352"/>
  <c r="C352"/>
  <c r="A352" i="8"/>
  <c r="F351"/>
  <c r="E350" i="4"/>
  <c r="F350" s="1"/>
  <c r="G350" s="1"/>
  <c r="A352"/>
  <c r="D351"/>
  <c r="B351"/>
  <c r="C351"/>
  <c r="B350" i="8"/>
  <c r="G349"/>
  <c r="E349"/>
  <c r="D349" s="1"/>
  <c r="C349" s="1"/>
  <c r="B351" l="1"/>
  <c r="G350"/>
  <c r="E350"/>
  <c r="D350" s="1"/>
  <c r="C350" s="1"/>
  <c r="G351" i="4"/>
  <c r="E351"/>
  <c r="C352"/>
  <c r="A353"/>
  <c r="D352"/>
  <c r="B352"/>
  <c r="C353" i="6"/>
  <c r="A354"/>
  <c r="F353"/>
  <c r="F351" i="4"/>
  <c r="A353" i="8"/>
  <c r="F352"/>
  <c r="B351" i="6"/>
  <c r="G350"/>
  <c r="E350"/>
  <c r="D350" s="1"/>
  <c r="B352" l="1"/>
  <c r="G351"/>
  <c r="E351"/>
  <c r="D351" s="1"/>
  <c r="A354" i="8"/>
  <c r="F353"/>
  <c r="F352" i="4"/>
  <c r="A355" i="6"/>
  <c r="F354"/>
  <c r="C354"/>
  <c r="G352" i="4"/>
  <c r="E352"/>
  <c r="A354"/>
  <c r="D353"/>
  <c r="B353"/>
  <c r="C353"/>
  <c r="B352" i="8"/>
  <c r="G351"/>
  <c r="E351"/>
  <c r="D351" s="1"/>
  <c r="C351" s="1"/>
  <c r="B353" l="1"/>
  <c r="G352"/>
  <c r="E352"/>
  <c r="D352" s="1"/>
  <c r="C352" s="1"/>
  <c r="E353" i="4"/>
  <c r="C354"/>
  <c r="A355"/>
  <c r="D354"/>
  <c r="B354"/>
  <c r="A355" i="8"/>
  <c r="F354"/>
  <c r="F353" i="4"/>
  <c r="G353" s="1"/>
  <c r="C355" i="6"/>
  <c r="A356"/>
  <c r="F355"/>
  <c r="B353"/>
  <c r="G352"/>
  <c r="E352"/>
  <c r="D352" s="1"/>
  <c r="B354" l="1"/>
  <c r="G353"/>
  <c r="E353"/>
  <c r="D353" s="1"/>
  <c r="A357"/>
  <c r="F356"/>
  <c r="C356"/>
  <c r="A356" i="8"/>
  <c r="F355"/>
  <c r="E354" i="4"/>
  <c r="F354" s="1"/>
  <c r="G354" s="1"/>
  <c r="A356"/>
  <c r="D355"/>
  <c r="B355"/>
  <c r="C355"/>
  <c r="B354" i="8"/>
  <c r="G353"/>
  <c r="E353"/>
  <c r="D353" s="1"/>
  <c r="C353" s="1"/>
  <c r="B355" l="1"/>
  <c r="G354"/>
  <c r="E354"/>
  <c r="D354" s="1"/>
  <c r="C354" s="1"/>
  <c r="G355" i="4"/>
  <c r="E355"/>
  <c r="C356"/>
  <c r="A357"/>
  <c r="D356"/>
  <c r="B356"/>
  <c r="C357" i="6"/>
  <c r="A358"/>
  <c r="F357"/>
  <c r="F355" i="4"/>
  <c r="A357" i="8"/>
  <c r="F356"/>
  <c r="B355" i="6"/>
  <c r="G354"/>
  <c r="E354"/>
  <c r="D354" s="1"/>
  <c r="B356" l="1"/>
  <c r="G355"/>
  <c r="E355"/>
  <c r="D355" s="1"/>
  <c r="A358" i="8"/>
  <c r="F357"/>
  <c r="F356" i="4"/>
  <c r="A359" i="6"/>
  <c r="F358"/>
  <c r="C358"/>
  <c r="G356" i="4"/>
  <c r="E356"/>
  <c r="A358"/>
  <c r="D357"/>
  <c r="B357"/>
  <c r="C357"/>
  <c r="B356" i="8"/>
  <c r="G355"/>
  <c r="E355"/>
  <c r="D355" s="1"/>
  <c r="C355" s="1"/>
  <c r="B357" l="1"/>
  <c r="G356"/>
  <c r="E356"/>
  <c r="D356" s="1"/>
  <c r="C356" s="1"/>
  <c r="E357" i="4"/>
  <c r="C358"/>
  <c r="A359"/>
  <c r="D358"/>
  <c r="B358"/>
  <c r="A359" i="8"/>
  <c r="F358"/>
  <c r="F357" i="4"/>
  <c r="G357" s="1"/>
  <c r="C359" i="6"/>
  <c r="A360"/>
  <c r="F359"/>
  <c r="B357"/>
  <c r="G356"/>
  <c r="E356"/>
  <c r="D356" s="1"/>
  <c r="B358" l="1"/>
  <c r="G357"/>
  <c r="E357"/>
  <c r="D357" s="1"/>
  <c r="A361"/>
  <c r="F360"/>
  <c r="C360"/>
  <c r="A360" i="8"/>
  <c r="F359"/>
  <c r="E358" i="4"/>
  <c r="F358" s="1"/>
  <c r="G358" s="1"/>
  <c r="A360"/>
  <c r="D359"/>
  <c r="B359"/>
  <c r="C359"/>
  <c r="B358" i="8"/>
  <c r="G357"/>
  <c r="E357"/>
  <c r="D357" s="1"/>
  <c r="C357" s="1"/>
  <c r="B359" l="1"/>
  <c r="G358"/>
  <c r="E358"/>
  <c r="D358" s="1"/>
  <c r="C358" s="1"/>
  <c r="G359" i="4"/>
  <c r="E359"/>
  <c r="C360"/>
  <c r="A361"/>
  <c r="D360"/>
  <c r="B360"/>
  <c r="C361" i="6"/>
  <c r="A362"/>
  <c r="F361"/>
  <c r="F359" i="4"/>
  <c r="A361" i="8"/>
  <c r="F360"/>
  <c r="B359" i="6"/>
  <c r="G358"/>
  <c r="E358"/>
  <c r="D358" s="1"/>
  <c r="B360" l="1"/>
  <c r="G359"/>
  <c r="E359"/>
  <c r="D359" s="1"/>
  <c r="A362" i="8"/>
  <c r="F361"/>
  <c r="F360" i="4"/>
  <c r="A363" i="6"/>
  <c r="F362"/>
  <c r="C362"/>
  <c r="G360" i="4"/>
  <c r="E360"/>
  <c r="A362"/>
  <c r="D361"/>
  <c r="B361"/>
  <c r="C361"/>
  <c r="B360" i="8"/>
  <c r="G359"/>
  <c r="E359"/>
  <c r="D359" s="1"/>
  <c r="C359" s="1"/>
  <c r="B361" l="1"/>
  <c r="G360"/>
  <c r="E360"/>
  <c r="D360" s="1"/>
  <c r="C360" s="1"/>
  <c r="E361" i="4"/>
  <c r="C362"/>
  <c r="A363"/>
  <c r="D362"/>
  <c r="B362"/>
  <c r="A363" i="8"/>
  <c r="F362"/>
  <c r="F361" i="4"/>
  <c r="G361" s="1"/>
  <c r="C363" i="6"/>
  <c r="A364"/>
  <c r="F363"/>
  <c r="B361"/>
  <c r="G360"/>
  <c r="E360"/>
  <c r="D360" s="1"/>
  <c r="B362" l="1"/>
  <c r="G361"/>
  <c r="E361"/>
  <c r="D361" s="1"/>
  <c r="A365"/>
  <c r="F364"/>
  <c r="C364"/>
  <c r="A364" i="8"/>
  <c r="F363"/>
  <c r="E362" i="4"/>
  <c r="F362" s="1"/>
  <c r="G362" s="1"/>
  <c r="A364"/>
  <c r="D363"/>
  <c r="B363"/>
  <c r="C363"/>
  <c r="B362" i="8"/>
  <c r="G361"/>
  <c r="E361"/>
  <c r="D361" s="1"/>
  <c r="C361" s="1"/>
  <c r="B363" l="1"/>
  <c r="G362"/>
  <c r="E362"/>
  <c r="D362" s="1"/>
  <c r="C362" s="1"/>
  <c r="G363" i="4"/>
  <c r="E363"/>
  <c r="C364"/>
  <c r="A365"/>
  <c r="D364"/>
  <c r="B364"/>
  <c r="C365" i="6"/>
  <c r="A366"/>
  <c r="F365"/>
  <c r="F363" i="4"/>
  <c r="A365" i="8"/>
  <c r="F364"/>
  <c r="B363" i="6"/>
  <c r="G362"/>
  <c r="E362"/>
  <c r="D362" s="1"/>
  <c r="B364" l="1"/>
  <c r="G363"/>
  <c r="E363"/>
  <c r="D363" s="1"/>
  <c r="A366" i="8"/>
  <c r="F365"/>
  <c r="F364" i="4"/>
  <c r="A367" i="6"/>
  <c r="F366"/>
  <c r="C366"/>
  <c r="G364" i="4"/>
  <c r="E364"/>
  <c r="A366"/>
  <c r="D365"/>
  <c r="B365"/>
  <c r="C365"/>
  <c r="B364" i="8"/>
  <c r="G363"/>
  <c r="E363"/>
  <c r="D363" s="1"/>
  <c r="C363" s="1"/>
  <c r="B365" l="1"/>
  <c r="G364"/>
  <c r="E364"/>
  <c r="D364" s="1"/>
  <c r="C364" s="1"/>
  <c r="E365" i="4"/>
  <c r="C366"/>
  <c r="A367"/>
  <c r="D366"/>
  <c r="B366"/>
  <c r="A367" i="8"/>
  <c r="F366"/>
  <c r="F365" i="4"/>
  <c r="G365" s="1"/>
  <c r="C367" i="6"/>
  <c r="A368"/>
  <c r="F367"/>
  <c r="B365"/>
  <c r="G364"/>
  <c r="E364"/>
  <c r="D364" s="1"/>
  <c r="B366" l="1"/>
  <c r="G365"/>
  <c r="E365"/>
  <c r="D365" s="1"/>
  <c r="A369"/>
  <c r="F368"/>
  <c r="C368"/>
  <c r="A368" i="8"/>
  <c r="F367"/>
  <c r="E366" i="4"/>
  <c r="F366" s="1"/>
  <c r="G366" s="1"/>
  <c r="A368"/>
  <c r="D367"/>
  <c r="B367"/>
  <c r="C367"/>
  <c r="B366" i="8"/>
  <c r="G365"/>
  <c r="E365"/>
  <c r="D365" s="1"/>
  <c r="C365" s="1"/>
  <c r="B367" l="1"/>
  <c r="G366"/>
  <c r="E366"/>
  <c r="D366" s="1"/>
  <c r="C366" s="1"/>
  <c r="G367" i="4"/>
  <c r="E367"/>
  <c r="C368"/>
  <c r="A369"/>
  <c r="D368"/>
  <c r="B368"/>
  <c r="C369" i="6"/>
  <c r="A370"/>
  <c r="F369"/>
  <c r="F367" i="4"/>
  <c r="A369" i="8"/>
  <c r="F368"/>
  <c r="B367" i="6"/>
  <c r="G366"/>
  <c r="E366"/>
  <c r="D366" s="1"/>
  <c r="B368" l="1"/>
  <c r="G367"/>
  <c r="E367"/>
  <c r="D367" s="1"/>
  <c r="A370" i="8"/>
  <c r="F369"/>
  <c r="F368" i="4"/>
  <c r="A371" i="6"/>
  <c r="F370"/>
  <c r="C370"/>
  <c r="G368" i="4"/>
  <c r="E368"/>
  <c r="A370"/>
  <c r="D369"/>
  <c r="B369"/>
  <c r="C369"/>
  <c r="B368" i="8"/>
  <c r="G367"/>
  <c r="E367"/>
  <c r="D367" s="1"/>
  <c r="C367" s="1"/>
  <c r="B369" l="1"/>
  <c r="G368"/>
  <c r="E368"/>
  <c r="D368" s="1"/>
  <c r="C368" s="1"/>
  <c r="E369" i="4"/>
  <c r="C370"/>
  <c r="A371"/>
  <c r="D370"/>
  <c r="B370"/>
  <c r="A371" i="8"/>
  <c r="F370"/>
  <c r="F369" i="4"/>
  <c r="G369" s="1"/>
  <c r="C371" i="6"/>
  <c r="A372"/>
  <c r="F371"/>
  <c r="B369"/>
  <c r="G368"/>
  <c r="E368"/>
  <c r="D368" s="1"/>
  <c r="B370" l="1"/>
  <c r="G369"/>
  <c r="E369"/>
  <c r="D369" s="1"/>
  <c r="A373"/>
  <c r="F372"/>
  <c r="C372"/>
  <c r="A372" i="8"/>
  <c r="F371"/>
  <c r="E370" i="4"/>
  <c r="F370" s="1"/>
  <c r="G370" s="1"/>
  <c r="A372"/>
  <c r="D371"/>
  <c r="B371"/>
  <c r="C371"/>
  <c r="B370" i="8"/>
  <c r="G369"/>
  <c r="E369"/>
  <c r="D369" s="1"/>
  <c r="C369" s="1"/>
  <c r="B371" l="1"/>
  <c r="G370"/>
  <c r="E370"/>
  <c r="D370" s="1"/>
  <c r="C370" s="1"/>
  <c r="G371" i="4"/>
  <c r="E371"/>
  <c r="C372"/>
  <c r="A373"/>
  <c r="D372"/>
  <c r="B372"/>
  <c r="C373" i="6"/>
  <c r="A374"/>
  <c r="F373"/>
  <c r="F371" i="4"/>
  <c r="A373" i="8"/>
  <c r="F372"/>
  <c r="B371" i="6"/>
  <c r="G370"/>
  <c r="E370"/>
  <c r="D370" s="1"/>
  <c r="B372" l="1"/>
  <c r="G371"/>
  <c r="E371"/>
  <c r="D371" s="1"/>
  <c r="A374" i="8"/>
  <c r="F373"/>
  <c r="F372" i="4"/>
  <c r="A375" i="6"/>
  <c r="F374"/>
  <c r="C374"/>
  <c r="G372" i="4"/>
  <c r="E372"/>
  <c r="A374"/>
  <c r="D373"/>
  <c r="B373"/>
  <c r="C373"/>
  <c r="B372" i="8"/>
  <c r="G371"/>
  <c r="E371"/>
  <c r="D371" s="1"/>
  <c r="C371" s="1"/>
  <c r="B373" l="1"/>
  <c r="G372"/>
  <c r="E372"/>
  <c r="D372" s="1"/>
  <c r="C372" s="1"/>
  <c r="E373" i="4"/>
  <c r="C374"/>
  <c r="A375"/>
  <c r="D374"/>
  <c r="B374"/>
  <c r="A375" i="8"/>
  <c r="F374"/>
  <c r="F373" i="4"/>
  <c r="G373" s="1"/>
  <c r="C375" i="6"/>
  <c r="A376"/>
  <c r="F375"/>
  <c r="B373"/>
  <c r="G372"/>
  <c r="E372"/>
  <c r="D372" s="1"/>
  <c r="B374" l="1"/>
  <c r="G373"/>
  <c r="E373"/>
  <c r="D373" s="1"/>
  <c r="A377"/>
  <c r="F376"/>
  <c r="C376"/>
  <c r="A376" i="8"/>
  <c r="F375"/>
  <c r="E374" i="4"/>
  <c r="F374" s="1"/>
  <c r="G374" s="1"/>
  <c r="A376"/>
  <c r="D375"/>
  <c r="B375"/>
  <c r="C375"/>
  <c r="B374" i="8"/>
  <c r="G373"/>
  <c r="E373"/>
  <c r="D373" s="1"/>
  <c r="C373" s="1"/>
  <c r="B375" l="1"/>
  <c r="G374"/>
  <c r="E374"/>
  <c r="D374" s="1"/>
  <c r="C374" s="1"/>
  <c r="G375" i="4"/>
  <c r="E375"/>
  <c r="C376"/>
  <c r="A377"/>
  <c r="D376"/>
  <c r="B376"/>
  <c r="C377" i="6"/>
  <c r="A378"/>
  <c r="F377"/>
  <c r="F375" i="4"/>
  <c r="A377" i="8"/>
  <c r="F376"/>
  <c r="B375" i="6"/>
  <c r="G374"/>
  <c r="E374"/>
  <c r="D374" s="1"/>
  <c r="B376" l="1"/>
  <c r="G375"/>
  <c r="E375"/>
  <c r="D375" s="1"/>
  <c r="A378" i="8"/>
  <c r="F377"/>
  <c r="F376" i="4"/>
  <c r="A379" i="6"/>
  <c r="F378"/>
  <c r="C378"/>
  <c r="G376" i="4"/>
  <c r="E376"/>
  <c r="A378"/>
  <c r="D377"/>
  <c r="B377"/>
  <c r="C377"/>
  <c r="B376" i="8"/>
  <c r="G375"/>
  <c r="E375"/>
  <c r="D375" s="1"/>
  <c r="C375" s="1"/>
  <c r="B377" l="1"/>
  <c r="G376"/>
  <c r="E376"/>
  <c r="D376" s="1"/>
  <c r="C376" s="1"/>
  <c r="E377" i="4"/>
  <c r="C378"/>
  <c r="A379"/>
  <c r="D378"/>
  <c r="B378"/>
  <c r="A379" i="8"/>
  <c r="F379" s="1"/>
  <c r="F380" s="1"/>
  <c r="F378"/>
  <c r="F377" i="4"/>
  <c r="G377" s="1"/>
  <c r="C379" i="6"/>
  <c r="A380"/>
  <c r="F379"/>
  <c r="B377"/>
  <c r="G376"/>
  <c r="E376"/>
  <c r="D376" s="1"/>
  <c r="B378" l="1"/>
  <c r="G377"/>
  <c r="E377"/>
  <c r="D377" s="1"/>
  <c r="F380"/>
  <c r="F381" s="1"/>
  <c r="C380"/>
  <c r="E378" i="4"/>
  <c r="F378" s="1"/>
  <c r="G378" s="1"/>
  <c r="A380"/>
  <c r="D379"/>
  <c r="B379"/>
  <c r="C379"/>
  <c r="B378" i="8"/>
  <c r="G377"/>
  <c r="E377"/>
  <c r="D377" s="1"/>
  <c r="C377" s="1"/>
  <c r="B379" l="1"/>
  <c r="G378"/>
  <c r="E378"/>
  <c r="D378" s="1"/>
  <c r="C378" s="1"/>
  <c r="E379" i="4"/>
  <c r="F379" s="1"/>
  <c r="G379" s="1"/>
  <c r="C380"/>
  <c r="C381" s="1"/>
  <c r="D380"/>
  <c r="B380"/>
  <c r="E13" i="7"/>
  <c r="E15" s="1"/>
  <c r="D15" i="6"/>
  <c r="C3" i="10" s="1"/>
  <c r="C381" i="6"/>
  <c r="B379"/>
  <c r="G378"/>
  <c r="E378"/>
  <c r="D378" s="1"/>
  <c r="D381" i="4" l="1"/>
  <c r="G379" i="8"/>
  <c r="E379"/>
  <c r="B380" i="6"/>
  <c r="G379"/>
  <c r="E379"/>
  <c r="D379" s="1"/>
  <c r="E380" i="4"/>
  <c r="E381" s="1"/>
  <c r="D379" i="8" l="1"/>
  <c r="E380"/>
  <c r="G380" i="6"/>
  <c r="E380"/>
  <c r="F380" i="4"/>
  <c r="D380" i="6" l="1"/>
  <c r="E381"/>
  <c r="D381" s="1"/>
  <c r="F381" i="4"/>
  <c r="G380"/>
  <c r="C379" i="8"/>
  <c r="C380" s="1"/>
  <c r="D380"/>
</calcChain>
</file>

<file path=xl/comments1.xml><?xml version="1.0" encoding="utf-8"?>
<comments xmlns="http://schemas.openxmlformats.org/spreadsheetml/2006/main">
  <authors>
    <author>Jesper Brygger</author>
  </authors>
  <commentList>
    <comment ref="A63" authorId="0">
      <text>
        <r>
          <rPr>
            <sz val="16"/>
            <color indexed="81"/>
            <rFont val="Tahoma"/>
            <family val="2"/>
          </rPr>
          <t>Tast =
og vælg det produkt i afsætningsplanen som virksomheden bør producere.</t>
        </r>
        <r>
          <rPr>
            <sz val="9"/>
            <color indexed="81"/>
            <rFont val="Tahoma"/>
            <family val="2"/>
          </rPr>
          <t xml:space="preserve">
</t>
        </r>
      </text>
    </comment>
  </commentList>
</comments>
</file>

<file path=xl/comments10.xml><?xml version="1.0" encoding="utf-8"?>
<comments xmlns="http://schemas.openxmlformats.org/spreadsheetml/2006/main">
  <authors>
    <author>IT Afdelingen</author>
    <author>Roskilde Handelsskole</author>
    <author>IT afdelingen</author>
  </authors>
  <commentList>
    <comment ref="B3" authorId="0">
      <text>
        <r>
          <rPr>
            <b/>
            <sz val="8"/>
            <color indexed="81"/>
            <rFont val="Tahoma"/>
            <family val="2"/>
          </rPr>
          <t>Her indtastes årstal for regnskabsåret, de andre årstal justeres i forhold til dette</t>
        </r>
      </text>
    </comment>
    <comment ref="A5" authorId="1">
      <text>
        <r>
          <rPr>
            <b/>
            <sz val="14"/>
            <color indexed="81"/>
            <rFont val="Tahoma"/>
            <family val="2"/>
          </rPr>
          <t xml:space="preserve">Her skal du bestemme om det er en produktions eller en handelsvirksomhed.
Hvis det er en produktionsvirksomhed skriver du </t>
        </r>
        <r>
          <rPr>
            <b/>
            <i/>
            <sz val="16"/>
            <color indexed="81"/>
            <rFont val="Tahoma"/>
            <family val="2"/>
          </rPr>
          <t>Råvarer</t>
        </r>
        <r>
          <rPr>
            <b/>
            <sz val="14"/>
            <color indexed="81"/>
            <rFont val="Tahoma"/>
            <family val="2"/>
          </rPr>
          <t xml:space="preserve">.
Hvis det er en handelsvirksomhed skriver du </t>
        </r>
        <r>
          <rPr>
            <b/>
            <i/>
            <sz val="16"/>
            <color indexed="81"/>
            <rFont val="Tahoma"/>
            <family val="2"/>
          </rPr>
          <t>Vareforbrug</t>
        </r>
      </text>
    </comment>
    <comment ref="B35" authorId="2">
      <text>
        <r>
          <rPr>
            <b/>
            <sz val="8"/>
            <color indexed="81"/>
            <rFont val="Tahoma"/>
            <family val="2"/>
          </rPr>
          <t>Hvis der er en kassekredit i opgaven skal der angives et max. Hvis der ikke er angivet et max. i opgaven kan max sættes til primo saldoen.</t>
        </r>
        <r>
          <rPr>
            <sz val="8"/>
            <color indexed="81"/>
            <rFont val="Tahoma"/>
            <family val="2"/>
          </rPr>
          <t xml:space="preserve">
</t>
        </r>
      </text>
    </comment>
    <comment ref="C37" authorId="2">
      <text>
        <r>
          <rPr>
            <b/>
            <sz val="12"/>
            <color indexed="81"/>
            <rFont val="Tahoma"/>
            <family val="2"/>
          </rPr>
          <t>Her skal du bestemme om opgaven skal udarbejdes exclusiv eller inclklusiv moms.
Hvis du vil lave opgaven exclusiv moms tastes: 0</t>
        </r>
        <r>
          <rPr>
            <b/>
            <sz val="12"/>
            <color indexed="81"/>
            <rFont val="Tahoma"/>
            <family val="2"/>
          </rPr>
          <t xml:space="preserve">
Hvis du vil lave opgaven inclusiv moms tastes en momsprocent. I Danmark 25%,
tast: 25</t>
        </r>
        <r>
          <rPr>
            <sz val="12"/>
            <color indexed="81"/>
            <rFont val="Tahoma"/>
            <family val="2"/>
          </rPr>
          <t xml:space="preserve">
</t>
        </r>
      </text>
    </comment>
  </commentList>
</comments>
</file>

<file path=xl/comments11.xml><?xml version="1.0" encoding="utf-8"?>
<comments xmlns="http://schemas.openxmlformats.org/spreadsheetml/2006/main">
  <authors>
    <author>Per</author>
    <author>Jesper Brygger</author>
    <author>IT afdelingen</author>
    <author>Brygger</author>
    <author>Roskilde Handelsskole</author>
  </authors>
  <commentList>
    <comment ref="F5" authorId="0">
      <text>
        <r>
          <rPr>
            <sz val="8"/>
            <color indexed="81"/>
            <rFont val="Tahoma"/>
            <family val="2"/>
          </rPr>
          <t xml:space="preserve">Teksten ændrer sig. Hvis der tastes 0 i reserver i resultat budgettet bliver teksten til Egenkapital ellers aktiekapital.
</t>
        </r>
      </text>
    </comment>
    <comment ref="H6" authorId="1">
      <text>
        <r>
          <rPr>
            <sz val="9"/>
            <color indexed="81"/>
            <rFont val="Tahoma"/>
            <family val="2"/>
          </rPr>
          <t xml:space="preserve">overført overskud fra resultatbudget 2011
</t>
        </r>
      </text>
    </comment>
    <comment ref="I7" authorId="0">
      <text>
        <r>
          <rPr>
            <b/>
            <sz val="8"/>
            <color indexed="81"/>
            <rFont val="Tahoma"/>
            <family val="2"/>
          </rPr>
          <t>Der skal ikke tastes minus foran privatforbruget</t>
        </r>
        <r>
          <rPr>
            <sz val="8"/>
            <color indexed="81"/>
            <rFont val="Tahoma"/>
            <family val="2"/>
          </rPr>
          <t xml:space="preserve">
</t>
        </r>
      </text>
    </comment>
    <comment ref="H12" authorId="2">
      <text>
        <r>
          <rPr>
            <b/>
            <sz val="14"/>
            <color indexed="81"/>
            <rFont val="Tahoma"/>
            <family val="2"/>
          </rPr>
          <t>Når der afdrages på gælden skal der tastes minus foran tallet.</t>
        </r>
      </text>
    </comment>
    <comment ref="A16" authorId="3">
      <text>
        <r>
          <rPr>
            <b/>
            <sz val="8"/>
            <color indexed="81"/>
            <rFont val="Tahoma"/>
            <family val="2"/>
          </rPr>
          <t>Varelageret må ikke laves om da det danner grundlag for omsætningshastigheden på varelageret</t>
        </r>
      </text>
    </comment>
    <comment ref="F16" authorId="3">
      <text>
        <r>
          <rPr>
            <b/>
            <sz val="8"/>
            <color indexed="81"/>
            <rFont val="Tahoma"/>
            <family val="2"/>
          </rPr>
          <t>Varekreditorerne må ikke laves om da det danner grundlag for omsætningshastigheden på varekreditorer og kreditdage</t>
        </r>
        <r>
          <rPr>
            <sz val="8"/>
            <color indexed="81"/>
            <rFont val="Tahoma"/>
            <family val="2"/>
          </rPr>
          <t xml:space="preserve">
</t>
        </r>
      </text>
    </comment>
    <comment ref="A17" authorId="2">
      <text>
        <r>
          <rPr>
            <b/>
            <sz val="8"/>
            <color indexed="81"/>
            <rFont val="Tahoma"/>
            <family val="2"/>
          </rPr>
          <t>Tast ikke her, det er en celle til produktionen(VUF) i en produktionsvirksomhed</t>
        </r>
      </text>
    </comment>
    <comment ref="A18" authorId="2">
      <text>
        <r>
          <rPr>
            <b/>
            <sz val="8"/>
            <color indexed="81"/>
            <rFont val="Tahoma"/>
            <family val="2"/>
          </rPr>
          <t xml:space="preserve">Tast ikke her, 
det er en celle til færdigvarerlageret i en produktionsvirksomhed
</t>
        </r>
      </text>
    </comment>
    <comment ref="A19" authorId="3">
      <text>
        <r>
          <rPr>
            <b/>
            <sz val="8"/>
            <color indexed="81"/>
            <rFont val="Tahoma"/>
            <family val="2"/>
          </rPr>
          <t xml:space="preserve">Varedebitorerne må ikke laves om da det danner grundlag for omsætningshastigheden på varedebitorer
</t>
        </r>
        <r>
          <rPr>
            <sz val="8"/>
            <color indexed="81"/>
            <rFont val="Tahoma"/>
            <family val="2"/>
          </rPr>
          <t xml:space="preserve">
</t>
        </r>
      </text>
    </comment>
    <comment ref="G23" authorId="2">
      <text>
        <r>
          <rPr>
            <b/>
            <sz val="16"/>
            <color indexed="81"/>
            <rFont val="Tahoma"/>
            <family val="2"/>
          </rPr>
          <t xml:space="preserve">Hvis der indtastes en kassekredit skal der også indtastes et max. Hvis intet max. er oplyst kan det sættes til saldoen på kassekreditten primo
</t>
        </r>
        <r>
          <rPr>
            <sz val="8"/>
            <color indexed="81"/>
            <rFont val="Tahoma"/>
            <family val="2"/>
          </rPr>
          <t xml:space="preserve">
</t>
        </r>
      </text>
    </comment>
    <comment ref="B25" authorId="4">
      <text>
        <r>
          <rPr>
            <b/>
            <sz val="8"/>
            <color indexed="8"/>
            <rFont val="Tahoma"/>
            <family val="2"/>
          </rPr>
          <t>Indtast ikke i felter markeret med fed</t>
        </r>
      </text>
    </comment>
  </commentList>
</comments>
</file>

<file path=xl/comments12.xml><?xml version="1.0" encoding="utf-8"?>
<comments xmlns="http://schemas.openxmlformats.org/spreadsheetml/2006/main">
  <authors>
    <author>Brygger</author>
  </authors>
  <commentList>
    <comment ref="E3" authorId="0">
      <text>
        <r>
          <rPr>
            <sz val="20"/>
            <color indexed="81"/>
            <rFont val="Tahoma"/>
            <family val="2"/>
          </rPr>
          <t>I</t>
        </r>
        <r>
          <rPr>
            <b/>
            <sz val="20"/>
            <color indexed="81"/>
            <rFont val="Tahoma"/>
            <family val="2"/>
          </rPr>
          <t>ndtast tælleren i brøken. Hvis det ikke er en brøk 
indtastes det hele tal her.
Hvis der ikke er nogen hældning, dvs. hvis afsætningskurven er vandret skal der stå 0 her</t>
        </r>
      </text>
    </comment>
    <comment ref="E4" authorId="0">
      <text>
        <r>
          <rPr>
            <b/>
            <sz val="20"/>
            <color indexed="81"/>
            <rFont val="Tahoma"/>
            <family val="2"/>
          </rPr>
          <t>Indtast nævneren i brøken. Hvis hældningskoefficienten er et helt tal tastes 1 her.
Hvis der ikke er nogen hældning på MR - kurven dvs. den er vandret skal der også stå 1 her.</t>
        </r>
        <r>
          <rPr>
            <sz val="20"/>
            <color indexed="81"/>
            <rFont val="Tahoma"/>
            <family val="2"/>
          </rPr>
          <t xml:space="preserve">
</t>
        </r>
      </text>
    </comment>
    <comment ref="N5" authorId="0">
      <text>
        <r>
          <rPr>
            <b/>
            <sz val="20"/>
            <color indexed="81"/>
            <rFont val="Tahoma"/>
            <family val="2"/>
          </rPr>
          <t xml:space="preserve">Hvis der ikke er nogen hældning på MC - kurven dvs. den er vandret skal der stå 0 her.
</t>
        </r>
        <r>
          <rPr>
            <sz val="20"/>
            <color indexed="81"/>
            <rFont val="Tahoma"/>
            <family val="2"/>
          </rPr>
          <t xml:space="preserve">
</t>
        </r>
      </text>
    </comment>
    <comment ref="N6" authorId="0">
      <text>
        <r>
          <rPr>
            <b/>
            <sz val="20"/>
            <color indexed="81"/>
            <rFont val="Tahoma"/>
            <family val="2"/>
          </rPr>
          <t xml:space="preserve">Hvis der ikke er nogen hældning på MC - kurven dvs. den er vandret skal der stå 1 her.
</t>
        </r>
        <r>
          <rPr>
            <sz val="8"/>
            <color indexed="81"/>
            <rFont val="Tahoma"/>
          </rPr>
          <t xml:space="preserve">
</t>
        </r>
      </text>
    </comment>
  </commentList>
</comments>
</file>

<file path=xl/comments13.xml><?xml version="1.0" encoding="utf-8"?>
<comments xmlns="http://schemas.openxmlformats.org/spreadsheetml/2006/main">
  <authors>
    <author>Brygger</author>
  </authors>
  <commentList>
    <comment ref="E3" authorId="0">
      <text>
        <r>
          <rPr>
            <sz val="20"/>
            <color indexed="81"/>
            <rFont val="Tahoma"/>
            <family val="2"/>
          </rPr>
          <t>I</t>
        </r>
        <r>
          <rPr>
            <b/>
            <sz val="20"/>
            <color indexed="81"/>
            <rFont val="Tahoma"/>
            <family val="2"/>
          </rPr>
          <t>ndtast tælleren i brøken. Hvis det ikke er en brøk 
indtastes det hele tal her.
Hvis der ikke er nogen hældning, dvs. hvis afsætningskurven er vandret skal der stå 0 her</t>
        </r>
      </text>
    </comment>
    <comment ref="E4" authorId="0">
      <text>
        <r>
          <rPr>
            <b/>
            <sz val="20"/>
            <color indexed="81"/>
            <rFont val="Tahoma"/>
            <family val="2"/>
          </rPr>
          <t>Indtast nævneren i brøken. Hvis hældningskoefficienten er et helt tal tastes 1 her.
Hvis der ikke er nogen hældning på MR - kurven dvs. den er vandret skal der også stå 1 her.</t>
        </r>
        <r>
          <rPr>
            <sz val="20"/>
            <color indexed="81"/>
            <rFont val="Tahoma"/>
            <family val="2"/>
          </rPr>
          <t xml:space="preserve">
</t>
        </r>
      </text>
    </comment>
    <comment ref="N5" authorId="0">
      <text>
        <r>
          <rPr>
            <b/>
            <sz val="20"/>
            <color indexed="81"/>
            <rFont val="Tahoma"/>
            <family val="2"/>
          </rPr>
          <t xml:space="preserve">Hvis der ikke er nogen hældning på MC - kurven dvs. den er vandret skal der stå 0 her.
</t>
        </r>
        <r>
          <rPr>
            <sz val="20"/>
            <color indexed="81"/>
            <rFont val="Tahoma"/>
            <family val="2"/>
          </rPr>
          <t xml:space="preserve">
</t>
        </r>
      </text>
    </comment>
    <comment ref="N6" authorId="0">
      <text>
        <r>
          <rPr>
            <b/>
            <sz val="20"/>
            <color indexed="81"/>
            <rFont val="Tahoma"/>
            <family val="2"/>
          </rPr>
          <t xml:space="preserve">Hvis der ikke er nogen hældning på MC - kurven dvs. den er vandret skal der stå 1 her.
</t>
        </r>
        <r>
          <rPr>
            <sz val="8"/>
            <color indexed="81"/>
            <rFont val="Tahoma"/>
            <family val="2"/>
          </rPr>
          <t xml:space="preserve">
</t>
        </r>
      </text>
    </comment>
  </commentList>
</comments>
</file>

<file path=xl/comments2.xml><?xml version="1.0" encoding="utf-8"?>
<comments xmlns="http://schemas.openxmlformats.org/spreadsheetml/2006/main">
  <authors>
    <author>Jesper Brygger</author>
  </authors>
  <commentList>
    <comment ref="A63" authorId="0">
      <text>
        <r>
          <rPr>
            <sz val="16"/>
            <color indexed="81"/>
            <rFont val="Tahoma"/>
            <family val="2"/>
          </rPr>
          <t>Tast =
og vælg det produkt i afsætningsplanen som virksomheden bør producere.</t>
        </r>
        <r>
          <rPr>
            <sz val="9"/>
            <color indexed="81"/>
            <rFont val="Tahoma"/>
            <family val="2"/>
          </rPr>
          <t xml:space="preserve">
</t>
        </r>
      </text>
    </comment>
  </commentList>
</comments>
</file>

<file path=xl/comments3.xml><?xml version="1.0" encoding="utf-8"?>
<comments xmlns="http://schemas.openxmlformats.org/spreadsheetml/2006/main">
  <authors>
    <author>Jesper Brygger</author>
  </authors>
  <commentList>
    <comment ref="D3" authorId="0">
      <text>
        <r>
          <rPr>
            <sz val="9"/>
            <color indexed="81"/>
            <rFont val="Tahoma"/>
            <family val="2"/>
          </rPr>
          <t xml:space="preserve">Materialer 180 + arbejdsløn 20
</t>
        </r>
      </text>
    </comment>
  </commentList>
</comments>
</file>

<file path=xl/comments4.xml><?xml version="1.0" encoding="utf-8"?>
<comments xmlns="http://schemas.openxmlformats.org/spreadsheetml/2006/main">
  <authors>
    <author>Jesper Brygger</author>
  </authors>
  <commentList>
    <comment ref="D3" authorId="0">
      <text>
        <r>
          <rPr>
            <sz val="9"/>
            <color indexed="81"/>
            <rFont val="Tahoma"/>
            <family val="2"/>
          </rPr>
          <t xml:space="preserve">Materialer 180 + arbejdsløn 20
</t>
        </r>
      </text>
    </comment>
  </commentList>
</comments>
</file>

<file path=xl/comments5.xml><?xml version="1.0" encoding="utf-8"?>
<comments xmlns="http://schemas.openxmlformats.org/spreadsheetml/2006/main">
  <authors>
    <author>Jesper Brygger</author>
  </authors>
  <commentList>
    <comment ref="D3" authorId="0">
      <text>
        <r>
          <rPr>
            <sz val="9"/>
            <color indexed="81"/>
            <rFont val="Tahoma"/>
            <family val="2"/>
          </rPr>
          <t xml:space="preserve">Materialer (180*0,95) + arbejdsløn 20 = 191
</t>
        </r>
      </text>
    </comment>
  </commentList>
</comments>
</file>

<file path=xl/comments6.xml><?xml version="1.0" encoding="utf-8"?>
<comments xmlns="http://schemas.openxmlformats.org/spreadsheetml/2006/main">
  <authors>
    <author>IT afdelingen</author>
    <author>Brygger</author>
  </authors>
  <commentList>
    <comment ref="D2" authorId="0">
      <text>
        <r>
          <rPr>
            <b/>
            <sz val="16"/>
            <color indexed="81"/>
            <rFont val="Tahoma"/>
            <family val="2"/>
          </rPr>
          <t>Der må kun tastes i de farvede celler. Indtast hovedstolen her</t>
        </r>
      </text>
    </comment>
    <comment ref="D3" authorId="0">
      <text>
        <r>
          <rPr>
            <b/>
            <sz val="14"/>
            <color indexed="81"/>
            <rFont val="Tahoma"/>
            <family val="2"/>
          </rPr>
          <t xml:space="preserve">Hvis lånet er et obligationslån er det typisk at kursen er under 100 når lånet optagets. Indtastningen kan være
f.eks. 90 eller 95.  Kursen angiver hvor mange % af hovedstolen låntager får udbetalt.
</t>
        </r>
        <r>
          <rPr>
            <sz val="14"/>
            <color indexed="81"/>
            <rFont val="Tahoma"/>
            <family val="2"/>
          </rPr>
          <t xml:space="preserve">
</t>
        </r>
      </text>
    </comment>
    <comment ref="D4" authorId="0">
      <text>
        <r>
          <rPr>
            <b/>
            <sz val="14"/>
            <color indexed="81"/>
            <rFont val="Tahoma"/>
            <family val="2"/>
          </rPr>
          <t xml:space="preserve">De fleste lån har stiftelsesomkostninger / etableringsomkostninger når lånet skal optages. For et lån på 1.000.000 kan det f.eks. være kr. 10.000.
</t>
        </r>
      </text>
    </comment>
    <comment ref="D5" authorId="0">
      <text>
        <r>
          <rPr>
            <b/>
            <sz val="14"/>
            <color indexed="81"/>
            <rFont val="Tahoma"/>
            <family val="2"/>
          </rPr>
          <t>Dette tal kaldes for nettoprovenuet og er de penge som låntager får udbetalt</t>
        </r>
        <r>
          <rPr>
            <b/>
            <sz val="8"/>
            <color indexed="81"/>
            <rFont val="Tahoma"/>
            <family val="2"/>
          </rPr>
          <t xml:space="preserve">
</t>
        </r>
      </text>
    </comment>
    <comment ref="D8" authorId="0">
      <text>
        <r>
          <rPr>
            <b/>
            <sz val="14"/>
            <color indexed="81"/>
            <rFont val="Tahoma"/>
            <family val="2"/>
          </rPr>
          <t>Hvis lånet har årlige ydelser tastes 1
Hvis der er halv årlige ydelser tastes 2 
Hvis der er kvartårlige ydelser tastes 4
Hvis der er måndelige ydelser tastes 12</t>
        </r>
        <r>
          <rPr>
            <sz val="14"/>
            <color indexed="81"/>
            <rFont val="Tahoma"/>
            <family val="2"/>
          </rPr>
          <t xml:space="preserve">
</t>
        </r>
      </text>
    </comment>
    <comment ref="D9" authorId="0">
      <text>
        <r>
          <rPr>
            <sz val="14"/>
            <color indexed="81"/>
            <rFont val="Tahoma"/>
            <family val="2"/>
          </rPr>
          <t>Hvis lånet er 10 årigt med halvårlige terminer udregner excel selv at der skal stå 10*2= 20 i dette felt (20 terminer á et ½ år)</t>
        </r>
      </text>
    </comment>
    <comment ref="D10" authorId="0">
      <text>
        <r>
          <rPr>
            <sz val="14"/>
            <color indexed="81"/>
            <rFont val="Tahoma"/>
            <family val="2"/>
          </rPr>
          <t xml:space="preserve">Nominel rente pr. termin er, nominel rente pr. år divideret med terminer pr år. 
F.eks hvis renten er 10% med 2 terminer pr. år 
er det 5% (10%/2) pr. halvår.
Excel udregner selv de 5%.
</t>
        </r>
      </text>
    </comment>
    <comment ref="D12" authorId="0">
      <text>
        <r>
          <rPr>
            <b/>
            <sz val="14"/>
            <color indexed="81"/>
            <rFont val="Tahoma"/>
            <family val="2"/>
          </rPr>
          <t xml:space="preserve">Normalt er der ikke noget gebyr i opgaverne,
derfor skal der normalt stå 0
</t>
        </r>
      </text>
    </comment>
    <comment ref="D16" authorId="0">
      <text>
        <r>
          <rPr>
            <b/>
            <sz val="14"/>
            <color indexed="81"/>
            <rFont val="Tahoma"/>
            <family val="2"/>
          </rPr>
          <t>Husk den effektive rente er den rigtige rente som låntager betaler for lånet. 
Ved forbruger køb skal den effektive rente oplyses. Den benævnes som ÅOP (Årlige Omkostninger i Procent).</t>
        </r>
      </text>
    </comment>
    <comment ref="A381" authorId="1">
      <text>
        <r>
          <rPr>
            <b/>
            <sz val="8"/>
            <color indexed="81"/>
            <rFont val="Tahoma"/>
            <family val="2"/>
          </rPr>
          <t>Marker de 2 rækker 59 og 380,
højre klik på musen,
vælg vis. 
Lånet får dermed 360 terminer. 
(30 år af 12 terminer)</t>
        </r>
      </text>
    </comment>
  </commentList>
</comments>
</file>

<file path=xl/comments7.xml><?xml version="1.0" encoding="utf-8"?>
<comments xmlns="http://schemas.openxmlformats.org/spreadsheetml/2006/main">
  <authors>
    <author>Jesper Brygger</author>
    <author>IT afdelingen</author>
    <author>Brygger</author>
  </authors>
  <commentList>
    <comment ref="D2" authorId="0">
      <text>
        <r>
          <rPr>
            <b/>
            <sz val="14"/>
            <color indexed="81"/>
            <rFont val="Tahoma"/>
            <family val="2"/>
          </rPr>
          <t>Indtast den nominelle størrelsen på lånet. Det beløb som står i lånedokumentet, ikke beløbet som man får udbetalt. Hvis der ikke er opgivet et beløb i opgaven skrives blot 1 kr.</t>
        </r>
        <r>
          <rPr>
            <sz val="8"/>
            <color indexed="81"/>
            <rFont val="Tahoma"/>
            <family val="2"/>
          </rPr>
          <t xml:space="preserve">
</t>
        </r>
      </text>
    </comment>
    <comment ref="D4" authorId="0">
      <text>
        <r>
          <rPr>
            <b/>
            <sz val="14"/>
            <color indexed="81"/>
            <rFont val="Tahoma"/>
            <family val="2"/>
          </rPr>
          <t>Kursen som lånet udbetales til i tid 0.
Indtastes f.eks. som: 98 eller 95 osv.
Nogle lån udbetales til kurs 100, f.eks. Banklån, men så er der normalt låneomkostninger ved optagelsen af lånet.</t>
        </r>
      </text>
    </comment>
    <comment ref="D5" authorId="0">
      <text>
        <r>
          <rPr>
            <b/>
            <sz val="14"/>
            <color indexed="81"/>
            <rFont val="Tahoma"/>
            <family val="2"/>
          </rPr>
          <t>Der skal ikke tastes minus foran tallet.</t>
        </r>
        <r>
          <rPr>
            <sz val="14"/>
            <color indexed="81"/>
            <rFont val="Tahoma"/>
            <family val="2"/>
          </rPr>
          <t xml:space="preserve">
</t>
        </r>
      </text>
    </comment>
    <comment ref="D7" authorId="1">
      <text>
        <r>
          <rPr>
            <b/>
            <sz val="14"/>
            <color indexed="81"/>
            <rFont val="Tahoma"/>
            <family val="2"/>
          </rPr>
          <t xml:space="preserve">Renten på lånet er normalt opgivet som en % pr. år
</t>
        </r>
      </text>
    </comment>
    <comment ref="D8" authorId="1">
      <text>
        <r>
          <rPr>
            <b/>
            <sz val="14"/>
            <color indexed="81"/>
            <rFont val="Tahoma"/>
            <family val="2"/>
          </rPr>
          <t>Indtast antal år</t>
        </r>
      </text>
    </comment>
    <comment ref="D9" authorId="1">
      <text>
        <r>
          <rPr>
            <b/>
            <sz val="14"/>
            <color indexed="81"/>
            <rFont val="Tahoma"/>
            <family val="2"/>
          </rPr>
          <t xml:space="preserve">Hvis lånet har årlige ydelser tastes 1
Hvis der er halv årlige ydelser tastes 2 
Hvis der er kvartårlige ydelser tastes 4
Hvis der er måndelige ydelser tastes 12
</t>
        </r>
      </text>
    </comment>
    <comment ref="D10" authorId="0">
      <text>
        <r>
          <rPr>
            <b/>
            <sz val="14"/>
            <color indexed="81"/>
            <rFont val="Tahoma"/>
            <family val="2"/>
          </rPr>
          <t xml:space="preserve">N på lommeregneren
Antal gange som der 
betales ydelse 
(rente og afdrag)
Amortisationstabellen kan max. indeholde 360 terminer 
(30 årigt lån med 12 terminer)
</t>
        </r>
        <r>
          <rPr>
            <sz val="8"/>
            <color indexed="81"/>
            <rFont val="Tahoma"/>
            <family val="2"/>
          </rPr>
          <t xml:space="preserve">
</t>
        </r>
      </text>
    </comment>
    <comment ref="D11" authorId="1">
      <text>
        <r>
          <rPr>
            <b/>
            <sz val="14"/>
            <color indexed="81"/>
            <rFont val="Tahoma"/>
            <family val="2"/>
          </rPr>
          <t>Nominel rente pr. termin er, nominel rente pr. år divideret med terminer pr år. 
F.eks hvis renten er 10% med 2 terminer pr. år 
er det 5% (10%/2) pr. halvår.
Excel udregner selv de 5%.</t>
        </r>
      </text>
    </comment>
    <comment ref="A381" authorId="2">
      <text>
        <r>
          <rPr>
            <b/>
            <sz val="8"/>
            <color indexed="81"/>
            <rFont val="Tahoma"/>
            <family val="2"/>
          </rPr>
          <t>Marker de 2 rækker 60 og 380,
højre klik på musen,
vælg vis. 
Lånet får dermed 360 terminer. 
(30 år af 12 terminer)</t>
        </r>
        <r>
          <rPr>
            <sz val="8"/>
            <color indexed="81"/>
            <rFont val="Tahoma"/>
            <family val="2"/>
          </rPr>
          <t xml:space="preserve">
</t>
        </r>
      </text>
    </comment>
  </commentList>
</comments>
</file>

<file path=xl/comments8.xml><?xml version="1.0" encoding="utf-8"?>
<comments xmlns="http://schemas.openxmlformats.org/spreadsheetml/2006/main">
  <authors>
    <author>Brygger</author>
  </authors>
  <commentList>
    <comment ref="A380" authorId="0">
      <text>
        <r>
          <rPr>
            <b/>
            <sz val="8"/>
            <color indexed="81"/>
            <rFont val="Tahoma"/>
            <family val="2"/>
          </rPr>
          <t>Marker de 2 rækker 59 og 380,
højre klik på musen,
vælg vis. 
Lånet får dermed 360 terminer. 
(30 år af 12 terminer)</t>
        </r>
      </text>
    </comment>
  </commentList>
</comments>
</file>

<file path=xl/comments9.xml><?xml version="1.0" encoding="utf-8"?>
<comments xmlns="http://schemas.openxmlformats.org/spreadsheetml/2006/main">
  <authors>
    <author>Roskilde Handelsskole</author>
  </authors>
  <commentList>
    <comment ref="A3" authorId="0">
      <text>
        <r>
          <rPr>
            <b/>
            <sz val="8"/>
            <color indexed="81"/>
            <rFont val="Tahoma"/>
            <family val="2"/>
          </rPr>
          <t>Det lån med den laveste rente bør vælges</t>
        </r>
      </text>
    </comment>
    <comment ref="A4" authorId="0">
      <text>
        <r>
          <rPr>
            <b/>
            <sz val="8"/>
            <color indexed="81"/>
            <rFont val="Tahoma"/>
            <family val="2"/>
          </rPr>
          <t>en vurdering af om nettoprovenuet dækker låne behovet.</t>
        </r>
      </text>
    </comment>
    <comment ref="A5" authorId="0">
      <text>
        <r>
          <rPr>
            <sz val="8"/>
            <color indexed="81"/>
            <rFont val="Tahoma"/>
            <family val="2"/>
          </rPr>
          <t xml:space="preserve">Lån med den laveste betaling pr. Termin bør vælges
</t>
        </r>
      </text>
    </comment>
    <comment ref="A6" authorId="0">
      <text>
        <r>
          <rPr>
            <b/>
            <sz val="8"/>
            <color indexed="81"/>
            <rFont val="Tahoma"/>
            <family val="2"/>
          </rPr>
          <t>så lang løbetid som muligt</t>
        </r>
      </text>
    </comment>
    <comment ref="A7" authorId="0">
      <text>
        <r>
          <rPr>
            <sz val="8"/>
            <color indexed="81"/>
            <rFont val="Tahoma"/>
            <family val="2"/>
          </rPr>
          <t xml:space="preserve">Man skal aldrig samle alle virksomhedens lån hos en finansieringskilde, f.eks. Banken, så får de for stor magt / indflydelse
</t>
        </r>
      </text>
    </comment>
    <comment ref="A8" authorId="0">
      <text>
        <r>
          <rPr>
            <b/>
            <sz val="8"/>
            <color indexed="81"/>
            <rFont val="Tahoma"/>
            <family val="2"/>
          </rPr>
          <t>Hvis man har indtægter i $ er det en fordel at tage et lån i $, så valutarisikoen er afdækket</t>
        </r>
      </text>
    </comment>
    <comment ref="A9" authorId="0">
      <text>
        <r>
          <rPr>
            <b/>
            <sz val="8"/>
            <color indexed="81"/>
            <rFont val="Tahoma"/>
            <family val="2"/>
          </rPr>
          <t>Vælg altid et lån med fast rente fremfor variabel rente</t>
        </r>
      </text>
    </comment>
    <comment ref="A10" authorId="0">
      <text>
        <r>
          <rPr>
            <sz val="8"/>
            <color indexed="81"/>
            <rFont val="Tahoma"/>
            <family val="2"/>
          </rPr>
          <t xml:space="preserve">Kan lånet indfries, eller er det inkonvertibelt. Er det et obligationslån med en kurs, så vi kan opnå en kursgevinst 7, et kurstab.
</t>
        </r>
      </text>
    </comment>
    <comment ref="A11" authorId="0">
      <text>
        <r>
          <rPr>
            <b/>
            <sz val="8"/>
            <color indexed="81"/>
            <rFont val="Tahoma"/>
            <family val="2"/>
          </rPr>
          <t>Banklån, obligationslån</t>
        </r>
        <r>
          <rPr>
            <sz val="8"/>
            <color indexed="81"/>
            <rFont val="Tahoma"/>
            <family val="2"/>
          </rPr>
          <t xml:space="preserve">
</t>
        </r>
      </text>
    </comment>
  </commentList>
</comments>
</file>

<file path=xl/sharedStrings.xml><?xml version="1.0" encoding="utf-8"?>
<sst xmlns="http://schemas.openxmlformats.org/spreadsheetml/2006/main" count="650" uniqueCount="302">
  <si>
    <t>Salg/omsætning</t>
  </si>
  <si>
    <t>-vo</t>
  </si>
  <si>
    <t>DB</t>
  </si>
  <si>
    <t>-reklame</t>
  </si>
  <si>
    <t>Markedsføringsbidrag</t>
  </si>
  <si>
    <t>-kapacitetsomkostninger</t>
  </si>
  <si>
    <t>Indtjeningsbidrag (år 1 -5)</t>
  </si>
  <si>
    <t>Scrapværdi i år 6</t>
  </si>
  <si>
    <t>Indbetaling i år 6</t>
  </si>
  <si>
    <t>år</t>
  </si>
  <si>
    <t>rente</t>
  </si>
  <si>
    <t>Tid / År</t>
  </si>
  <si>
    <t>Indbetalinger</t>
  </si>
  <si>
    <t>Udbetalinger</t>
  </si>
  <si>
    <t>Net Cash-Flow</t>
  </si>
  <si>
    <r>
      <t>Diskonteringsfaktoren Rentetabel 2  (1+r)</t>
    </r>
    <r>
      <rPr>
        <b/>
        <vertAlign val="superscript"/>
        <sz val="12"/>
        <rFont val="Arial"/>
        <family val="2"/>
      </rPr>
      <t>-n</t>
    </r>
  </si>
  <si>
    <r>
      <t xml:space="preserve">Nutidsværdi </t>
    </r>
    <r>
      <rPr>
        <b/>
        <vertAlign val="superscript"/>
        <sz val="12"/>
        <rFont val="Arial"/>
        <family val="2"/>
      </rPr>
      <t xml:space="preserve"> Diskonteringsfaktoren * Net cash-flow</t>
    </r>
  </si>
  <si>
    <r>
      <t>Diskonteringsfaktoren   (1+r)</t>
    </r>
    <r>
      <rPr>
        <b/>
        <vertAlign val="superscript"/>
        <sz val="12"/>
        <rFont val="Arial"/>
        <family val="2"/>
      </rPr>
      <t xml:space="preserve">-n </t>
    </r>
    <r>
      <rPr>
        <b/>
        <sz val="12"/>
        <rFont val="Arial"/>
        <family val="2"/>
      </rPr>
      <t>ved IRR</t>
    </r>
  </si>
  <si>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</si>
  <si>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t>NPV, nutidsværdimetoden, kapitalværdienmetoden</t>
  </si>
  <si>
    <t>Annuitetsmetoden (Det årlige resultat)/PMT</t>
  </si>
  <si>
    <t>Den interne rente (IRR)</t>
  </si>
  <si>
    <t>Tilbagebetalingstiden i år (pay -back)</t>
  </si>
  <si>
    <t>nutidsværdi</t>
  </si>
  <si>
    <t>omregnet til en annuitet</t>
  </si>
  <si>
    <t>Kommentarer:</t>
  </si>
  <si>
    <t>I opgave 2.1 har vi et underskud pr. år på 85.158, dette skal minimum indtjenes. Da vi har et DB pr. stk. kr. 180 skal vi sælge (85158/180) stk. 473,1031278  før at investeringen er rentabel. Dette har jeg forsøgt at bevise ved at indtaste i ovenstående beregning.</t>
  </si>
  <si>
    <t>Opgave 2.1</t>
  </si>
  <si>
    <t>Opgave 2.2</t>
  </si>
  <si>
    <t>Opgave 2.3</t>
  </si>
  <si>
    <t>Det vil være mest lønsomt at anskaffe den X-10, den har en "lidt" lavere negativ kapitalværdi og en lidt højere intern rente. Så vi vælger den nye maskine X-10 fremfor Z-81.</t>
  </si>
  <si>
    <t>Lånets størrelse, Hovedstol</t>
  </si>
  <si>
    <t>Kurs</t>
  </si>
  <si>
    <t>Evt. omk.ved låneoptagelse</t>
  </si>
  <si>
    <t>Til udbetaling / nettoprovenuet</t>
  </si>
  <si>
    <t>Nominel rente pr. år</t>
  </si>
  <si>
    <t>Antal år</t>
  </si>
  <si>
    <t>Terminer pr. år</t>
  </si>
  <si>
    <t>Antal terminer i alt</t>
  </si>
  <si>
    <t>Nominel rente pr. termin</t>
  </si>
  <si>
    <t>Ydelse (rente og afdrag)</t>
  </si>
  <si>
    <t>(Beregning: se note til annuitetslån)</t>
  </si>
  <si>
    <t>Gebyr pr. termin</t>
  </si>
  <si>
    <t xml:space="preserve">Årlig effektiv rente </t>
  </si>
  <si>
    <t>Termin</t>
  </si>
  <si>
    <t>Restgæld primo</t>
  </si>
  <si>
    <t>Ydelse incl. gebyr</t>
  </si>
  <si>
    <t xml:space="preserve">Ydelse </t>
  </si>
  <si>
    <t>Rente</t>
  </si>
  <si>
    <t>Afdrag</t>
  </si>
  <si>
    <t>Restgæld ultimo</t>
  </si>
  <si>
    <t>Total</t>
  </si>
  <si>
    <r>
      <t xml:space="preserve">Note til beregningen af den effektive rente på annuitetslån: </t>
    </r>
    <r>
      <rPr>
        <sz val="12"/>
        <rFont val="Arial"/>
        <family val="2"/>
      </rPr>
      <t xml:space="preserve">                                           Den effektive rente på et annuitetslån beregnes ved at bruge nedenstående formel. Først findes ydelsen (b). </t>
    </r>
  </si>
  <si>
    <t>Derefter ændres hovedstolen til nettoprovenuet som sættes lig med annuitets-diskonteringsfaktoren (rentetabel 4) ganget med betalingen/ydelsen pr termin (b). Renten (r) er den ubekendte som skal findes.</t>
  </si>
  <si>
    <t>Først beregnes ydelsen (b) udfra hovedstolen:</t>
  </si>
  <si>
    <t xml:space="preserve">Hovedstolen </t>
  </si>
  <si>
    <t>=</t>
  </si>
  <si>
    <t>1-(1+ r)</t>
  </si>
  <si>
    <t>-n</t>
  </si>
  <si>
    <t>*</t>
  </si>
  <si>
    <t>b</t>
  </si>
  <si>
    <t>r</t>
  </si>
  <si>
    <t>Hovedstolen ændres til nettoprovenuet og renten beregnes:</t>
  </si>
  <si>
    <t>Nettoprovenuet</t>
  </si>
  <si>
    <t>Ved at indsætte tallene får man:</t>
  </si>
  <si>
    <t>Isolering af diskonteringsfaktoren:</t>
  </si>
  <si>
    <t>Ved at prøve sig frem kan r findes til:</t>
  </si>
  <si>
    <t>Eller udtrykt i procent:</t>
  </si>
  <si>
    <t xml:space="preserve">Lånets størrelse, Hovedstol </t>
  </si>
  <si>
    <t>FV</t>
  </si>
  <si>
    <t>Evt. omk ved låneoptagelse</t>
  </si>
  <si>
    <t>Antal terminer ialt</t>
  </si>
  <si>
    <t>(Beregning: se note til serielån)</t>
  </si>
  <si>
    <t>Effektiv rente pr år</t>
  </si>
  <si>
    <t>Ydelse incl. Gebyr</t>
  </si>
  <si>
    <t>Ydelse</t>
  </si>
  <si>
    <t>Note til beregningen af den effektive rente på serielån:</t>
  </si>
  <si>
    <t>Restgæld</t>
  </si>
  <si>
    <t>Gebyr</t>
  </si>
  <si>
    <t>(1+r)</t>
  </si>
  <si>
    <t>Eller udtrykt i %:</t>
  </si>
  <si>
    <t>Nominel rente pr. pr. termin</t>
  </si>
  <si>
    <t>(Beregning: se note til stående lån)</t>
  </si>
  <si>
    <t>Ydelse incl gebyr</t>
  </si>
  <si>
    <t>total</t>
  </si>
  <si>
    <r>
      <t>Note til beregning af den effektive rente på såtende lån:</t>
    </r>
    <r>
      <rPr>
        <sz val="12"/>
        <rFont val="Arial"/>
        <family val="2"/>
      </rPr>
      <t xml:space="preserve">                                                                                                                    Den effektive rente på et stående lån beregnes ved at bruge nedenstående formel. Formlen er en kombination af annuitets-diskonteringsfaktoren og den almindelige diskonteringsfaktor. </t>
    </r>
  </si>
  <si>
    <t>Renten (r) er den ubekendte, b er ydelsen, da ydelsen på et stående lån kun består af rente er b lig med rentebetalingen pr. termin. Afbetalingsbeløbet er afdraget ved lånets udløb.</t>
  </si>
  <si>
    <t>Først beregnes ydelsen udfra hovedstolen:</t>
  </si>
  <si>
    <t>Ydelsen (b)</t>
  </si>
  <si>
    <t>Hovedstolen * renteprocenten pr termin</t>
  </si>
  <si>
    <t xml:space="preserve">Ydelsen, nettoprovenuet og afbetalingsbeløbet indsættes i nedenstående ligning for at finde renten (r): </t>
  </si>
  <si>
    <t>+</t>
  </si>
  <si>
    <t>(</t>
  </si>
  <si>
    <t>Afbetalingsbeløbet</t>
  </si>
  <si>
    <t>)</t>
  </si>
  <si>
    <t>Sammenligning af finansieringskilder</t>
  </si>
  <si>
    <t>Kriterier</t>
  </si>
  <si>
    <t>Annuitetslån</t>
  </si>
  <si>
    <t>Serielån</t>
  </si>
  <si>
    <t>Stående lån</t>
  </si>
  <si>
    <t>Kassekredit</t>
  </si>
  <si>
    <t>Effektive rente</t>
  </si>
  <si>
    <t>nettoprovenu</t>
  </si>
  <si>
    <t>Betaling første år</t>
  </si>
  <si>
    <t>?</t>
  </si>
  <si>
    <t>Løbetid år</t>
  </si>
  <si>
    <t>Finanseringskilde / magt</t>
  </si>
  <si>
    <t>Bank</t>
  </si>
  <si>
    <t>Valuta</t>
  </si>
  <si>
    <t>DDK</t>
  </si>
  <si>
    <t>Fast / variabel rente</t>
  </si>
  <si>
    <t>Variabel</t>
  </si>
  <si>
    <t>Konvertibelt / inkonvertibelt</t>
  </si>
  <si>
    <t xml:space="preserve">Konvertibel </t>
  </si>
  <si>
    <t>Lånetype</t>
  </si>
  <si>
    <t>3.3</t>
  </si>
  <si>
    <t>Kommentarer til valg af lån: Det stående lån vinder på den laveste effektive rente og den bedste likviditet. Alle lån er med en løbetid på 6 år, så valget er let 3,3% i rente på det stående lån er det billigeste og bedste valg.</t>
  </si>
  <si>
    <t>3.4</t>
  </si>
  <si>
    <t>3 andre faktorer: Kan lånet indfries?. Hvilken valuta er lånet i? Er renten fast eller variabel?, Hvem låner vi pengene af? Etiske regler?</t>
  </si>
  <si>
    <t>3.1 Beregning af effektiv rente på annuitetslån:</t>
  </si>
  <si>
    <t>3.1 Beregning af effektiv rente på serielån:</t>
  </si>
  <si>
    <t>3.1 Beregning af effektiv rente på stående lån:</t>
  </si>
  <si>
    <t>Opgave 3.2 Annuitetslånet</t>
  </si>
  <si>
    <t>NPV, kapitalværdien</t>
  </si>
  <si>
    <t>Opgave 3.2 stående lån</t>
  </si>
  <si>
    <t>Opgave 3.2 serielån</t>
  </si>
  <si>
    <t>Opgave 4.1</t>
  </si>
  <si>
    <t>Ændring pris</t>
  </si>
  <si>
    <t>Ændring mængde</t>
  </si>
  <si>
    <t>Omsætning</t>
  </si>
  <si>
    <t>Vareforbrug</t>
  </si>
  <si>
    <t>Bruttofortjeneste</t>
  </si>
  <si>
    <t>Salgsprovision</t>
  </si>
  <si>
    <t>Dækningsbidrag</t>
  </si>
  <si>
    <t>Salgsfremmende omk.</t>
  </si>
  <si>
    <t>Kontantekapacitets omk.</t>
  </si>
  <si>
    <t>Lokale omk.</t>
  </si>
  <si>
    <t>Gager</t>
  </si>
  <si>
    <t>Øvrige omk.</t>
  </si>
  <si>
    <t>Indtjeningsbidrag</t>
  </si>
  <si>
    <t>Afskrivninger</t>
  </si>
  <si>
    <t>Resultat før renter</t>
  </si>
  <si>
    <t>Renteomkostninger</t>
  </si>
  <si>
    <t>Renteindtægter</t>
  </si>
  <si>
    <t>Resultat før eks. omk.</t>
  </si>
  <si>
    <t>Ekstraordinære omk.</t>
  </si>
  <si>
    <t>Resultat før skat</t>
  </si>
  <si>
    <t>Skat</t>
  </si>
  <si>
    <t>Resultat</t>
  </si>
  <si>
    <t>Resultat fordeling</t>
  </si>
  <si>
    <t>Udbytte</t>
  </si>
  <si>
    <t>Reserver</t>
  </si>
  <si>
    <t>Ændring</t>
  </si>
  <si>
    <t>Kassekredit max.</t>
  </si>
  <si>
    <t xml:space="preserve">Beregningerne er foretaget </t>
  </si>
  <si>
    <t>Aktie emmision</t>
  </si>
  <si>
    <t>Opgave 4.3</t>
  </si>
  <si>
    <t>Budgetteret Balance</t>
  </si>
  <si>
    <t>Aktiver:</t>
  </si>
  <si>
    <t>Passiver:</t>
  </si>
  <si>
    <t>Anlægsaktiver:</t>
  </si>
  <si>
    <t>køb</t>
  </si>
  <si>
    <t>Afskrivning</t>
  </si>
  <si>
    <t>Egenkapital:</t>
  </si>
  <si>
    <t>Anlægsaktiver</t>
  </si>
  <si>
    <t>Grunde &amp; bygninger</t>
  </si>
  <si>
    <t>Inventar</t>
  </si>
  <si>
    <t>Maskiner</t>
  </si>
  <si>
    <t>Egenkapital ultimo</t>
  </si>
  <si>
    <t>Hensættelser</t>
  </si>
  <si>
    <t>Langfristet gæld:</t>
  </si>
  <si>
    <t>Nyt lån til investeringer</t>
  </si>
  <si>
    <t>Finanslån</t>
  </si>
  <si>
    <t>Realkreditinstitutter</t>
  </si>
  <si>
    <t>Anlægsaktiver i alt</t>
  </si>
  <si>
    <t>Langfristet gæld i alt</t>
  </si>
  <si>
    <t xml:space="preserve">Omsætningsaktiver: </t>
  </si>
  <si>
    <t>Kortfristet gæld:</t>
  </si>
  <si>
    <t>Varekreditorer</t>
  </si>
  <si>
    <t>Forudbetalinger</t>
  </si>
  <si>
    <t>Varedebitorer</t>
  </si>
  <si>
    <t>Rest skat</t>
  </si>
  <si>
    <t>Periodeafg.</t>
  </si>
  <si>
    <t>-</t>
  </si>
  <si>
    <t>Øvrig kort gæld</t>
  </si>
  <si>
    <t>Likvide midler</t>
  </si>
  <si>
    <t xml:space="preserve">Omsætningsaktiver i alt </t>
  </si>
  <si>
    <t>Kortfristet gæld i alt</t>
  </si>
  <si>
    <t>Aktiver i alt</t>
  </si>
  <si>
    <t>Passiver i alt</t>
  </si>
  <si>
    <t>Omsætningshastigheder:</t>
  </si>
  <si>
    <t>Formel:</t>
  </si>
  <si>
    <t>*Varekøb  =</t>
  </si>
  <si>
    <t>(oplyst i punkt 2)</t>
  </si>
  <si>
    <t>4.4</t>
  </si>
  <si>
    <t>AG</t>
  </si>
  <si>
    <t>DG</t>
  </si>
  <si>
    <t>EKF</t>
  </si>
  <si>
    <t>Opgave 4.2</t>
  </si>
  <si>
    <t xml:space="preserve">Likviditetsbudget </t>
  </si>
  <si>
    <t>Ændringer i omsætningsaktiver:</t>
  </si>
  <si>
    <t>Primo</t>
  </si>
  <si>
    <t>Ultimo</t>
  </si>
  <si>
    <t>Ændringer i kortfristet gæld:</t>
  </si>
  <si>
    <t>Driftens likviditetsvirkning</t>
  </si>
  <si>
    <t>Anlægsinvesteringer:</t>
  </si>
  <si>
    <t>Køb af anlægsaktiver</t>
  </si>
  <si>
    <t>Finansielle indbetalinger:</t>
  </si>
  <si>
    <t>Finansielle udbetalinger:</t>
  </si>
  <si>
    <t>Periodens Likviditetsforskydning</t>
  </si>
  <si>
    <t>Likvide beholdninger Primo:</t>
  </si>
  <si>
    <t>Træk på kassekredit</t>
  </si>
  <si>
    <t>likvide beholdninger</t>
  </si>
  <si>
    <t>Likvide beholdninger Ultimo</t>
  </si>
  <si>
    <t>BA</t>
  </si>
  <si>
    <t>Prisoptimering</t>
  </si>
  <si>
    <t>Ligninger for Indtægterne:</t>
  </si>
  <si>
    <t>Ligninger for omkostningerne:</t>
  </si>
  <si>
    <t>Afsætning</t>
  </si>
  <si>
    <t>P</t>
  </si>
  <si>
    <t>X</t>
  </si>
  <si>
    <t>FO</t>
  </si>
  <si>
    <t>VO</t>
  </si>
  <si>
    <t>TO</t>
  </si>
  <si>
    <t>MR</t>
  </si>
  <si>
    <r>
      <t>MC</t>
    </r>
    <r>
      <rPr>
        <b/>
        <vertAlign val="subscript"/>
        <sz val="10"/>
        <rFont val="Arial"/>
        <family val="2"/>
      </rPr>
      <t>(1)</t>
    </r>
  </si>
  <si>
    <t xml:space="preserve">indtil </t>
  </si>
  <si>
    <r>
      <t>VO</t>
    </r>
    <r>
      <rPr>
        <b/>
        <vertAlign val="subscript"/>
        <sz val="10"/>
        <rFont val="Arial"/>
        <family val="2"/>
      </rPr>
      <t>(2)</t>
    </r>
  </si>
  <si>
    <r>
      <t>MC</t>
    </r>
    <r>
      <rPr>
        <b/>
        <vertAlign val="subscript"/>
        <sz val="10"/>
        <rFont val="Arial"/>
        <family val="2"/>
      </rPr>
      <t>(2)</t>
    </r>
  </si>
  <si>
    <r>
      <t>VO</t>
    </r>
    <r>
      <rPr>
        <b/>
        <vertAlign val="subscript"/>
        <sz val="10"/>
        <rFont val="Arial"/>
        <family val="2"/>
      </rPr>
      <t>(3)</t>
    </r>
  </si>
  <si>
    <r>
      <t>MC</t>
    </r>
    <r>
      <rPr>
        <b/>
        <vertAlign val="subscript"/>
        <sz val="10"/>
        <rFont val="Arial"/>
        <family val="2"/>
      </rPr>
      <t>(3)</t>
    </r>
  </si>
  <si>
    <t>Max.kapacitet</t>
  </si>
  <si>
    <t>Løsning</t>
  </si>
  <si>
    <t>Udregning af løsninger:</t>
  </si>
  <si>
    <t>Mængde beregnet</t>
  </si>
  <si>
    <t>Mængde max. MC</t>
  </si>
  <si>
    <t>Mængde min. MC</t>
  </si>
  <si>
    <t>Samlet mængde max.</t>
  </si>
  <si>
    <t>Optimal mængde</t>
  </si>
  <si>
    <t>Pris</t>
  </si>
  <si>
    <t>omsætning</t>
  </si>
  <si>
    <t>vo(1)</t>
  </si>
  <si>
    <t>Vo(2)</t>
  </si>
  <si>
    <t>Vo(3)</t>
  </si>
  <si>
    <t>Max DB</t>
  </si>
  <si>
    <t>Faste</t>
  </si>
  <si>
    <t>Overskud</t>
  </si>
  <si>
    <t>For at finde det optimale/maksimale Dækningsbidrag skal vi sætte MR lig med MC, derved finder vi den optimale mængde:</t>
  </si>
  <si>
    <t>indsættes i afsætningsfunktionen og man får prisen til:</t>
  </si>
  <si>
    <t>Resultatopgørelse</t>
  </si>
  <si>
    <t>-VO</t>
  </si>
  <si>
    <t>Priselasticitet i optimum:</t>
  </si>
  <si>
    <t>Formel (nedre p-akse / øvre p-akse)*-1</t>
  </si>
  <si>
    <t>/</t>
  </si>
  <si>
    <t>Tabel løsning prisoptimering</t>
  </si>
  <si>
    <t>Mængde</t>
  </si>
  <si>
    <t xml:space="preserve">VO </t>
  </si>
  <si>
    <t>Faste omk.</t>
  </si>
  <si>
    <t>MC</t>
  </si>
  <si>
    <t>(MR-MC)</t>
  </si>
  <si>
    <t>Dk</t>
  </si>
  <si>
    <t>Spanien</t>
  </si>
  <si>
    <t>-VO1</t>
  </si>
  <si>
    <t>-VO2</t>
  </si>
  <si>
    <t>-fragt</t>
  </si>
  <si>
    <t>Produktionskapacitet</t>
  </si>
  <si>
    <t>timer</t>
  </si>
  <si>
    <t>Ekstra timer</t>
  </si>
  <si>
    <t>tillæg for overarbejde</t>
  </si>
  <si>
    <t>kr.</t>
  </si>
  <si>
    <t>Produkt</t>
  </si>
  <si>
    <t>HA</t>
  </si>
  <si>
    <t>AK</t>
  </si>
  <si>
    <t>Variable enhedsomk.</t>
  </si>
  <si>
    <t>Reklame</t>
  </si>
  <si>
    <t>Produktionstid</t>
  </si>
  <si>
    <t>min.</t>
  </si>
  <si>
    <t>produkt</t>
  </si>
  <si>
    <t xml:space="preserve">Pris </t>
  </si>
  <si>
    <t>VE</t>
  </si>
  <si>
    <t>VO
(afsæt*VE)</t>
  </si>
  <si>
    <t>DB / MFB</t>
  </si>
  <si>
    <t>Differensbidrag pr. time</t>
  </si>
  <si>
    <t>max. Kapacitet</t>
  </si>
  <si>
    <t>Afsætningstabel:</t>
  </si>
  <si>
    <t>Prioritering</t>
  </si>
  <si>
    <t>Navn</t>
  </si>
  <si>
    <t>Dif.bidrag</t>
  </si>
  <si>
    <t>Ekstra timeforbrug</t>
  </si>
  <si>
    <t>Akk. Time forbrug</t>
  </si>
  <si>
    <t>JA / NEJ uden overarbejde</t>
  </si>
  <si>
    <t>JA / NEJ til overarbejde</t>
  </si>
  <si>
    <t xml:space="preserve">JA / NEJ til overarbejde </t>
  </si>
  <si>
    <t>Ja til produktion</t>
  </si>
  <si>
    <t>Afsætningsplan:</t>
  </si>
  <si>
    <t>HA 3</t>
  </si>
  <si>
    <t>AK 3</t>
  </si>
  <si>
    <t>Overtid</t>
  </si>
  <si>
    <t>DB efter ovetid</t>
  </si>
  <si>
    <t>HA eng</t>
  </si>
  <si>
    <t>HA eng 1</t>
  </si>
  <si>
    <t>AK 2</t>
  </si>
</sst>
</file>

<file path=xl/styles.xml><?xml version="1.0" encoding="utf-8"?>
<styleSheet xmlns="http://schemas.openxmlformats.org/spreadsheetml/2006/main">
  <numFmts count="13">
    <numFmt numFmtId="41" formatCode="_ * #,##0_ ;_ * \-#,##0_ ;_ * &quot;-&quot;_ ;_ @_ "/>
    <numFmt numFmtId="43" formatCode="_ * #,##0.00_ ;_ * \-#,##0.00_ ;_ * &quot;-&quot;??_ ;_ @_ "/>
    <numFmt numFmtId="164" formatCode="_(* #,##0.00_);_(* \(#,##0.00\);_(* &quot;-&quot;??_);_(@_)"/>
    <numFmt numFmtId="165" formatCode="_(* #,##0_);_(* \(#,##0\);_(* &quot;-&quot;??_);_(@_)"/>
    <numFmt numFmtId="166" formatCode="#,##0.00000"/>
    <numFmt numFmtId="167" formatCode="&quot;kr&quot;\ #,##0.00_);[Red]\(&quot;kr&quot;\ #,##0.00\)"/>
    <numFmt numFmtId="168" formatCode="_(* #,##0.000_);_(* \(#,##0.000\);_(* &quot;-&quot;??_);_(@_)"/>
    <numFmt numFmtId="169" formatCode="_(* #,##0_);_(* \(#,##0\);_(* &quot;-&quot;???_);_(@_)"/>
    <numFmt numFmtId="170" formatCode="0.0%"/>
    <numFmt numFmtId="171" formatCode="0.0000"/>
    <numFmt numFmtId="172" formatCode="_(* #,##0.0000_);_(* \(#,##0.0000\);_(* &quot;-&quot;??_);_(@_)"/>
    <numFmt numFmtId="173" formatCode="0.00000%"/>
    <numFmt numFmtId="174" formatCode="_ * #,##0_ ;_ * \-#,##0_ ;_ * &quot;-&quot;??_ ;_ @_ "/>
  </numFmts>
  <fonts count="56">
    <font>
      <sz val="10"/>
      <name val="Arial"/>
      <family val="2"/>
    </font>
    <font>
      <sz val="11"/>
      <color theme="1"/>
      <name val="Calibri"/>
      <family val="2"/>
      <scheme val="minor"/>
    </font>
    <font>
      <sz val="10"/>
      <name val="Arial"/>
      <family val="2"/>
    </font>
    <font>
      <b/>
      <sz val="14"/>
      <name val="Arial"/>
      <family val="2"/>
    </font>
    <font>
      <sz val="18"/>
      <name val="Arial"/>
      <family val="2"/>
    </font>
    <font>
      <b/>
      <sz val="12"/>
      <name val="Arial"/>
      <family val="2"/>
    </font>
    <font>
      <sz val="12"/>
      <name val="Arial"/>
      <family val="2"/>
    </font>
    <font>
      <b/>
      <vertAlign val="superscript"/>
      <sz val="12"/>
      <name val="Arial"/>
      <family val="2"/>
    </font>
    <font>
      <sz val="14"/>
      <name val="Arial"/>
      <family val="2"/>
    </font>
    <font>
      <sz val="14"/>
      <color indexed="13"/>
      <name val="Arial"/>
      <family val="2"/>
    </font>
    <font>
      <sz val="9"/>
      <color indexed="81"/>
      <name val="Tahoma"/>
      <family val="2"/>
    </font>
    <font>
      <sz val="10"/>
      <name val="Arial"/>
      <family val="2"/>
    </font>
    <font>
      <b/>
      <sz val="20"/>
      <name val="Arial"/>
      <family val="2"/>
    </font>
    <font>
      <b/>
      <sz val="10"/>
      <name val="Arial"/>
      <family val="2"/>
    </font>
    <font>
      <b/>
      <sz val="16"/>
      <color indexed="81"/>
      <name val="Tahoma"/>
      <family val="2"/>
    </font>
    <font>
      <b/>
      <sz val="14"/>
      <color indexed="81"/>
      <name val="Tahoma"/>
      <family val="2"/>
    </font>
    <font>
      <sz val="14"/>
      <color indexed="81"/>
      <name val="Tahoma"/>
      <family val="2"/>
    </font>
    <font>
      <b/>
      <sz val="8"/>
      <color indexed="81"/>
      <name val="Tahoma"/>
      <family val="2"/>
    </font>
    <font>
      <sz val="12"/>
      <name val="Arial"/>
      <family val="2"/>
    </font>
    <font>
      <sz val="16"/>
      <name val="Arial"/>
      <family val="2"/>
    </font>
    <font>
      <sz val="22"/>
      <name val="Arial"/>
      <family val="2"/>
    </font>
    <font>
      <sz val="14"/>
      <name val="Arial"/>
      <family val="2"/>
    </font>
    <font>
      <vertAlign val="superscript"/>
      <sz val="16"/>
      <name val="Arial"/>
      <family val="2"/>
    </font>
    <font>
      <sz val="16"/>
      <name val="Arial"/>
      <family val="2"/>
    </font>
    <font>
      <sz val="18"/>
      <name val="Arial"/>
      <family val="2"/>
    </font>
    <font>
      <sz val="22"/>
      <name val="Arial"/>
      <family val="2"/>
    </font>
    <font>
      <b/>
      <sz val="18"/>
      <name val="Arial"/>
      <family val="2"/>
    </font>
    <font>
      <b/>
      <sz val="22"/>
      <name val="Arial"/>
      <family val="2"/>
    </font>
    <font>
      <b/>
      <sz val="16"/>
      <name val="Arial"/>
      <family val="2"/>
    </font>
    <font>
      <vertAlign val="superscript"/>
      <sz val="14"/>
      <name val="Arial"/>
      <family val="2"/>
    </font>
    <font>
      <sz val="8"/>
      <color indexed="81"/>
      <name val="Tahoma"/>
      <family val="2"/>
    </font>
    <font>
      <vertAlign val="subscript"/>
      <sz val="14"/>
      <name val="Arial"/>
      <family val="2"/>
    </font>
    <font>
      <vertAlign val="subscript"/>
      <sz val="18"/>
      <name val="Arial"/>
      <family val="2"/>
    </font>
    <font>
      <vertAlign val="superscript"/>
      <sz val="10"/>
      <name val="Arial"/>
      <family val="2"/>
    </font>
    <font>
      <sz val="36"/>
      <name val="Arial"/>
      <family val="2"/>
    </font>
    <font>
      <sz val="20"/>
      <name val="Arial"/>
      <family val="2"/>
    </font>
    <font>
      <vertAlign val="superscript"/>
      <sz val="20"/>
      <name val="Arial"/>
      <family val="2"/>
    </font>
    <font>
      <b/>
      <i/>
      <sz val="16"/>
      <color indexed="81"/>
      <name val="Tahoma"/>
      <family val="2"/>
    </font>
    <font>
      <b/>
      <sz val="12"/>
      <color indexed="81"/>
      <name val="Tahoma"/>
      <family val="2"/>
    </font>
    <font>
      <sz val="12"/>
      <color indexed="81"/>
      <name val="Tahoma"/>
      <family val="2"/>
    </font>
    <font>
      <b/>
      <sz val="8"/>
      <color indexed="8"/>
      <name val="Tahoma"/>
      <family val="2"/>
    </font>
    <font>
      <sz val="10"/>
      <name val="Arial"/>
    </font>
    <font>
      <sz val="16"/>
      <name val="Arial"/>
    </font>
    <font>
      <sz val="8"/>
      <name val="Arial"/>
      <family val="2"/>
    </font>
    <font>
      <vertAlign val="superscript"/>
      <sz val="12"/>
      <name val="Arial"/>
      <family val="2"/>
    </font>
    <font>
      <sz val="11"/>
      <name val="Arial"/>
      <family val="2"/>
    </font>
    <font>
      <b/>
      <vertAlign val="subscript"/>
      <sz val="10"/>
      <name val="Arial"/>
      <family val="2"/>
    </font>
    <font>
      <vertAlign val="superscript"/>
      <sz val="14"/>
      <name val="Arial"/>
    </font>
    <font>
      <sz val="14"/>
      <name val="Arial"/>
    </font>
    <font>
      <b/>
      <sz val="16"/>
      <name val="Arial"/>
    </font>
    <font>
      <b/>
      <sz val="14"/>
      <name val="Arial"/>
    </font>
    <font>
      <sz val="12"/>
      <name val="Arial"/>
    </font>
    <font>
      <sz val="20"/>
      <color indexed="81"/>
      <name val="Tahoma"/>
      <family val="2"/>
    </font>
    <font>
      <b/>
      <sz val="20"/>
      <color indexed="81"/>
      <name val="Tahoma"/>
      <family val="2"/>
    </font>
    <font>
      <sz val="8"/>
      <color indexed="81"/>
      <name val="Tahoma"/>
    </font>
    <font>
      <sz val="16"/>
      <color indexed="81"/>
      <name val="Tahoma"/>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9" tint="0.59999389629810485"/>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1">
    <xf numFmtId="0" fontId="0" fillId="0" borderId="0"/>
    <xf numFmtId="164" fontId="2" fillId="0" borderId="0" applyFont="0" applyFill="0" applyBorder="0" applyAlignment="0" applyProtection="0"/>
    <xf numFmtId="0" fontId="11" fillId="0" borderId="0"/>
    <xf numFmtId="164"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41" fillId="0" borderId="0"/>
    <xf numFmtId="164" fontId="41" fillId="0" borderId="0" applyFont="0" applyFill="0" applyBorder="0" applyAlignment="0" applyProtection="0"/>
    <xf numFmtId="9" fontId="41" fillId="0" borderId="0" applyFont="0" applyFill="0" applyBorder="0" applyAlignment="0" applyProtection="0"/>
    <xf numFmtId="0" fontId="1" fillId="0" borderId="0"/>
    <xf numFmtId="43" fontId="1" fillId="0" borderId="0" applyFont="0" applyFill="0" applyBorder="0" applyAlignment="0" applyProtection="0"/>
  </cellStyleXfs>
  <cellXfs count="933">
    <xf numFmtId="0" fontId="0" fillId="0" borderId="0" xfId="0"/>
    <xf numFmtId="0" fontId="3" fillId="0" borderId="0" xfId="0" applyFont="1" applyAlignment="1"/>
    <xf numFmtId="0" fontId="0" fillId="0" borderId="0" xfId="0" applyAlignment="1"/>
    <xf numFmtId="165" fontId="4" fillId="0" borderId="0" xfId="1" applyNumberFormat="1" applyFont="1" applyAlignment="1"/>
    <xf numFmtId="165" fontId="4" fillId="0" borderId="0" xfId="1" applyNumberFormat="1" applyFont="1"/>
    <xf numFmtId="0" fontId="3" fillId="0" borderId="0" xfId="0" quotePrefix="1" applyFont="1" applyAlignment="1"/>
    <xf numFmtId="0" fontId="3" fillId="0" borderId="0" xfId="0" applyFont="1"/>
    <xf numFmtId="165" fontId="4" fillId="0" borderId="0" xfId="0" applyNumberFormat="1" applyFont="1"/>
    <xf numFmtId="0" fontId="5" fillId="0" borderId="0" xfId="0" applyFont="1"/>
    <xf numFmtId="0" fontId="6" fillId="2" borderId="0" xfId="0" applyFont="1" applyFill="1" applyAlignment="1">
      <alignment horizontal="left" indent="1"/>
    </xf>
    <xf numFmtId="10" fontId="6" fillId="2" borderId="0" xfId="0" applyNumberFormat="1" applyFont="1" applyFill="1" applyAlignment="1">
      <alignment horizontal="left" indent="1"/>
    </xf>
    <xf numFmtId="0" fontId="5" fillId="0" borderId="1" xfId="0" applyFont="1" applyBorder="1" applyAlignment="1">
      <alignment wrapText="1"/>
    </xf>
    <xf numFmtId="0" fontId="5" fillId="2" borderId="2" xfId="0" applyFont="1" applyFill="1" applyBorder="1"/>
    <xf numFmtId="0" fontId="5" fillId="2" borderId="1" xfId="0" applyFont="1" applyFill="1" applyBorder="1"/>
    <xf numFmtId="0" fontId="5" fillId="0" borderId="2" xfId="0" applyFont="1" applyBorder="1" applyAlignment="1">
      <alignment wrapText="1"/>
    </xf>
    <xf numFmtId="0" fontId="8" fillId="0" borderId="3" xfId="0" applyFont="1" applyBorder="1"/>
    <xf numFmtId="3" fontId="8" fillId="2" borderId="4" xfId="0" applyNumberFormat="1" applyFont="1" applyFill="1" applyBorder="1"/>
    <xf numFmtId="3" fontId="8" fillId="2" borderId="3" xfId="0" applyNumberFormat="1" applyFont="1" applyFill="1" applyBorder="1"/>
    <xf numFmtId="3" fontId="8" fillId="0" borderId="3" xfId="0" applyNumberFormat="1" applyFont="1" applyBorder="1"/>
    <xf numFmtId="166" fontId="8" fillId="0" borderId="3" xfId="0" applyNumberFormat="1" applyFont="1" applyBorder="1" applyAlignment="1">
      <alignment horizontal="right"/>
    </xf>
    <xf numFmtId="4" fontId="8" fillId="0" borderId="3" xfId="0" applyNumberFormat="1" applyFont="1" applyBorder="1"/>
    <xf numFmtId="0" fontId="8" fillId="0" borderId="5" xfId="0" applyFont="1" applyBorder="1"/>
    <xf numFmtId="3" fontId="8" fillId="2" borderId="0" xfId="0" applyNumberFormat="1" applyFont="1" applyFill="1" applyBorder="1"/>
    <xf numFmtId="3" fontId="8" fillId="2" borderId="5" xfId="0" applyNumberFormat="1" applyFont="1" applyFill="1" applyBorder="1"/>
    <xf numFmtId="3" fontId="8" fillId="0" borderId="5" xfId="0" applyNumberFormat="1" applyFont="1" applyBorder="1"/>
    <xf numFmtId="166" fontId="8" fillId="0" borderId="5" xfId="0" applyNumberFormat="1" applyFont="1" applyBorder="1" applyAlignment="1">
      <alignment horizontal="right"/>
    </xf>
    <xf numFmtId="4" fontId="8" fillId="0" borderId="5" xfId="0" applyNumberFormat="1" applyFont="1" applyBorder="1"/>
    <xf numFmtId="9" fontId="0" fillId="0" borderId="0" xfId="0" applyNumberFormat="1"/>
    <xf numFmtId="0" fontId="8" fillId="0" borderId="6" xfId="0" applyFont="1" applyBorder="1"/>
    <xf numFmtId="3" fontId="8" fillId="2" borderId="7" xfId="0" applyNumberFormat="1" applyFont="1" applyFill="1" applyBorder="1"/>
    <xf numFmtId="3" fontId="8" fillId="2" borderId="6" xfId="0" applyNumberFormat="1" applyFont="1" applyFill="1" applyBorder="1"/>
    <xf numFmtId="3" fontId="8" fillId="0" borderId="6" xfId="0" applyNumberFormat="1" applyFont="1" applyBorder="1"/>
    <xf numFmtId="166" fontId="8" fillId="0" borderId="6" xfId="0" applyNumberFormat="1" applyFont="1" applyBorder="1" applyAlignment="1">
      <alignment horizontal="right"/>
    </xf>
    <xf numFmtId="4" fontId="8" fillId="0" borderId="6" xfId="0" applyNumberFormat="1" applyFont="1" applyBorder="1"/>
    <xf numFmtId="0" fontId="8" fillId="3" borderId="8" xfId="0" applyFont="1" applyFill="1" applyBorder="1"/>
    <xf numFmtId="0" fontId="8" fillId="3" borderId="9" xfId="0" applyFont="1" applyFill="1" applyBorder="1"/>
    <xf numFmtId="4" fontId="8" fillId="3" borderId="2" xfId="0" applyNumberFormat="1" applyFont="1" applyFill="1" applyBorder="1"/>
    <xf numFmtId="40" fontId="8" fillId="0" borderId="0" xfId="0" applyNumberFormat="1" applyFont="1" applyFill="1" applyBorder="1"/>
    <xf numFmtId="40" fontId="8" fillId="3" borderId="6" xfId="0" applyNumberFormat="1" applyFont="1" applyFill="1" applyBorder="1"/>
    <xf numFmtId="0" fontId="8" fillId="0" borderId="0" xfId="0" applyFont="1"/>
    <xf numFmtId="0" fontId="8" fillId="3" borderId="10" xfId="0" applyFont="1" applyFill="1" applyBorder="1"/>
    <xf numFmtId="0" fontId="9" fillId="3" borderId="0" xfId="0" applyFont="1" applyFill="1" applyBorder="1"/>
    <xf numFmtId="4" fontId="8" fillId="3" borderId="11" xfId="0" applyNumberFormat="1" applyFont="1" applyFill="1" applyBorder="1"/>
    <xf numFmtId="4" fontId="8" fillId="0" borderId="0" xfId="0" applyNumberFormat="1" applyFont="1" applyFill="1" applyBorder="1"/>
    <xf numFmtId="10" fontId="8" fillId="3" borderId="2" xfId="0" applyNumberFormat="1" applyFont="1" applyFill="1" applyBorder="1"/>
    <xf numFmtId="10" fontId="8" fillId="0" borderId="0" xfId="0" applyNumberFormat="1" applyFont="1" applyFill="1" applyBorder="1"/>
    <xf numFmtId="0" fontId="8" fillId="3" borderId="12" xfId="0" applyFont="1" applyFill="1" applyBorder="1"/>
    <xf numFmtId="0" fontId="8" fillId="3" borderId="7" xfId="0" applyFont="1" applyFill="1" applyBorder="1"/>
    <xf numFmtId="2" fontId="8" fillId="3" borderId="13" xfId="0" applyNumberFormat="1" applyFont="1" applyFill="1" applyBorder="1"/>
    <xf numFmtId="2" fontId="8" fillId="0" borderId="0" xfId="0" applyNumberFormat="1" applyFont="1" applyFill="1" applyBorder="1"/>
    <xf numFmtId="0" fontId="0" fillId="0" borderId="10" xfId="0" applyFill="1" applyBorder="1"/>
    <xf numFmtId="4" fontId="0" fillId="0" borderId="0" xfId="0" applyNumberFormat="1"/>
    <xf numFmtId="167" fontId="0" fillId="0" borderId="0" xfId="0" applyNumberFormat="1"/>
    <xf numFmtId="0" fontId="0" fillId="0" borderId="0" xfId="0" applyBorder="1"/>
    <xf numFmtId="0" fontId="11" fillId="0" borderId="0" xfId="2"/>
    <xf numFmtId="3" fontId="11" fillId="4" borderId="15" xfId="3" applyNumberFormat="1" applyFill="1" applyBorder="1" applyProtection="1">
      <protection locked="0"/>
    </xf>
    <xf numFmtId="0" fontId="11" fillId="0" borderId="0" xfId="2" applyBorder="1"/>
    <xf numFmtId="0" fontId="11" fillId="0" borderId="11" xfId="2" applyBorder="1"/>
    <xf numFmtId="2" fontId="11" fillId="4" borderId="11" xfId="2" applyNumberFormat="1" applyFill="1" applyBorder="1" applyProtection="1">
      <protection locked="0"/>
    </xf>
    <xf numFmtId="3" fontId="11" fillId="4" borderId="11" xfId="2" applyNumberFormat="1" applyFill="1" applyBorder="1" applyProtection="1">
      <protection locked="0"/>
    </xf>
    <xf numFmtId="169" fontId="11" fillId="0" borderId="16" xfId="2" applyNumberFormat="1" applyBorder="1"/>
    <xf numFmtId="10" fontId="0" fillId="4" borderId="11" xfId="4" applyNumberFormat="1" applyFont="1" applyFill="1" applyBorder="1"/>
    <xf numFmtId="3" fontId="11" fillId="4" borderId="11" xfId="2" applyNumberFormat="1" applyFill="1" applyBorder="1"/>
    <xf numFmtId="0" fontId="11" fillId="0" borderId="11" xfId="2" applyFill="1" applyBorder="1" applyProtection="1">
      <protection locked="0"/>
    </xf>
    <xf numFmtId="170" fontId="11" fillId="0" borderId="11" xfId="2" applyNumberFormat="1" applyFill="1" applyBorder="1" applyProtection="1">
      <protection locked="0"/>
    </xf>
    <xf numFmtId="3" fontId="11" fillId="0" borderId="11" xfId="2" applyNumberFormat="1" applyBorder="1"/>
    <xf numFmtId="0" fontId="11" fillId="0" borderId="10" xfId="2" applyBorder="1" applyAlignment="1">
      <alignment horizontal="left"/>
    </xf>
    <xf numFmtId="0" fontId="11" fillId="0" borderId="0" xfId="2" applyBorder="1" applyAlignment="1">
      <alignment horizontal="left"/>
    </xf>
    <xf numFmtId="0" fontId="11" fillId="0" borderId="11" xfId="2" applyBorder="1" applyAlignment="1">
      <alignment horizontal="left"/>
    </xf>
    <xf numFmtId="1" fontId="11" fillId="4" borderId="11" xfId="2" applyNumberFormat="1" applyFill="1" applyBorder="1" applyProtection="1">
      <protection locked="0"/>
    </xf>
    <xf numFmtId="0" fontId="11" fillId="0" borderId="10" xfId="2" applyBorder="1"/>
    <xf numFmtId="10" fontId="3" fillId="0" borderId="11" xfId="4" applyNumberFormat="1" applyFont="1" applyFill="1" applyBorder="1"/>
    <xf numFmtId="0" fontId="11" fillId="0" borderId="0" xfId="2" applyFill="1"/>
    <xf numFmtId="0" fontId="11" fillId="0" borderId="0" xfId="2" applyFill="1" applyBorder="1"/>
    <xf numFmtId="0" fontId="11" fillId="0" borderId="11" xfId="2" applyFill="1" applyBorder="1"/>
    <xf numFmtId="0" fontId="11" fillId="0" borderId="12" xfId="2" applyFill="1" applyBorder="1"/>
    <xf numFmtId="10" fontId="11" fillId="0" borderId="7" xfId="2" applyNumberFormat="1" applyFill="1" applyBorder="1"/>
    <xf numFmtId="0" fontId="11" fillId="0" borderId="7" xfId="2" applyFill="1" applyBorder="1"/>
    <xf numFmtId="0" fontId="11" fillId="0" borderId="13" xfId="2" applyFill="1" applyBorder="1"/>
    <xf numFmtId="0" fontId="13" fillId="0" borderId="10" xfId="2" applyFont="1" applyFill="1" applyBorder="1"/>
    <xf numFmtId="0" fontId="13" fillId="0" borderId="0" xfId="2" applyFont="1" applyFill="1" applyBorder="1"/>
    <xf numFmtId="0" fontId="11" fillId="0" borderId="0" xfId="2" applyBorder="1" applyAlignment="1">
      <alignment wrapText="1"/>
    </xf>
    <xf numFmtId="0" fontId="11" fillId="0" borderId="0" xfId="2" applyBorder="1" applyAlignment="1">
      <alignment horizontal="center" wrapText="1"/>
    </xf>
    <xf numFmtId="0" fontId="11" fillId="0" borderId="11" xfId="2" applyBorder="1" applyAlignment="1">
      <alignment wrapText="1"/>
    </xf>
    <xf numFmtId="0" fontId="11" fillId="0" borderId="0" xfId="2" applyAlignment="1">
      <alignment wrapText="1"/>
    </xf>
    <xf numFmtId="3" fontId="11" fillId="0" borderId="0" xfId="2" applyNumberFormat="1" applyBorder="1"/>
    <xf numFmtId="3" fontId="11" fillId="0" borderId="0" xfId="3" applyNumberFormat="1" applyBorder="1"/>
    <xf numFmtId="0" fontId="11" fillId="0" borderId="8" xfId="2" applyBorder="1"/>
    <xf numFmtId="3" fontId="11" fillId="0" borderId="9" xfId="2" applyNumberFormat="1" applyBorder="1"/>
    <xf numFmtId="3" fontId="11" fillId="0" borderId="2" xfId="2" applyNumberFormat="1" applyBorder="1"/>
    <xf numFmtId="0" fontId="20" fillId="0" borderId="0" xfId="2" applyFont="1" applyAlignment="1" applyProtection="1">
      <alignment horizontal="center" vertical="center"/>
      <protection locked="0"/>
    </xf>
    <xf numFmtId="0" fontId="21" fillId="0" borderId="7" xfId="2" applyFont="1" applyBorder="1"/>
    <xf numFmtId="49" fontId="22" fillId="0" borderId="7" xfId="2" applyNumberFormat="1" applyFont="1" applyBorder="1"/>
    <xf numFmtId="0" fontId="22" fillId="0" borderId="7" xfId="2" applyNumberFormat="1" applyFont="1" applyBorder="1" applyAlignment="1">
      <alignment horizontal="left"/>
    </xf>
    <xf numFmtId="3" fontId="19" fillId="0" borderId="0" xfId="2" applyNumberFormat="1" applyFont="1" applyAlignment="1">
      <alignment vertical="center"/>
    </xf>
    <xf numFmtId="0" fontId="23" fillId="0" borderId="0" xfId="2" applyFont="1" applyBorder="1" applyAlignment="1">
      <alignment horizontal="center" vertical="center"/>
    </xf>
    <xf numFmtId="0" fontId="24" fillId="0" borderId="0" xfId="2" applyFont="1" applyBorder="1" applyAlignment="1">
      <alignment horizontal="left" vertical="center"/>
    </xf>
    <xf numFmtId="0" fontId="4" fillId="0" borderId="0" xfId="2" applyFont="1" applyAlignment="1">
      <alignment horizontal="right" vertical="center"/>
    </xf>
    <xf numFmtId="165" fontId="23" fillId="0" borderId="0" xfId="3" applyNumberFormat="1" applyFont="1" applyBorder="1" applyAlignment="1">
      <alignment vertical="center" readingOrder="1"/>
    </xf>
    <xf numFmtId="0" fontId="11" fillId="0" borderId="0" xfId="2" applyAlignment="1">
      <alignment horizontal="center"/>
    </xf>
    <xf numFmtId="0" fontId="22" fillId="0" borderId="7" xfId="2" applyFont="1" applyBorder="1" applyAlignment="1">
      <alignment horizontal="left"/>
    </xf>
    <xf numFmtId="0" fontId="25" fillId="0" borderId="0" xfId="2" applyFont="1" applyAlignment="1">
      <alignment horizontal="center" vertical="center"/>
    </xf>
    <xf numFmtId="0" fontId="24" fillId="0" borderId="0" xfId="2" applyFont="1" applyAlignment="1">
      <alignment horizontal="right"/>
    </xf>
    <xf numFmtId="0" fontId="25" fillId="0" borderId="0" xfId="2" applyFont="1" applyAlignment="1">
      <alignment horizontal="center"/>
    </xf>
    <xf numFmtId="171" fontId="23" fillId="0" borderId="0" xfId="4" applyNumberFormat="1" applyFont="1" applyAlignment="1">
      <alignment horizontal="center"/>
    </xf>
    <xf numFmtId="0" fontId="26" fillId="0" borderId="0" xfId="2" applyFont="1" applyAlignment="1">
      <alignment horizontal="right"/>
    </xf>
    <xf numFmtId="0" fontId="27" fillId="0" borderId="0" xfId="2" applyFont="1" applyAlignment="1">
      <alignment horizontal="center"/>
    </xf>
    <xf numFmtId="10" fontId="28" fillId="0" borderId="17" xfId="4" applyNumberFormat="1" applyFont="1" applyBorder="1" applyAlignment="1">
      <alignment horizontal="center"/>
    </xf>
    <xf numFmtId="0" fontId="21" fillId="0" borderId="0" xfId="2" applyFont="1" applyBorder="1" applyAlignment="1">
      <alignment horizontal="right"/>
    </xf>
    <xf numFmtId="3" fontId="29" fillId="0" borderId="0" xfId="2" applyNumberFormat="1" applyFont="1" applyBorder="1" applyAlignment="1">
      <alignment horizontal="left"/>
    </xf>
    <xf numFmtId="0" fontId="21" fillId="0" borderId="0" xfId="2" applyFont="1"/>
    <xf numFmtId="0" fontId="21" fillId="0" borderId="0" xfId="2" applyFont="1" applyAlignment="1">
      <alignment horizontal="right"/>
    </xf>
    <xf numFmtId="0" fontId="29" fillId="0" borderId="0" xfId="2" applyFont="1" applyBorder="1" applyAlignment="1">
      <alignment horizontal="left"/>
    </xf>
    <xf numFmtId="10" fontId="21" fillId="0" borderId="0" xfId="4" applyNumberFormat="1" applyFont="1" applyBorder="1" applyAlignment="1">
      <alignment horizontal="left"/>
    </xf>
    <xf numFmtId="10" fontId="21" fillId="0" borderId="0" xfId="2" applyNumberFormat="1" applyFont="1" applyAlignment="1"/>
    <xf numFmtId="3" fontId="11" fillId="2" borderId="15" xfId="2" applyNumberFormat="1" applyFill="1" applyBorder="1" applyProtection="1">
      <protection locked="0"/>
    </xf>
    <xf numFmtId="3" fontId="11" fillId="2" borderId="11" xfId="2" applyNumberFormat="1" applyFill="1" applyBorder="1"/>
    <xf numFmtId="4" fontId="11" fillId="2" borderId="11" xfId="2" applyNumberFormat="1" applyFill="1" applyBorder="1" applyProtection="1">
      <protection locked="0"/>
    </xf>
    <xf numFmtId="3" fontId="11" fillId="2" borderId="11" xfId="2" applyNumberFormat="1" applyFill="1" applyBorder="1" applyProtection="1">
      <protection locked="0"/>
    </xf>
    <xf numFmtId="3" fontId="11" fillId="0" borderId="16" xfId="2" applyNumberFormat="1" applyBorder="1"/>
    <xf numFmtId="10" fontId="11" fillId="2" borderId="11" xfId="2" applyNumberFormat="1" applyFill="1" applyBorder="1"/>
    <xf numFmtId="3" fontId="11" fillId="0" borderId="11" xfId="2" applyNumberFormat="1" applyFill="1" applyBorder="1" applyProtection="1">
      <protection locked="0"/>
    </xf>
    <xf numFmtId="10" fontId="3" fillId="0" borderId="11" xfId="2" applyNumberFormat="1" applyFont="1" applyFill="1" applyBorder="1"/>
    <xf numFmtId="0" fontId="11" fillId="0" borderId="10" xfId="2" applyFill="1" applyBorder="1" applyAlignment="1">
      <alignment horizontal="left"/>
    </xf>
    <xf numFmtId="0" fontId="11" fillId="0" borderId="0" xfId="2" applyFill="1" applyBorder="1" applyAlignment="1">
      <alignment horizontal="left"/>
    </xf>
    <xf numFmtId="0" fontId="11" fillId="0" borderId="11" xfId="2" applyFill="1" applyBorder="1" applyAlignment="1">
      <alignment horizontal="left"/>
    </xf>
    <xf numFmtId="0" fontId="11" fillId="0" borderId="7" xfId="2" applyBorder="1"/>
    <xf numFmtId="0" fontId="13" fillId="0" borderId="14" xfId="2" applyFont="1" applyFill="1" applyBorder="1"/>
    <xf numFmtId="0" fontId="11" fillId="0" borderId="4" xfId="2" applyFill="1" applyBorder="1"/>
    <xf numFmtId="0" fontId="11" fillId="0" borderId="15" xfId="2" applyFill="1" applyBorder="1"/>
    <xf numFmtId="0" fontId="11" fillId="0" borderId="10" xfId="2" applyFill="1" applyBorder="1"/>
    <xf numFmtId="0" fontId="11" fillId="0" borderId="0" xfId="2" applyFill="1" applyBorder="1" applyAlignment="1">
      <alignment horizontal="center"/>
    </xf>
    <xf numFmtId="3" fontId="11" fillId="0" borderId="0" xfId="2" applyNumberFormat="1" applyFill="1" applyBorder="1"/>
    <xf numFmtId="3" fontId="11" fillId="0" borderId="11" xfId="2" applyNumberFormat="1" applyFill="1" applyBorder="1"/>
    <xf numFmtId="3" fontId="11" fillId="0" borderId="9" xfId="2" applyNumberFormat="1" applyFill="1" applyBorder="1"/>
    <xf numFmtId="3" fontId="11" fillId="0" borderId="2" xfId="2" applyNumberFormat="1" applyFill="1" applyBorder="1"/>
    <xf numFmtId="0" fontId="8" fillId="0" borderId="0" xfId="2" applyFont="1" applyAlignment="1">
      <alignment horizontal="left" vertical="top" wrapText="1"/>
    </xf>
    <xf numFmtId="0" fontId="31" fillId="0" borderId="20" xfId="2" applyFont="1" applyBorder="1" applyAlignment="1">
      <alignment horizontal="left" wrapText="1"/>
    </xf>
    <xf numFmtId="0" fontId="31" fillId="0" borderId="23" xfId="2" applyFont="1" applyBorder="1" applyAlignment="1">
      <alignment horizontal="left" wrapText="1"/>
    </xf>
    <xf numFmtId="0" fontId="6" fillId="0" borderId="22" xfId="2" applyFont="1" applyBorder="1" applyAlignment="1">
      <alignment horizontal="center" vertical="center" wrapText="1"/>
    </xf>
    <xf numFmtId="3" fontId="11" fillId="0" borderId="0" xfId="2" applyNumberFormat="1"/>
    <xf numFmtId="0" fontId="32" fillId="0" borderId="0" xfId="2" applyFont="1" applyAlignment="1">
      <alignment horizontal="center"/>
    </xf>
    <xf numFmtId="0" fontId="33" fillId="0" borderId="0" xfId="2" applyFont="1" applyAlignment="1">
      <alignment horizontal="left" vertical="top"/>
    </xf>
    <xf numFmtId="165" fontId="0" fillId="0" borderId="0" xfId="3" applyNumberFormat="1" applyFont="1"/>
    <xf numFmtId="0" fontId="33" fillId="0" borderId="0" xfId="2" applyFont="1" applyAlignment="1">
      <alignment vertical="top"/>
    </xf>
    <xf numFmtId="0" fontId="11" fillId="0" borderId="0" xfId="2" applyFont="1" applyAlignment="1">
      <alignment vertical="center"/>
    </xf>
    <xf numFmtId="165" fontId="11" fillId="0" borderId="0" xfId="3" applyNumberFormat="1" applyFont="1" applyAlignment="1">
      <alignment horizontal="right" vertical="center"/>
    </xf>
    <xf numFmtId="0" fontId="11" fillId="0" borderId="0" xfId="2" applyFont="1" applyAlignment="1">
      <alignment horizontal="center" vertical="center"/>
    </xf>
    <xf numFmtId="165" fontId="11" fillId="0" borderId="0" xfId="3" applyNumberFormat="1" applyFont="1" applyAlignment="1">
      <alignment horizontal="center" vertical="center"/>
    </xf>
    <xf numFmtId="165" fontId="11" fillId="0" borderId="0" xfId="3" applyNumberFormat="1" applyFont="1" applyAlignment="1">
      <alignment horizontal="center"/>
    </xf>
    <xf numFmtId="165" fontId="33" fillId="0" borderId="0" xfId="3" applyNumberFormat="1" applyFont="1" applyAlignment="1">
      <alignment horizontal="center" vertical="top"/>
    </xf>
    <xf numFmtId="0" fontId="18" fillId="0" borderId="0" xfId="2" applyFont="1"/>
    <xf numFmtId="171" fontId="18" fillId="0" borderId="0" xfId="2" applyNumberFormat="1" applyFont="1" applyAlignment="1">
      <alignment horizontal="center"/>
    </xf>
    <xf numFmtId="0" fontId="3" fillId="0" borderId="0" xfId="2" applyFont="1"/>
    <xf numFmtId="10" fontId="3" fillId="0" borderId="17" xfId="4" applyNumberFormat="1" applyFont="1" applyBorder="1" applyAlignment="1">
      <alignment horizontal="center"/>
    </xf>
    <xf numFmtId="3" fontId="21" fillId="0" borderId="0" xfId="2" applyNumberFormat="1" applyFont="1" applyBorder="1" applyAlignment="1">
      <alignment horizontal="left"/>
    </xf>
    <xf numFmtId="0" fontId="18" fillId="0" borderId="0" xfId="2" applyFont="1" applyBorder="1" applyAlignment="1"/>
    <xf numFmtId="0" fontId="11" fillId="0" borderId="0" xfId="2" applyAlignment="1"/>
    <xf numFmtId="3" fontId="11" fillId="5" borderId="15" xfId="2" applyNumberFormat="1" applyFill="1" applyBorder="1" applyProtection="1">
      <protection locked="0"/>
    </xf>
    <xf numFmtId="3" fontId="11" fillId="0" borderId="11" xfId="2" applyNumberFormat="1" applyBorder="1" applyProtection="1">
      <protection locked="0"/>
    </xf>
    <xf numFmtId="2" fontId="11" fillId="5" borderId="11" xfId="2" applyNumberFormat="1" applyFill="1" applyBorder="1" applyProtection="1">
      <protection locked="0"/>
    </xf>
    <xf numFmtId="3" fontId="11" fillId="5" borderId="11" xfId="2" applyNumberFormat="1" applyFill="1" applyBorder="1" applyProtection="1">
      <protection locked="0"/>
    </xf>
    <xf numFmtId="10" fontId="11" fillId="5" borderId="11" xfId="2" applyNumberFormat="1" applyFill="1" applyBorder="1" applyProtection="1">
      <protection locked="0"/>
    </xf>
    <xf numFmtId="3" fontId="11" fillId="5" borderId="11" xfId="2" applyNumberFormat="1" applyFill="1" applyBorder="1"/>
    <xf numFmtId="0" fontId="11" fillId="5" borderId="11" xfId="2" applyFill="1" applyBorder="1" applyProtection="1">
      <protection locked="0"/>
    </xf>
    <xf numFmtId="10" fontId="3" fillId="0" borderId="11" xfId="4" applyNumberFormat="1" applyFont="1" applyBorder="1"/>
    <xf numFmtId="173" fontId="11" fillId="0" borderId="0" xfId="4" applyNumberFormat="1" applyFill="1" applyBorder="1"/>
    <xf numFmtId="0" fontId="11" fillId="0" borderId="9" xfId="2" applyBorder="1"/>
    <xf numFmtId="0" fontId="11" fillId="0" borderId="2" xfId="2" applyBorder="1"/>
    <xf numFmtId="0" fontId="5" fillId="0" borderId="0" xfId="2" applyFont="1" applyAlignment="1">
      <alignment horizontal="right" vertical="center" wrapText="1"/>
    </xf>
    <xf numFmtId="0" fontId="18" fillId="0" borderId="0" xfId="2" applyFont="1" applyAlignment="1">
      <alignment horizontal="left" vertical="top" wrapText="1"/>
    </xf>
    <xf numFmtId="0" fontId="5" fillId="0" borderId="0" xfId="2" applyFont="1" applyAlignment="1">
      <alignment horizontal="left" vertical="center" wrapText="1"/>
    </xf>
    <xf numFmtId="0" fontId="5" fillId="0" borderId="0" xfId="2" applyFont="1" applyAlignment="1">
      <alignment horizontal="left" vertical="top" wrapText="1"/>
    </xf>
    <xf numFmtId="171" fontId="23" fillId="0" borderId="0" xfId="4" applyNumberFormat="1" applyFont="1"/>
    <xf numFmtId="10" fontId="28" fillId="0" borderId="17" xfId="4" applyNumberFormat="1" applyFont="1" applyBorder="1"/>
    <xf numFmtId="0" fontId="13" fillId="0" borderId="0" xfId="2" applyFont="1"/>
    <xf numFmtId="0" fontId="21" fillId="0" borderId="0" xfId="2" applyFont="1" applyAlignment="1">
      <alignment horizontal="left"/>
    </xf>
    <xf numFmtId="0" fontId="18" fillId="0" borderId="0" xfId="2" applyFont="1" applyAlignment="1">
      <alignment horizontal="left"/>
    </xf>
    <xf numFmtId="0" fontId="11" fillId="0" borderId="0" xfId="2" applyAlignment="1">
      <alignment horizontal="left"/>
    </xf>
    <xf numFmtId="0" fontId="21" fillId="0" borderId="0" xfId="2" applyFont="1" applyBorder="1" applyAlignment="1"/>
    <xf numFmtId="3" fontId="29" fillId="0" borderId="0" xfId="2" applyNumberFormat="1" applyFont="1" applyAlignment="1">
      <alignment horizontal="left"/>
    </xf>
    <xf numFmtId="0" fontId="24" fillId="0" borderId="0" xfId="2" applyFont="1" applyAlignment="1">
      <alignment wrapText="1"/>
    </xf>
    <xf numFmtId="170" fontId="21" fillId="0" borderId="0" xfId="2" applyNumberFormat="1" applyFont="1"/>
    <xf numFmtId="165" fontId="21" fillId="0" borderId="0" xfId="3" applyNumberFormat="1" applyFont="1"/>
    <xf numFmtId="165" fontId="21" fillId="0" borderId="0" xfId="3" applyNumberFormat="1" applyFont="1" applyAlignment="1">
      <alignment horizontal="right" vertical="top"/>
    </xf>
    <xf numFmtId="3" fontId="21" fillId="0" borderId="0" xfId="2" applyNumberFormat="1" applyFont="1" applyAlignment="1">
      <alignment horizontal="right"/>
    </xf>
    <xf numFmtId="0" fontId="21" fillId="0" borderId="0" xfId="2" applyFont="1" applyAlignment="1">
      <alignment horizontal="right" vertical="top"/>
    </xf>
    <xf numFmtId="0" fontId="21" fillId="6" borderId="0" xfId="2" applyFont="1" applyFill="1" applyAlignment="1">
      <alignment horizontal="right"/>
    </xf>
    <xf numFmtId="0" fontId="21" fillId="0" borderId="0" xfId="2" applyFont="1" applyFill="1" applyBorder="1"/>
    <xf numFmtId="0" fontId="5" fillId="0" borderId="0" xfId="2" applyFont="1"/>
    <xf numFmtId="0" fontId="6" fillId="2" borderId="0" xfId="2" applyFont="1" applyFill="1" applyAlignment="1">
      <alignment horizontal="left" indent="1"/>
    </xf>
    <xf numFmtId="10" fontId="6" fillId="2" borderId="0" xfId="2" applyNumberFormat="1" applyFont="1" applyFill="1" applyAlignment="1">
      <alignment horizontal="left" indent="1"/>
    </xf>
    <xf numFmtId="0" fontId="5" fillId="0" borderId="1" xfId="2" applyFont="1" applyBorder="1" applyAlignment="1">
      <alignment wrapText="1"/>
    </xf>
    <xf numFmtId="0" fontId="5" fillId="2" borderId="2" xfId="2" applyFont="1" applyFill="1" applyBorder="1"/>
    <xf numFmtId="0" fontId="5" fillId="2" borderId="1" xfId="2" applyFont="1" applyFill="1" applyBorder="1"/>
    <xf numFmtId="0" fontId="5" fillId="0" borderId="2" xfId="2" applyFont="1" applyBorder="1" applyAlignment="1">
      <alignment wrapText="1"/>
    </xf>
    <xf numFmtId="0" fontId="8" fillId="0" borderId="3" xfId="2" applyFont="1" applyBorder="1"/>
    <xf numFmtId="3" fontId="8" fillId="2" borderId="4" xfId="2" applyNumberFormat="1" applyFont="1" applyFill="1" applyBorder="1"/>
    <xf numFmtId="3" fontId="8" fillId="2" borderId="3" xfId="2" applyNumberFormat="1" applyFont="1" applyFill="1" applyBorder="1"/>
    <xf numFmtId="3" fontId="8" fillId="0" borderId="3" xfId="2" applyNumberFormat="1" applyFont="1" applyBorder="1"/>
    <xf numFmtId="166" fontId="8" fillId="0" borderId="3" xfId="2" applyNumberFormat="1" applyFont="1" applyBorder="1" applyAlignment="1">
      <alignment horizontal="right"/>
    </xf>
    <xf numFmtId="4" fontId="8" fillId="0" borderId="3" xfId="2" applyNumberFormat="1" applyFont="1" applyBorder="1"/>
    <xf numFmtId="0" fontId="8" fillId="0" borderId="5" xfId="2" applyFont="1" applyBorder="1"/>
    <xf numFmtId="4" fontId="8" fillId="2" borderId="0" xfId="2" applyNumberFormat="1" applyFont="1" applyFill="1" applyBorder="1"/>
    <xf numFmtId="3" fontId="8" fillId="2" borderId="5" xfId="2" applyNumberFormat="1" applyFont="1" applyFill="1" applyBorder="1"/>
    <xf numFmtId="3" fontId="8" fillId="0" borderId="5" xfId="2" applyNumberFormat="1" applyFont="1" applyBorder="1"/>
    <xf numFmtId="166" fontId="8" fillId="0" borderId="5" xfId="2" applyNumberFormat="1" applyFont="1" applyBorder="1" applyAlignment="1">
      <alignment horizontal="right"/>
    </xf>
    <xf numFmtId="4" fontId="8" fillId="0" borderId="5" xfId="2" applyNumberFormat="1" applyFont="1" applyBorder="1"/>
    <xf numFmtId="3" fontId="8" fillId="2" borderId="0" xfId="2" applyNumberFormat="1" applyFont="1" applyFill="1" applyBorder="1"/>
    <xf numFmtId="9" fontId="11" fillId="0" borderId="0" xfId="2" applyNumberFormat="1"/>
    <xf numFmtId="0" fontId="8" fillId="0" borderId="6" xfId="2" applyFont="1" applyBorder="1"/>
    <xf numFmtId="3" fontId="8" fillId="2" borderId="7" xfId="2" applyNumberFormat="1" applyFont="1" applyFill="1" applyBorder="1"/>
    <xf numFmtId="3" fontId="8" fillId="2" borderId="6" xfId="2" applyNumberFormat="1" applyFont="1" applyFill="1" applyBorder="1"/>
    <xf numFmtId="3" fontId="8" fillId="0" borderId="6" xfId="2" applyNumberFormat="1" applyFont="1" applyBorder="1"/>
    <xf numFmtId="166" fontId="8" fillId="0" borderId="6" xfId="2" applyNumberFormat="1" applyFont="1" applyBorder="1" applyAlignment="1">
      <alignment horizontal="right"/>
    </xf>
    <xf numFmtId="4" fontId="8" fillId="0" borderId="6" xfId="2" applyNumberFormat="1" applyFont="1" applyBorder="1"/>
    <xf numFmtId="0" fontId="8" fillId="3" borderId="8" xfId="2" applyFont="1" applyFill="1" applyBorder="1"/>
    <xf numFmtId="0" fontId="8" fillId="3" borderId="9" xfId="2" applyFont="1" applyFill="1" applyBorder="1"/>
    <xf numFmtId="4" fontId="8" fillId="3" borderId="2" xfId="2" applyNumberFormat="1" applyFont="1" applyFill="1" applyBorder="1"/>
    <xf numFmtId="40" fontId="8" fillId="0" borderId="0" xfId="2" applyNumberFormat="1" applyFont="1" applyFill="1" applyBorder="1"/>
    <xf numFmtId="40" fontId="8" fillId="3" borderId="6" xfId="2" applyNumberFormat="1" applyFont="1" applyFill="1" applyBorder="1"/>
    <xf numFmtId="0" fontId="8" fillId="0" borderId="0" xfId="2" applyFont="1"/>
    <xf numFmtId="0" fontId="8" fillId="3" borderId="10" xfId="2" applyFont="1" applyFill="1" applyBorder="1"/>
    <xf numFmtId="0" fontId="9" fillId="3" borderId="0" xfId="2" applyFont="1" applyFill="1" applyBorder="1"/>
    <xf numFmtId="4" fontId="8" fillId="3" borderId="11" xfId="2" applyNumberFormat="1" applyFont="1" applyFill="1" applyBorder="1"/>
    <xf numFmtId="4" fontId="8" fillId="0" borderId="0" xfId="2" applyNumberFormat="1" applyFont="1" applyFill="1" applyBorder="1"/>
    <xf numFmtId="10" fontId="8" fillId="3" borderId="2" xfId="2" applyNumberFormat="1" applyFont="1" applyFill="1" applyBorder="1"/>
    <xf numFmtId="10" fontId="8" fillId="0" borderId="0" xfId="2" applyNumberFormat="1" applyFont="1" applyFill="1" applyBorder="1"/>
    <xf numFmtId="0" fontId="8" fillId="3" borderId="12" xfId="2" applyFont="1" applyFill="1" applyBorder="1"/>
    <xf numFmtId="0" fontId="8" fillId="3" borderId="7" xfId="2" applyFont="1" applyFill="1" applyBorder="1"/>
    <xf numFmtId="2" fontId="8" fillId="3" borderId="13" xfId="2" applyNumberFormat="1" applyFont="1" applyFill="1" applyBorder="1"/>
    <xf numFmtId="2" fontId="8" fillId="0" borderId="0" xfId="2" applyNumberFormat="1" applyFont="1" applyFill="1" applyBorder="1"/>
    <xf numFmtId="4" fontId="11" fillId="0" borderId="0" xfId="2" applyNumberFormat="1"/>
    <xf numFmtId="167" fontId="11" fillId="0" borderId="0" xfId="2" applyNumberFormat="1"/>
    <xf numFmtId="4" fontId="8" fillId="2" borderId="3" xfId="2" applyNumberFormat="1" applyFont="1" applyFill="1" applyBorder="1"/>
    <xf numFmtId="0" fontId="11" fillId="0" borderId="25" xfId="2" applyFill="1" applyBorder="1"/>
    <xf numFmtId="0" fontId="11" fillId="0" borderId="26" xfId="2" applyFill="1" applyBorder="1"/>
    <xf numFmtId="49" fontId="11" fillId="0" borderId="26" xfId="2" applyNumberFormat="1" applyFill="1" applyBorder="1" applyAlignment="1">
      <alignment wrapText="1"/>
    </xf>
    <xf numFmtId="0" fontId="11" fillId="0" borderId="26" xfId="2" applyFill="1" applyBorder="1" applyAlignment="1">
      <alignment wrapText="1"/>
    </xf>
    <xf numFmtId="0" fontId="11" fillId="0" borderId="27" xfId="2" applyFill="1" applyBorder="1"/>
    <xf numFmtId="165" fontId="0" fillId="0" borderId="28" xfId="3" applyNumberFormat="1" applyFont="1" applyFill="1" applyBorder="1"/>
    <xf numFmtId="2" fontId="11" fillId="0" borderId="28" xfId="2" applyNumberFormat="1" applyFill="1" applyBorder="1"/>
    <xf numFmtId="165" fontId="0" fillId="0" borderId="29" xfId="3" applyNumberFormat="1" applyFont="1" applyFill="1" applyBorder="1"/>
    <xf numFmtId="0" fontId="13" fillId="0" borderId="30" xfId="2" applyFont="1" applyFill="1" applyBorder="1"/>
    <xf numFmtId="165" fontId="13" fillId="0" borderId="24" xfId="3" applyNumberFormat="1" applyFont="1" applyFill="1" applyBorder="1"/>
    <xf numFmtId="2" fontId="13" fillId="0" borderId="24" xfId="2" applyNumberFormat="1" applyFont="1" applyFill="1" applyBorder="1"/>
    <xf numFmtId="165" fontId="13" fillId="0" borderId="31" xfId="3" applyNumberFormat="1" applyFont="1" applyFill="1" applyBorder="1"/>
    <xf numFmtId="165" fontId="0" fillId="0" borderId="24" xfId="3" applyNumberFormat="1" applyFont="1" applyFill="1" applyBorder="1"/>
    <xf numFmtId="2" fontId="11" fillId="0" borderId="24" xfId="2" applyNumberFormat="1" applyFill="1" applyBorder="1"/>
    <xf numFmtId="165" fontId="0" fillId="0" borderId="31" xfId="3" applyNumberFormat="1" applyFont="1" applyFill="1" applyBorder="1"/>
    <xf numFmtId="2" fontId="11" fillId="0" borderId="32" xfId="2" applyNumberFormat="1" applyFill="1" applyBorder="1"/>
    <xf numFmtId="9" fontId="0" fillId="0" borderId="33" xfId="4" applyFont="1" applyFill="1" applyBorder="1"/>
    <xf numFmtId="0" fontId="13" fillId="0" borderId="34" xfId="2" applyFont="1" applyFill="1" applyBorder="1"/>
    <xf numFmtId="165" fontId="0" fillId="0" borderId="35" xfId="3" applyNumberFormat="1" applyFont="1" applyFill="1" applyBorder="1"/>
    <xf numFmtId="2" fontId="11" fillId="0" borderId="36" xfId="2" applyNumberFormat="1" applyFill="1" applyBorder="1"/>
    <xf numFmtId="165" fontId="0" fillId="0" borderId="37" xfId="3" applyNumberFormat="1" applyFont="1" applyFill="1" applyBorder="1"/>
    <xf numFmtId="0" fontId="13" fillId="0" borderId="0" xfId="2" applyFont="1" applyFill="1"/>
    <xf numFmtId="0" fontId="11" fillId="0" borderId="22" xfId="2" applyFill="1" applyBorder="1"/>
    <xf numFmtId="0" fontId="11" fillId="0" borderId="19" xfId="2" applyFill="1" applyBorder="1"/>
    <xf numFmtId="165" fontId="0" fillId="7" borderId="0" xfId="3" applyNumberFormat="1" applyFont="1" applyFill="1" applyAlignment="1"/>
    <xf numFmtId="0" fontId="13" fillId="0" borderId="0" xfId="2" applyFont="1" applyAlignment="1"/>
    <xf numFmtId="0" fontId="13" fillId="0" borderId="0" xfId="2" applyFont="1" applyFill="1" applyAlignment="1"/>
    <xf numFmtId="0" fontId="11" fillId="0" borderId="38" xfId="2" applyBorder="1"/>
    <xf numFmtId="0" fontId="11" fillId="0" borderId="26" xfId="2" applyBorder="1"/>
    <xf numFmtId="0" fontId="11" fillId="0" borderId="39" xfId="2" applyBorder="1"/>
    <xf numFmtId="0" fontId="11" fillId="0" borderId="40" xfId="2" applyBorder="1"/>
    <xf numFmtId="0" fontId="13" fillId="0" borderId="38" xfId="2" applyFont="1" applyFill="1" applyBorder="1"/>
    <xf numFmtId="165" fontId="0" fillId="0" borderId="39" xfId="3" applyNumberFormat="1" applyFont="1" applyBorder="1"/>
    <xf numFmtId="165" fontId="0" fillId="0" borderId="41" xfId="3" applyNumberFormat="1" applyFont="1" applyBorder="1"/>
    <xf numFmtId="165" fontId="0" fillId="0" borderId="0" xfId="3" applyNumberFormat="1" applyFont="1" applyFill="1" applyBorder="1"/>
    <xf numFmtId="0" fontId="13" fillId="0" borderId="42" xfId="2" applyFont="1" applyFill="1" applyBorder="1"/>
    <xf numFmtId="165" fontId="0" fillId="0" borderId="19" xfId="3" applyNumberFormat="1" applyFont="1" applyFill="1" applyBorder="1"/>
    <xf numFmtId="165" fontId="0" fillId="0" borderId="43" xfId="3" applyNumberFormat="1" applyFont="1" applyFill="1" applyBorder="1"/>
    <xf numFmtId="0" fontId="11" fillId="0" borderId="10" xfId="2" applyNumberFormat="1" applyFill="1" applyBorder="1"/>
    <xf numFmtId="165" fontId="0" fillId="0" borderId="11" xfId="3" applyNumberFormat="1" applyFont="1" applyFill="1" applyBorder="1"/>
    <xf numFmtId="49" fontId="11" fillId="0" borderId="30" xfId="2" applyNumberFormat="1" applyFill="1" applyBorder="1"/>
    <xf numFmtId="165" fontId="0" fillId="0" borderId="22" xfId="3" applyNumberFormat="1" applyFont="1" applyFill="1" applyBorder="1"/>
    <xf numFmtId="165" fontId="0" fillId="0" borderId="44" xfId="3" applyNumberFormat="1" applyFont="1" applyFill="1" applyBorder="1"/>
    <xf numFmtId="49" fontId="11" fillId="0" borderId="10" xfId="2" applyNumberFormat="1" applyFill="1" applyBorder="1"/>
    <xf numFmtId="0" fontId="2" fillId="0" borderId="10" xfId="2" applyFont="1" applyFill="1" applyBorder="1"/>
    <xf numFmtId="0" fontId="11" fillId="0" borderId="18" xfId="2" applyFill="1" applyBorder="1"/>
    <xf numFmtId="165" fontId="0" fillId="0" borderId="45" xfId="3" applyNumberFormat="1" applyFont="1" applyFill="1" applyBorder="1"/>
    <xf numFmtId="0" fontId="11" fillId="0" borderId="46" xfId="2" applyFill="1" applyBorder="1"/>
    <xf numFmtId="0" fontId="11" fillId="0" borderId="28" xfId="2" applyFill="1" applyBorder="1"/>
    <xf numFmtId="165" fontId="13" fillId="0" borderId="18" xfId="3" applyNumberFormat="1" applyFont="1" applyFill="1" applyBorder="1"/>
    <xf numFmtId="165" fontId="13" fillId="0" borderId="19" xfId="3" applyNumberFormat="1" applyFont="1" applyFill="1" applyBorder="1"/>
    <xf numFmtId="0" fontId="13" fillId="0" borderId="48" xfId="2" applyFont="1" applyFill="1" applyBorder="1"/>
    <xf numFmtId="165" fontId="0" fillId="0" borderId="49" xfId="3" applyNumberFormat="1" applyFont="1" applyFill="1" applyBorder="1"/>
    <xf numFmtId="165" fontId="0" fillId="0" borderId="50" xfId="3" applyNumberFormat="1" applyFont="1" applyFill="1" applyBorder="1"/>
    <xf numFmtId="165" fontId="13" fillId="0" borderId="51" xfId="3" applyNumberFormat="1" applyFont="1" applyFill="1" applyBorder="1"/>
    <xf numFmtId="165" fontId="13" fillId="0" borderId="36" xfId="3" applyNumberFormat="1" applyFont="1" applyFill="1" applyBorder="1"/>
    <xf numFmtId="165" fontId="13" fillId="0" borderId="36" xfId="3" applyNumberFormat="1" applyFont="1" applyBorder="1"/>
    <xf numFmtId="165" fontId="0" fillId="0" borderId="36" xfId="3" applyNumberFormat="1" applyFont="1" applyBorder="1"/>
    <xf numFmtId="165" fontId="13" fillId="0" borderId="16" xfId="3" applyNumberFormat="1" applyFont="1" applyBorder="1"/>
    <xf numFmtId="165" fontId="13" fillId="0" borderId="0" xfId="3" applyNumberFormat="1" applyFont="1" applyFill="1" applyBorder="1"/>
    <xf numFmtId="165" fontId="0" fillId="0" borderId="0" xfId="3" applyNumberFormat="1" applyFont="1" applyBorder="1" applyAlignment="1">
      <alignment horizontal="center"/>
    </xf>
    <xf numFmtId="165" fontId="13" fillId="0" borderId="0" xfId="3" applyNumberFormat="1" applyFont="1" applyBorder="1"/>
    <xf numFmtId="165" fontId="0" fillId="0" borderId="0" xfId="3" applyNumberFormat="1" applyFont="1" applyBorder="1"/>
    <xf numFmtId="4" fontId="0" fillId="0" borderId="0" xfId="3" applyNumberFormat="1" applyFont="1" applyBorder="1" applyAlignment="1">
      <alignment horizontal="left"/>
    </xf>
    <xf numFmtId="164" fontId="11" fillId="0" borderId="0" xfId="2" applyNumberFormat="1"/>
    <xf numFmtId="165" fontId="11" fillId="0" borderId="0" xfId="2" applyNumberFormat="1"/>
    <xf numFmtId="165" fontId="11" fillId="0" borderId="7" xfId="2" applyNumberFormat="1" applyBorder="1"/>
    <xf numFmtId="164" fontId="0" fillId="0" borderId="0" xfId="3" applyFont="1"/>
    <xf numFmtId="0" fontId="13" fillId="0" borderId="0" xfId="2" applyFont="1" applyAlignment="1">
      <alignment horizontal="center"/>
    </xf>
    <xf numFmtId="10" fontId="0" fillId="0" borderId="0" xfId="4" applyNumberFormat="1" applyFont="1"/>
    <xf numFmtId="3" fontId="3" fillId="0" borderId="0" xfId="3" applyNumberFormat="1" applyFont="1"/>
    <xf numFmtId="0" fontId="8" fillId="0" borderId="0" xfId="2" applyFont="1" applyAlignment="1">
      <alignment horizontal="right"/>
    </xf>
    <xf numFmtId="3" fontId="8" fillId="0" borderId="0" xfId="3" applyNumberFormat="1" applyFont="1"/>
    <xf numFmtId="0" fontId="8" fillId="0" borderId="0" xfId="2" applyFont="1" applyAlignment="1"/>
    <xf numFmtId="3" fontId="3" fillId="0" borderId="22" xfId="3" applyNumberFormat="1" applyFont="1" applyBorder="1"/>
    <xf numFmtId="1" fontId="8" fillId="0" borderId="0" xfId="2" applyNumberFormat="1" applyFont="1"/>
    <xf numFmtId="0" fontId="8" fillId="0" borderId="0" xfId="2" applyFont="1" applyFill="1"/>
    <xf numFmtId="3" fontId="3" fillId="0" borderId="22" xfId="2" applyNumberFormat="1" applyFont="1" applyBorder="1"/>
    <xf numFmtId="49" fontId="8" fillId="0" borderId="0" xfId="2" applyNumberFormat="1" applyFont="1"/>
    <xf numFmtId="3" fontId="3" fillId="0" borderId="36" xfId="2" applyNumberFormat="1" applyFont="1" applyBorder="1"/>
    <xf numFmtId="0" fontId="8" fillId="0" borderId="0" xfId="2" applyFont="1" applyBorder="1"/>
    <xf numFmtId="49" fontId="8" fillId="0" borderId="0" xfId="2" applyNumberFormat="1" applyFont="1" applyBorder="1"/>
    <xf numFmtId="165" fontId="8" fillId="0" borderId="0" xfId="3" applyNumberFormat="1" applyFont="1" applyBorder="1"/>
    <xf numFmtId="0" fontId="3" fillId="0" borderId="0" xfId="0" applyFont="1" applyAlignment="1"/>
    <xf numFmtId="0" fontId="0" fillId="0" borderId="0" xfId="0" applyAlignment="1"/>
    <xf numFmtId="0" fontId="3" fillId="0" borderId="0" xfId="0" applyFont="1" applyAlignment="1"/>
    <xf numFmtId="0" fontId="0" fillId="0" borderId="0" xfId="0" applyAlignment="1"/>
    <xf numFmtId="0" fontId="8" fillId="0" borderId="0" xfId="0" applyFont="1" applyBorder="1" applyAlignment="1">
      <alignment horizontal="left" vertical="top" wrapText="1"/>
    </xf>
    <xf numFmtId="0" fontId="11" fillId="0" borderId="10" xfId="2" applyBorder="1" applyAlignment="1">
      <alignment horizontal="left"/>
    </xf>
    <xf numFmtId="0" fontId="11" fillId="0" borderId="0" xfId="2" applyBorder="1" applyAlignment="1">
      <alignment horizontal="left"/>
    </xf>
    <xf numFmtId="0" fontId="12" fillId="0" borderId="14" xfId="2" applyFont="1" applyBorder="1" applyAlignment="1">
      <alignment horizontal="left"/>
    </xf>
    <xf numFmtId="0" fontId="12" fillId="0" borderId="4" xfId="2" applyFont="1" applyBorder="1" applyAlignment="1">
      <alignment horizontal="left"/>
    </xf>
    <xf numFmtId="0" fontId="12" fillId="0" borderId="15" xfId="2" applyFont="1" applyBorder="1" applyAlignment="1">
      <alignment horizontal="left"/>
    </xf>
    <xf numFmtId="0" fontId="11" fillId="0" borderId="14" xfId="2" applyBorder="1" applyAlignment="1">
      <alignment horizontal="left"/>
    </xf>
    <xf numFmtId="0" fontId="11" fillId="0" borderId="4" xfId="2" applyBorder="1" applyAlignment="1">
      <alignment horizontal="left"/>
    </xf>
    <xf numFmtId="0" fontId="11" fillId="0" borderId="10" xfId="2" applyBorder="1" applyAlignment="1">
      <alignment horizontal="center"/>
    </xf>
    <xf numFmtId="0" fontId="11" fillId="0" borderId="0" xfId="2" applyBorder="1" applyAlignment="1">
      <alignment horizontal="center"/>
    </xf>
    <xf numFmtId="0" fontId="11" fillId="0" borderId="11" xfId="2" applyBorder="1" applyAlignment="1">
      <alignment horizontal="center"/>
    </xf>
    <xf numFmtId="0" fontId="11" fillId="0" borderId="10" xfId="2" applyFill="1" applyBorder="1" applyAlignment="1">
      <alignment horizontal="left"/>
    </xf>
    <xf numFmtId="0" fontId="11" fillId="0" borderId="0" xfId="2" applyFill="1" applyBorder="1" applyAlignment="1">
      <alignment horizontal="left"/>
    </xf>
    <xf numFmtId="0" fontId="11" fillId="0" borderId="11" xfId="2" applyFill="1" applyBorder="1" applyAlignment="1">
      <alignment horizontal="left"/>
    </xf>
    <xf numFmtId="0" fontId="11" fillId="0" borderId="12" xfId="2" applyFill="1" applyBorder="1" applyAlignment="1">
      <alignment horizontal="center"/>
    </xf>
    <xf numFmtId="0" fontId="11" fillId="0" borderId="7" xfId="2" applyFill="1" applyBorder="1" applyAlignment="1">
      <alignment horizontal="center"/>
    </xf>
    <xf numFmtId="0" fontId="11" fillId="0" borderId="13" xfId="2" applyFill="1" applyBorder="1" applyAlignment="1">
      <alignment horizontal="center"/>
    </xf>
    <xf numFmtId="171" fontId="8" fillId="0" borderId="0" xfId="2" applyNumberFormat="1" applyFont="1" applyBorder="1" applyAlignment="1">
      <alignment horizontal="center" vertical="center"/>
    </xf>
    <xf numFmtId="0" fontId="5" fillId="0" borderId="0" xfId="2" applyFont="1" applyAlignment="1">
      <alignment horizontal="left" vertical="top" wrapText="1"/>
    </xf>
    <xf numFmtId="0" fontId="18" fillId="0" borderId="0" xfId="2" applyFont="1" applyAlignment="1">
      <alignment horizontal="left" vertical="top" wrapText="1"/>
    </xf>
    <xf numFmtId="0" fontId="6" fillId="0" borderId="0" xfId="2" applyFont="1" applyAlignment="1">
      <alignment horizontal="left" vertical="top" wrapText="1"/>
    </xf>
    <xf numFmtId="0" fontId="19" fillId="0" borderId="0" xfId="2" applyFont="1" applyAlignment="1" applyProtection="1">
      <alignment horizontal="right" vertical="center"/>
      <protection locked="0"/>
    </xf>
    <xf numFmtId="0" fontId="19" fillId="0" borderId="0" xfId="2" applyFont="1" applyAlignment="1">
      <alignment horizontal="right" vertical="center"/>
    </xf>
    <xf numFmtId="0" fontId="20" fillId="0" borderId="0" xfId="2" applyFont="1" applyAlignment="1" applyProtection="1">
      <alignment horizontal="center" vertical="center"/>
      <protection locked="0"/>
    </xf>
    <xf numFmtId="0" fontId="23" fillId="0" borderId="0" xfId="2" applyFont="1" applyBorder="1" applyAlignment="1">
      <alignment horizontal="center" vertical="center"/>
    </xf>
    <xf numFmtId="0" fontId="24" fillId="0" borderId="0" xfId="2" applyFont="1" applyBorder="1" applyAlignment="1">
      <alignment horizontal="left" vertical="center"/>
    </xf>
    <xf numFmtId="0" fontId="24" fillId="0" borderId="4" xfId="2" applyFont="1" applyBorder="1" applyAlignment="1">
      <alignment horizontal="center"/>
    </xf>
    <xf numFmtId="3" fontId="19" fillId="0" borderId="0" xfId="2" applyNumberFormat="1" applyFont="1" applyAlignment="1" applyProtection="1">
      <alignment vertical="center"/>
      <protection locked="0"/>
    </xf>
    <xf numFmtId="0" fontId="19" fillId="0" borderId="0" xfId="2" applyFont="1" applyAlignment="1">
      <alignment vertical="center"/>
    </xf>
    <xf numFmtId="0" fontId="21" fillId="0" borderId="4" xfId="2" applyFont="1" applyBorder="1" applyAlignment="1">
      <alignment horizontal="center"/>
    </xf>
    <xf numFmtId="0" fontId="5" fillId="0" borderId="0" xfId="2" applyFont="1" applyAlignment="1">
      <alignment horizontal="left" vertical="center"/>
    </xf>
    <xf numFmtId="0" fontId="19" fillId="0" borderId="0" xfId="2" applyFont="1" applyAlignment="1" applyProtection="1">
      <alignment vertical="center"/>
      <protection locked="0"/>
    </xf>
    <xf numFmtId="0" fontId="5" fillId="0" borderId="0" xfId="2" applyFont="1" applyAlignment="1" applyProtection="1">
      <alignment horizontal="left" vertical="center"/>
      <protection locked="0"/>
    </xf>
    <xf numFmtId="165" fontId="23" fillId="0" borderId="0" xfId="3" applyNumberFormat="1" applyFont="1" applyAlignment="1">
      <alignment horizontal="right" vertical="center"/>
    </xf>
    <xf numFmtId="0" fontId="23" fillId="0" borderId="7" xfId="2" applyFont="1" applyBorder="1" applyAlignment="1">
      <alignment vertical="center"/>
    </xf>
    <xf numFmtId="0" fontId="11" fillId="0" borderId="0" xfId="2" applyAlignment="1">
      <alignment vertical="center"/>
    </xf>
    <xf numFmtId="3" fontId="23" fillId="0" borderId="0" xfId="2" applyNumberFormat="1" applyFont="1" applyBorder="1" applyAlignment="1">
      <alignment horizontal="left" vertical="center"/>
    </xf>
    <xf numFmtId="10" fontId="3" fillId="0" borderId="0" xfId="4" applyNumberFormat="1" applyFont="1" applyBorder="1" applyAlignment="1">
      <alignment horizontal="center"/>
    </xf>
    <xf numFmtId="0" fontId="5" fillId="0" borderId="0" xfId="2" applyFont="1" applyAlignment="1">
      <alignment horizontal="left"/>
    </xf>
    <xf numFmtId="172" fontId="23" fillId="0" borderId="0" xfId="2" applyNumberFormat="1" applyFont="1" applyAlignment="1">
      <alignment horizontal="center" vertical="center"/>
    </xf>
    <xf numFmtId="0" fontId="25" fillId="0" borderId="0" xfId="2" applyFont="1" applyAlignment="1">
      <alignment horizontal="center" vertical="center"/>
    </xf>
    <xf numFmtId="0" fontId="24" fillId="0" borderId="0" xfId="2" applyFont="1" applyAlignment="1">
      <alignment horizontal="center"/>
    </xf>
    <xf numFmtId="0" fontId="21" fillId="0" borderId="0" xfId="2" applyFont="1" applyAlignment="1">
      <alignment horizontal="left"/>
    </xf>
    <xf numFmtId="0" fontId="5" fillId="0" borderId="0" xfId="2" applyFont="1" applyBorder="1" applyAlignment="1">
      <alignment horizontal="left"/>
    </xf>
    <xf numFmtId="171" fontId="21" fillId="0" borderId="0" xfId="2" applyNumberFormat="1" applyFont="1" applyAlignment="1">
      <alignment horizontal="right"/>
    </xf>
    <xf numFmtId="168" fontId="5" fillId="0" borderId="0" xfId="2" applyNumberFormat="1" applyFont="1" applyAlignment="1">
      <alignment horizontal="left"/>
    </xf>
    <xf numFmtId="0" fontId="3" fillId="0" borderId="0" xfId="2" applyFont="1" applyAlignment="1">
      <alignment horizontal="left" vertical="top" wrapText="1"/>
    </xf>
    <xf numFmtId="0" fontId="8" fillId="0" borderId="0" xfId="2" applyFont="1" applyAlignment="1">
      <alignment horizontal="left" vertical="top" wrapText="1"/>
    </xf>
    <xf numFmtId="0" fontId="29" fillId="0" borderId="18" xfId="2" applyFont="1" applyBorder="1" applyAlignment="1">
      <alignment horizontal="right"/>
    </xf>
    <xf numFmtId="0" fontId="29" fillId="0" borderId="19" xfId="2" applyFont="1" applyBorder="1" applyAlignment="1">
      <alignment horizontal="right"/>
    </xf>
    <xf numFmtId="0" fontId="29" fillId="0" borderId="21" xfId="2" applyFont="1" applyBorder="1" applyAlignment="1">
      <alignment horizontal="right"/>
    </xf>
    <xf numFmtId="0" fontId="29" fillId="0" borderId="22" xfId="2" applyFont="1" applyBorder="1" applyAlignment="1">
      <alignment horizontal="right"/>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23" xfId="2" applyFont="1" applyBorder="1" applyAlignment="1">
      <alignment horizontal="center" vertical="center" wrapText="1"/>
    </xf>
    <xf numFmtId="3" fontId="8" fillId="0" borderId="24" xfId="2" applyNumberFormat="1" applyFont="1" applyBorder="1" applyAlignment="1">
      <alignment horizontal="right" wrapText="1"/>
    </xf>
    <xf numFmtId="165" fontId="8" fillId="0" borderId="24" xfId="3" applyNumberFormat="1" applyFont="1" applyBorder="1" applyAlignment="1">
      <alignment horizontal="center" wrapText="1"/>
    </xf>
    <xf numFmtId="165" fontId="8" fillId="0" borderId="21" xfId="3" applyNumberFormat="1" applyFont="1" applyBorder="1" applyAlignment="1">
      <alignment horizontal="right" wrapText="1"/>
    </xf>
    <xf numFmtId="165" fontId="8" fillId="0" borderId="22" xfId="3" applyNumberFormat="1" applyFont="1" applyBorder="1" applyAlignment="1">
      <alignment horizontal="right" wrapText="1"/>
    </xf>
    <xf numFmtId="165" fontId="8" fillId="0" borderId="23" xfId="3" applyNumberFormat="1" applyFont="1" applyBorder="1" applyAlignment="1">
      <alignment horizontal="right" wrapText="1"/>
    </xf>
    <xf numFmtId="165" fontId="8" fillId="0" borderId="21" xfId="3" applyNumberFormat="1" applyFont="1" applyBorder="1" applyAlignment="1">
      <alignment horizontal="center" wrapText="1"/>
    </xf>
    <xf numFmtId="165" fontId="8" fillId="0" borderId="22" xfId="3" applyNumberFormat="1" applyFont="1" applyBorder="1" applyAlignment="1">
      <alignment horizontal="center" wrapText="1"/>
    </xf>
    <xf numFmtId="165" fontId="8" fillId="0" borderId="23" xfId="3" applyNumberFormat="1" applyFont="1" applyBorder="1" applyAlignment="1">
      <alignment horizontal="center" wrapText="1"/>
    </xf>
    <xf numFmtId="0" fontId="18" fillId="0" borderId="19"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23" xfId="2" applyFont="1" applyBorder="1" applyAlignment="1">
      <alignment horizontal="center" vertical="center" wrapText="1"/>
    </xf>
    <xf numFmtId="3" fontId="8" fillId="0" borderId="24" xfId="2" applyNumberFormat="1" applyFont="1" applyBorder="1" applyAlignment="1">
      <alignment horizontal="right"/>
    </xf>
    <xf numFmtId="3" fontId="11" fillId="0" borderId="0" xfId="2" applyNumberFormat="1" applyAlignment="1">
      <alignment horizontal="right" vertical="justify" wrapText="1" readingOrder="1"/>
    </xf>
    <xf numFmtId="0" fontId="11" fillId="0" borderId="0" xfId="2" applyAlignment="1">
      <alignment horizontal="right" vertical="justify" wrapText="1" readingOrder="1"/>
    </xf>
    <xf numFmtId="0" fontId="18" fillId="0" borderId="0" xfId="2" applyFont="1" applyAlignment="1">
      <alignment horizontal="right"/>
    </xf>
    <xf numFmtId="0" fontId="3" fillId="0" borderId="0" xfId="2" applyFont="1" applyAlignment="1">
      <alignment horizontal="right"/>
    </xf>
    <xf numFmtId="0" fontId="18" fillId="0" borderId="0" xfId="2" applyFont="1" applyAlignment="1">
      <alignment horizontal="left"/>
    </xf>
    <xf numFmtId="0" fontId="21" fillId="0" borderId="0" xfId="2" applyFont="1" applyBorder="1" applyAlignment="1">
      <alignment horizontal="right"/>
    </xf>
    <xf numFmtId="0" fontId="21" fillId="0" borderId="0" xfId="2" applyFont="1" applyAlignment="1">
      <alignment horizontal="center"/>
    </xf>
    <xf numFmtId="0" fontId="11" fillId="0" borderId="10" xfId="2" applyBorder="1" applyAlignment="1"/>
    <xf numFmtId="0" fontId="11" fillId="0" borderId="0" xfId="2" applyBorder="1" applyAlignment="1"/>
    <xf numFmtId="0" fontId="11" fillId="0" borderId="10" xfId="2" applyFill="1" applyBorder="1" applyAlignment="1">
      <alignment horizontal="center"/>
    </xf>
    <xf numFmtId="0" fontId="11" fillId="0" borderId="0" xfId="2" applyFill="1" applyBorder="1" applyAlignment="1">
      <alignment horizontal="center"/>
    </xf>
    <xf numFmtId="0" fontId="11" fillId="0" borderId="11" xfId="2" applyFill="1" applyBorder="1" applyAlignment="1">
      <alignment horizontal="center"/>
    </xf>
    <xf numFmtId="3" fontId="5" fillId="0" borderId="0" xfId="3" applyNumberFormat="1" applyFont="1" applyAlignment="1">
      <alignment horizontal="center" vertical="center" wrapText="1"/>
    </xf>
    <xf numFmtId="0" fontId="23" fillId="0" borderId="0" xfId="2" applyFont="1" applyAlignment="1">
      <alignment horizontal="left" vertical="center" wrapText="1"/>
    </xf>
    <xf numFmtId="3" fontId="5" fillId="0" borderId="0" xfId="2" applyNumberFormat="1" applyFont="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left" vertical="center" wrapText="1"/>
    </xf>
    <xf numFmtId="0" fontId="23" fillId="0" borderId="0" xfId="2" applyFont="1" applyAlignment="1">
      <alignment horizontal="center" vertical="center"/>
    </xf>
    <xf numFmtId="0" fontId="34" fillId="0" borderId="0" xfId="2" applyFont="1" applyAlignment="1">
      <alignment horizontal="center" vertical="top"/>
    </xf>
    <xf numFmtId="3" fontId="23" fillId="0" borderId="0" xfId="2" applyNumberFormat="1" applyFont="1" applyAlignment="1">
      <alignment horizontal="center" vertical="center"/>
    </xf>
    <xf numFmtId="0" fontId="24" fillId="0" borderId="0" xfId="2" applyFont="1" applyAlignment="1">
      <alignment horizontal="center" vertical="center"/>
    </xf>
    <xf numFmtId="0" fontId="35" fillId="0" borderId="0" xfId="2" applyFont="1" applyAlignment="1">
      <alignment horizontal="center" vertical="center"/>
    </xf>
    <xf numFmtId="49" fontId="36" fillId="0" borderId="0" xfId="2" applyNumberFormat="1" applyFont="1" applyAlignment="1">
      <alignment horizontal="left" vertical="top"/>
    </xf>
    <xf numFmtId="0" fontId="8" fillId="0" borderId="0" xfId="2" applyFont="1" applyAlignment="1" applyProtection="1">
      <alignment horizontal="left" vertical="center"/>
      <protection locked="0"/>
    </xf>
    <xf numFmtId="0" fontId="22" fillId="0" borderId="0" xfId="2" applyFont="1" applyAlignment="1">
      <alignment horizontal="left" vertical="top"/>
    </xf>
    <xf numFmtId="171" fontId="8" fillId="0" borderId="0" xfId="4" applyNumberFormat="1" applyFont="1" applyBorder="1" applyAlignment="1">
      <alignment horizontal="right"/>
    </xf>
    <xf numFmtId="10" fontId="8" fillId="0" borderId="0" xfId="4" applyNumberFormat="1" applyFont="1" applyBorder="1" applyAlignment="1">
      <alignment horizontal="left"/>
    </xf>
    <xf numFmtId="0" fontId="3" fillId="0" borderId="0" xfId="2" applyFont="1" applyAlignment="1"/>
    <xf numFmtId="0" fontId="11" fillId="0" borderId="0" xfId="2" applyAlignment="1"/>
    <xf numFmtId="0" fontId="8" fillId="0" borderId="0" xfId="2" applyFont="1" applyBorder="1" applyAlignment="1">
      <alignment horizontal="left" vertical="top" wrapText="1"/>
    </xf>
    <xf numFmtId="0" fontId="35" fillId="0" borderId="0" xfId="2" applyFont="1" applyAlignment="1">
      <alignment horizontal="center"/>
    </xf>
    <xf numFmtId="0" fontId="8" fillId="6" borderId="0" xfId="2" applyFont="1" applyFill="1" applyAlignment="1">
      <alignment horizontal="left" vertical="top" wrapText="1"/>
    </xf>
    <xf numFmtId="0" fontId="11" fillId="6" borderId="0" xfId="2" applyFill="1" applyAlignment="1">
      <alignment horizontal="left" vertical="top" wrapText="1"/>
    </xf>
    <xf numFmtId="0" fontId="4" fillId="0" borderId="7" xfId="2" applyFont="1" applyBorder="1" applyAlignment="1">
      <alignment horizontal="center"/>
    </xf>
    <xf numFmtId="0" fontId="11" fillId="0" borderId="7" xfId="2" applyBorder="1" applyAlignment="1">
      <alignment horizontal="center"/>
    </xf>
    <xf numFmtId="0" fontId="11" fillId="0" borderId="0" xfId="2" applyAlignment="1">
      <alignment horizontal="center"/>
    </xf>
    <xf numFmtId="165" fontId="0" fillId="7" borderId="0" xfId="3" applyNumberFormat="1" applyFont="1" applyFill="1" applyAlignment="1">
      <alignment horizontal="center"/>
    </xf>
    <xf numFmtId="9" fontId="13" fillId="7" borderId="0" xfId="2" applyNumberFormat="1" applyFont="1" applyFill="1" applyAlignment="1"/>
    <xf numFmtId="165" fontId="0" fillId="7" borderId="0" xfId="3" applyNumberFormat="1" applyFont="1" applyFill="1" applyAlignment="1"/>
    <xf numFmtId="165" fontId="0" fillId="0" borderId="46" xfId="3" applyNumberFormat="1" applyFont="1" applyFill="1" applyBorder="1" applyAlignment="1">
      <alignment horizontal="center"/>
    </xf>
    <xf numFmtId="165" fontId="0" fillId="0" borderId="47" xfId="3" applyNumberFormat="1" applyFont="1" applyFill="1" applyBorder="1" applyAlignment="1">
      <alignment horizontal="center"/>
    </xf>
    <xf numFmtId="0" fontId="26" fillId="0" borderId="0" xfId="2" applyFont="1" applyAlignment="1">
      <alignment horizontal="center"/>
    </xf>
    <xf numFmtId="165" fontId="0" fillId="0" borderId="18" xfId="3" applyNumberFormat="1" applyFont="1" applyFill="1" applyBorder="1" applyAlignment="1">
      <alignment horizontal="center"/>
    </xf>
    <xf numFmtId="165" fontId="0" fillId="0" borderId="20" xfId="3" applyNumberFormat="1" applyFont="1" applyFill="1" applyBorder="1" applyAlignment="1">
      <alignment horizontal="center"/>
    </xf>
    <xf numFmtId="165" fontId="0" fillId="0" borderId="51" xfId="3" applyNumberFormat="1" applyFont="1" applyBorder="1" applyAlignment="1">
      <alignment horizontal="center"/>
    </xf>
    <xf numFmtId="165" fontId="0" fillId="0" borderId="52" xfId="3" applyNumberFormat="1" applyFont="1" applyBorder="1" applyAlignment="1">
      <alignment horizontal="center"/>
    </xf>
    <xf numFmtId="0" fontId="13" fillId="0" borderId="0" xfId="2" applyFont="1" applyAlignment="1"/>
    <xf numFmtId="0" fontId="11" fillId="0" borderId="7" xfId="2" applyBorder="1" applyAlignment="1"/>
    <xf numFmtId="0" fontId="8" fillId="0" borderId="0" xfId="2" applyFont="1" applyAlignment="1"/>
    <xf numFmtId="0" fontId="4" fillId="0" borderId="0" xfId="2" applyFont="1" applyAlignment="1">
      <alignment horizontal="center"/>
    </xf>
    <xf numFmtId="0" fontId="41" fillId="3" borderId="0" xfId="6" applyFill="1"/>
    <xf numFmtId="0" fontId="41" fillId="0" borderId="0" xfId="6"/>
    <xf numFmtId="0" fontId="12" fillId="0" borderId="0" xfId="6" applyFont="1"/>
    <xf numFmtId="0" fontId="3" fillId="0" borderId="0" xfId="6" applyFont="1"/>
    <xf numFmtId="0" fontId="13" fillId="0" borderId="14" xfId="6" applyFont="1" applyBorder="1" applyAlignment="1"/>
    <xf numFmtId="0" fontId="41" fillId="0" borderId="4" xfId="6" applyBorder="1" applyAlignment="1"/>
    <xf numFmtId="0" fontId="41" fillId="0" borderId="4" xfId="6" applyBorder="1"/>
    <xf numFmtId="0" fontId="13" fillId="0" borderId="4" xfId="6" applyFont="1" applyBorder="1" applyAlignment="1"/>
    <xf numFmtId="0" fontId="41" fillId="0" borderId="15" xfId="6" applyBorder="1" applyAlignment="1"/>
    <xf numFmtId="0" fontId="13" fillId="0" borderId="10" xfId="6" applyFont="1" applyBorder="1" applyAlignment="1">
      <alignment horizontal="center" vertical="center"/>
    </xf>
    <xf numFmtId="0" fontId="41" fillId="0" borderId="0" xfId="6" applyBorder="1" applyAlignment="1">
      <alignment horizontal="center" vertical="center"/>
    </xf>
    <xf numFmtId="0" fontId="42" fillId="0" borderId="0" xfId="6" applyFont="1" applyFill="1" applyBorder="1" applyAlignment="1">
      <alignment horizontal="center" vertical="center"/>
    </xf>
    <xf numFmtId="1" fontId="41" fillId="3" borderId="7" xfId="6" applyNumberFormat="1" applyFill="1" applyBorder="1" applyAlignment="1">
      <alignment horizontal="distributed"/>
    </xf>
    <xf numFmtId="0" fontId="19" fillId="3" borderId="0" xfId="6" applyFont="1" applyFill="1" applyBorder="1" applyAlignment="1">
      <alignment horizontal="center" vertical="center"/>
    </xf>
    <xf numFmtId="0" fontId="41" fillId="0" borderId="0" xfId="6" applyFill="1" applyBorder="1" applyAlignment="1">
      <alignment horizontal="center" vertical="center"/>
    </xf>
    <xf numFmtId="0" fontId="41" fillId="3" borderId="0" xfId="6" applyFill="1" applyBorder="1" applyAlignment="1">
      <alignment horizontal="center" vertical="center"/>
    </xf>
    <xf numFmtId="0" fontId="41" fillId="0" borderId="0" xfId="6" applyBorder="1" applyAlignment="1">
      <alignment horizontal="center"/>
    </xf>
    <xf numFmtId="0" fontId="28" fillId="0" borderId="0" xfId="6" applyFont="1" applyBorder="1" applyAlignment="1">
      <alignment horizontal="center" vertical="center"/>
    </xf>
    <xf numFmtId="165" fontId="41" fillId="3" borderId="0" xfId="7" applyNumberFormat="1" applyFill="1" applyBorder="1" applyAlignment="1">
      <alignment horizontal="center" vertical="center"/>
    </xf>
    <xf numFmtId="0" fontId="41" fillId="0" borderId="0" xfId="6" applyBorder="1" applyAlignment="1"/>
    <xf numFmtId="0" fontId="41" fillId="0" borderId="11" xfId="6" applyBorder="1" applyAlignment="1"/>
    <xf numFmtId="0" fontId="41" fillId="3" borderId="0" xfId="7" applyNumberFormat="1" applyFill="1" applyBorder="1" applyAlignment="1">
      <alignment horizontal="center" vertical="center"/>
    </xf>
    <xf numFmtId="0" fontId="41" fillId="0" borderId="0" xfId="6" applyBorder="1"/>
    <xf numFmtId="0" fontId="43" fillId="0" borderId="0" xfId="6" applyFont="1" applyBorder="1"/>
    <xf numFmtId="0" fontId="41" fillId="0" borderId="11" xfId="6" applyBorder="1"/>
    <xf numFmtId="0" fontId="13" fillId="0" borderId="10" xfId="6" applyFont="1" applyBorder="1" applyAlignment="1">
      <alignment horizontal="center"/>
    </xf>
    <xf numFmtId="0" fontId="13" fillId="0" borderId="0" xfId="6" applyFont="1" applyBorder="1" applyAlignment="1">
      <alignment horizontal="center"/>
    </xf>
    <xf numFmtId="0" fontId="41" fillId="3" borderId="49" xfId="6" applyFill="1" applyBorder="1" applyAlignment="1">
      <alignment horizontal="center"/>
    </xf>
    <xf numFmtId="0" fontId="19" fillId="0" borderId="0" xfId="6" applyFont="1" applyFill="1" applyBorder="1" applyAlignment="1">
      <alignment horizontal="center" vertical="center"/>
    </xf>
    <xf numFmtId="0" fontId="29" fillId="0" borderId="0" xfId="6" applyFont="1" applyFill="1" applyBorder="1" applyAlignment="1">
      <alignment horizontal="center" vertical="top"/>
    </xf>
    <xf numFmtId="0" fontId="41" fillId="3" borderId="0" xfId="6" applyFill="1" applyBorder="1" applyAlignment="1">
      <alignment horizontal="center" vertical="center"/>
    </xf>
    <xf numFmtId="0" fontId="13" fillId="0" borderId="0" xfId="6" applyFont="1" applyBorder="1" applyAlignment="1">
      <alignment horizontal="center" vertical="center"/>
    </xf>
    <xf numFmtId="0" fontId="42" fillId="0" borderId="0" xfId="6" applyFont="1" applyBorder="1" applyAlignment="1">
      <alignment horizontal="center" vertical="center"/>
    </xf>
    <xf numFmtId="0" fontId="41" fillId="0" borderId="7" xfId="6" applyBorder="1" applyAlignment="1">
      <alignment horizontal="center"/>
    </xf>
    <xf numFmtId="0" fontId="19" fillId="0" borderId="0" xfId="6" applyFont="1" applyBorder="1" applyAlignment="1">
      <alignment horizontal="center" vertical="center"/>
    </xf>
    <xf numFmtId="0" fontId="44" fillId="0" borderId="0" xfId="6" applyFont="1" applyBorder="1" applyAlignment="1">
      <alignment horizontal="center" vertical="top"/>
    </xf>
    <xf numFmtId="0" fontId="42" fillId="0" borderId="0" xfId="6" applyFont="1" applyBorder="1" applyAlignment="1">
      <alignment horizontal="left" vertical="center"/>
    </xf>
    <xf numFmtId="0" fontId="41" fillId="3" borderId="0" xfId="6" applyFill="1" applyBorder="1" applyAlignment="1">
      <alignment horizontal="center"/>
    </xf>
    <xf numFmtId="0" fontId="41" fillId="0" borderId="0" xfId="6" applyFill="1" applyBorder="1" applyAlignment="1">
      <alignment vertical="center"/>
    </xf>
    <xf numFmtId="0" fontId="41" fillId="0" borderId="0" xfId="6" applyNumberFormat="1" applyBorder="1" applyAlignment="1">
      <alignment horizontal="center"/>
    </xf>
    <xf numFmtId="0" fontId="41" fillId="0" borderId="10" xfId="6" applyBorder="1"/>
    <xf numFmtId="0" fontId="8" fillId="0" borderId="0" xfId="6" applyFont="1" applyBorder="1"/>
    <xf numFmtId="0" fontId="19" fillId="0" borderId="0" xfId="6" applyFont="1" applyBorder="1"/>
    <xf numFmtId="0" fontId="13" fillId="0" borderId="10" xfId="6" applyFont="1" applyBorder="1" applyAlignment="1">
      <alignment horizontal="center" vertical="center"/>
    </xf>
    <xf numFmtId="0" fontId="13" fillId="0" borderId="0" xfId="6" applyFont="1" applyBorder="1" applyAlignment="1">
      <alignment horizontal="center" vertical="center"/>
    </xf>
    <xf numFmtId="0" fontId="42" fillId="0" borderId="0" xfId="6" applyFont="1" applyBorder="1" applyAlignment="1">
      <alignment horizontal="center" vertical="center"/>
    </xf>
    <xf numFmtId="0" fontId="19" fillId="0" borderId="0" xfId="6" applyFont="1" applyBorder="1" applyAlignment="1">
      <alignment horizontal="center" vertical="center"/>
    </xf>
    <xf numFmtId="0" fontId="33" fillId="0" borderId="0" xfId="6" applyFont="1" applyBorder="1" applyAlignment="1">
      <alignment horizontal="center" vertical="top"/>
    </xf>
    <xf numFmtId="0" fontId="41" fillId="0" borderId="0" xfId="6" applyBorder="1" applyAlignment="1">
      <alignment horizontal="center" vertical="center"/>
    </xf>
    <xf numFmtId="0" fontId="42" fillId="0" borderId="0" xfId="6" applyFont="1" applyBorder="1" applyAlignment="1">
      <alignment horizontal="left" vertical="center"/>
    </xf>
    <xf numFmtId="0" fontId="41" fillId="0" borderId="0" xfId="6" applyBorder="1" applyAlignment="1">
      <alignment horizontal="center"/>
    </xf>
    <xf numFmtId="0" fontId="29" fillId="0" borderId="0" xfId="6" applyFont="1" applyBorder="1" applyAlignment="1">
      <alignment horizontal="center" vertical="top"/>
    </xf>
    <xf numFmtId="165" fontId="41" fillId="0" borderId="11" xfId="7" applyNumberFormat="1" applyBorder="1" applyAlignment="1">
      <alignment horizontal="center" vertical="center"/>
    </xf>
    <xf numFmtId="0" fontId="13" fillId="0" borderId="10" xfId="6" applyFont="1" applyBorder="1" applyAlignment="1">
      <alignment horizontal="center"/>
    </xf>
    <xf numFmtId="0" fontId="13" fillId="0" borderId="0" xfId="6" applyFont="1" applyBorder="1" applyAlignment="1">
      <alignment horizontal="center"/>
    </xf>
    <xf numFmtId="165" fontId="41" fillId="0" borderId="0" xfId="6" applyNumberFormat="1" applyBorder="1"/>
    <xf numFmtId="0" fontId="45" fillId="0" borderId="0" xfId="6" applyFont="1" applyBorder="1" applyAlignment="1">
      <alignment horizontal="right"/>
    </xf>
    <xf numFmtId="0" fontId="33" fillId="0" borderId="0" xfId="6" applyFont="1" applyBorder="1" applyAlignment="1">
      <alignment horizontal="left" vertical="top"/>
    </xf>
    <xf numFmtId="0" fontId="19" fillId="0" borderId="0" xfId="6" applyFont="1" applyBorder="1" applyAlignment="1">
      <alignment vertical="center"/>
    </xf>
    <xf numFmtId="0" fontId="13" fillId="0" borderId="10" xfId="6" applyFont="1" applyBorder="1"/>
    <xf numFmtId="0" fontId="13" fillId="0" borderId="0" xfId="6" applyFont="1" applyBorder="1"/>
    <xf numFmtId="0" fontId="29" fillId="0" borderId="0" xfId="6" applyFont="1" applyBorder="1" applyAlignment="1">
      <alignment horizontal="left" vertical="top"/>
    </xf>
    <xf numFmtId="0" fontId="45" fillId="0" borderId="0" xfId="6" applyFont="1" applyBorder="1"/>
    <xf numFmtId="165" fontId="41" fillId="0" borderId="11" xfId="7" applyNumberFormat="1" applyBorder="1"/>
    <xf numFmtId="0" fontId="41" fillId="0" borderId="0" xfId="6" applyNumberFormat="1" applyBorder="1" applyAlignment="1">
      <alignment horizontal="center" vertical="center"/>
    </xf>
    <xf numFmtId="0" fontId="13" fillId="0" borderId="12" xfId="6" applyFont="1" applyBorder="1" applyAlignment="1">
      <alignment horizontal="center" vertical="center"/>
    </xf>
    <xf numFmtId="0" fontId="13" fillId="0" borderId="7" xfId="6" applyFont="1" applyBorder="1" applyAlignment="1">
      <alignment horizontal="center" vertical="center"/>
    </xf>
    <xf numFmtId="0" fontId="42" fillId="0" borderId="7" xfId="6" applyFont="1" applyBorder="1" applyAlignment="1">
      <alignment horizontal="center" vertical="center"/>
    </xf>
    <xf numFmtId="0" fontId="41" fillId="0" borderId="7" xfId="6" applyNumberFormat="1" applyBorder="1" applyAlignment="1">
      <alignment horizontal="center"/>
    </xf>
    <xf numFmtId="0" fontId="19" fillId="0" borderId="7" xfId="6" applyFont="1" applyBorder="1" applyAlignment="1">
      <alignment horizontal="center" vertical="center"/>
    </xf>
    <xf numFmtId="0" fontId="41" fillId="0" borderId="7" xfId="6" applyBorder="1"/>
    <xf numFmtId="0" fontId="41" fillId="0" borderId="7" xfId="6" applyBorder="1" applyAlignment="1">
      <alignment horizontal="center" vertical="center"/>
    </xf>
    <xf numFmtId="0" fontId="13" fillId="0" borderId="12" xfId="6" applyFont="1" applyBorder="1" applyAlignment="1">
      <alignment horizontal="center" vertical="center"/>
    </xf>
    <xf numFmtId="49" fontId="28" fillId="0" borderId="7" xfId="6" applyNumberFormat="1" applyFont="1" applyBorder="1" applyAlignment="1">
      <alignment horizontal="center" vertical="center"/>
    </xf>
    <xf numFmtId="0" fontId="41" fillId="3" borderId="7" xfId="6" applyFill="1" applyBorder="1" applyAlignment="1"/>
    <xf numFmtId="0" fontId="19" fillId="0" borderId="7" xfId="6" applyFont="1" applyBorder="1" applyAlignment="1">
      <alignment horizontal="center" vertical="center"/>
    </xf>
    <xf numFmtId="0" fontId="41" fillId="0" borderId="7" xfId="6" applyNumberFormat="1" applyBorder="1" applyAlignment="1">
      <alignment horizontal="center" vertical="center"/>
    </xf>
    <xf numFmtId="0" fontId="41" fillId="0" borderId="13" xfId="6" applyBorder="1"/>
    <xf numFmtId="0" fontId="13" fillId="0" borderId="14" xfId="6" applyFont="1" applyBorder="1" applyAlignment="1">
      <alignment horizontal="center" vertical="center"/>
    </xf>
    <xf numFmtId="49" fontId="28" fillId="0" borderId="4" xfId="6" applyNumberFormat="1" applyFont="1" applyBorder="1" applyAlignment="1">
      <alignment horizontal="center" vertical="center"/>
    </xf>
    <xf numFmtId="0" fontId="41" fillId="0" borderId="39" xfId="6" applyFill="1" applyBorder="1" applyAlignment="1">
      <alignment horizontal="center"/>
    </xf>
    <xf numFmtId="0" fontId="42" fillId="0" borderId="4" xfId="6" applyFont="1" applyFill="1" applyBorder="1" applyAlignment="1">
      <alignment horizontal="center" vertical="center"/>
    </xf>
    <xf numFmtId="0" fontId="47" fillId="0" borderId="4" xfId="6" applyFont="1" applyFill="1" applyBorder="1" applyAlignment="1">
      <alignment horizontal="center" vertical="top"/>
    </xf>
    <xf numFmtId="0" fontId="19" fillId="0" borderId="4" xfId="6" applyFont="1" applyBorder="1" applyAlignment="1">
      <alignment horizontal="center" vertical="center"/>
    </xf>
    <xf numFmtId="0" fontId="41" fillId="0" borderId="4" xfId="6" applyNumberFormat="1" applyBorder="1" applyAlignment="1">
      <alignment horizontal="center" vertical="center"/>
    </xf>
    <xf numFmtId="0" fontId="42" fillId="0" borderId="4" xfId="6" applyFont="1" applyBorder="1" applyAlignment="1">
      <alignment horizontal="center" vertical="center"/>
    </xf>
    <xf numFmtId="0" fontId="41" fillId="0" borderId="0" xfId="6" applyFill="1" applyBorder="1" applyAlignment="1">
      <alignment horizontal="center"/>
    </xf>
    <xf numFmtId="0" fontId="42" fillId="0" borderId="7" xfId="6" applyFont="1" applyFill="1" applyBorder="1" applyAlignment="1">
      <alignment horizontal="center" vertical="center"/>
    </xf>
    <xf numFmtId="0" fontId="47" fillId="0" borderId="7" xfId="6" applyFont="1" applyFill="1" applyBorder="1" applyAlignment="1">
      <alignment horizontal="center" vertical="top"/>
    </xf>
    <xf numFmtId="0" fontId="41" fillId="0" borderId="7" xfId="6" applyNumberFormat="1" applyBorder="1" applyAlignment="1">
      <alignment horizontal="center" vertical="center"/>
    </xf>
    <xf numFmtId="0" fontId="41" fillId="3" borderId="39" xfId="6" applyFill="1" applyBorder="1" applyAlignment="1">
      <alignment horizontal="center"/>
    </xf>
    <xf numFmtId="0" fontId="41" fillId="0" borderId="4" xfId="6" applyBorder="1" applyAlignment="1">
      <alignment horizontal="center"/>
    </xf>
    <xf numFmtId="0" fontId="41" fillId="3" borderId="4" xfId="6" applyNumberFormat="1" applyFill="1" applyBorder="1" applyAlignment="1">
      <alignment horizontal="center" vertical="center"/>
    </xf>
    <xf numFmtId="0" fontId="41" fillId="0" borderId="15" xfId="6" applyBorder="1"/>
    <xf numFmtId="49" fontId="28" fillId="0" borderId="0" xfId="6" applyNumberFormat="1" applyFont="1" applyBorder="1" applyAlignment="1">
      <alignment horizontal="center" vertical="center"/>
    </xf>
    <xf numFmtId="0" fontId="41" fillId="3" borderId="0" xfId="6" applyNumberFormat="1" applyFill="1" applyBorder="1" applyAlignment="1">
      <alignment horizontal="center" vertical="center"/>
    </xf>
    <xf numFmtId="0" fontId="28" fillId="0" borderId="7" xfId="6" applyFont="1" applyBorder="1" applyAlignment="1">
      <alignment horizontal="center" vertical="center"/>
    </xf>
    <xf numFmtId="0" fontId="41" fillId="0" borderId="7" xfId="6" applyFill="1" applyBorder="1" applyAlignment="1">
      <alignment horizontal="center"/>
    </xf>
    <xf numFmtId="0" fontId="28" fillId="0" borderId="4" xfId="6" applyFont="1" applyBorder="1" applyAlignment="1">
      <alignment horizontal="center" vertical="center"/>
    </xf>
    <xf numFmtId="0" fontId="13" fillId="0" borderId="0" xfId="6" applyFont="1" applyBorder="1" applyAlignment="1"/>
    <xf numFmtId="165" fontId="41" fillId="3" borderId="0" xfId="7" applyNumberFormat="1" applyFill="1" applyBorder="1"/>
    <xf numFmtId="0" fontId="2" fillId="0" borderId="0" xfId="6" applyFont="1" applyBorder="1"/>
    <xf numFmtId="0" fontId="13" fillId="0" borderId="12" xfId="6" applyFont="1" applyBorder="1"/>
    <xf numFmtId="49" fontId="13" fillId="0" borderId="7" xfId="6" applyNumberFormat="1" applyFont="1" applyBorder="1" applyAlignment="1">
      <alignment horizontal="center"/>
    </xf>
    <xf numFmtId="0" fontId="13" fillId="0" borderId="7" xfId="6" applyFont="1" applyBorder="1" applyAlignment="1">
      <alignment horizontal="center"/>
    </xf>
    <xf numFmtId="0" fontId="19" fillId="0" borderId="7" xfId="6" applyFont="1" applyBorder="1" applyAlignment="1">
      <alignment horizontal="center"/>
    </xf>
    <xf numFmtId="165" fontId="41" fillId="0" borderId="0" xfId="7" applyNumberFormat="1" applyFill="1" applyBorder="1"/>
    <xf numFmtId="49" fontId="13" fillId="0" borderId="0" xfId="6" applyNumberFormat="1" applyFont="1" applyBorder="1" applyAlignment="1">
      <alignment horizontal="center"/>
    </xf>
    <xf numFmtId="0" fontId="41" fillId="0" borderId="0" xfId="6" applyFill="1" applyBorder="1" applyAlignment="1"/>
    <xf numFmtId="0" fontId="19" fillId="0" borderId="0" xfId="6" applyFont="1" applyBorder="1" applyAlignment="1">
      <alignment horizontal="center"/>
    </xf>
    <xf numFmtId="0" fontId="13" fillId="0" borderId="0" xfId="6" applyFont="1" applyFill="1" applyBorder="1" applyAlignment="1"/>
    <xf numFmtId="0" fontId="41" fillId="0" borderId="0" xfId="6" applyFill="1" applyBorder="1"/>
    <xf numFmtId="165" fontId="41" fillId="0" borderId="0" xfId="6" applyNumberFormat="1" applyFill="1" applyBorder="1"/>
    <xf numFmtId="0" fontId="45" fillId="0" borderId="0" xfId="6" applyFont="1" applyFill="1" applyBorder="1" applyAlignment="1">
      <alignment horizontal="right"/>
    </xf>
    <xf numFmtId="0" fontId="2" fillId="0" borderId="0" xfId="6" applyFont="1" applyFill="1" applyBorder="1"/>
    <xf numFmtId="0" fontId="13" fillId="0" borderId="0" xfId="6" applyFont="1" applyFill="1" applyBorder="1"/>
    <xf numFmtId="49" fontId="13" fillId="0" borderId="0" xfId="6" applyNumberFormat="1" applyFont="1" applyFill="1" applyBorder="1" applyAlignment="1">
      <alignment horizontal="center"/>
    </xf>
    <xf numFmtId="0" fontId="13" fillId="0" borderId="0" xfId="6" applyFont="1" applyFill="1" applyBorder="1" applyAlignment="1">
      <alignment horizontal="center"/>
    </xf>
    <xf numFmtId="165" fontId="48" fillId="0" borderId="1" xfId="7" applyNumberFormat="1" applyFont="1" applyFill="1" applyBorder="1" applyAlignment="1">
      <alignment horizontal="center"/>
    </xf>
    <xf numFmtId="165" fontId="48" fillId="0" borderId="0" xfId="7" applyNumberFormat="1" applyFont="1" applyFill="1" applyBorder="1" applyAlignment="1">
      <alignment horizontal="center"/>
    </xf>
    <xf numFmtId="0" fontId="13" fillId="0" borderId="5" xfId="6" applyFont="1" applyFill="1" applyBorder="1"/>
    <xf numFmtId="0" fontId="13" fillId="0" borderId="0" xfId="6" applyFont="1" applyFill="1" applyBorder="1" applyAlignment="1">
      <alignment horizontal="left"/>
    </xf>
    <xf numFmtId="165" fontId="41" fillId="0" borderId="5" xfId="6" applyNumberFormat="1" applyFill="1" applyBorder="1"/>
    <xf numFmtId="165" fontId="41" fillId="0" borderId="10" xfId="6" applyNumberFormat="1" applyFill="1" applyBorder="1"/>
    <xf numFmtId="165" fontId="41" fillId="0" borderId="11" xfId="6" applyNumberFormat="1" applyFill="1" applyBorder="1"/>
    <xf numFmtId="165" fontId="13" fillId="0" borderId="5" xfId="7" applyNumberFormat="1" applyFont="1" applyFill="1" applyBorder="1"/>
    <xf numFmtId="165" fontId="13" fillId="0" borderId="0" xfId="6" applyNumberFormat="1" applyFont="1" applyFill="1" applyBorder="1"/>
    <xf numFmtId="165" fontId="13" fillId="0" borderId="0" xfId="7" applyNumberFormat="1" applyFont="1" applyFill="1" applyBorder="1"/>
    <xf numFmtId="165" fontId="0" fillId="0" borderId="5" xfId="7" applyNumberFormat="1" applyFont="1" applyFill="1" applyBorder="1"/>
    <xf numFmtId="0" fontId="41" fillId="0" borderId="5" xfId="6" applyFill="1" applyBorder="1"/>
    <xf numFmtId="165" fontId="13" fillId="0" borderId="1" xfId="7" applyNumberFormat="1" applyFont="1" applyFill="1" applyBorder="1"/>
    <xf numFmtId="165" fontId="41" fillId="0" borderId="6" xfId="6" applyNumberFormat="1" applyFill="1" applyBorder="1"/>
    <xf numFmtId="0" fontId="2" fillId="0" borderId="0" xfId="6" applyFont="1"/>
    <xf numFmtId="0" fontId="43" fillId="0" borderId="0" xfId="6" applyFont="1"/>
    <xf numFmtId="0" fontId="3" fillId="0" borderId="0" xfId="6" applyFont="1" applyAlignment="1">
      <alignment horizontal="right"/>
    </xf>
    <xf numFmtId="0" fontId="3" fillId="0" borderId="0" xfId="6" applyFont="1" applyAlignment="1">
      <alignment horizontal="center"/>
    </xf>
    <xf numFmtId="0" fontId="3" fillId="0" borderId="0" xfId="6" applyFont="1" applyBorder="1" applyAlignment="1">
      <alignment horizontal="center"/>
    </xf>
    <xf numFmtId="0" fontId="41" fillId="0" borderId="0" xfId="6" applyAlignment="1">
      <alignment horizontal="center"/>
    </xf>
    <xf numFmtId="0" fontId="42" fillId="0" borderId="0" xfId="6" applyFont="1" applyAlignment="1">
      <alignment horizontal="center" vertical="center"/>
    </xf>
    <xf numFmtId="0" fontId="41" fillId="0" borderId="0" xfId="6" applyAlignment="1">
      <alignment horizontal="center" vertical="center"/>
    </xf>
    <xf numFmtId="0" fontId="19" fillId="0" borderId="0" xfId="6" applyFont="1" applyAlignment="1">
      <alignment horizontal="center" vertical="center"/>
    </xf>
    <xf numFmtId="0" fontId="41" fillId="0" borderId="0" xfId="6" applyAlignment="1">
      <alignment horizontal="center" vertical="center"/>
    </xf>
    <xf numFmtId="0" fontId="41" fillId="0" borderId="0" xfId="6" applyAlignment="1">
      <alignment horizontal="center"/>
    </xf>
    <xf numFmtId="0" fontId="42" fillId="0" borderId="0" xfId="6" applyFont="1" applyAlignment="1">
      <alignment horizontal="left" vertical="center"/>
    </xf>
    <xf numFmtId="0" fontId="41" fillId="0" borderId="0" xfId="6" applyNumberFormat="1" applyAlignment="1">
      <alignment horizontal="center"/>
    </xf>
    <xf numFmtId="0" fontId="42" fillId="0" borderId="0" xfId="6" applyFont="1" applyAlignment="1">
      <alignment horizontal="center"/>
    </xf>
    <xf numFmtId="0" fontId="42" fillId="0" borderId="0" xfId="6" applyFont="1"/>
    <xf numFmtId="0" fontId="41" fillId="0" borderId="0" xfId="6" applyAlignment="1">
      <alignment horizontal="left"/>
    </xf>
    <xf numFmtId="0" fontId="28" fillId="0" borderId="0" xfId="6" applyFont="1" applyBorder="1" applyAlignment="1">
      <alignment horizontal="center"/>
    </xf>
    <xf numFmtId="0" fontId="13" fillId="0" borderId="17" xfId="6" applyFont="1" applyBorder="1"/>
    <xf numFmtId="0" fontId="28" fillId="0" borderId="17" xfId="6" applyFont="1" applyBorder="1" applyAlignment="1">
      <alignment horizontal="center"/>
    </xf>
    <xf numFmtId="0" fontId="42" fillId="0" borderId="0" xfId="6" applyFont="1" applyAlignment="1">
      <alignment horizontal="center"/>
    </xf>
    <xf numFmtId="0" fontId="42" fillId="0" borderId="0" xfId="6" applyFont="1" applyAlignment="1">
      <alignment vertical="center"/>
    </xf>
    <xf numFmtId="2" fontId="41" fillId="0" borderId="0" xfId="6" applyNumberFormat="1"/>
    <xf numFmtId="0" fontId="19" fillId="0" borderId="0" xfId="6" applyFont="1"/>
    <xf numFmtId="0" fontId="49" fillId="0" borderId="17" xfId="6" applyFont="1" applyBorder="1"/>
    <xf numFmtId="0" fontId="49" fillId="0" borderId="17" xfId="6" applyFont="1" applyBorder="1" applyAlignment="1">
      <alignment horizontal="center"/>
    </xf>
    <xf numFmtId="0" fontId="48" fillId="0" borderId="0" xfId="6" applyFont="1"/>
    <xf numFmtId="0" fontId="42" fillId="0" borderId="0" xfId="6" applyFont="1" applyAlignment="1"/>
    <xf numFmtId="165" fontId="5" fillId="0" borderId="0" xfId="7" applyNumberFormat="1" applyFont="1"/>
    <xf numFmtId="49" fontId="48" fillId="0" borderId="0" xfId="6" applyNumberFormat="1" applyFont="1"/>
    <xf numFmtId="165" fontId="5" fillId="0" borderId="0" xfId="7" applyNumberFormat="1" applyFont="1" applyBorder="1" applyAlignment="1">
      <alignment horizontal="center"/>
    </xf>
    <xf numFmtId="0" fontId="3" fillId="0" borderId="0" xfId="6" applyFont="1" applyBorder="1" applyAlignment="1">
      <alignment horizontal="center"/>
    </xf>
    <xf numFmtId="0" fontId="50" fillId="0" borderId="0" xfId="6" applyFont="1"/>
    <xf numFmtId="0" fontId="13" fillId="0" borderId="0" xfId="6" applyFont="1"/>
    <xf numFmtId="165" fontId="5" fillId="0" borderId="22" xfId="7" applyNumberFormat="1" applyFont="1" applyBorder="1"/>
    <xf numFmtId="165" fontId="5" fillId="0" borderId="36" xfId="7" applyNumberFormat="1" applyFont="1" applyBorder="1"/>
    <xf numFmtId="0" fontId="51" fillId="0" borderId="0" xfId="6" applyFont="1"/>
    <xf numFmtId="165" fontId="0" fillId="0" borderId="0" xfId="7" applyNumberFormat="1" applyFont="1"/>
    <xf numFmtId="2" fontId="41" fillId="0" borderId="0" xfId="8" applyNumberFormat="1"/>
    <xf numFmtId="0" fontId="41" fillId="0" borderId="0" xfId="6" applyAlignment="1"/>
    <xf numFmtId="0" fontId="41" fillId="0" borderId="0" xfId="6" applyAlignment="1"/>
    <xf numFmtId="0" fontId="41" fillId="0" borderId="7" xfId="6" applyBorder="1" applyAlignment="1"/>
    <xf numFmtId="0" fontId="13" fillId="0" borderId="53" xfId="6" applyFont="1" applyBorder="1" applyAlignment="1"/>
    <xf numFmtId="0" fontId="13" fillId="0" borderId="54" xfId="6" applyFont="1" applyBorder="1" applyAlignment="1"/>
    <xf numFmtId="0" fontId="13" fillId="0" borderId="54" xfId="6" applyFont="1" applyBorder="1"/>
    <xf numFmtId="0" fontId="13" fillId="0" borderId="55" xfId="6" applyFont="1" applyBorder="1" applyAlignment="1"/>
    <xf numFmtId="0" fontId="13" fillId="0" borderId="9" xfId="6" applyFont="1" applyBorder="1" applyAlignment="1"/>
    <xf numFmtId="0" fontId="41" fillId="0" borderId="56" xfId="6" applyBorder="1" applyAlignment="1"/>
    <xf numFmtId="0" fontId="13" fillId="0" borderId="57" xfId="6" applyFont="1" applyBorder="1" applyAlignment="1">
      <alignment horizontal="center"/>
    </xf>
    <xf numFmtId="165" fontId="45" fillId="0" borderId="58" xfId="6" applyNumberFormat="1" applyFont="1" applyFill="1" applyBorder="1" applyAlignment="1"/>
    <xf numFmtId="0" fontId="41" fillId="0" borderId="59" xfId="6" applyBorder="1" applyAlignment="1"/>
    <xf numFmtId="164" fontId="41" fillId="0" borderId="59" xfId="6" applyNumberFormat="1" applyBorder="1" applyAlignment="1"/>
    <xf numFmtId="165" fontId="41" fillId="0" borderId="59" xfId="7" applyNumberFormat="1" applyBorder="1"/>
    <xf numFmtId="165" fontId="41" fillId="0" borderId="59" xfId="6" applyNumberFormat="1" applyBorder="1" applyAlignment="1"/>
    <xf numFmtId="165" fontId="41" fillId="0" borderId="40" xfId="6" applyNumberFormat="1" applyBorder="1" applyAlignment="1"/>
    <xf numFmtId="0" fontId="41" fillId="0" borderId="39" xfId="6" applyBorder="1" applyAlignment="1"/>
    <xf numFmtId="0" fontId="41" fillId="0" borderId="60" xfId="6" applyBorder="1" applyAlignment="1"/>
    <xf numFmtId="165" fontId="41" fillId="0" borderId="59" xfId="6" applyNumberFormat="1" applyBorder="1"/>
    <xf numFmtId="164" fontId="41" fillId="0" borderId="59" xfId="6" applyNumberFormat="1" applyBorder="1"/>
    <xf numFmtId="164" fontId="41" fillId="0" borderId="61" xfId="6" applyNumberFormat="1" applyBorder="1"/>
    <xf numFmtId="165" fontId="45" fillId="0" borderId="62" xfId="6" applyNumberFormat="1" applyFont="1" applyFill="1" applyBorder="1" applyAlignment="1"/>
    <xf numFmtId="0" fontId="41" fillId="0" borderId="24" xfId="6" applyBorder="1" applyAlignment="1"/>
    <xf numFmtId="164" fontId="41" fillId="0" borderId="24" xfId="6" applyNumberFormat="1" applyBorder="1" applyAlignment="1"/>
    <xf numFmtId="165" fontId="41" fillId="0" borderId="24" xfId="7" applyNumberFormat="1" applyBorder="1"/>
    <xf numFmtId="165" fontId="41" fillId="0" borderId="24" xfId="6" applyNumberFormat="1" applyBorder="1" applyAlignment="1"/>
    <xf numFmtId="165" fontId="41" fillId="0" borderId="21" xfId="6" applyNumberFormat="1" applyBorder="1" applyAlignment="1"/>
    <xf numFmtId="0" fontId="41" fillId="0" borderId="22" xfId="6" applyBorder="1" applyAlignment="1"/>
    <xf numFmtId="0" fontId="41" fillId="0" borderId="23" xfId="6" applyBorder="1" applyAlignment="1"/>
    <xf numFmtId="165" fontId="41" fillId="0" borderId="24" xfId="6" applyNumberFormat="1" applyBorder="1"/>
    <xf numFmtId="164" fontId="41" fillId="0" borderId="24" xfId="6" applyNumberFormat="1" applyBorder="1"/>
    <xf numFmtId="164" fontId="41" fillId="0" borderId="31" xfId="6" applyNumberFormat="1" applyBorder="1"/>
    <xf numFmtId="0" fontId="41" fillId="0" borderId="24" xfId="6" applyFill="1" applyBorder="1" applyAlignment="1"/>
    <xf numFmtId="164" fontId="41" fillId="0" borderId="24" xfId="6" applyNumberFormat="1" applyFill="1" applyBorder="1" applyAlignment="1"/>
    <xf numFmtId="165" fontId="41" fillId="0" borderId="24" xfId="7" applyNumberFormat="1" applyFill="1" applyBorder="1"/>
    <xf numFmtId="165" fontId="41" fillId="0" borderId="24" xfId="6" applyNumberFormat="1" applyFill="1" applyBorder="1" applyAlignment="1"/>
    <xf numFmtId="165" fontId="41" fillId="0" borderId="21" xfId="6" applyNumberFormat="1" applyFill="1" applyBorder="1" applyAlignment="1"/>
    <xf numFmtId="0" fontId="41" fillId="0" borderId="22" xfId="6" applyFill="1" applyBorder="1" applyAlignment="1"/>
    <xf numFmtId="165" fontId="41" fillId="0" borderId="24" xfId="6" applyNumberFormat="1" applyFill="1" applyBorder="1"/>
    <xf numFmtId="164" fontId="41" fillId="0" borderId="24" xfId="6" applyNumberFormat="1" applyFill="1" applyBorder="1"/>
    <xf numFmtId="164" fontId="41" fillId="0" borderId="31" xfId="6" applyNumberFormat="1" applyFill="1" applyBorder="1"/>
    <xf numFmtId="165" fontId="45" fillId="0" borderId="63" xfId="6" applyNumberFormat="1" applyFont="1" applyFill="1" applyBorder="1" applyAlignment="1"/>
    <xf numFmtId="0" fontId="41" fillId="0" borderId="64" xfId="6" applyBorder="1" applyAlignment="1"/>
    <xf numFmtId="164" fontId="41" fillId="0" borderId="64" xfId="6" applyNumberFormat="1" applyBorder="1" applyAlignment="1"/>
    <xf numFmtId="165" fontId="41" fillId="0" borderId="64" xfId="7" applyNumberFormat="1" applyBorder="1"/>
    <xf numFmtId="165" fontId="41" fillId="0" borderId="64" xfId="6" applyNumberFormat="1" applyBorder="1" applyAlignment="1"/>
    <xf numFmtId="165" fontId="41" fillId="0" borderId="65" xfId="6" applyNumberFormat="1" applyBorder="1" applyAlignment="1"/>
    <xf numFmtId="0" fontId="41" fillId="0" borderId="66" xfId="6" applyBorder="1" applyAlignment="1"/>
    <xf numFmtId="0" fontId="41" fillId="0" borderId="67" xfId="6" applyBorder="1" applyAlignment="1"/>
    <xf numFmtId="165" fontId="41" fillId="0" borderId="64" xfId="6" applyNumberFormat="1" applyBorder="1"/>
    <xf numFmtId="164" fontId="41" fillId="0" borderId="64" xfId="6" applyNumberFormat="1" applyBorder="1"/>
    <xf numFmtId="164" fontId="41" fillId="0" borderId="68" xfId="6" applyNumberFormat="1" applyBorder="1"/>
    <xf numFmtId="0" fontId="0" fillId="3" borderId="0" xfId="0" applyFill="1"/>
    <xf numFmtId="0" fontId="12" fillId="0" borderId="0" xfId="0" applyFont="1"/>
    <xf numFmtId="0" fontId="13" fillId="0" borderId="14" xfId="0" applyFont="1" applyBorder="1" applyAlignment="1"/>
    <xf numFmtId="0" fontId="0" fillId="0" borderId="4" xfId="0" applyBorder="1" applyAlignment="1"/>
    <xf numFmtId="0" fontId="0" fillId="0" borderId="4" xfId="0" applyBorder="1"/>
    <xf numFmtId="0" fontId="13" fillId="0" borderId="4" xfId="0" applyFont="1" applyBorder="1" applyAlignment="1"/>
    <xf numFmtId="0" fontId="0" fillId="0" borderId="15" xfId="0" applyBorder="1" applyAlignment="1"/>
    <xf numFmtId="0" fontId="13" fillId="0" borderId="10" xfId="0" applyFont="1" applyBorder="1" applyAlignment="1">
      <alignment horizontal="center" vertical="center"/>
    </xf>
    <xf numFmtId="0" fontId="0" fillId="0" borderId="0" xfId="0" applyBorder="1" applyAlignment="1">
      <alignment horizontal="center" vertical="center"/>
    </xf>
    <xf numFmtId="0" fontId="19" fillId="0" borderId="0" xfId="0" applyFont="1" applyFill="1" applyBorder="1" applyAlignment="1">
      <alignment horizontal="center" vertical="center"/>
    </xf>
    <xf numFmtId="1" fontId="0" fillId="3" borderId="7" xfId="0" applyNumberFormat="1" applyFill="1" applyBorder="1" applyAlignment="1">
      <alignment horizontal="distributed"/>
    </xf>
    <xf numFmtId="0" fontId="19" fillId="3" borderId="0" xfId="0" applyFont="1" applyFill="1" applyBorder="1" applyAlignment="1">
      <alignment horizontal="center" vertical="center"/>
    </xf>
    <xf numFmtId="0" fontId="0" fillId="0" borderId="0"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xf>
    <xf numFmtId="0" fontId="28" fillId="0" borderId="0" xfId="0" applyFont="1" applyBorder="1" applyAlignment="1">
      <alignment horizontal="center" vertical="center"/>
    </xf>
    <xf numFmtId="165" fontId="2" fillId="3" borderId="0" xfId="1" applyNumberFormat="1" applyFill="1" applyBorder="1" applyAlignment="1">
      <alignment horizontal="center" vertical="center"/>
    </xf>
    <xf numFmtId="0" fontId="0" fillId="0" borderId="0" xfId="0" applyBorder="1" applyAlignment="1"/>
    <xf numFmtId="0" fontId="0" fillId="0" borderId="11" xfId="0" applyBorder="1" applyAlignment="1"/>
    <xf numFmtId="0" fontId="2" fillId="3" borderId="0" xfId="1" applyNumberFormat="1" applyFill="1" applyBorder="1" applyAlignment="1">
      <alignment horizontal="center" vertical="center"/>
    </xf>
    <xf numFmtId="0" fontId="43" fillId="0" borderId="0" xfId="0" applyFont="1" applyBorder="1"/>
    <xf numFmtId="0" fontId="0" fillId="0" borderId="11" xfId="0" applyBorder="1"/>
    <xf numFmtId="0" fontId="13" fillId="0" borderId="10" xfId="0" applyFont="1" applyBorder="1" applyAlignment="1">
      <alignment horizontal="center"/>
    </xf>
    <xf numFmtId="0" fontId="13" fillId="0" borderId="0" xfId="0" applyFont="1" applyBorder="1" applyAlignment="1">
      <alignment horizontal="center"/>
    </xf>
    <xf numFmtId="0" fontId="0" fillId="3" borderId="49" xfId="0" applyFill="1" applyBorder="1" applyAlignment="1">
      <alignment horizontal="center"/>
    </xf>
    <xf numFmtId="0" fontId="29" fillId="0" borderId="0" xfId="0" applyFont="1" applyFill="1" applyBorder="1" applyAlignment="1">
      <alignment horizontal="center" vertical="top"/>
    </xf>
    <xf numFmtId="0" fontId="0" fillId="3" borderId="0" xfId="0" applyFill="1" applyBorder="1" applyAlignment="1">
      <alignment horizontal="center" vertical="center"/>
    </xf>
    <xf numFmtId="0" fontId="13" fillId="0" borderId="0" xfId="0" applyFont="1" applyBorder="1" applyAlignment="1">
      <alignment horizontal="center" vertical="center"/>
    </xf>
    <xf numFmtId="0" fontId="19" fillId="0" borderId="0" xfId="0" applyFont="1" applyBorder="1" applyAlignment="1">
      <alignment horizontal="center" vertical="center"/>
    </xf>
    <xf numFmtId="0" fontId="0" fillId="0" borderId="7" xfId="0" applyBorder="1" applyAlignment="1">
      <alignment horizontal="center"/>
    </xf>
    <xf numFmtId="0" fontId="44" fillId="0" borderId="0" xfId="0" applyFont="1" applyBorder="1" applyAlignment="1">
      <alignment horizontal="center" vertical="top"/>
    </xf>
    <xf numFmtId="0" fontId="19" fillId="0" borderId="0" xfId="0" applyFont="1" applyBorder="1" applyAlignment="1">
      <alignment horizontal="left" vertical="center"/>
    </xf>
    <xf numFmtId="0" fontId="0" fillId="3" borderId="0" xfId="0" applyFill="1" applyBorder="1" applyAlignment="1">
      <alignment horizontal="center"/>
    </xf>
    <xf numFmtId="0" fontId="0" fillId="0" borderId="0" xfId="0" applyFill="1" applyBorder="1" applyAlignment="1">
      <alignment vertical="center"/>
    </xf>
    <xf numFmtId="0" fontId="0" fillId="0" borderId="0" xfId="0" applyNumberFormat="1" applyBorder="1" applyAlignment="1">
      <alignment horizontal="center"/>
    </xf>
    <xf numFmtId="0" fontId="0" fillId="0" borderId="10" xfId="0" applyBorder="1"/>
    <xf numFmtId="0" fontId="8" fillId="0" borderId="0" xfId="0" applyFont="1" applyBorder="1"/>
    <xf numFmtId="0" fontId="19" fillId="0" borderId="0" xfId="0" applyFont="1" applyBorder="1"/>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Border="1" applyAlignment="1">
      <alignment horizontal="center" vertical="center"/>
    </xf>
    <xf numFmtId="0" fontId="33" fillId="0" borderId="0" xfId="0" applyFont="1" applyBorder="1" applyAlignment="1">
      <alignment horizontal="center" vertical="top"/>
    </xf>
    <xf numFmtId="0" fontId="0" fillId="0" borderId="0" xfId="0" applyBorder="1" applyAlignment="1">
      <alignment horizontal="center" vertical="center"/>
    </xf>
    <xf numFmtId="0" fontId="19" fillId="0" borderId="0" xfId="0" applyFont="1" applyBorder="1" applyAlignment="1">
      <alignment horizontal="left" vertical="center"/>
    </xf>
    <xf numFmtId="0" fontId="0" fillId="0" borderId="0" xfId="0" applyBorder="1" applyAlignment="1">
      <alignment horizontal="center"/>
    </xf>
    <xf numFmtId="0" fontId="29" fillId="0" borderId="0" xfId="0" applyFont="1" applyBorder="1" applyAlignment="1">
      <alignment horizontal="center" vertical="top"/>
    </xf>
    <xf numFmtId="165" fontId="2" fillId="0" borderId="11" xfId="1" applyNumberFormat="1" applyBorder="1" applyAlignment="1">
      <alignment horizontal="center" vertical="center"/>
    </xf>
    <xf numFmtId="0" fontId="13" fillId="0" borderId="10" xfId="0" applyFont="1" applyBorder="1" applyAlignment="1">
      <alignment horizontal="center"/>
    </xf>
    <xf numFmtId="0" fontId="13" fillId="0" borderId="0" xfId="0" applyFont="1" applyBorder="1" applyAlignment="1">
      <alignment horizontal="center"/>
    </xf>
    <xf numFmtId="165" fontId="0" fillId="0" borderId="0" xfId="0" applyNumberFormat="1" applyBorder="1"/>
    <xf numFmtId="0" fontId="45" fillId="0" borderId="0" xfId="0" applyFont="1" applyBorder="1" applyAlignment="1">
      <alignment horizontal="right"/>
    </xf>
    <xf numFmtId="0" fontId="33" fillId="0" borderId="0" xfId="0" applyFont="1" applyBorder="1" applyAlignment="1">
      <alignment horizontal="left" vertical="top"/>
    </xf>
    <xf numFmtId="0" fontId="19" fillId="0" borderId="0" xfId="0" applyFont="1" applyBorder="1" applyAlignment="1">
      <alignment vertical="center"/>
    </xf>
    <xf numFmtId="0" fontId="13" fillId="0" borderId="10" xfId="0" applyFont="1" applyBorder="1"/>
    <xf numFmtId="0" fontId="13" fillId="0" borderId="0" xfId="0" applyFont="1" applyBorder="1"/>
    <xf numFmtId="0" fontId="29" fillId="0" borderId="0" xfId="0" applyFont="1" applyBorder="1" applyAlignment="1">
      <alignment horizontal="left" vertical="top"/>
    </xf>
    <xf numFmtId="0" fontId="45" fillId="0" borderId="0" xfId="0" applyFont="1" applyBorder="1"/>
    <xf numFmtId="165" fontId="2" fillId="0" borderId="11" xfId="1" applyNumberFormat="1" applyBorder="1"/>
    <xf numFmtId="0" fontId="0" fillId="0" borderId="0" xfId="0" applyNumberForma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9" fillId="0" borderId="7" xfId="0" applyFont="1" applyBorder="1" applyAlignment="1">
      <alignment horizontal="center" vertical="center"/>
    </xf>
    <xf numFmtId="0" fontId="0" fillId="0" borderId="7" xfId="0" applyNumberFormat="1" applyBorder="1" applyAlignment="1">
      <alignment horizontal="center"/>
    </xf>
    <xf numFmtId="0" fontId="0" fillId="0" borderId="7" xfId="0" applyBorder="1"/>
    <xf numFmtId="0" fontId="0" fillId="0" borderId="7" xfId="0" applyBorder="1" applyAlignment="1">
      <alignment horizontal="center" vertical="center"/>
    </xf>
    <xf numFmtId="0" fontId="13" fillId="0" borderId="12" xfId="0" applyFont="1" applyBorder="1" applyAlignment="1">
      <alignment horizontal="center" vertical="center"/>
    </xf>
    <xf numFmtId="49" fontId="28" fillId="0" borderId="7" xfId="0" applyNumberFormat="1" applyFont="1" applyBorder="1" applyAlignment="1">
      <alignment horizontal="center" vertical="center"/>
    </xf>
    <xf numFmtId="0" fontId="0" fillId="3" borderId="7" xfId="0" applyFill="1" applyBorder="1" applyAlignment="1"/>
    <xf numFmtId="0" fontId="19" fillId="0" borderId="7" xfId="0" applyFont="1" applyBorder="1" applyAlignment="1">
      <alignment horizontal="center" vertical="center"/>
    </xf>
    <xf numFmtId="0" fontId="0" fillId="0" borderId="7" xfId="0" applyNumberFormat="1" applyBorder="1" applyAlignment="1">
      <alignment horizontal="center" vertical="center"/>
    </xf>
    <xf numFmtId="0" fontId="0" fillId="0" borderId="13" xfId="0" applyBorder="1"/>
    <xf numFmtId="0" fontId="13" fillId="0" borderId="14" xfId="0" applyFont="1" applyBorder="1" applyAlignment="1">
      <alignment horizontal="center" vertical="center"/>
    </xf>
    <xf numFmtId="49" fontId="28" fillId="0" borderId="4" xfId="0" applyNumberFormat="1" applyFont="1" applyBorder="1" applyAlignment="1">
      <alignment horizontal="center" vertical="center"/>
    </xf>
    <xf numFmtId="0" fontId="0" fillId="0" borderId="39" xfId="0" applyFill="1" applyBorder="1" applyAlignment="1">
      <alignment horizontal="center"/>
    </xf>
    <xf numFmtId="0" fontId="19" fillId="0" borderId="4" xfId="0" applyFont="1" applyFill="1" applyBorder="1" applyAlignment="1">
      <alignment horizontal="center" vertical="center"/>
    </xf>
    <xf numFmtId="0" fontId="29" fillId="0" borderId="4" xfId="0" applyFont="1" applyFill="1" applyBorder="1" applyAlignment="1">
      <alignment horizontal="center" vertical="top"/>
    </xf>
    <xf numFmtId="0" fontId="19" fillId="0" borderId="4" xfId="0" applyFont="1" applyBorder="1" applyAlignment="1">
      <alignment horizontal="center" vertical="center"/>
    </xf>
    <xf numFmtId="0" fontId="0" fillId="0" borderId="4" xfId="0" applyNumberFormat="1" applyBorder="1" applyAlignment="1">
      <alignment horizontal="center" vertical="center"/>
    </xf>
    <xf numFmtId="0" fontId="0" fillId="0" borderId="0" xfId="0" applyFill="1" applyBorder="1" applyAlignment="1">
      <alignment horizontal="center"/>
    </xf>
    <xf numFmtId="0" fontId="19" fillId="0" borderId="7" xfId="0" applyFont="1" applyFill="1" applyBorder="1" applyAlignment="1">
      <alignment horizontal="center" vertical="center"/>
    </xf>
    <xf numFmtId="0" fontId="29" fillId="0" borderId="7" xfId="0" applyFont="1" applyFill="1" applyBorder="1" applyAlignment="1">
      <alignment horizontal="center" vertical="top"/>
    </xf>
    <xf numFmtId="0" fontId="0" fillId="0" borderId="7" xfId="0" applyNumberFormat="1" applyBorder="1" applyAlignment="1">
      <alignment horizontal="center" vertical="center"/>
    </xf>
    <xf numFmtId="0" fontId="0" fillId="3" borderId="39" xfId="0" applyFill="1" applyBorder="1" applyAlignment="1">
      <alignment horizontal="center"/>
    </xf>
    <xf numFmtId="0" fontId="0" fillId="0" borderId="4" xfId="0" applyBorder="1" applyAlignment="1">
      <alignment horizontal="center"/>
    </xf>
    <xf numFmtId="0" fontId="0" fillId="3" borderId="4" xfId="0" applyNumberFormat="1" applyFill="1" applyBorder="1" applyAlignment="1">
      <alignment horizontal="center" vertical="center"/>
    </xf>
    <xf numFmtId="0" fontId="0" fillId="0" borderId="15" xfId="0" applyBorder="1"/>
    <xf numFmtId="49" fontId="28" fillId="0" borderId="0" xfId="0" applyNumberFormat="1" applyFont="1" applyBorder="1" applyAlignment="1">
      <alignment horizontal="center" vertical="center"/>
    </xf>
    <xf numFmtId="0" fontId="0" fillId="3" borderId="0" xfId="0" applyNumberFormat="1" applyFill="1" applyBorder="1" applyAlignment="1">
      <alignment horizontal="center" vertical="center"/>
    </xf>
    <xf numFmtId="0" fontId="28" fillId="0" borderId="7" xfId="0" applyFont="1" applyBorder="1" applyAlignment="1">
      <alignment horizontal="center" vertical="center"/>
    </xf>
    <xf numFmtId="0" fontId="0" fillId="0" borderId="7" xfId="0" applyFill="1" applyBorder="1" applyAlignment="1">
      <alignment horizontal="center"/>
    </xf>
    <xf numFmtId="0" fontId="28" fillId="0" borderId="4" xfId="0" applyFont="1" applyBorder="1" applyAlignment="1">
      <alignment horizontal="center" vertical="center"/>
    </xf>
    <xf numFmtId="0" fontId="13" fillId="0" borderId="0" xfId="0" applyFont="1" applyBorder="1" applyAlignment="1"/>
    <xf numFmtId="165" fontId="2" fillId="3" borderId="0" xfId="1" applyNumberFormat="1" applyFill="1" applyBorder="1"/>
    <xf numFmtId="0" fontId="2" fillId="0" borderId="0" xfId="0" applyFont="1" applyBorder="1"/>
    <xf numFmtId="0" fontId="13" fillId="0" borderId="12" xfId="0" applyFont="1" applyBorder="1"/>
    <xf numFmtId="49" fontId="13" fillId="0" borderId="7" xfId="0" applyNumberFormat="1" applyFont="1" applyBorder="1" applyAlignment="1">
      <alignment horizontal="center"/>
    </xf>
    <xf numFmtId="0" fontId="13" fillId="0" borderId="7" xfId="0" applyFont="1" applyBorder="1" applyAlignment="1">
      <alignment horizontal="center"/>
    </xf>
    <xf numFmtId="0" fontId="19" fillId="0" borderId="7" xfId="0" applyFont="1" applyBorder="1" applyAlignment="1">
      <alignment horizontal="center"/>
    </xf>
    <xf numFmtId="165" fontId="2" fillId="0" borderId="0" xfId="1" applyNumberFormat="1" applyFill="1" applyBorder="1"/>
    <xf numFmtId="49" fontId="13" fillId="0" borderId="0" xfId="0" applyNumberFormat="1" applyFont="1" applyBorder="1" applyAlignment="1">
      <alignment horizontal="center"/>
    </xf>
    <xf numFmtId="0" fontId="0" fillId="0" borderId="0" xfId="0" applyFill="1" applyBorder="1" applyAlignment="1"/>
    <xf numFmtId="0" fontId="19" fillId="0" borderId="0" xfId="0" applyFont="1" applyBorder="1" applyAlignment="1">
      <alignment horizontal="center"/>
    </xf>
    <xf numFmtId="0" fontId="13" fillId="0" borderId="0" xfId="0" applyFont="1" applyFill="1" applyBorder="1" applyAlignment="1"/>
    <xf numFmtId="0" fontId="0" fillId="0" borderId="0" xfId="0" applyFill="1" applyBorder="1"/>
    <xf numFmtId="165" fontId="0" fillId="0" borderId="0" xfId="0" applyNumberFormat="1" applyFill="1" applyBorder="1"/>
    <xf numFmtId="0" fontId="45" fillId="0" borderId="0" xfId="0" applyFont="1" applyFill="1" applyBorder="1" applyAlignment="1">
      <alignment horizontal="right"/>
    </xf>
    <xf numFmtId="0" fontId="2" fillId="0" borderId="0" xfId="0" applyFont="1" applyFill="1" applyBorder="1"/>
    <xf numFmtId="0" fontId="13" fillId="0" borderId="0" xfId="0" applyFont="1" applyFill="1" applyBorder="1"/>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65" fontId="8" fillId="0" borderId="1" xfId="1" applyNumberFormat="1" applyFont="1" applyFill="1" applyBorder="1" applyAlignment="1">
      <alignment horizontal="center"/>
    </xf>
    <xf numFmtId="165" fontId="8" fillId="0" borderId="0" xfId="1" applyNumberFormat="1" applyFont="1" applyFill="1" applyBorder="1" applyAlignment="1">
      <alignment horizontal="center"/>
    </xf>
    <xf numFmtId="0" fontId="13" fillId="0" borderId="5" xfId="0" applyFont="1" applyFill="1" applyBorder="1"/>
    <xf numFmtId="0" fontId="13" fillId="0" borderId="0" xfId="0" applyFont="1" applyFill="1" applyBorder="1" applyAlignment="1">
      <alignment horizontal="left"/>
    </xf>
    <xf numFmtId="165" fontId="0" fillId="0" borderId="5" xfId="0" applyNumberFormat="1" applyFill="1" applyBorder="1"/>
    <xf numFmtId="165" fontId="0" fillId="0" borderId="10" xfId="0" applyNumberFormat="1" applyFill="1" applyBorder="1"/>
    <xf numFmtId="165" fontId="0" fillId="0" borderId="11" xfId="0" applyNumberFormat="1" applyFill="1" applyBorder="1"/>
    <xf numFmtId="165" fontId="13" fillId="0" borderId="5" xfId="1" applyNumberFormat="1" applyFont="1" applyFill="1" applyBorder="1"/>
    <xf numFmtId="165" fontId="13" fillId="0" borderId="0" xfId="0" applyNumberFormat="1" applyFont="1" applyFill="1" applyBorder="1"/>
    <xf numFmtId="165" fontId="13" fillId="0" borderId="0" xfId="1" applyNumberFormat="1" applyFont="1" applyFill="1" applyBorder="1"/>
    <xf numFmtId="165" fontId="0" fillId="0" borderId="5" xfId="1" applyNumberFormat="1" applyFont="1" applyFill="1" applyBorder="1"/>
    <xf numFmtId="0" fontId="0" fillId="0" borderId="5" xfId="0" applyFill="1" applyBorder="1"/>
    <xf numFmtId="165" fontId="13" fillId="0" borderId="1" xfId="1" applyNumberFormat="1" applyFont="1" applyFill="1" applyBorder="1"/>
    <xf numFmtId="165" fontId="0" fillId="0" borderId="6" xfId="0" applyNumberFormat="1" applyFill="1" applyBorder="1"/>
    <xf numFmtId="0" fontId="2" fillId="0" borderId="0" xfId="0" applyFont="1"/>
    <xf numFmtId="0" fontId="43"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applyBorder="1" applyAlignment="1">
      <alignment horizontal="center"/>
    </xf>
    <xf numFmtId="0" fontId="0" fillId="0" borderId="0" xfId="0" applyAlignment="1">
      <alignment horizontal="center"/>
    </xf>
    <xf numFmtId="0" fontId="1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xf>
    <xf numFmtId="0" fontId="19" fillId="0" borderId="0" xfId="0" applyFont="1" applyAlignment="1">
      <alignment horizontal="left" vertical="center"/>
    </xf>
    <xf numFmtId="0" fontId="0" fillId="0" borderId="0" xfId="0" applyNumberFormat="1" applyAlignment="1">
      <alignment horizontal="center"/>
    </xf>
    <xf numFmtId="0" fontId="19" fillId="0" borderId="0" xfId="0" applyFont="1" applyAlignment="1">
      <alignment horizontal="center"/>
    </xf>
    <xf numFmtId="0" fontId="19" fillId="0" borderId="0" xfId="0" applyFont="1"/>
    <xf numFmtId="0" fontId="0" fillId="0" borderId="0" xfId="0" applyAlignment="1">
      <alignment horizontal="left"/>
    </xf>
    <xf numFmtId="0" fontId="28" fillId="0" borderId="0" xfId="0" applyFont="1" applyBorder="1" applyAlignment="1">
      <alignment horizontal="center"/>
    </xf>
    <xf numFmtId="0" fontId="13" fillId="0" borderId="17" xfId="0" applyFont="1" applyBorder="1"/>
    <xf numFmtId="0" fontId="28" fillId="0" borderId="17" xfId="0" applyFont="1" applyBorder="1" applyAlignment="1">
      <alignment horizontal="center"/>
    </xf>
    <xf numFmtId="0" fontId="19" fillId="0" borderId="0" xfId="0" applyFont="1" applyAlignment="1">
      <alignment horizontal="center"/>
    </xf>
    <xf numFmtId="0" fontId="19" fillId="0" borderId="0" xfId="0" applyFont="1" applyAlignment="1">
      <alignment vertical="center"/>
    </xf>
    <xf numFmtId="2" fontId="0" fillId="0" borderId="0" xfId="0" applyNumberFormat="1"/>
    <xf numFmtId="0" fontId="28" fillId="0" borderId="17" xfId="0" applyFont="1" applyBorder="1"/>
    <xf numFmtId="165" fontId="3" fillId="0" borderId="0" xfId="1" applyNumberFormat="1" applyFont="1"/>
    <xf numFmtId="49" fontId="3" fillId="0" borderId="0" xfId="0" applyNumberFormat="1" applyFont="1"/>
    <xf numFmtId="0" fontId="3" fillId="0" borderId="0" xfId="0" applyFont="1" applyBorder="1" applyAlignment="1">
      <alignment horizontal="center"/>
    </xf>
    <xf numFmtId="0" fontId="3" fillId="0" borderId="0" xfId="0" quotePrefix="1" applyFont="1"/>
    <xf numFmtId="165" fontId="3" fillId="0" borderId="22" xfId="1" applyNumberFormat="1" applyFont="1" applyBorder="1"/>
    <xf numFmtId="165" fontId="3" fillId="0" borderId="36" xfId="0" applyNumberFormat="1" applyFont="1" applyBorder="1"/>
    <xf numFmtId="0" fontId="6" fillId="0" borderId="0" xfId="0" applyFont="1"/>
    <xf numFmtId="165" fontId="0" fillId="0" borderId="0" xfId="1" applyNumberFormat="1" applyFont="1"/>
    <xf numFmtId="2" fontId="2" fillId="0" borderId="0" xfId="5" applyNumberFormat="1"/>
    <xf numFmtId="0" fontId="13" fillId="0" borderId="0" xfId="0" applyFont="1"/>
    <xf numFmtId="0" fontId="0" fillId="0" borderId="7" xfId="0" applyBorder="1" applyAlignment="1"/>
    <xf numFmtId="0" fontId="13" fillId="0" borderId="53" xfId="0" applyFont="1" applyBorder="1" applyAlignment="1"/>
    <xf numFmtId="0" fontId="13" fillId="0" borderId="54" xfId="0" applyFont="1" applyBorder="1" applyAlignment="1"/>
    <xf numFmtId="0" fontId="13" fillId="0" borderId="54" xfId="0" applyFont="1" applyBorder="1"/>
    <xf numFmtId="0" fontId="13" fillId="0" borderId="55" xfId="0" applyFont="1" applyBorder="1" applyAlignment="1"/>
    <xf numFmtId="0" fontId="13" fillId="0" borderId="9" xfId="0" applyFont="1" applyBorder="1" applyAlignment="1"/>
    <xf numFmtId="0" fontId="0" fillId="0" borderId="56" xfId="0" applyBorder="1" applyAlignment="1"/>
    <xf numFmtId="0" fontId="13" fillId="0" borderId="57" xfId="0" applyFont="1" applyBorder="1" applyAlignment="1">
      <alignment horizontal="center"/>
    </xf>
    <xf numFmtId="165" fontId="45" fillId="0" borderId="58" xfId="0" applyNumberFormat="1" applyFont="1" applyFill="1" applyBorder="1" applyAlignment="1"/>
    <xf numFmtId="0" fontId="0" fillId="0" borderId="59" xfId="0" applyBorder="1" applyAlignment="1"/>
    <xf numFmtId="164" fontId="0" fillId="0" borderId="59" xfId="0" applyNumberFormat="1" applyBorder="1" applyAlignment="1"/>
    <xf numFmtId="165" fontId="2" fillId="0" borderId="59" xfId="1" applyNumberFormat="1" applyBorder="1"/>
    <xf numFmtId="165" fontId="0" fillId="0" borderId="59" xfId="0" applyNumberFormat="1" applyBorder="1" applyAlignment="1"/>
    <xf numFmtId="165" fontId="0" fillId="0" borderId="40" xfId="0" applyNumberFormat="1" applyBorder="1" applyAlignment="1"/>
    <xf numFmtId="0" fontId="0" fillId="0" borderId="39" xfId="0" applyBorder="1" applyAlignment="1"/>
    <xf numFmtId="0" fontId="0" fillId="0" borderId="60" xfId="0" applyBorder="1" applyAlignment="1"/>
    <xf numFmtId="165" fontId="0" fillId="0" borderId="59" xfId="0" applyNumberFormat="1" applyBorder="1"/>
    <xf numFmtId="164" fontId="0" fillId="0" borderId="59" xfId="0" applyNumberFormat="1" applyBorder="1"/>
    <xf numFmtId="164" fontId="0" fillId="0" borderId="61" xfId="0" applyNumberFormat="1" applyBorder="1"/>
    <xf numFmtId="165" fontId="45" fillId="0" borderId="62" xfId="0" applyNumberFormat="1" applyFont="1" applyFill="1" applyBorder="1" applyAlignment="1"/>
    <xf numFmtId="0" fontId="0" fillId="0" borderId="24" xfId="0" applyBorder="1" applyAlignment="1"/>
    <xf numFmtId="164" fontId="0" fillId="0" borderId="24" xfId="0" applyNumberFormat="1" applyBorder="1" applyAlignment="1"/>
    <xf numFmtId="165" fontId="2" fillId="0" borderId="24" xfId="1" applyNumberFormat="1" applyBorder="1"/>
    <xf numFmtId="165" fontId="0" fillId="0" borderId="24" xfId="0" applyNumberFormat="1" applyBorder="1" applyAlignment="1"/>
    <xf numFmtId="165" fontId="0" fillId="0" borderId="21" xfId="0" applyNumberFormat="1" applyBorder="1" applyAlignment="1"/>
    <xf numFmtId="0" fontId="0" fillId="0" borderId="22" xfId="0" applyBorder="1" applyAlignment="1"/>
    <xf numFmtId="0" fontId="0" fillId="0" borderId="23" xfId="0" applyBorder="1" applyAlignment="1"/>
    <xf numFmtId="165" fontId="0" fillId="0" borderId="24" xfId="0" applyNumberFormat="1" applyBorder="1"/>
    <xf numFmtId="164" fontId="0" fillId="0" borderId="24" xfId="0" applyNumberFormat="1" applyBorder="1"/>
    <xf numFmtId="164" fontId="0" fillId="0" borderId="31" xfId="0" applyNumberFormat="1" applyBorder="1"/>
    <xf numFmtId="0" fontId="0" fillId="0" borderId="24" xfId="0" applyFill="1" applyBorder="1" applyAlignment="1"/>
    <xf numFmtId="164" fontId="0" fillId="0" borderId="24" xfId="0" applyNumberFormat="1" applyFill="1" applyBorder="1" applyAlignment="1"/>
    <xf numFmtId="165" fontId="2" fillId="0" borderId="24" xfId="1" applyNumberFormat="1" applyFill="1" applyBorder="1"/>
    <xf numFmtId="165" fontId="0" fillId="0" borderId="24" xfId="0" applyNumberFormat="1" applyFill="1" applyBorder="1" applyAlignment="1"/>
    <xf numFmtId="165" fontId="0" fillId="0" borderId="21" xfId="0" applyNumberFormat="1" applyFill="1" applyBorder="1" applyAlignment="1"/>
    <xf numFmtId="0" fontId="0" fillId="0" borderId="22" xfId="0" applyFill="1" applyBorder="1" applyAlignment="1"/>
    <xf numFmtId="165" fontId="0" fillId="0" borderId="24" xfId="0" applyNumberFormat="1" applyFill="1" applyBorder="1"/>
    <xf numFmtId="164" fontId="0" fillId="0" borderId="24" xfId="0" applyNumberFormat="1" applyFill="1" applyBorder="1"/>
    <xf numFmtId="164" fontId="0" fillId="0" borderId="31" xfId="0" applyNumberFormat="1" applyFill="1" applyBorder="1"/>
    <xf numFmtId="165" fontId="45" fillId="0" borderId="63" xfId="0" applyNumberFormat="1" applyFont="1" applyFill="1" applyBorder="1" applyAlignment="1"/>
    <xf numFmtId="0" fontId="0" fillId="0" borderId="64" xfId="0" applyBorder="1" applyAlignment="1"/>
    <xf numFmtId="164" fontId="0" fillId="0" borderId="64" xfId="0" applyNumberFormat="1" applyBorder="1" applyAlignment="1"/>
    <xf numFmtId="165" fontId="2" fillId="0" borderId="64" xfId="1" applyNumberFormat="1" applyBorder="1"/>
    <xf numFmtId="165" fontId="0" fillId="0" borderId="64" xfId="0" applyNumberFormat="1" applyBorder="1" applyAlignment="1"/>
    <xf numFmtId="165" fontId="0" fillId="0" borderId="65" xfId="0" applyNumberFormat="1" applyBorder="1" applyAlignment="1"/>
    <xf numFmtId="0" fontId="0" fillId="0" borderId="66" xfId="0" applyBorder="1" applyAlignment="1"/>
    <xf numFmtId="0" fontId="0" fillId="0" borderId="67" xfId="0" applyBorder="1" applyAlignment="1"/>
    <xf numFmtId="165" fontId="0" fillId="0" borderId="64" xfId="0" applyNumberFormat="1" applyBorder="1"/>
    <xf numFmtId="164" fontId="0" fillId="0" borderId="64" xfId="0" applyNumberFormat="1" applyBorder="1"/>
    <xf numFmtId="164" fontId="0" fillId="0" borderId="68" xfId="0" applyNumberFormat="1" applyBorder="1"/>
    <xf numFmtId="0" fontId="1" fillId="0" borderId="0" xfId="9"/>
    <xf numFmtId="174" fontId="0" fillId="8" borderId="0" xfId="10" applyNumberFormat="1" applyFont="1" applyFill="1" applyProtection="1">
      <protection locked="0"/>
    </xf>
    <xf numFmtId="0" fontId="1" fillId="0" borderId="0" xfId="9" applyFill="1"/>
    <xf numFmtId="174" fontId="0" fillId="0" borderId="0" xfId="10" applyNumberFormat="1" applyFont="1" applyFill="1"/>
    <xf numFmtId="43" fontId="0" fillId="0" borderId="0" xfId="10" applyFont="1"/>
    <xf numFmtId="0" fontId="1" fillId="0" borderId="0" xfId="9" applyFill="1" applyBorder="1"/>
    <xf numFmtId="0" fontId="1" fillId="8" borderId="0" xfId="9" applyFill="1" applyAlignment="1" applyProtection="1">
      <alignment horizontal="right"/>
      <protection locked="0"/>
    </xf>
    <xf numFmtId="0" fontId="1" fillId="8" borderId="0" xfId="9" applyFill="1" applyProtection="1">
      <protection locked="0"/>
    </xf>
    <xf numFmtId="0" fontId="1" fillId="0" borderId="69" xfId="9" applyBorder="1"/>
    <xf numFmtId="0" fontId="1" fillId="0" borderId="70" xfId="9" applyBorder="1"/>
    <xf numFmtId="0" fontId="1" fillId="0" borderId="70" xfId="9" applyBorder="1" applyAlignment="1">
      <alignment wrapText="1"/>
    </xf>
    <xf numFmtId="0" fontId="1" fillId="0" borderId="71" xfId="9" applyBorder="1" applyAlignment="1">
      <alignment wrapText="1"/>
    </xf>
    <xf numFmtId="0" fontId="1" fillId="0" borderId="25" xfId="9" applyBorder="1"/>
    <xf numFmtId="41" fontId="0" fillId="8" borderId="26" xfId="10" applyNumberFormat="1" applyFont="1" applyFill="1" applyBorder="1" applyAlignment="1" applyProtection="1">
      <alignment vertical="top"/>
      <protection locked="0"/>
    </xf>
    <xf numFmtId="41" fontId="0" fillId="8" borderId="26" xfId="10" applyNumberFormat="1" applyFont="1" applyFill="1" applyBorder="1" applyProtection="1">
      <protection locked="0"/>
    </xf>
    <xf numFmtId="41" fontId="0" fillId="0" borderId="26" xfId="10" applyNumberFormat="1" applyFont="1" applyBorder="1"/>
    <xf numFmtId="41" fontId="0" fillId="0" borderId="26" xfId="10" applyNumberFormat="1" applyFont="1" applyFill="1" applyBorder="1"/>
    <xf numFmtId="41" fontId="1" fillId="0" borderId="26" xfId="9" applyNumberFormat="1" applyBorder="1"/>
    <xf numFmtId="41" fontId="0" fillId="0" borderId="27" xfId="10" applyNumberFormat="1" applyFont="1" applyBorder="1"/>
    <xf numFmtId="0" fontId="1" fillId="0" borderId="62" xfId="9" applyBorder="1"/>
    <xf numFmtId="41" fontId="0" fillId="8" borderId="24" xfId="10" applyNumberFormat="1" applyFont="1" applyFill="1" applyBorder="1" applyProtection="1">
      <protection locked="0"/>
    </xf>
    <xf numFmtId="41" fontId="0" fillId="0" borderId="24" xfId="10" applyNumberFormat="1" applyFont="1" applyFill="1" applyBorder="1"/>
    <xf numFmtId="41" fontId="1" fillId="0" borderId="24" xfId="9" applyNumberFormat="1" applyBorder="1"/>
    <xf numFmtId="41" fontId="1" fillId="0" borderId="31" xfId="9" applyNumberFormat="1" applyBorder="1" applyAlignment="1">
      <alignment horizontal="center" vertical="center"/>
    </xf>
    <xf numFmtId="0" fontId="1" fillId="0" borderId="63" xfId="9" applyBorder="1"/>
    <xf numFmtId="41" fontId="0" fillId="8" borderId="64" xfId="10" applyNumberFormat="1" applyFont="1" applyFill="1" applyBorder="1" applyProtection="1">
      <protection locked="0"/>
    </xf>
    <xf numFmtId="41" fontId="0" fillId="0" borderId="64" xfId="10" applyNumberFormat="1" applyFont="1" applyFill="1" applyBorder="1"/>
    <xf numFmtId="41" fontId="1" fillId="0" borderId="64" xfId="9" applyNumberFormat="1" applyFill="1" applyBorder="1"/>
    <xf numFmtId="41" fontId="1" fillId="0" borderId="64" xfId="9" applyNumberFormat="1" applyBorder="1"/>
    <xf numFmtId="41" fontId="1" fillId="0" borderId="68" xfId="9" applyNumberFormat="1" applyBorder="1" applyAlignment="1">
      <alignment horizontal="center" vertical="center"/>
    </xf>
    <xf numFmtId="41" fontId="0" fillId="0" borderId="24" xfId="10" applyNumberFormat="1" applyFont="1" applyBorder="1"/>
    <xf numFmtId="41" fontId="0" fillId="0" borderId="64" xfId="10" applyNumberFormat="1" applyFont="1" applyBorder="1"/>
    <xf numFmtId="174" fontId="1" fillId="0" borderId="0" xfId="9" applyNumberFormat="1" applyBorder="1" applyAlignment="1">
      <alignment horizontal="center" vertical="center"/>
    </xf>
    <xf numFmtId="174" fontId="1" fillId="0" borderId="0" xfId="9" applyNumberFormat="1"/>
    <xf numFmtId="0" fontId="1" fillId="0" borderId="26" xfId="9" applyBorder="1"/>
    <xf numFmtId="0" fontId="1" fillId="0" borderId="26" xfId="9" applyFill="1" applyBorder="1" applyAlignment="1">
      <alignment wrapText="1"/>
    </xf>
    <xf numFmtId="0" fontId="1" fillId="0" borderId="40" xfId="9" applyFill="1" applyBorder="1" applyAlignment="1">
      <alignment wrapText="1"/>
    </xf>
    <xf numFmtId="0" fontId="1" fillId="0" borderId="27" xfId="9" applyBorder="1" applyAlignment="1">
      <alignment wrapText="1"/>
    </xf>
    <xf numFmtId="0" fontId="1" fillId="0" borderId="24" xfId="9" applyBorder="1"/>
    <xf numFmtId="174" fontId="1" fillId="0" borderId="24" xfId="9" applyNumberFormat="1" applyBorder="1"/>
    <xf numFmtId="0" fontId="1" fillId="0" borderId="24" xfId="9" applyFill="1" applyBorder="1"/>
    <xf numFmtId="0" fontId="1" fillId="0" borderId="21" xfId="9" applyFill="1" applyBorder="1"/>
    <xf numFmtId="0" fontId="1" fillId="0" borderId="31" xfId="9" applyFill="1" applyBorder="1"/>
    <xf numFmtId="0" fontId="1" fillId="9" borderId="62" xfId="9" applyFill="1" applyBorder="1"/>
    <xf numFmtId="0" fontId="1" fillId="9" borderId="24" xfId="9" applyFill="1" applyBorder="1"/>
    <xf numFmtId="174" fontId="0" fillId="9" borderId="24" xfId="10" applyNumberFormat="1" applyFont="1" applyFill="1" applyBorder="1"/>
    <xf numFmtId="0" fontId="1" fillId="9" borderId="21" xfId="9" applyFill="1" applyBorder="1"/>
    <xf numFmtId="0" fontId="1" fillId="9" borderId="31" xfId="9" applyFill="1" applyBorder="1"/>
    <xf numFmtId="0" fontId="1" fillId="0" borderId="62" xfId="9" applyFill="1" applyBorder="1"/>
    <xf numFmtId="174" fontId="0" fillId="0" borderId="24" xfId="10" applyNumberFormat="1" applyFont="1" applyFill="1" applyBorder="1"/>
    <xf numFmtId="0" fontId="1" fillId="0" borderId="31" xfId="9" applyBorder="1"/>
    <xf numFmtId="174" fontId="0" fillId="0" borderId="0" xfId="10" applyNumberFormat="1" applyFont="1"/>
    <xf numFmtId="0" fontId="1" fillId="0" borderId="63" xfId="9" applyFill="1" applyBorder="1"/>
    <xf numFmtId="0" fontId="1" fillId="0" borderId="64" xfId="9" applyFill="1" applyBorder="1"/>
    <xf numFmtId="174" fontId="0" fillId="0" borderId="64" xfId="10" applyNumberFormat="1" applyFont="1" applyFill="1" applyBorder="1"/>
    <xf numFmtId="0" fontId="1" fillId="9" borderId="64" xfId="9" applyFill="1" applyBorder="1"/>
    <xf numFmtId="0" fontId="1" fillId="0" borderId="65" xfId="9" applyFill="1" applyBorder="1"/>
    <xf numFmtId="0" fontId="1" fillId="0" borderId="68" xfId="9" applyBorder="1"/>
    <xf numFmtId="0" fontId="1" fillId="0" borderId="27" xfId="9" applyBorder="1"/>
    <xf numFmtId="0" fontId="1" fillId="0" borderId="0" xfId="9" applyBorder="1"/>
    <xf numFmtId="0" fontId="1" fillId="8" borderId="62" xfId="9" applyFill="1" applyBorder="1"/>
    <xf numFmtId="174" fontId="0" fillId="0" borderId="24" xfId="10" applyNumberFormat="1" applyFont="1" applyBorder="1"/>
    <xf numFmtId="174" fontId="0" fillId="0" borderId="31" xfId="10" applyNumberFormat="1" applyFont="1" applyBorder="1"/>
    <xf numFmtId="174" fontId="0" fillId="0" borderId="64" xfId="10" applyNumberFormat="1" applyFont="1" applyBorder="1"/>
    <xf numFmtId="174" fontId="0" fillId="0" borderId="68" xfId="10" applyNumberFormat="1" applyFont="1" applyBorder="1"/>
  </cellXfs>
  <cellStyles count="11">
    <cellStyle name="1000-sep (2 dec)" xfId="1" builtinId="3"/>
    <cellStyle name="1000-sep (2 dec) 2" xfId="7"/>
    <cellStyle name="1000-sep (2 dec) 3" xfId="10"/>
    <cellStyle name="Comma 2" xfId="3"/>
    <cellStyle name="Normal" xfId="0" builtinId="0"/>
    <cellStyle name="Normal 2" xfId="2"/>
    <cellStyle name="Normal 3" xfId="6"/>
    <cellStyle name="Normal 4" xfId="9"/>
    <cellStyle name="Percent 2" xfId="4"/>
    <cellStyle name="Procent" xfId="5" builtinId="5"/>
    <cellStyle name="Pro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da-DK"/>
  <c:chart>
    <c:title>
      <c:tx>
        <c:rich>
          <a:bodyPr/>
          <a:lstStyle/>
          <a:p>
            <a:pPr>
              <a:defRPr sz="1125" b="1" i="0" u="none" strike="noStrike" baseline="0">
                <a:solidFill>
                  <a:srgbClr val="000000"/>
                </a:solidFill>
                <a:latin typeface="Arial"/>
                <a:ea typeface="Arial"/>
                <a:cs typeface="Arial"/>
              </a:defRPr>
            </a:pPr>
            <a:r>
              <a:rPr lang="da-DK"/>
              <a:t>Optimal pris og mængde er der hvor MR og MC har skæringspunkt</a:t>
            </a:r>
          </a:p>
        </c:rich>
      </c:tx>
      <c:layout>
        <c:manualLayout>
          <c:xMode val="edge"/>
          <c:yMode val="edge"/>
          <c:x val="0.23640398701587106"/>
          <c:y val="1.9575785982924577E-2"/>
        </c:manualLayout>
      </c:layout>
      <c:spPr>
        <a:noFill/>
        <a:ln w="25400">
          <a:noFill/>
        </a:ln>
      </c:spPr>
    </c:title>
    <c:plotArea>
      <c:layout>
        <c:manualLayout>
          <c:layoutTarget val="inner"/>
          <c:xMode val="edge"/>
          <c:yMode val="edge"/>
          <c:x val="8.3240843507214238E-2"/>
          <c:y val="0.12071778140293639"/>
          <c:w val="0.76026637069922309"/>
          <c:h val="0.76019575856443744"/>
        </c:manualLayout>
      </c:layout>
      <c:scatterChart>
        <c:scatterStyle val="lineMarker"/>
        <c:ser>
          <c:idx val="0"/>
          <c:order val="0"/>
          <c:tx>
            <c:strRef>
              <c:f>'[2]Data til graf produkt 1'!$A$2</c:f>
              <c:strCache>
                <c:ptCount val="1"/>
                <c:pt idx="0">
                  <c:v>Afsætning</c:v>
                </c:pt>
              </c:strCache>
            </c:strRef>
          </c:tx>
          <c:spPr>
            <a:ln w="38100">
              <a:solidFill>
                <a:srgbClr val="000080"/>
              </a:solidFill>
              <a:prstDash val="solid"/>
            </a:ln>
          </c:spPr>
          <c:marker>
            <c:symbol val="square"/>
            <c:size val="7"/>
            <c:spPr>
              <a:noFill/>
              <a:ln w="9525">
                <a:noFill/>
              </a:ln>
            </c:spPr>
          </c:marker>
          <c:xVal>
            <c:numRef>
              <c:f>'[2]Data til graf produkt 1'!$B$4:$B$5</c:f>
              <c:numCache>
                <c:formatCode>Standard</c:formatCode>
                <c:ptCount val="2"/>
                <c:pt idx="0">
                  <c:v>0</c:v>
                </c:pt>
                <c:pt idx="1">
                  <c:v>10400</c:v>
                </c:pt>
              </c:numCache>
            </c:numRef>
          </c:xVal>
          <c:yVal>
            <c:numRef>
              <c:f>'[2]Data til graf produkt 1'!$A$4:$A$5</c:f>
              <c:numCache>
                <c:formatCode>Standard</c:formatCode>
                <c:ptCount val="2"/>
                <c:pt idx="0">
                  <c:v>3900</c:v>
                </c:pt>
                <c:pt idx="1">
                  <c:v>0</c:v>
                </c:pt>
              </c:numCache>
            </c:numRef>
          </c:yVal>
        </c:ser>
        <c:ser>
          <c:idx val="1"/>
          <c:order val="1"/>
          <c:tx>
            <c:strRef>
              <c:f>'[2]Data til graf produkt 1'!$C$2</c:f>
              <c:strCache>
                <c:ptCount val="1"/>
                <c:pt idx="0">
                  <c:v>MR</c:v>
                </c:pt>
              </c:strCache>
            </c:strRef>
          </c:tx>
          <c:spPr>
            <a:ln w="38100">
              <a:solidFill>
                <a:srgbClr val="FF00FF"/>
              </a:solidFill>
              <a:prstDash val="solid"/>
            </a:ln>
          </c:spPr>
          <c:marker>
            <c:symbol val="square"/>
            <c:size val="7"/>
            <c:spPr>
              <a:noFill/>
              <a:ln w="9525">
                <a:noFill/>
              </a:ln>
            </c:spPr>
          </c:marker>
          <c:xVal>
            <c:numRef>
              <c:f>'[2]Data til graf produkt 1'!$D$4:$D$5</c:f>
              <c:numCache>
                <c:formatCode>Standard</c:formatCode>
                <c:ptCount val="2"/>
                <c:pt idx="0">
                  <c:v>0</c:v>
                </c:pt>
                <c:pt idx="1">
                  <c:v>5200</c:v>
                </c:pt>
              </c:numCache>
            </c:numRef>
          </c:xVal>
          <c:yVal>
            <c:numRef>
              <c:f>'[2]Data til graf produkt 1'!$C$4:$C$5</c:f>
              <c:numCache>
                <c:formatCode>Standard</c:formatCode>
                <c:ptCount val="2"/>
                <c:pt idx="0">
                  <c:v>3900</c:v>
                </c:pt>
                <c:pt idx="1">
                  <c:v>0</c:v>
                </c:pt>
              </c:numCache>
            </c:numRef>
          </c:yVal>
        </c:ser>
        <c:ser>
          <c:idx val="2"/>
          <c:order val="2"/>
          <c:tx>
            <c:strRef>
              <c:f>'[2]Data til graf produkt 1'!$E$2:$F$2</c:f>
              <c:strCache>
                <c:ptCount val="1"/>
                <c:pt idx="0">
                  <c:v>MC(1) indtil 4000</c:v>
                </c:pt>
              </c:strCache>
            </c:strRef>
          </c:tx>
          <c:spPr>
            <a:ln w="38100">
              <a:solidFill>
                <a:srgbClr val="FFFF00"/>
              </a:solidFill>
              <a:prstDash val="solid"/>
            </a:ln>
          </c:spPr>
          <c:marker>
            <c:symbol val="square"/>
            <c:size val="7"/>
            <c:spPr>
              <a:noFill/>
              <a:ln w="9525">
                <a:noFill/>
              </a:ln>
            </c:spPr>
          </c:marker>
          <c:xVal>
            <c:numRef>
              <c:f>'[2]Data til graf produkt 1'!$F$4:$F$5</c:f>
              <c:numCache>
                <c:formatCode>Standard</c:formatCode>
                <c:ptCount val="2"/>
                <c:pt idx="0">
                  <c:v>0</c:v>
                </c:pt>
                <c:pt idx="1">
                  <c:v>4000</c:v>
                </c:pt>
              </c:numCache>
            </c:numRef>
          </c:xVal>
          <c:yVal>
            <c:numRef>
              <c:f>'[2]Data til graf produkt 1'!$E$4:$E$5</c:f>
              <c:numCache>
                <c:formatCode>Standard</c:formatCode>
                <c:ptCount val="2"/>
                <c:pt idx="0">
                  <c:v>2100</c:v>
                </c:pt>
                <c:pt idx="1">
                  <c:v>2100</c:v>
                </c:pt>
              </c:numCache>
            </c:numRef>
          </c:yVal>
        </c:ser>
        <c:ser>
          <c:idx val="3"/>
          <c:order val="3"/>
          <c:tx>
            <c:strRef>
              <c:f>'[2]Data til graf produkt 1'!$G$2</c:f>
              <c:strCache>
                <c:ptCount val="1"/>
                <c:pt idx="0">
                  <c:v>Max.kapacitet</c:v>
                </c:pt>
              </c:strCache>
            </c:strRef>
          </c:tx>
          <c:spPr>
            <a:ln w="38100">
              <a:solidFill>
                <a:srgbClr val="00FFFF"/>
              </a:solidFill>
              <a:prstDash val="solid"/>
            </a:ln>
          </c:spPr>
          <c:marker>
            <c:symbol val="none"/>
          </c:marker>
          <c:xVal>
            <c:numRef>
              <c:f>'[2]Data til graf produkt 1'!$H$4:$H$5</c:f>
              <c:numCache>
                <c:formatCode>Standard</c:formatCode>
                <c:ptCount val="2"/>
                <c:pt idx="0">
                  <c:v>4000</c:v>
                </c:pt>
                <c:pt idx="1">
                  <c:v>4000</c:v>
                </c:pt>
              </c:numCache>
            </c:numRef>
          </c:xVal>
          <c:yVal>
            <c:numRef>
              <c:f>'[2]Data til graf produkt 1'!$G$4:$G$5</c:f>
              <c:numCache>
                <c:formatCode>Standard</c:formatCode>
                <c:ptCount val="2"/>
                <c:pt idx="0">
                  <c:v>3900</c:v>
                </c:pt>
                <c:pt idx="1">
                  <c:v>0</c:v>
                </c:pt>
              </c:numCache>
            </c:numRef>
          </c:yVal>
        </c:ser>
        <c:ser>
          <c:idx val="4"/>
          <c:order val="4"/>
          <c:tx>
            <c:v>Optimal pris</c:v>
          </c:tx>
          <c:spPr>
            <a:ln w="12700">
              <a:solidFill>
                <a:srgbClr val="800080"/>
              </a:solidFill>
              <a:prstDash val="solid"/>
            </a:ln>
          </c:spPr>
          <c:marker>
            <c:symbol val="none"/>
          </c:marker>
          <c:xVal>
            <c:numRef>
              <c:f>'[2]Data til graf produkt 1'!$J$4:$J$5</c:f>
              <c:numCache>
                <c:formatCode>Standard</c:formatCode>
                <c:ptCount val="2"/>
                <c:pt idx="0">
                  <c:v>0</c:v>
                </c:pt>
                <c:pt idx="1">
                  <c:v>2400</c:v>
                </c:pt>
              </c:numCache>
            </c:numRef>
          </c:xVal>
          <c:yVal>
            <c:numRef>
              <c:f>'[2]Data til graf produkt 1'!$I$4:$I$5</c:f>
              <c:numCache>
                <c:formatCode>Standard</c:formatCode>
                <c:ptCount val="2"/>
                <c:pt idx="0">
                  <c:v>3000</c:v>
                </c:pt>
                <c:pt idx="1">
                  <c:v>3000</c:v>
                </c:pt>
              </c:numCache>
            </c:numRef>
          </c:yVal>
        </c:ser>
        <c:ser>
          <c:idx val="5"/>
          <c:order val="5"/>
          <c:tx>
            <c:strRef>
              <c:f>'[2]Data til graf produkt 1'!$K$2</c:f>
              <c:strCache>
                <c:ptCount val="1"/>
                <c:pt idx="0">
                  <c:v>Optimal mængde</c:v>
                </c:pt>
              </c:strCache>
            </c:strRef>
          </c:tx>
          <c:spPr>
            <a:ln w="12700">
              <a:solidFill>
                <a:srgbClr val="800000"/>
              </a:solidFill>
              <a:prstDash val="solid"/>
            </a:ln>
          </c:spPr>
          <c:marker>
            <c:symbol val="none"/>
          </c:marker>
          <c:xVal>
            <c:numRef>
              <c:f>'[2]Data til graf produkt 1'!$L$4:$L$5</c:f>
              <c:numCache>
                <c:formatCode>Standard</c:formatCode>
                <c:ptCount val="2"/>
                <c:pt idx="0">
                  <c:v>2400</c:v>
                </c:pt>
                <c:pt idx="1">
                  <c:v>2400</c:v>
                </c:pt>
              </c:numCache>
            </c:numRef>
          </c:xVal>
          <c:yVal>
            <c:numRef>
              <c:f>'[2]Data til graf produkt 1'!$K$4:$K$5</c:f>
              <c:numCache>
                <c:formatCode>Standard</c:formatCode>
                <c:ptCount val="2"/>
                <c:pt idx="0">
                  <c:v>0</c:v>
                </c:pt>
                <c:pt idx="1">
                  <c:v>3000</c:v>
                </c:pt>
              </c:numCache>
            </c:numRef>
          </c:yVal>
        </c:ser>
        <c:ser>
          <c:idx val="6"/>
          <c:order val="6"/>
          <c:tx>
            <c:strRef>
              <c:f>'[2]Data til graf produkt 1'!$E$6:$F$6</c:f>
              <c:strCache>
                <c:ptCount val="1"/>
                <c:pt idx="0">
                  <c:v>MC(2) indtil 0</c:v>
                </c:pt>
              </c:strCache>
            </c:strRef>
          </c:tx>
          <c:spPr>
            <a:ln w="38100">
              <a:solidFill>
                <a:srgbClr val="FF6600"/>
              </a:solidFill>
              <a:prstDash val="solid"/>
            </a:ln>
          </c:spPr>
          <c:marker>
            <c:symbol val="none"/>
          </c:marker>
          <c:xVal>
            <c:numRef>
              <c:f>'[2]Data til graf produkt 1'!$F$8:$F$9</c:f>
              <c:numCache>
                <c:formatCode>Standard</c:formatCode>
                <c:ptCount val="2"/>
                <c:pt idx="0">
                  <c:v>0</c:v>
                </c:pt>
                <c:pt idx="1">
                  <c:v>0</c:v>
                </c:pt>
              </c:numCache>
            </c:numRef>
          </c:xVal>
          <c:yVal>
            <c:numRef>
              <c:f>'[2]Data til graf produkt 1'!$E$8:$E$9</c:f>
              <c:numCache>
                <c:formatCode>Standard</c:formatCode>
                <c:ptCount val="2"/>
                <c:pt idx="0">
                  <c:v>0</c:v>
                </c:pt>
                <c:pt idx="1">
                  <c:v>0</c:v>
                </c:pt>
              </c:numCache>
            </c:numRef>
          </c:yVal>
        </c:ser>
        <c:ser>
          <c:idx val="7"/>
          <c:order val="7"/>
          <c:tx>
            <c:strRef>
              <c:f>'[2]Data til graf produkt 1'!$E$10:$F$10</c:f>
              <c:strCache>
                <c:ptCount val="1"/>
                <c:pt idx="0">
                  <c:v>MC(3) indtil 0</c:v>
                </c:pt>
              </c:strCache>
            </c:strRef>
          </c:tx>
          <c:spPr>
            <a:ln w="38100">
              <a:solidFill>
                <a:srgbClr val="FF0000"/>
              </a:solidFill>
              <a:prstDash val="solid"/>
            </a:ln>
          </c:spPr>
          <c:marker>
            <c:symbol val="none"/>
          </c:marker>
          <c:xVal>
            <c:numRef>
              <c:f>'[2]Data til graf produkt 1'!$F$12:$F$13</c:f>
              <c:numCache>
                <c:formatCode>Standard</c:formatCode>
                <c:ptCount val="2"/>
                <c:pt idx="0">
                  <c:v>0</c:v>
                </c:pt>
                <c:pt idx="1">
                  <c:v>0</c:v>
                </c:pt>
              </c:numCache>
            </c:numRef>
          </c:xVal>
          <c:yVal>
            <c:numRef>
              <c:f>'[2]Data til graf produkt 1'!$E$12:$E$13</c:f>
              <c:numCache>
                <c:formatCode>Standard</c:formatCode>
                <c:ptCount val="2"/>
                <c:pt idx="0">
                  <c:v>0</c:v>
                </c:pt>
                <c:pt idx="1">
                  <c:v>0</c:v>
                </c:pt>
              </c:numCache>
            </c:numRef>
          </c:yVal>
        </c:ser>
        <c:ser>
          <c:idx val="8"/>
          <c:order val="8"/>
          <c:tx>
            <c:strRef>
              <c:f>'[2]Data til graf produkt 1'!$G$6:$H$6</c:f>
              <c:strCache>
                <c:ptCount val="1"/>
                <c:pt idx="0">
                  <c:v>relation MC(1) og MC(2)</c:v>
                </c:pt>
              </c:strCache>
            </c:strRef>
          </c:tx>
          <c:spPr>
            <a:ln w="12700">
              <a:solidFill>
                <a:srgbClr val="FF9900"/>
              </a:solidFill>
              <a:prstDash val="sysDash"/>
            </a:ln>
          </c:spPr>
          <c:marker>
            <c:symbol val="none"/>
          </c:marker>
          <c:xVal>
            <c:numRef>
              <c:f>'[2]Data til graf produkt 1'!$H$8:$H$9</c:f>
              <c:numCache>
                <c:formatCode>Standard</c:formatCode>
                <c:ptCount val="2"/>
                <c:pt idx="0">
                  <c:v>0</c:v>
                </c:pt>
                <c:pt idx="1">
                  <c:v>0</c:v>
                </c:pt>
              </c:numCache>
            </c:numRef>
          </c:xVal>
          <c:yVal>
            <c:numRef>
              <c:f>'[2]Data til graf produkt 1'!$G$8:$G$9</c:f>
              <c:numCache>
                <c:formatCode>Standard</c:formatCode>
                <c:ptCount val="2"/>
                <c:pt idx="0">
                  <c:v>0</c:v>
                </c:pt>
                <c:pt idx="1">
                  <c:v>0</c:v>
                </c:pt>
              </c:numCache>
            </c:numRef>
          </c:yVal>
        </c:ser>
        <c:ser>
          <c:idx val="9"/>
          <c:order val="9"/>
          <c:tx>
            <c:strRef>
              <c:f>'[2]Data til graf produkt 1'!$G$10:$H$10</c:f>
              <c:strCache>
                <c:ptCount val="1"/>
                <c:pt idx="0">
                  <c:v>relation MC(2) og MC(3)</c:v>
                </c:pt>
              </c:strCache>
            </c:strRef>
          </c:tx>
          <c:spPr>
            <a:ln w="12700">
              <a:solidFill>
                <a:srgbClr val="FF0000"/>
              </a:solidFill>
              <a:prstDash val="sysDash"/>
            </a:ln>
          </c:spPr>
          <c:marker>
            <c:symbol val="none"/>
          </c:marker>
          <c:xVal>
            <c:numRef>
              <c:f>'[2]Data til graf produkt 1'!$H$12:$H$13</c:f>
              <c:numCache>
                <c:formatCode>Standard</c:formatCode>
                <c:ptCount val="2"/>
                <c:pt idx="0">
                  <c:v>0</c:v>
                </c:pt>
                <c:pt idx="1">
                  <c:v>0</c:v>
                </c:pt>
              </c:numCache>
            </c:numRef>
          </c:xVal>
          <c:yVal>
            <c:numRef>
              <c:f>'[2]Data til graf produkt 1'!$G$12:$G$13</c:f>
              <c:numCache>
                <c:formatCode>Standard</c:formatCode>
                <c:ptCount val="2"/>
                <c:pt idx="0">
                  <c:v>0</c:v>
                </c:pt>
                <c:pt idx="1">
                  <c:v>0</c:v>
                </c:pt>
              </c:numCache>
            </c:numRef>
          </c:yVal>
        </c:ser>
        <c:axId val="94396800"/>
        <c:axId val="94398720"/>
      </c:scatterChart>
      <c:valAx>
        <c:axId val="94396800"/>
        <c:scaling>
          <c:orientation val="minMax"/>
        </c:scaling>
        <c:axPos val="b"/>
        <c:title>
          <c:tx>
            <c:rich>
              <a:bodyPr/>
              <a:lstStyle/>
              <a:p>
                <a:pPr>
                  <a:defRPr sz="950" b="1" i="0" u="none" strike="noStrike" baseline="0">
                    <a:solidFill>
                      <a:srgbClr val="000000"/>
                    </a:solidFill>
                    <a:latin typeface="Arial"/>
                    <a:ea typeface="Arial"/>
                    <a:cs typeface="Arial"/>
                  </a:defRPr>
                </a:pPr>
                <a:r>
                  <a:rPr lang="da-DK"/>
                  <a:t>Mængde</a:t>
                </a:r>
              </a:p>
            </c:rich>
          </c:tx>
          <c:layout>
            <c:manualLayout>
              <c:xMode val="edge"/>
              <c:yMode val="edge"/>
              <c:x val="0.87902327566464733"/>
              <c:y val="0.87112558680877183"/>
            </c:manualLayout>
          </c:layout>
          <c:spPr>
            <a:noFill/>
            <a:ln w="25400">
              <a:noFill/>
            </a:ln>
          </c:spPr>
        </c:title>
        <c:numFmt formatCode="Standard"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a-DK"/>
          </a:p>
        </c:txPr>
        <c:crossAx val="94398720"/>
        <c:crosses val="autoZero"/>
        <c:crossBetween val="midCat"/>
      </c:valAx>
      <c:valAx>
        <c:axId val="94398720"/>
        <c:scaling>
          <c:orientation val="minMax"/>
        </c:scaling>
        <c:axPos val="l"/>
        <c:title>
          <c:tx>
            <c:rich>
              <a:bodyPr rot="-60000" vert="horz"/>
              <a:lstStyle/>
              <a:p>
                <a:pPr algn="ctr">
                  <a:defRPr sz="950" b="1" i="0" u="none" strike="noStrike" baseline="0">
                    <a:solidFill>
                      <a:srgbClr val="000000"/>
                    </a:solidFill>
                    <a:latin typeface="Arial"/>
                    <a:ea typeface="Arial"/>
                    <a:cs typeface="Arial"/>
                  </a:defRPr>
                </a:pPr>
                <a:r>
                  <a:rPr lang="da-DK"/>
                  <a:t>Pris</a:t>
                </a:r>
              </a:p>
            </c:rich>
          </c:tx>
          <c:layout>
            <c:manualLayout>
              <c:xMode val="edge"/>
              <c:yMode val="edge"/>
              <c:x val="4.2175323041797663E-2"/>
              <c:y val="3.5889029842084433E-2"/>
            </c:manualLayout>
          </c:layout>
          <c:spPr>
            <a:noFill/>
            <a:ln w="25400">
              <a:noFill/>
            </a:ln>
          </c:spPr>
        </c:title>
        <c:numFmt formatCode="Standard"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a-DK"/>
          </a:p>
        </c:txPr>
        <c:crossAx val="94396800"/>
        <c:crosses val="autoZero"/>
        <c:crossBetween val="midCat"/>
      </c:valAx>
      <c:spPr>
        <a:noFill/>
        <a:ln w="25400">
          <a:noFill/>
        </a:ln>
      </c:spPr>
    </c:plotArea>
    <c:legend>
      <c:legendPos val="r"/>
      <c:layout>
        <c:manualLayout>
          <c:xMode val="edge"/>
          <c:yMode val="edge"/>
          <c:x val="0.8312985994004124"/>
          <c:y val="0.10440454740248857"/>
          <c:w val="0.16426196139459681"/>
          <c:h val="0.5579119446013058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a-DK"/>
        </a:p>
      </c:txPr>
    </c:legend>
    <c:plotVisOnly val="1"/>
    <c:dispBlanksAs val="gap"/>
  </c:chart>
  <c:spPr>
    <a:noFill/>
    <a:ln w="9525">
      <a:noFill/>
    </a:ln>
  </c:spPr>
  <c:txPr>
    <a:bodyPr/>
    <a:lstStyle/>
    <a:p>
      <a:pPr>
        <a:defRPr sz="950" b="0" i="0" u="none" strike="noStrike" baseline="0">
          <a:solidFill>
            <a:srgbClr val="000000"/>
          </a:solidFill>
          <a:latin typeface="Arial"/>
          <a:ea typeface="Arial"/>
          <a:cs typeface="Arial"/>
        </a:defRPr>
      </a:pPr>
      <a:endParaRPr lang="da-DK"/>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7" workbookViewId="0"/>
  </sheetViews>
  <pageMargins left="0.75" right="0.75" top="1" bottom="1" header="0" footer="0"/>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Desktop\Effektiv%20ren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jde/Roskilde%20Handelsskole/Drifts&#248;konomi/Filer/MR%20=%20MC%20kn&#230;k%20i%20M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ffektiv rente annuitetslån"/>
      <sheetName val="note annuitetslån"/>
      <sheetName val="Effektiv rente serielån"/>
      <sheetName val="note serielån"/>
      <sheetName val="Effektiv rente stående lån"/>
      <sheetName val="note stående lån"/>
      <sheetName val="Sammenligning"/>
      <sheetName val="Effektiv rente kassekredit"/>
      <sheetName val="Betalingsbetingelser"/>
    </sheetNames>
    <sheetDataSet>
      <sheetData sheetId="0"/>
      <sheetData sheetId="1"/>
      <sheetData sheetId="2"/>
      <sheetData sheetId="3"/>
      <sheetData sheetId="4"/>
      <sheetData sheetId="5"/>
      <sheetData sheetId="6"/>
      <sheetData sheetId="7">
        <row r="2">
          <cell r="B2">
            <v>1000000</v>
          </cell>
        </row>
        <row r="4">
          <cell r="B4">
            <v>0.7</v>
          </cell>
        </row>
        <row r="17">
          <cell r="E17">
            <v>0.11927763431903338</v>
          </cell>
        </row>
      </sheetData>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R=MC produkt 1"/>
      <sheetName val="Graf produkt 1"/>
      <sheetName val="Data til graf produkt 1"/>
    </sheetNames>
    <sheetDataSet>
      <sheetData sheetId="0" refreshError="1"/>
      <sheetData sheetId="1" refreshError="1"/>
      <sheetData sheetId="2">
        <row r="2">
          <cell r="A2" t="str">
            <v>Afsætning</v>
          </cell>
          <cell r="C2" t="str">
            <v>MR</v>
          </cell>
          <cell r="E2" t="str">
            <v>MC(1) indtil 4000</v>
          </cell>
          <cell r="G2" t="str">
            <v>Max.kapacitet</v>
          </cell>
          <cell r="K2" t="str">
            <v>Optimal mængde</v>
          </cell>
        </row>
        <row r="4">
          <cell r="A4">
            <v>3900</v>
          </cell>
          <cell r="B4">
            <v>0</v>
          </cell>
          <cell r="C4">
            <v>3900</v>
          </cell>
          <cell r="D4">
            <v>0</v>
          </cell>
          <cell r="E4">
            <v>2100</v>
          </cell>
          <cell r="F4">
            <v>0</v>
          </cell>
          <cell r="G4">
            <v>3900</v>
          </cell>
          <cell r="H4">
            <v>4000</v>
          </cell>
          <cell r="I4">
            <v>3000</v>
          </cell>
          <cell r="J4">
            <v>0</v>
          </cell>
          <cell r="K4">
            <v>0</v>
          </cell>
          <cell r="L4">
            <v>2400</v>
          </cell>
        </row>
        <row r="5">
          <cell r="A5">
            <v>0</v>
          </cell>
          <cell r="B5">
            <v>10400</v>
          </cell>
          <cell r="C5">
            <v>0</v>
          </cell>
          <cell r="D5">
            <v>5200</v>
          </cell>
          <cell r="E5">
            <v>2100</v>
          </cell>
          <cell r="F5">
            <v>4000</v>
          </cell>
          <cell r="G5">
            <v>0</v>
          </cell>
          <cell r="H5">
            <v>4000</v>
          </cell>
          <cell r="I5">
            <v>3000</v>
          </cell>
          <cell r="J5">
            <v>2400</v>
          </cell>
          <cell r="K5">
            <v>3000</v>
          </cell>
          <cell r="L5">
            <v>2400</v>
          </cell>
        </row>
        <row r="6">
          <cell r="E6" t="str">
            <v>MC(2) indtil 0</v>
          </cell>
          <cell r="G6" t="str">
            <v>relation MC(1) og MC(2)</v>
          </cell>
        </row>
        <row r="8">
          <cell r="E8">
            <v>0</v>
          </cell>
          <cell r="F8">
            <v>0</v>
          </cell>
          <cell r="G8">
            <v>0</v>
          </cell>
          <cell r="H8">
            <v>0</v>
          </cell>
        </row>
        <row r="9">
          <cell r="E9">
            <v>0</v>
          </cell>
          <cell r="F9">
            <v>0</v>
          </cell>
          <cell r="G9">
            <v>0</v>
          </cell>
          <cell r="H9">
            <v>0</v>
          </cell>
        </row>
        <row r="10">
          <cell r="E10" t="str">
            <v>MC(3) indtil 0</v>
          </cell>
          <cell r="G10" t="str">
            <v>relation MC(2) og MC(3)</v>
          </cell>
        </row>
        <row r="12">
          <cell r="E12">
            <v>0</v>
          </cell>
          <cell r="F12">
            <v>0</v>
          </cell>
          <cell r="G12">
            <v>0</v>
          </cell>
          <cell r="H12">
            <v>0</v>
          </cell>
        </row>
        <row r="13">
          <cell r="E13">
            <v>0</v>
          </cell>
          <cell r="F13">
            <v>0</v>
          </cell>
          <cell r="G13">
            <v>0</v>
          </cell>
          <cell r="H13">
            <v>0</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68"/>
  <sheetViews>
    <sheetView zoomScale="115" zoomScaleNormal="115" workbookViewId="0">
      <selection activeCell="C1" sqref="C1"/>
    </sheetView>
  </sheetViews>
  <sheetFormatPr defaultRowHeight="15"/>
  <cols>
    <col min="1" max="1" width="20.28515625" style="868" customWidth="1"/>
    <col min="2" max="2" width="11.28515625" style="868" bestFit="1" customWidth="1"/>
    <col min="3" max="3" width="11.85546875" style="868" customWidth="1"/>
    <col min="4" max="4" width="11.85546875" style="868" hidden="1" customWidth="1"/>
    <col min="5" max="5" width="12.28515625" style="868" customWidth="1"/>
    <col min="6" max="6" width="11.7109375" style="868" customWidth="1"/>
    <col min="7" max="7" width="14.28515625" style="868" bestFit="1" customWidth="1"/>
    <col min="8" max="8" width="14.28515625" style="868" hidden="1" customWidth="1"/>
    <col min="9" max="9" width="14.28515625" style="868" customWidth="1"/>
    <col min="10" max="10" width="14" style="868" bestFit="1" customWidth="1"/>
    <col min="11" max="11" width="14" style="868" customWidth="1"/>
    <col min="12" max="12" width="22.28515625" style="868" customWidth="1"/>
    <col min="13" max="16384" width="9.140625" style="868"/>
  </cols>
  <sheetData>
    <row r="1" spans="1:12">
      <c r="A1" s="868" t="s">
        <v>265</v>
      </c>
      <c r="B1" s="869">
        <v>2200</v>
      </c>
      <c r="C1" s="868" t="s">
        <v>266</v>
      </c>
    </row>
    <row r="2" spans="1:12">
      <c r="A2" s="868" t="s">
        <v>267</v>
      </c>
      <c r="B2" s="869">
        <f>B1*0.25</f>
        <v>550</v>
      </c>
      <c r="C2" s="868" t="s">
        <v>266</v>
      </c>
    </row>
    <row r="3" spans="1:12">
      <c r="A3" s="868" t="s">
        <v>268</v>
      </c>
      <c r="B3" s="869">
        <v>200</v>
      </c>
      <c r="C3" s="868" t="s">
        <v>269</v>
      </c>
    </row>
    <row r="4" spans="1:12">
      <c r="A4" s="870"/>
      <c r="B4" s="871"/>
      <c r="L4" s="872"/>
    </row>
    <row r="5" spans="1:12">
      <c r="A5" s="873" t="s">
        <v>270</v>
      </c>
      <c r="B5" s="874" t="s">
        <v>271</v>
      </c>
      <c r="E5" s="875" t="s">
        <v>272</v>
      </c>
      <c r="G5" s="875" t="s">
        <v>183</v>
      </c>
      <c r="H5" s="875"/>
    </row>
    <row r="6" spans="1:12">
      <c r="A6" s="868" t="s">
        <v>273</v>
      </c>
      <c r="B6" s="869">
        <v>450</v>
      </c>
      <c r="C6" s="868" t="s">
        <v>269</v>
      </c>
      <c r="E6" s="869">
        <v>250</v>
      </c>
      <c r="F6" s="868" t="str">
        <f>C6</f>
        <v>kr.</v>
      </c>
      <c r="G6" s="869" t="s">
        <v>183</v>
      </c>
      <c r="H6" s="869"/>
      <c r="I6" s="868" t="str">
        <f>F6</f>
        <v>kr.</v>
      </c>
    </row>
    <row r="7" spans="1:12">
      <c r="A7" s="868" t="s">
        <v>274</v>
      </c>
      <c r="B7" s="869">
        <v>0</v>
      </c>
      <c r="C7" s="868" t="s">
        <v>269</v>
      </c>
      <c r="E7" s="869">
        <v>0</v>
      </c>
      <c r="F7" s="868" t="str">
        <f>C7</f>
        <v>kr.</v>
      </c>
      <c r="G7" s="869" t="s">
        <v>183</v>
      </c>
      <c r="H7" s="869"/>
      <c r="I7" s="868" t="str">
        <f>F7</f>
        <v>kr.</v>
      </c>
    </row>
    <row r="8" spans="1:12">
      <c r="A8" s="868" t="s">
        <v>275</v>
      </c>
      <c r="B8" s="869">
        <v>45</v>
      </c>
      <c r="C8" s="868" t="s">
        <v>276</v>
      </c>
      <c r="E8" s="869">
        <v>75</v>
      </c>
      <c r="F8" s="868" t="str">
        <f>C8</f>
        <v>min.</v>
      </c>
      <c r="G8" s="869" t="s">
        <v>183</v>
      </c>
      <c r="H8" s="869"/>
      <c r="I8" s="868" t="str">
        <f>F8</f>
        <v>min.</v>
      </c>
    </row>
    <row r="9" spans="1:12" ht="15.75" thickBot="1">
      <c r="A9" s="870"/>
      <c r="B9" s="870"/>
      <c r="C9" s="870"/>
      <c r="D9" s="870"/>
      <c r="E9" s="871"/>
      <c r="F9" s="870"/>
      <c r="G9" s="871"/>
      <c r="H9" s="871"/>
    </row>
    <row r="10" spans="1:12" ht="30.75" thickBot="1">
      <c r="A10" s="876" t="s">
        <v>277</v>
      </c>
      <c r="B10" s="877" t="s">
        <v>278</v>
      </c>
      <c r="C10" s="877" t="s">
        <v>218</v>
      </c>
      <c r="D10" s="877"/>
      <c r="E10" s="877" t="s">
        <v>129</v>
      </c>
      <c r="F10" s="877" t="s">
        <v>279</v>
      </c>
      <c r="G10" s="878" t="s">
        <v>280</v>
      </c>
      <c r="H10" s="878"/>
      <c r="I10" s="878" t="s">
        <v>274</v>
      </c>
      <c r="J10" s="878" t="s">
        <v>281</v>
      </c>
      <c r="K10" s="878" t="s">
        <v>266</v>
      </c>
      <c r="L10" s="879" t="s">
        <v>282</v>
      </c>
    </row>
    <row r="11" spans="1:12">
      <c r="A11" s="880" t="str">
        <f>IF(B11=0," ",CONCATENATE($B$5," 1"))</f>
        <v>HA 1</v>
      </c>
      <c r="B11" s="881">
        <v>1400</v>
      </c>
      <c r="C11" s="882">
        <v>1200</v>
      </c>
      <c r="D11" s="882"/>
      <c r="E11" s="883">
        <f>B11*C11</f>
        <v>1680000</v>
      </c>
      <c r="F11" s="884">
        <f>IF(B11=0,0,$B$6)</f>
        <v>450</v>
      </c>
      <c r="G11" s="883">
        <f>F11*C11</f>
        <v>540000</v>
      </c>
      <c r="H11" s="883"/>
      <c r="I11" s="884">
        <f>IF(B11=0,0,$B$7)</f>
        <v>0</v>
      </c>
      <c r="J11" s="885">
        <f>E11-G11-I11</f>
        <v>1140000</v>
      </c>
      <c r="K11" s="885">
        <f t="shared" ref="K11:K16" si="0">C11*$B$8/60</f>
        <v>900</v>
      </c>
      <c r="L11" s="886">
        <f>IF(B11=0,0,J11/K11)</f>
        <v>1266.6666666666667</v>
      </c>
    </row>
    <row r="12" spans="1:12">
      <c r="A12" s="887" t="str">
        <f>IF(B12=0," ",CONCATENATE($B$5," 2"))</f>
        <v>HA 2</v>
      </c>
      <c r="B12" s="888">
        <v>1350</v>
      </c>
      <c r="C12" s="888">
        <v>1300</v>
      </c>
      <c r="D12" s="888"/>
      <c r="E12" s="889">
        <f t="shared" ref="E12:E16" si="1">B12*C12</f>
        <v>1755000</v>
      </c>
      <c r="F12" s="889">
        <f t="shared" ref="F12:F16" si="2">IF(B12=0,0,$B$6)</f>
        <v>450</v>
      </c>
      <c r="G12" s="889">
        <f t="shared" ref="G12:G16" si="3">F12*C12</f>
        <v>585000</v>
      </c>
      <c r="H12" s="889"/>
      <c r="I12" s="889">
        <f t="shared" ref="I12:I16" si="4">IF(B12=0,0,$B$7)</f>
        <v>0</v>
      </c>
      <c r="J12" s="890">
        <f t="shared" ref="J12:J16" si="5">E12-G12-I12</f>
        <v>1170000</v>
      </c>
      <c r="K12" s="890">
        <f t="shared" si="0"/>
        <v>975</v>
      </c>
      <c r="L12" s="891">
        <f>IF(B12=0,0,(J12-J11)/(K12-K11))</f>
        <v>400</v>
      </c>
    </row>
    <row r="13" spans="1:12">
      <c r="A13" s="887" t="str">
        <f>IF(B13=0," ",CONCATENATE($B$5," 3"))</f>
        <v>HA 3</v>
      </c>
      <c r="B13" s="888">
        <v>1300</v>
      </c>
      <c r="C13" s="888">
        <v>1400</v>
      </c>
      <c r="D13" s="888"/>
      <c r="E13" s="889">
        <f t="shared" si="1"/>
        <v>1820000</v>
      </c>
      <c r="F13" s="889">
        <f t="shared" si="2"/>
        <v>450</v>
      </c>
      <c r="G13" s="889">
        <f t="shared" si="3"/>
        <v>630000</v>
      </c>
      <c r="H13" s="889"/>
      <c r="I13" s="889">
        <f t="shared" si="4"/>
        <v>0</v>
      </c>
      <c r="J13" s="890">
        <f t="shared" si="5"/>
        <v>1190000</v>
      </c>
      <c r="K13" s="890">
        <f t="shared" si="0"/>
        <v>1050</v>
      </c>
      <c r="L13" s="891">
        <f t="shared" ref="L13:L16" si="6">IF(B13=0,0,(J13-J12)/(K13-K12))</f>
        <v>266.66666666666669</v>
      </c>
    </row>
    <row r="14" spans="1:12">
      <c r="A14" s="887" t="str">
        <f>IF(B14=0," ",CONCATENATE($B$5," 4"))</f>
        <v>HA 4</v>
      </c>
      <c r="B14" s="888">
        <v>1250</v>
      </c>
      <c r="C14" s="888">
        <v>1500</v>
      </c>
      <c r="D14" s="888"/>
      <c r="E14" s="889">
        <f t="shared" si="1"/>
        <v>1875000</v>
      </c>
      <c r="F14" s="889">
        <f t="shared" si="2"/>
        <v>450</v>
      </c>
      <c r="G14" s="889">
        <f t="shared" si="3"/>
        <v>675000</v>
      </c>
      <c r="H14" s="889"/>
      <c r="I14" s="889">
        <f t="shared" si="4"/>
        <v>0</v>
      </c>
      <c r="J14" s="890">
        <f t="shared" si="5"/>
        <v>1200000</v>
      </c>
      <c r="K14" s="890">
        <f t="shared" si="0"/>
        <v>1125</v>
      </c>
      <c r="L14" s="891">
        <f t="shared" si="6"/>
        <v>133.33333333333334</v>
      </c>
    </row>
    <row r="15" spans="1:12">
      <c r="A15" s="887" t="str">
        <f>IF(B15=0," ",CONCATENATE($B$5," 5"))</f>
        <v>HA 5</v>
      </c>
      <c r="B15" s="888">
        <v>1200</v>
      </c>
      <c r="C15" s="888">
        <v>1600</v>
      </c>
      <c r="D15" s="888"/>
      <c r="E15" s="889">
        <f t="shared" si="1"/>
        <v>1920000</v>
      </c>
      <c r="F15" s="889">
        <f t="shared" si="2"/>
        <v>450</v>
      </c>
      <c r="G15" s="889">
        <f t="shared" si="3"/>
        <v>720000</v>
      </c>
      <c r="H15" s="889"/>
      <c r="I15" s="889">
        <f t="shared" si="4"/>
        <v>0</v>
      </c>
      <c r="J15" s="890">
        <f t="shared" si="5"/>
        <v>1200000</v>
      </c>
      <c r="K15" s="890">
        <f t="shared" si="0"/>
        <v>1200</v>
      </c>
      <c r="L15" s="891">
        <f t="shared" si="6"/>
        <v>0</v>
      </c>
    </row>
    <row r="16" spans="1:12" ht="15.75" thickBot="1">
      <c r="A16" s="892" t="str">
        <f>IF(B16=0," ",CONCATENATE($B$5," 6"))</f>
        <v>HA 6</v>
      </c>
      <c r="B16" s="893">
        <v>1150</v>
      </c>
      <c r="C16" s="893">
        <v>1700</v>
      </c>
      <c r="D16" s="893"/>
      <c r="E16" s="894">
        <f t="shared" si="1"/>
        <v>1955000</v>
      </c>
      <c r="F16" s="894">
        <f t="shared" si="2"/>
        <v>450</v>
      </c>
      <c r="G16" s="894">
        <f t="shared" si="3"/>
        <v>765000</v>
      </c>
      <c r="H16" s="894"/>
      <c r="I16" s="894">
        <f t="shared" si="4"/>
        <v>0</v>
      </c>
      <c r="J16" s="895">
        <f t="shared" si="5"/>
        <v>1190000</v>
      </c>
      <c r="K16" s="896">
        <f t="shared" si="0"/>
        <v>1275</v>
      </c>
      <c r="L16" s="897">
        <f t="shared" si="6"/>
        <v>-133.33333333333334</v>
      </c>
    </row>
    <row r="17" spans="1:12">
      <c r="A17" s="880" t="str">
        <f>IF(B17=0," ",CONCATENATE($E$5," 1"))</f>
        <v>AK 1</v>
      </c>
      <c r="B17" s="881">
        <v>900</v>
      </c>
      <c r="C17" s="882">
        <v>1000</v>
      </c>
      <c r="D17" s="882"/>
      <c r="E17" s="883">
        <f>B17*C17</f>
        <v>900000</v>
      </c>
      <c r="F17" s="884">
        <f>IF(B17=0,0,$E$6)</f>
        <v>250</v>
      </c>
      <c r="G17" s="883">
        <f>F17*C17</f>
        <v>250000</v>
      </c>
      <c r="H17" s="883"/>
      <c r="I17" s="884">
        <f>IF(B17=0,0,$E$7)</f>
        <v>0</v>
      </c>
      <c r="J17" s="885">
        <f>E17-G17-I17</f>
        <v>650000</v>
      </c>
      <c r="K17" s="885">
        <f>C17*$E$8/60</f>
        <v>1250</v>
      </c>
      <c r="L17" s="886">
        <f>IF(B17=0,0,J17/K17)</f>
        <v>520</v>
      </c>
    </row>
    <row r="18" spans="1:12">
      <c r="A18" s="887" t="str">
        <f>IF(B18=0," ",CONCATENATE($E$5," 2"))</f>
        <v>AK 2</v>
      </c>
      <c r="B18" s="888">
        <v>870</v>
      </c>
      <c r="C18" s="888">
        <v>1100</v>
      </c>
      <c r="D18" s="888"/>
      <c r="E18" s="889">
        <f t="shared" ref="E18:E22" si="7">B18*C18</f>
        <v>957000</v>
      </c>
      <c r="F18" s="889">
        <f t="shared" ref="F18:F22" si="8">IF(B18=0,0,$E$6)</f>
        <v>250</v>
      </c>
      <c r="G18" s="889">
        <f t="shared" ref="G18:G22" si="9">F18*C18</f>
        <v>275000</v>
      </c>
      <c r="H18" s="889"/>
      <c r="I18" s="889">
        <f t="shared" ref="I18:I22" si="10">IF(B18=0,0,$E$7)</f>
        <v>0</v>
      </c>
      <c r="J18" s="890">
        <f t="shared" ref="J18:J22" si="11">E18-G18-I18</f>
        <v>682000</v>
      </c>
      <c r="K18" s="890">
        <f t="shared" ref="K18:K22" si="12">C18*$E$8/60</f>
        <v>1375</v>
      </c>
      <c r="L18" s="891">
        <f>IF(B18=0,0,(J18-J17)/(K18-K17))</f>
        <v>256</v>
      </c>
    </row>
    <row r="19" spans="1:12">
      <c r="A19" s="887" t="str">
        <f>IF(B19=0," ",CONCATENATE($E$5," 3"))</f>
        <v>AK 3</v>
      </c>
      <c r="B19" s="888">
        <v>840</v>
      </c>
      <c r="C19" s="888">
        <v>1200</v>
      </c>
      <c r="D19" s="888"/>
      <c r="E19" s="889">
        <f t="shared" si="7"/>
        <v>1008000</v>
      </c>
      <c r="F19" s="889">
        <f t="shared" si="8"/>
        <v>250</v>
      </c>
      <c r="G19" s="889">
        <f t="shared" si="9"/>
        <v>300000</v>
      </c>
      <c r="H19" s="889"/>
      <c r="I19" s="889">
        <f t="shared" si="10"/>
        <v>0</v>
      </c>
      <c r="J19" s="890">
        <f t="shared" si="11"/>
        <v>708000</v>
      </c>
      <c r="K19" s="890">
        <f t="shared" si="12"/>
        <v>1500</v>
      </c>
      <c r="L19" s="891">
        <f>IF(B19=0,0,(J19-J18)/(K19-K18))</f>
        <v>208</v>
      </c>
    </row>
    <row r="20" spans="1:12">
      <c r="A20" s="887" t="str">
        <f>IF(B20=0," ",CONCATENATE($E$5," 4"))</f>
        <v>AK 4</v>
      </c>
      <c r="B20" s="888">
        <v>810</v>
      </c>
      <c r="C20" s="888">
        <v>1300</v>
      </c>
      <c r="D20" s="888"/>
      <c r="E20" s="889">
        <f t="shared" si="7"/>
        <v>1053000</v>
      </c>
      <c r="F20" s="889">
        <f t="shared" si="8"/>
        <v>250</v>
      </c>
      <c r="G20" s="889">
        <f t="shared" si="9"/>
        <v>325000</v>
      </c>
      <c r="H20" s="889"/>
      <c r="I20" s="889">
        <f t="shared" si="10"/>
        <v>0</v>
      </c>
      <c r="J20" s="890">
        <f t="shared" si="11"/>
        <v>728000</v>
      </c>
      <c r="K20" s="890">
        <f t="shared" si="12"/>
        <v>1625</v>
      </c>
      <c r="L20" s="891">
        <f>IF(B20=0,0,(J20-J19)/(K20-K19))</f>
        <v>160</v>
      </c>
    </row>
    <row r="21" spans="1:12">
      <c r="A21" s="887" t="str">
        <f>IF(B21=0," ",CONCATENATE($E$5," 5"))</f>
        <v>AK 5</v>
      </c>
      <c r="B21" s="888">
        <v>780</v>
      </c>
      <c r="C21" s="888">
        <v>1400</v>
      </c>
      <c r="D21" s="888"/>
      <c r="E21" s="889">
        <f t="shared" si="7"/>
        <v>1092000</v>
      </c>
      <c r="F21" s="889">
        <f t="shared" si="8"/>
        <v>250</v>
      </c>
      <c r="G21" s="889">
        <f t="shared" si="9"/>
        <v>350000</v>
      </c>
      <c r="H21" s="889"/>
      <c r="I21" s="889">
        <f t="shared" si="10"/>
        <v>0</v>
      </c>
      <c r="J21" s="890">
        <f t="shared" si="11"/>
        <v>742000</v>
      </c>
      <c r="K21" s="890">
        <f t="shared" si="12"/>
        <v>1750</v>
      </c>
      <c r="L21" s="891">
        <f>IF(B21=0,0,(J21-J20)/(K21-K20))</f>
        <v>112</v>
      </c>
    </row>
    <row r="22" spans="1:12" ht="15.75" thickBot="1">
      <c r="A22" s="892" t="str">
        <f>IF(B22=0," ",CONCATENATE($E$5," 6"))</f>
        <v xml:space="preserve"> </v>
      </c>
      <c r="B22" s="893">
        <v>0</v>
      </c>
      <c r="C22" s="893">
        <v>0</v>
      </c>
      <c r="D22" s="893"/>
      <c r="E22" s="894">
        <f t="shared" si="7"/>
        <v>0</v>
      </c>
      <c r="F22" s="894">
        <f t="shared" si="8"/>
        <v>0</v>
      </c>
      <c r="G22" s="894">
        <f t="shared" si="9"/>
        <v>0</v>
      </c>
      <c r="H22" s="894"/>
      <c r="I22" s="894">
        <f t="shared" si="10"/>
        <v>0</v>
      </c>
      <c r="J22" s="895">
        <f t="shared" si="11"/>
        <v>0</v>
      </c>
      <c r="K22" s="896">
        <f t="shared" si="12"/>
        <v>0</v>
      </c>
      <c r="L22" s="897">
        <f t="shared" ref="L22" si="13">IF(B22=0,0,(J22-J21)/(K22-K21))</f>
        <v>0</v>
      </c>
    </row>
    <row r="23" spans="1:12" hidden="1">
      <c r="A23" s="880" t="str">
        <f>IF(B23=0," ",CONCATENATE($G$5," 1"))</f>
        <v xml:space="preserve"> </v>
      </c>
      <c r="B23" s="881">
        <v>0</v>
      </c>
      <c r="C23" s="882">
        <v>0</v>
      </c>
      <c r="D23" s="882"/>
      <c r="E23" s="883">
        <f>B23*C23</f>
        <v>0</v>
      </c>
      <c r="F23" s="884">
        <f>IF(B23=0,0,$G$6)</f>
        <v>0</v>
      </c>
      <c r="G23" s="883">
        <f>F23*C23</f>
        <v>0</v>
      </c>
      <c r="H23" s="883"/>
      <c r="I23" s="884">
        <f>IF(B23=0,0,$G$7)</f>
        <v>0</v>
      </c>
      <c r="J23" s="885">
        <f>E23-G23-I23</f>
        <v>0</v>
      </c>
      <c r="K23" s="885" t="e">
        <f>C23*$G$8/60</f>
        <v>#VALUE!</v>
      </c>
      <c r="L23" s="886">
        <f>IF(B23=0,0,J23/K23)</f>
        <v>0</v>
      </c>
    </row>
    <row r="24" spans="1:12" hidden="1">
      <c r="A24" s="887" t="str">
        <f>IF(B24=0," ",CONCATENATE($G$5," 2"))</f>
        <v xml:space="preserve"> </v>
      </c>
      <c r="B24" s="888">
        <v>0</v>
      </c>
      <c r="C24" s="888">
        <v>0</v>
      </c>
      <c r="D24" s="888"/>
      <c r="E24" s="889">
        <f t="shared" ref="E24:E28" si="14">B24*C24</f>
        <v>0</v>
      </c>
      <c r="F24" s="889">
        <f t="shared" ref="F24:F28" si="15">IF(B24=0,0,$G$6)</f>
        <v>0</v>
      </c>
      <c r="G24" s="898">
        <f t="shared" ref="G24:G28" si="16">F24*C24</f>
        <v>0</v>
      </c>
      <c r="H24" s="898"/>
      <c r="I24" s="889">
        <f t="shared" ref="I24:I28" si="17">IF(B24=0,0,$G$7)</f>
        <v>0</v>
      </c>
      <c r="J24" s="890">
        <f t="shared" ref="J24:J28" si="18">E24-G24-I24</f>
        <v>0</v>
      </c>
      <c r="K24" s="890" t="e">
        <f t="shared" ref="K24:K28" si="19">C24*$G$8/60</f>
        <v>#VALUE!</v>
      </c>
      <c r="L24" s="891">
        <f>IF(B24=0,0,(J24-J23)/(K24-K23))</f>
        <v>0</v>
      </c>
    </row>
    <row r="25" spans="1:12" hidden="1">
      <c r="A25" s="887" t="str">
        <f>IF(B25=0," ",CONCATENATE($G$5," 3"))</f>
        <v xml:space="preserve"> </v>
      </c>
      <c r="B25" s="888">
        <v>0</v>
      </c>
      <c r="C25" s="888">
        <v>0</v>
      </c>
      <c r="D25" s="888"/>
      <c r="E25" s="889">
        <f t="shared" si="14"/>
        <v>0</v>
      </c>
      <c r="F25" s="889">
        <f t="shared" si="15"/>
        <v>0</v>
      </c>
      <c r="G25" s="898">
        <f t="shared" si="16"/>
        <v>0</v>
      </c>
      <c r="H25" s="898"/>
      <c r="I25" s="889">
        <f t="shared" si="17"/>
        <v>0</v>
      </c>
      <c r="J25" s="890">
        <f t="shared" si="18"/>
        <v>0</v>
      </c>
      <c r="K25" s="890" t="e">
        <f t="shared" si="19"/>
        <v>#VALUE!</v>
      </c>
      <c r="L25" s="891">
        <f>IF(B25=0,0,(J25-J24)/(K25-K24))</f>
        <v>0</v>
      </c>
    </row>
    <row r="26" spans="1:12" hidden="1">
      <c r="A26" s="887" t="str">
        <f>IF(B26=0," ",CONCATENATE($G$5," 4"))</f>
        <v xml:space="preserve"> </v>
      </c>
      <c r="B26" s="888">
        <v>0</v>
      </c>
      <c r="C26" s="888">
        <v>0</v>
      </c>
      <c r="D26" s="888"/>
      <c r="E26" s="889">
        <f t="shared" si="14"/>
        <v>0</v>
      </c>
      <c r="F26" s="889">
        <f t="shared" si="15"/>
        <v>0</v>
      </c>
      <c r="G26" s="898">
        <f t="shared" si="16"/>
        <v>0</v>
      </c>
      <c r="H26" s="898"/>
      <c r="I26" s="889">
        <f t="shared" si="17"/>
        <v>0</v>
      </c>
      <c r="J26" s="890">
        <f t="shared" si="18"/>
        <v>0</v>
      </c>
      <c r="K26" s="890" t="e">
        <f t="shared" si="19"/>
        <v>#VALUE!</v>
      </c>
      <c r="L26" s="891">
        <f>IF(B26=0,0,(J26-J25)/(K26-K25))</f>
        <v>0</v>
      </c>
    </row>
    <row r="27" spans="1:12" hidden="1">
      <c r="A27" s="887" t="str">
        <f>IF(B27=0," ",CONCATENATE($G$5," 5"))</f>
        <v xml:space="preserve"> </v>
      </c>
      <c r="B27" s="888">
        <v>0</v>
      </c>
      <c r="C27" s="888">
        <v>0</v>
      </c>
      <c r="D27" s="888"/>
      <c r="E27" s="889">
        <f t="shared" si="14"/>
        <v>0</v>
      </c>
      <c r="F27" s="889">
        <f t="shared" si="15"/>
        <v>0</v>
      </c>
      <c r="G27" s="898">
        <f t="shared" si="16"/>
        <v>0</v>
      </c>
      <c r="H27" s="898"/>
      <c r="I27" s="889">
        <f t="shared" si="17"/>
        <v>0</v>
      </c>
      <c r="J27" s="890">
        <f t="shared" si="18"/>
        <v>0</v>
      </c>
      <c r="K27" s="890" t="e">
        <f t="shared" si="19"/>
        <v>#VALUE!</v>
      </c>
      <c r="L27" s="891">
        <f>IF(B27=0,0,(J27-J26)/(K27-K26))</f>
        <v>0</v>
      </c>
    </row>
    <row r="28" spans="1:12" ht="15.75" hidden="1" thickBot="1">
      <c r="A28" s="892" t="str">
        <f>IF(B28=0," ",CONCATENATE($G$5," 6"))</f>
        <v xml:space="preserve"> </v>
      </c>
      <c r="B28" s="893">
        <v>0</v>
      </c>
      <c r="C28" s="893">
        <v>0</v>
      </c>
      <c r="D28" s="893"/>
      <c r="E28" s="894">
        <f t="shared" si="14"/>
        <v>0</v>
      </c>
      <c r="F28" s="894">
        <f t="shared" si="15"/>
        <v>0</v>
      </c>
      <c r="G28" s="899">
        <f t="shared" si="16"/>
        <v>0</v>
      </c>
      <c r="H28" s="899"/>
      <c r="I28" s="894">
        <f t="shared" si="17"/>
        <v>0</v>
      </c>
      <c r="J28" s="895">
        <f t="shared" si="18"/>
        <v>0</v>
      </c>
      <c r="K28" s="896" t="e">
        <f t="shared" si="19"/>
        <v>#VALUE!</v>
      </c>
      <c r="L28" s="897">
        <f>IF(B28=0,0,(J28-J27)/(K28-K27))</f>
        <v>0</v>
      </c>
    </row>
    <row r="29" spans="1:12">
      <c r="L29" s="900"/>
    </row>
    <row r="30" spans="1:12">
      <c r="L30" s="900"/>
    </row>
    <row r="31" spans="1:12">
      <c r="L31" s="900"/>
    </row>
    <row r="32" spans="1:12">
      <c r="L32" s="900"/>
    </row>
    <row r="33" spans="1:12">
      <c r="L33" s="900"/>
    </row>
    <row r="34" spans="1:12">
      <c r="L34" s="900"/>
    </row>
    <row r="35" spans="1:12">
      <c r="A35" s="868" t="str">
        <f>A1</f>
        <v>Produktionskapacitet</v>
      </c>
      <c r="B35" s="901">
        <f>B1</f>
        <v>2200</v>
      </c>
    </row>
    <row r="36" spans="1:12">
      <c r="A36" s="868" t="str">
        <f>A2</f>
        <v>Ekstra timer</v>
      </c>
      <c r="B36" s="901">
        <f>B2</f>
        <v>550</v>
      </c>
    </row>
    <row r="37" spans="1:12">
      <c r="A37" s="868" t="s">
        <v>283</v>
      </c>
      <c r="B37" s="901">
        <f>SUM(B35:B36)</f>
        <v>2750</v>
      </c>
    </row>
    <row r="38" spans="1:12">
      <c r="A38" s="868" t="str">
        <f>A3</f>
        <v>tillæg for overarbejde</v>
      </c>
      <c r="B38" s="901">
        <f>B3</f>
        <v>200</v>
      </c>
    </row>
    <row r="39" spans="1:12" ht="15.75" thickBot="1">
      <c r="A39" s="868" t="s">
        <v>284</v>
      </c>
      <c r="B39" s="870"/>
    </row>
    <row r="40" spans="1:12" ht="30">
      <c r="A40" s="880" t="s">
        <v>285</v>
      </c>
      <c r="B40" s="902" t="s">
        <v>286</v>
      </c>
      <c r="C40" s="902" t="s">
        <v>287</v>
      </c>
      <c r="D40" s="903" t="s">
        <v>288</v>
      </c>
      <c r="E40" s="903" t="s">
        <v>288</v>
      </c>
      <c r="F40" s="903" t="s">
        <v>289</v>
      </c>
      <c r="G40" s="903" t="s">
        <v>290</v>
      </c>
      <c r="H40" s="903" t="s">
        <v>291</v>
      </c>
      <c r="I40" s="904" t="s">
        <v>292</v>
      </c>
      <c r="J40" s="905" t="s">
        <v>293</v>
      </c>
    </row>
    <row r="41" spans="1:12" hidden="1">
      <c r="A41" s="887"/>
      <c r="B41" s="906"/>
      <c r="C41" s="907">
        <f>C42</f>
        <v>1266.6666666666667</v>
      </c>
      <c r="D41" s="907"/>
      <c r="E41" s="908"/>
      <c r="F41" s="908"/>
      <c r="G41" s="908"/>
      <c r="H41" s="908"/>
      <c r="I41" s="909"/>
      <c r="J41" s="910">
        <v>0</v>
      </c>
    </row>
    <row r="42" spans="1:12">
      <c r="A42" s="911">
        <v>1</v>
      </c>
      <c r="B42" s="912" t="str">
        <f>IF(C42=$L$11,$A$11,IF(C42=$L$12,$A$12,IF(C42=$L$13,$A$13,IF(C42=$L$14,$A$14,IF(C42=$L$15,$A$15,IF(C42=$L$16,$A$16,IF(C42=$L$17,$A$17,IF(C42=$L$18,$A$18,IF(C42=$L$19,$A$19,IF(C42=$L$20,$A$20,IF(C42=$L$21,$A$21,IF(C42=$L$22,$A$22,IF(C42=$L$23,$A$23,IF(C42=$L$24,$A$24,IF(C42=$L$25,$A$25,IF(C42=$L$26,$A$26,IF(C42=$L$27,$A$27,IF(C42=$L$28,$A$28,))))))))))))))))))</f>
        <v>HA 1</v>
      </c>
      <c r="C42" s="913">
        <f>LARGE($L$11:$L$28,A42)</f>
        <v>1266.6666666666667</v>
      </c>
      <c r="D42" s="912">
        <f t="shared" ref="D42:D54" si="20">IF(C42=$L$11,$K$11,IF(C42=$L$12,$K$12-$K$11,IF(C42=$L$13,$K$13-$K$12,IF(C42=$L$14,$K$14-$K$13,IF(C42=$L$15,$K$15-$K$14,IF(C42=$L$16,$K$16-$K$15,IF(C42=$L$17,$K$17,IF(C42=$L$18,$K$18-$K$17,IF(C42=$L$19,$K$19-$K$18,IF(C42=$L$20,$K$20-$K$19,IF(C42=$L$21,$K$21-$K$20,IF(C42=$L$22,$K$22-$K$21,IF(C42=$L$23,$K$23,IF(C42=$L$24,$K$24-$K$23,IF(C42=$L$25,$K$25-$K$24,IF(C42=$L$26,$K$26-$K$25,IF(C42=$L$27,$K$27-$K$26,IF(C42=$L$28,$K$28-$K$27))))))))))))))))))</f>
        <v>900</v>
      </c>
      <c r="E42" s="912">
        <f>IF(D42&lt;=0,0,D42)</f>
        <v>900</v>
      </c>
      <c r="F42" s="912">
        <f>D42</f>
        <v>900</v>
      </c>
      <c r="G42" s="912" t="str">
        <f>IF(F42&lt;=$B$35,"ja","nej")</f>
        <v>ja</v>
      </c>
      <c r="H42" s="912" t="str">
        <f>IF(C42&lt;=$B$38,"nej","ja")</f>
        <v>ja</v>
      </c>
      <c r="I42" s="914" t="str">
        <f>IF(H42="ja",IF($B$37&lt;F42,"nej","ja"),"nej")</f>
        <v>ja</v>
      </c>
      <c r="J42" s="915" t="b">
        <f>OR(I42="ja",G42="ja")</f>
        <v>1</v>
      </c>
    </row>
    <row r="43" spans="1:12">
      <c r="A43" s="916">
        <v>2</v>
      </c>
      <c r="B43" s="908" t="str">
        <f t="shared" ref="B43:B59" si="21">IF(C43=$L$11,$A$11,IF(C43=$L$12,$A$12,IF(C43=$L$13,$A$13,IF(C43=$L$14,$A$14,IF(C43=$L$15,$A$15,IF(C43=$L$16,$A$16,IF(C43=$L$17,$A$17,IF(C43=$L$18,$A$18,IF(C43=$L$19,$A$19,IF(C43=$L$20,$A$20,IF(C43=$L$21,$A$21,IF(C43=$L$22,$A$22,IF(C43=$L$23,$A$23,IF(C43=$L$24,$A$24,IF(C43=$L$25,$A$25,IF(C43=$L$26,$A$26,IF(C43=$L$27,$A$27,IF(C43=$L$28,$A$28,))))))))))))))))))</f>
        <v>AK 1</v>
      </c>
      <c r="C43" s="917">
        <f>LARGE($L$11:$L$28,A43)</f>
        <v>520</v>
      </c>
      <c r="D43" s="908">
        <f t="shared" si="20"/>
        <v>1250</v>
      </c>
      <c r="E43" s="906">
        <f t="shared" ref="E43:E59" si="22">IF(D43&lt;=0,0,D43)</f>
        <v>1250</v>
      </c>
      <c r="F43" s="908">
        <f>F42+E43</f>
        <v>2150</v>
      </c>
      <c r="G43" s="908" t="str">
        <f t="shared" ref="G43:G59" si="23">IF(F43&lt;=$B$35,"ja","nej")</f>
        <v>ja</v>
      </c>
      <c r="H43" s="912" t="str">
        <f t="shared" ref="H43:H59" si="24">IF(C43&lt;=$B$38,"nej","ja")</f>
        <v>ja</v>
      </c>
      <c r="I43" s="909" t="str">
        <f t="shared" ref="I43:I59" si="25">IF(H43="ja",IF($B$37&lt;F43,"nej","ja"),"nej")</f>
        <v>ja</v>
      </c>
      <c r="J43" s="918" t="b">
        <f t="shared" ref="J43:J59" si="26">OR(I43="ja",G43="ja")</f>
        <v>1</v>
      </c>
    </row>
    <row r="44" spans="1:12">
      <c r="A44" s="911">
        <v>3</v>
      </c>
      <c r="B44" s="912" t="str">
        <f t="shared" si="21"/>
        <v>HA 2</v>
      </c>
      <c r="C44" s="913">
        <f>LARGE($L$11:$L$28,A44)</f>
        <v>400</v>
      </c>
      <c r="D44" s="912">
        <f t="shared" si="20"/>
        <v>75</v>
      </c>
      <c r="E44" s="912">
        <f t="shared" si="22"/>
        <v>75</v>
      </c>
      <c r="F44" s="912">
        <f t="shared" ref="F44:F59" si="27">F43+E44</f>
        <v>2225</v>
      </c>
      <c r="G44" s="912" t="str">
        <f t="shared" si="23"/>
        <v>nej</v>
      </c>
      <c r="H44" s="912" t="str">
        <f t="shared" si="24"/>
        <v>ja</v>
      </c>
      <c r="I44" s="914" t="str">
        <f t="shared" si="25"/>
        <v>ja</v>
      </c>
      <c r="J44" s="915" t="b">
        <f t="shared" si="26"/>
        <v>1</v>
      </c>
    </row>
    <row r="45" spans="1:12">
      <c r="A45" s="916">
        <v>4</v>
      </c>
      <c r="B45" s="908" t="str">
        <f t="shared" si="21"/>
        <v>HA 3</v>
      </c>
      <c r="C45" s="917">
        <f t="shared" ref="C45:C59" si="28">LARGE($L$11:$L$28,A45)</f>
        <v>266.66666666666669</v>
      </c>
      <c r="D45" s="908">
        <f t="shared" si="20"/>
        <v>75</v>
      </c>
      <c r="E45" s="906">
        <f t="shared" si="22"/>
        <v>75</v>
      </c>
      <c r="F45" s="908">
        <f t="shared" si="27"/>
        <v>2300</v>
      </c>
      <c r="G45" s="908" t="str">
        <f t="shared" si="23"/>
        <v>nej</v>
      </c>
      <c r="H45" s="912" t="str">
        <f t="shared" si="24"/>
        <v>ja</v>
      </c>
      <c r="I45" s="909" t="str">
        <f t="shared" si="25"/>
        <v>ja</v>
      </c>
      <c r="J45" s="918" t="b">
        <f t="shared" si="26"/>
        <v>1</v>
      </c>
    </row>
    <row r="46" spans="1:12">
      <c r="A46" s="911">
        <v>5</v>
      </c>
      <c r="B46" s="912" t="str">
        <f t="shared" si="21"/>
        <v>AK 2</v>
      </c>
      <c r="C46" s="913">
        <f t="shared" si="28"/>
        <v>256</v>
      </c>
      <c r="D46" s="912">
        <f t="shared" si="20"/>
        <v>125</v>
      </c>
      <c r="E46" s="912">
        <f t="shared" si="22"/>
        <v>125</v>
      </c>
      <c r="F46" s="912">
        <f t="shared" si="27"/>
        <v>2425</v>
      </c>
      <c r="G46" s="912" t="str">
        <f t="shared" si="23"/>
        <v>nej</v>
      </c>
      <c r="H46" s="912" t="str">
        <f t="shared" si="24"/>
        <v>ja</v>
      </c>
      <c r="I46" s="914" t="str">
        <f t="shared" si="25"/>
        <v>ja</v>
      </c>
      <c r="J46" s="915" t="b">
        <f t="shared" si="26"/>
        <v>1</v>
      </c>
    </row>
    <row r="47" spans="1:12">
      <c r="A47" s="916">
        <v>6</v>
      </c>
      <c r="B47" s="908" t="str">
        <f t="shared" si="21"/>
        <v>AK 3</v>
      </c>
      <c r="C47" s="917">
        <f t="shared" si="28"/>
        <v>208</v>
      </c>
      <c r="D47" s="908">
        <f t="shared" si="20"/>
        <v>125</v>
      </c>
      <c r="E47" s="906">
        <f t="shared" si="22"/>
        <v>125</v>
      </c>
      <c r="F47" s="908">
        <f t="shared" si="27"/>
        <v>2550</v>
      </c>
      <c r="G47" s="908" t="str">
        <f t="shared" si="23"/>
        <v>nej</v>
      </c>
      <c r="H47" s="912" t="str">
        <f t="shared" si="24"/>
        <v>ja</v>
      </c>
      <c r="I47" s="909" t="str">
        <f t="shared" si="25"/>
        <v>ja</v>
      </c>
      <c r="J47" s="918" t="b">
        <f t="shared" si="26"/>
        <v>1</v>
      </c>
    </row>
    <row r="48" spans="1:12">
      <c r="A48" s="911">
        <v>7</v>
      </c>
      <c r="B48" s="912" t="str">
        <f t="shared" si="21"/>
        <v>AK 4</v>
      </c>
      <c r="C48" s="913">
        <f t="shared" si="28"/>
        <v>160</v>
      </c>
      <c r="D48" s="912">
        <f t="shared" si="20"/>
        <v>125</v>
      </c>
      <c r="E48" s="912">
        <f t="shared" si="22"/>
        <v>125</v>
      </c>
      <c r="F48" s="912">
        <f t="shared" si="27"/>
        <v>2675</v>
      </c>
      <c r="G48" s="912" t="str">
        <f t="shared" si="23"/>
        <v>nej</v>
      </c>
      <c r="H48" s="912" t="str">
        <f t="shared" si="24"/>
        <v>nej</v>
      </c>
      <c r="I48" s="914" t="str">
        <f t="shared" si="25"/>
        <v>nej</v>
      </c>
      <c r="J48" s="915" t="b">
        <f t="shared" si="26"/>
        <v>0</v>
      </c>
    </row>
    <row r="49" spans="1:12">
      <c r="A49" s="916">
        <v>8</v>
      </c>
      <c r="B49" s="908" t="str">
        <f t="shared" si="21"/>
        <v>HA 4</v>
      </c>
      <c r="C49" s="917">
        <f t="shared" si="28"/>
        <v>133.33333333333334</v>
      </c>
      <c r="D49" s="908">
        <f t="shared" si="20"/>
        <v>75</v>
      </c>
      <c r="E49" s="906">
        <f t="shared" si="22"/>
        <v>75</v>
      </c>
      <c r="F49" s="908">
        <f t="shared" si="27"/>
        <v>2750</v>
      </c>
      <c r="G49" s="908" t="str">
        <f t="shared" si="23"/>
        <v>nej</v>
      </c>
      <c r="H49" s="912" t="str">
        <f t="shared" si="24"/>
        <v>nej</v>
      </c>
      <c r="I49" s="909" t="str">
        <f t="shared" si="25"/>
        <v>nej</v>
      </c>
      <c r="J49" s="918" t="b">
        <f t="shared" si="26"/>
        <v>0</v>
      </c>
    </row>
    <row r="50" spans="1:12">
      <c r="A50" s="911">
        <v>9</v>
      </c>
      <c r="B50" s="912" t="str">
        <f t="shared" si="21"/>
        <v>AK 5</v>
      </c>
      <c r="C50" s="913">
        <f t="shared" si="28"/>
        <v>112</v>
      </c>
      <c r="D50" s="912">
        <f t="shared" si="20"/>
        <v>125</v>
      </c>
      <c r="E50" s="912">
        <f t="shared" si="22"/>
        <v>125</v>
      </c>
      <c r="F50" s="912">
        <f t="shared" si="27"/>
        <v>2875</v>
      </c>
      <c r="G50" s="912" t="str">
        <f t="shared" si="23"/>
        <v>nej</v>
      </c>
      <c r="H50" s="912" t="str">
        <f t="shared" si="24"/>
        <v>nej</v>
      </c>
      <c r="I50" s="914" t="str">
        <f t="shared" si="25"/>
        <v>nej</v>
      </c>
      <c r="J50" s="915" t="b">
        <f t="shared" si="26"/>
        <v>0</v>
      </c>
      <c r="K50" s="919"/>
    </row>
    <row r="51" spans="1:12" hidden="1">
      <c r="A51" s="916">
        <v>10</v>
      </c>
      <c r="B51" s="908" t="str">
        <f t="shared" si="21"/>
        <v>HA 5</v>
      </c>
      <c r="C51" s="917">
        <f t="shared" si="28"/>
        <v>0</v>
      </c>
      <c r="D51" s="908">
        <f t="shared" si="20"/>
        <v>75</v>
      </c>
      <c r="E51" s="906">
        <f t="shared" si="22"/>
        <v>75</v>
      </c>
      <c r="F51" s="908">
        <f t="shared" si="27"/>
        <v>2950</v>
      </c>
      <c r="G51" s="908" t="str">
        <f t="shared" si="23"/>
        <v>nej</v>
      </c>
      <c r="H51" s="912" t="str">
        <f t="shared" si="24"/>
        <v>nej</v>
      </c>
      <c r="I51" s="909" t="str">
        <f t="shared" si="25"/>
        <v>nej</v>
      </c>
      <c r="J51" s="918" t="b">
        <f t="shared" si="26"/>
        <v>0</v>
      </c>
      <c r="K51" s="919"/>
    </row>
    <row r="52" spans="1:12" hidden="1">
      <c r="A52" s="911">
        <v>11</v>
      </c>
      <c r="B52" s="912" t="str">
        <f t="shared" si="21"/>
        <v>HA 5</v>
      </c>
      <c r="C52" s="913">
        <f t="shared" si="28"/>
        <v>0</v>
      </c>
      <c r="D52" s="912">
        <f t="shared" si="20"/>
        <v>75</v>
      </c>
      <c r="E52" s="912">
        <f t="shared" si="22"/>
        <v>75</v>
      </c>
      <c r="F52" s="912">
        <f t="shared" si="27"/>
        <v>3025</v>
      </c>
      <c r="G52" s="912" t="str">
        <f t="shared" si="23"/>
        <v>nej</v>
      </c>
      <c r="H52" s="912" t="str">
        <f t="shared" si="24"/>
        <v>nej</v>
      </c>
      <c r="I52" s="914" t="str">
        <f t="shared" si="25"/>
        <v>nej</v>
      </c>
      <c r="J52" s="915" t="b">
        <f t="shared" si="26"/>
        <v>0</v>
      </c>
      <c r="K52" s="919"/>
    </row>
    <row r="53" spans="1:12" hidden="1">
      <c r="A53" s="916">
        <v>12</v>
      </c>
      <c r="B53" s="908" t="str">
        <f t="shared" si="21"/>
        <v>HA 5</v>
      </c>
      <c r="C53" s="917">
        <f t="shared" si="28"/>
        <v>0</v>
      </c>
      <c r="D53" s="908">
        <f t="shared" si="20"/>
        <v>75</v>
      </c>
      <c r="E53" s="906">
        <f t="shared" si="22"/>
        <v>75</v>
      </c>
      <c r="F53" s="908">
        <f t="shared" si="27"/>
        <v>3100</v>
      </c>
      <c r="G53" s="908" t="str">
        <f t="shared" si="23"/>
        <v>nej</v>
      </c>
      <c r="H53" s="912" t="str">
        <f t="shared" si="24"/>
        <v>nej</v>
      </c>
      <c r="I53" s="909" t="str">
        <f t="shared" si="25"/>
        <v>nej</v>
      </c>
      <c r="J53" s="918" t="b">
        <f t="shared" si="26"/>
        <v>0</v>
      </c>
      <c r="K53" s="919"/>
    </row>
    <row r="54" spans="1:12" hidden="1">
      <c r="A54" s="911">
        <v>13</v>
      </c>
      <c r="B54" s="912" t="str">
        <f t="shared" si="21"/>
        <v>HA 5</v>
      </c>
      <c r="C54" s="913">
        <f t="shared" si="28"/>
        <v>0</v>
      </c>
      <c r="D54" s="912">
        <f t="shared" si="20"/>
        <v>75</v>
      </c>
      <c r="E54" s="912">
        <f t="shared" si="22"/>
        <v>75</v>
      </c>
      <c r="F54" s="912">
        <f t="shared" si="27"/>
        <v>3175</v>
      </c>
      <c r="G54" s="912" t="str">
        <f t="shared" si="23"/>
        <v>nej</v>
      </c>
      <c r="H54" s="912" t="str">
        <f t="shared" si="24"/>
        <v>nej</v>
      </c>
      <c r="I54" s="914" t="str">
        <f t="shared" si="25"/>
        <v>nej</v>
      </c>
      <c r="J54" s="915" t="b">
        <f t="shared" si="26"/>
        <v>0</v>
      </c>
    </row>
    <row r="55" spans="1:12" hidden="1">
      <c r="A55" s="916">
        <v>14</v>
      </c>
      <c r="B55" s="908" t="str">
        <f t="shared" si="21"/>
        <v>HA 5</v>
      </c>
      <c r="C55" s="917">
        <f t="shared" si="28"/>
        <v>0</v>
      </c>
      <c r="D55" s="908">
        <f>IF(C55=$L$11,$K$11,IF(C55=$L$12,$K$12-$K$11,IF(C55=$L$13,$K$13-$K$12,IF(C55=$L$14,$K$14-$K$13,IF(C55=$L$15,$K$15-$K$14,IF(C55=$L$16,$K$16-$K$15,IF(C55=$L$17,$K$17,IF(C55=$L$18,$K$18-$K$17,IF(C55=$L$19,$K$19-$K$18,IF(C55=$L$20,$K$20-$K$19,IF(C55=$L$21,$K$21-$K$20,IF(C55=$L$22,$K$22-$K$21,IF(C55=$L$23,$K$23,IF(C55=$L$24,$K$24-$K$23,IF(C55=$L$25,$K$25-$K$24,IF(C55=$L$26,$K$26-$K$25,IF(C55=$L$27,$K$27-$K$26,IF(C55=$L$28,$K$28-$K$27))))))))))))))))))</f>
        <v>75</v>
      </c>
      <c r="E55" s="906">
        <f t="shared" si="22"/>
        <v>75</v>
      </c>
      <c r="F55" s="908">
        <f t="shared" si="27"/>
        <v>3250</v>
      </c>
      <c r="G55" s="908" t="str">
        <f t="shared" si="23"/>
        <v>nej</v>
      </c>
      <c r="H55" s="912" t="str">
        <f t="shared" si="24"/>
        <v>nej</v>
      </c>
      <c r="I55" s="909" t="str">
        <f t="shared" si="25"/>
        <v>nej</v>
      </c>
      <c r="J55" s="918" t="b">
        <f t="shared" si="26"/>
        <v>0</v>
      </c>
    </row>
    <row r="56" spans="1:12" hidden="1">
      <c r="A56" s="911">
        <v>15</v>
      </c>
      <c r="B56" s="912" t="str">
        <f t="shared" si="21"/>
        <v>HA 5</v>
      </c>
      <c r="C56" s="913">
        <f t="shared" si="28"/>
        <v>0</v>
      </c>
      <c r="D56" s="912">
        <f t="shared" ref="D56:D59" si="29">IF(C56=$L$11,$K$11,IF(C56=$L$12,$K$12-$K$11,IF(C56=$L$13,$K$13-$K$12,IF(C56=$L$14,$K$14-$K$13,IF(C56=$L$15,$K$15-$K$14,IF(C56=$L$16,$K$16-$K$15,IF(C56=$L$17,$K$17,IF(C56=$L$18,$K$18-$K$17,IF(C56=$L$19,$K$19-$K$18,IF(C56=$L$20,$K$20-$K$19,IF(C56=$L$21,$K$21-$K$20,IF(C56=$L$22,$K$22-$K$21,IF(C56=$L$23,$K$23,IF(C56=$L$24,$K$24-$K$23,IF(C56=$L$25,$K$25-$K$24,IF(C56=$L$26,$K$26-$K$25,IF(C56=$L$27,$K$27-$K$26,IF(C56=$L$28,$K$28-$K$27))))))))))))))))))</f>
        <v>75</v>
      </c>
      <c r="E56" s="912">
        <f t="shared" si="22"/>
        <v>75</v>
      </c>
      <c r="F56" s="912">
        <f t="shared" si="27"/>
        <v>3325</v>
      </c>
      <c r="G56" s="912" t="str">
        <f t="shared" si="23"/>
        <v>nej</v>
      </c>
      <c r="H56" s="912" t="str">
        <f t="shared" si="24"/>
        <v>nej</v>
      </c>
      <c r="I56" s="914" t="str">
        <f t="shared" si="25"/>
        <v>nej</v>
      </c>
      <c r="J56" s="915" t="b">
        <f t="shared" si="26"/>
        <v>0</v>
      </c>
    </row>
    <row r="57" spans="1:12" hidden="1">
      <c r="A57" s="916">
        <v>16</v>
      </c>
      <c r="B57" s="908" t="str">
        <f t="shared" si="21"/>
        <v>HA 5</v>
      </c>
      <c r="C57" s="917">
        <f t="shared" si="28"/>
        <v>0</v>
      </c>
      <c r="D57" s="908">
        <f t="shared" si="29"/>
        <v>75</v>
      </c>
      <c r="E57" s="906">
        <f t="shared" si="22"/>
        <v>75</v>
      </c>
      <c r="F57" s="908">
        <f t="shared" si="27"/>
        <v>3400</v>
      </c>
      <c r="G57" s="908" t="str">
        <f t="shared" si="23"/>
        <v>nej</v>
      </c>
      <c r="H57" s="912" t="str">
        <f t="shared" si="24"/>
        <v>nej</v>
      </c>
      <c r="I57" s="909" t="str">
        <f t="shared" si="25"/>
        <v>nej</v>
      </c>
      <c r="J57" s="918" t="b">
        <f t="shared" si="26"/>
        <v>0</v>
      </c>
    </row>
    <row r="58" spans="1:12" hidden="1">
      <c r="A58" s="911">
        <v>17</v>
      </c>
      <c r="B58" s="912" t="str">
        <f t="shared" si="21"/>
        <v>HA 5</v>
      </c>
      <c r="C58" s="913">
        <f t="shared" si="28"/>
        <v>0</v>
      </c>
      <c r="D58" s="912">
        <f t="shared" si="29"/>
        <v>75</v>
      </c>
      <c r="E58" s="912">
        <f t="shared" si="22"/>
        <v>75</v>
      </c>
      <c r="F58" s="912">
        <f t="shared" si="27"/>
        <v>3475</v>
      </c>
      <c r="G58" s="912" t="str">
        <f t="shared" si="23"/>
        <v>nej</v>
      </c>
      <c r="H58" s="912" t="str">
        <f t="shared" si="24"/>
        <v>nej</v>
      </c>
      <c r="I58" s="914" t="str">
        <f t="shared" si="25"/>
        <v>nej</v>
      </c>
      <c r="J58" s="915" t="b">
        <f t="shared" si="26"/>
        <v>0</v>
      </c>
    </row>
    <row r="59" spans="1:12" ht="15.75" hidden="1" thickBot="1">
      <c r="A59" s="920">
        <v>18</v>
      </c>
      <c r="B59" s="921" t="str">
        <f t="shared" si="21"/>
        <v>HA 6</v>
      </c>
      <c r="C59" s="922">
        <f t="shared" si="28"/>
        <v>-133.33333333333334</v>
      </c>
      <c r="D59" s="921">
        <f t="shared" si="29"/>
        <v>75</v>
      </c>
      <c r="E59" s="921">
        <f t="shared" si="22"/>
        <v>75</v>
      </c>
      <c r="F59" s="921">
        <f t="shared" si="27"/>
        <v>3550</v>
      </c>
      <c r="G59" s="921" t="str">
        <f t="shared" si="23"/>
        <v>nej</v>
      </c>
      <c r="H59" s="923" t="str">
        <f t="shared" si="24"/>
        <v>nej</v>
      </c>
      <c r="I59" s="924" t="str">
        <f t="shared" si="25"/>
        <v>nej</v>
      </c>
      <c r="J59" s="925" t="b">
        <f t="shared" si="26"/>
        <v>0</v>
      </c>
    </row>
    <row r="60" spans="1:12">
      <c r="C60" s="870"/>
      <c r="D60" s="870"/>
    </row>
    <row r="61" spans="1:12" ht="15.75" thickBot="1">
      <c r="A61" s="868" t="s">
        <v>294</v>
      </c>
    </row>
    <row r="62" spans="1:12">
      <c r="A62" s="880" t="str">
        <f>A10</f>
        <v>produkt</v>
      </c>
      <c r="B62" s="902" t="str">
        <f>B10</f>
        <v xml:space="preserve">Pris </v>
      </c>
      <c r="C62" s="902" t="str">
        <f t="shared" ref="C62:K62" si="30">C10</f>
        <v>Afsætning</v>
      </c>
      <c r="D62" s="902"/>
      <c r="E62" s="902" t="str">
        <f t="shared" si="30"/>
        <v>Omsætning</v>
      </c>
      <c r="F62" s="902" t="str">
        <f t="shared" si="30"/>
        <v>VE</v>
      </c>
      <c r="G62" s="902" t="str">
        <f t="shared" si="30"/>
        <v>VO
(afsæt*VE)</v>
      </c>
      <c r="H62" s="902"/>
      <c r="I62" s="902" t="str">
        <f t="shared" si="30"/>
        <v>Reklame</v>
      </c>
      <c r="J62" s="902" t="str">
        <f t="shared" si="30"/>
        <v>DB / MFB</v>
      </c>
      <c r="K62" s="926" t="str">
        <f t="shared" si="30"/>
        <v>timer</v>
      </c>
      <c r="L62" s="927"/>
    </row>
    <row r="63" spans="1:12">
      <c r="A63" s="928" t="s">
        <v>295</v>
      </c>
      <c r="B63" s="929">
        <f>IF($A$63=$A$11,B11,IF($A$63=$A$12,B12,IF($A$63=$A$13,B13,IF($A$63=$A$14,B14,IF($A$63=$A$15,B15,IF($A$63=$A$16,B16,IF($A$63=$A$17,B17,IF($A$63=$A$18,B18,IF($A$63=$A$19,B19,IF($A$63=$A$20,B20,IF($A$63=$A$21,B21,IF($A$63=$A$22,B22,IF($A$63=$A$23,B23,IF($A$63=$A$24,B24,IF($A$63=$A$25,B25,IF($A$63=$A$26,B26,IF($A$63=$A$27,B27,IF($A$63=$A$28,B28,))))))))))))))))))</f>
        <v>1300</v>
      </c>
      <c r="C63" s="929">
        <f t="shared" ref="C63:K63" si="31">IF($A$63=$A$11,C11,IF($A$63=$A$12,C12,IF($A$63=$A$13,C13,IF($A$63=$A$14,C14,IF($A$63=$A$15,C15,IF($A$63=$A$16,C16,IF($A$63=$A$17,C17,IF($A$63=$A$18,C18,IF($A$63=$A$19,C19,IF($A$63=$A$20,C20,IF($A$63=$A$21,C21,IF($A$63=$A$22,C22,IF($A$63=$A$23,C23,IF($A$63=$A$24,C24,IF($A$63=$A$25,C25,IF($A$63=$A$26,C26,IF($A$63=$A$27,C27,IF($A$63=$A$28,C28,))))))))))))))))))</f>
        <v>1400</v>
      </c>
      <c r="D63" s="929"/>
      <c r="E63" s="929">
        <f t="shared" si="31"/>
        <v>1820000</v>
      </c>
      <c r="F63" s="929">
        <f t="shared" si="31"/>
        <v>450</v>
      </c>
      <c r="G63" s="929">
        <f t="shared" si="31"/>
        <v>630000</v>
      </c>
      <c r="H63" s="929"/>
      <c r="I63" s="929">
        <f t="shared" si="31"/>
        <v>0</v>
      </c>
      <c r="J63" s="929">
        <f t="shared" si="31"/>
        <v>1190000</v>
      </c>
      <c r="K63" s="930">
        <f t="shared" si="31"/>
        <v>1050</v>
      </c>
      <c r="L63" s="927"/>
    </row>
    <row r="64" spans="1:12">
      <c r="A64" s="928" t="s">
        <v>296</v>
      </c>
      <c r="B64" s="929">
        <f>IF($A$64=$A$11,B11,IF($A$64=$A$12,B12,IF($A$64=$A$13,B13,IF($A$64=$A$14,B14,IF($A$64=$A$15,B15,IF($A$64=$A$16,B16,IF($A$64=$A$17,B17,IF($A$64=$A$18,B18,IF($A$64=$A$19,B19,IF($A$64=$A$20,B20,IF($A$64=$A$21,B21,IF($A$64=$A$22,B22,IF($A$64=$A$23,B23,IF($A$64=$A$24,B24,IF($A$64=$A$25,B25,IF($A$64=$A$26,B26,IF($A$64=$A$27,B27,IF($A$64=$A$28,B28,))))))))))))))))))</f>
        <v>840</v>
      </c>
      <c r="C64" s="929">
        <f t="shared" ref="C64:K64" si="32">IF($A$64=$A$11,C11,IF($A$64=$A$12,C12,IF($A$64=$A$13,C13,IF($A$64=$A$14,C14,IF($A$64=$A$15,C15,IF($A$64=$A$16,C16,IF($A$64=$A$17,C17,IF($A$64=$A$18,C18,IF($A$64=$A$19,C19,IF($A$64=$A$20,C20,IF($A$64=$A$21,C21,IF($A$64=$A$22,C22,IF($A$64=$A$23,C23,IF($A$64=$A$24,C24,IF($A$64=$A$25,C25,IF($A$64=$A$26,C26,IF($A$64=$A$27,C27,IF($A$64=$A$28,C28,))))))))))))))))))</f>
        <v>1200</v>
      </c>
      <c r="D64" s="929"/>
      <c r="E64" s="929">
        <f t="shared" si="32"/>
        <v>1008000</v>
      </c>
      <c r="F64" s="929">
        <f t="shared" si="32"/>
        <v>250</v>
      </c>
      <c r="G64" s="929">
        <f t="shared" si="32"/>
        <v>300000</v>
      </c>
      <c r="H64" s="929"/>
      <c r="I64" s="929">
        <f t="shared" si="32"/>
        <v>0</v>
      </c>
      <c r="J64" s="929">
        <f t="shared" si="32"/>
        <v>708000</v>
      </c>
      <c r="K64" s="930">
        <f t="shared" si="32"/>
        <v>1500</v>
      </c>
      <c r="L64" s="927"/>
    </row>
    <row r="65" spans="1:12">
      <c r="A65" s="928" t="s">
        <v>183</v>
      </c>
      <c r="B65" s="929">
        <f>IF($A$65=$A$11,B11,IF($A$65=$A$12,B12,IF($A$65=$A$13,B13,IF($A$65=$A$14,B14,IF($A$65=$A$15,B15,IF($A$65=$A$16,B16,IF($A$65=$A$17,B17,IF($A$65=$A$18,B18,IF($A$65=$A$19,B19,IF($A$65=$A$20,B20,IF($A$65=$A$21,B21,IF($A$65=$A$22,B22,IF($A$65=$A$23,B23,IF($A$65=$A$24,B24,IF($A$65=$A$25,B25,IF($A$65=$A$26,B26,IF($A$65=$A$27,B27,IF($A$65=$A$28,B28,))))))))))))))))))</f>
        <v>0</v>
      </c>
      <c r="C65" s="929">
        <f t="shared" ref="C65:K65" si="33">IF($A$65=$A$11,C11,IF($A$65=$A$12,C12,IF($A$65=$A$13,C13,IF($A$65=$A$14,C14,IF($A$65=$A$15,C15,IF($A$65=$A$16,C16,IF($A$65=$A$17,C17,IF($A$65=$A$18,C18,IF($A$65=$A$19,C19,IF($A$65=$A$20,C20,IF($A$65=$A$21,C21,IF($A$65=$A$22,C22,IF($A$65=$A$23,C23,IF($A$65=$A$24,C24,IF($A$65=$A$25,C25,IF($A$65=$A$26,C26,IF($A$65=$A$27,C27,IF($A$65=$A$28,C28,))))))))))))))))))</f>
        <v>0</v>
      </c>
      <c r="D65" s="929"/>
      <c r="E65" s="929">
        <f t="shared" si="33"/>
        <v>0</v>
      </c>
      <c r="F65" s="929">
        <f t="shared" si="33"/>
        <v>0</v>
      </c>
      <c r="G65" s="929">
        <f t="shared" si="33"/>
        <v>0</v>
      </c>
      <c r="H65" s="929"/>
      <c r="I65" s="929">
        <f t="shared" si="33"/>
        <v>0</v>
      </c>
      <c r="J65" s="929">
        <f t="shared" si="33"/>
        <v>0</v>
      </c>
      <c r="K65" s="930">
        <f t="shared" si="33"/>
        <v>0</v>
      </c>
      <c r="L65" s="927"/>
    </row>
    <row r="66" spans="1:12">
      <c r="A66" s="916"/>
      <c r="B66" s="929"/>
      <c r="C66" s="929"/>
      <c r="D66" s="929"/>
      <c r="E66" s="929">
        <f>SUM(E63:E65)</f>
        <v>2828000</v>
      </c>
      <c r="F66" s="929"/>
      <c r="G66" s="929">
        <f>SUM(G63:G65)</f>
        <v>930000</v>
      </c>
      <c r="H66" s="929"/>
      <c r="I66" s="929">
        <f t="shared" ref="I66:K66" si="34">SUM(I63:I65)</f>
        <v>0</v>
      </c>
      <c r="J66" s="929">
        <f t="shared" si="34"/>
        <v>1898000</v>
      </c>
      <c r="K66" s="930">
        <f t="shared" si="34"/>
        <v>2550</v>
      </c>
      <c r="L66" s="927"/>
    </row>
    <row r="67" spans="1:12">
      <c r="A67" s="916" t="s">
        <v>297</v>
      </c>
      <c r="B67" s="929">
        <f>B3</f>
        <v>200</v>
      </c>
      <c r="C67" s="929"/>
      <c r="D67" s="929"/>
      <c r="E67" s="929"/>
      <c r="F67" s="929"/>
      <c r="G67" s="929"/>
      <c r="H67" s="929"/>
      <c r="I67" s="929"/>
      <c r="J67" s="929">
        <f>K67*B67</f>
        <v>70000</v>
      </c>
      <c r="K67" s="930">
        <f>IF(K66&lt;=B1,0,K66-B1)</f>
        <v>350</v>
      </c>
      <c r="L67" s="927"/>
    </row>
    <row r="68" spans="1:12" ht="15.75" thickBot="1">
      <c r="A68" s="920" t="s">
        <v>298</v>
      </c>
      <c r="B68" s="931"/>
      <c r="C68" s="931"/>
      <c r="D68" s="931"/>
      <c r="E68" s="931"/>
      <c r="F68" s="931"/>
      <c r="G68" s="931"/>
      <c r="H68" s="931"/>
      <c r="I68" s="931"/>
      <c r="J68" s="931">
        <f>J66-J67</f>
        <v>1828000</v>
      </c>
      <c r="K68" s="932"/>
      <c r="L68" s="927"/>
    </row>
  </sheetData>
  <pageMargins left="0.23622047244094491" right="0.23622047244094491" top="0.74803149606299213" bottom="0.74803149606299213" header="0.31496062992125984" footer="0.31496062992125984"/>
  <pageSetup paperSize="9" scale="95" orientation="landscape" r:id="rId1"/>
  <legacyDrawing r:id="rId2"/>
</worksheet>
</file>

<file path=xl/worksheets/sheet10.xml><?xml version="1.0" encoding="utf-8"?>
<worksheet xmlns="http://schemas.openxmlformats.org/spreadsheetml/2006/main" xmlns:r="http://schemas.openxmlformats.org/officeDocument/2006/relationships">
  <dimension ref="A1:K381"/>
  <sheetViews>
    <sheetView zoomScale="110" zoomScaleNormal="110" workbookViewId="0">
      <selection activeCell="H23" sqref="H23"/>
    </sheetView>
  </sheetViews>
  <sheetFormatPr defaultRowHeight="12.75"/>
  <cols>
    <col min="1" max="1" width="6.140625" style="54" customWidth="1"/>
    <col min="2" max="2" width="14.42578125" style="54" customWidth="1"/>
    <col min="3" max="3" width="15" style="54" customWidth="1"/>
    <col min="4" max="4" width="16.7109375" style="54" customWidth="1"/>
    <col min="5" max="5" width="11.7109375" style="54" customWidth="1"/>
    <col min="6" max="6" width="12.42578125" style="54" customWidth="1"/>
    <col min="7" max="7" width="14.42578125" style="54" customWidth="1"/>
    <col min="8" max="16384" width="9.140625" style="54"/>
  </cols>
  <sheetData>
    <row r="1" spans="1:11" ht="27" thickBot="1">
      <c r="A1" s="325" t="s">
        <v>121</v>
      </c>
      <c r="B1" s="326"/>
      <c r="C1" s="326"/>
      <c r="D1" s="326"/>
      <c r="E1" s="326"/>
      <c r="F1" s="326"/>
      <c r="G1" s="327"/>
    </row>
    <row r="2" spans="1:11">
      <c r="A2" s="328" t="s">
        <v>31</v>
      </c>
      <c r="B2" s="329"/>
      <c r="C2" s="329"/>
      <c r="D2" s="158">
        <v>435500</v>
      </c>
      <c r="E2" s="56"/>
      <c r="F2" s="56"/>
      <c r="G2" s="57"/>
    </row>
    <row r="3" spans="1:11" hidden="1">
      <c r="A3" s="70" t="s">
        <v>69</v>
      </c>
      <c r="B3" s="56"/>
      <c r="C3" s="56"/>
      <c r="D3" s="159">
        <f>D2*-1</f>
        <v>-435500</v>
      </c>
      <c r="E3" s="56"/>
      <c r="F3" s="56"/>
      <c r="G3" s="57"/>
    </row>
    <row r="4" spans="1:11">
      <c r="A4" s="323" t="s">
        <v>32</v>
      </c>
      <c r="B4" s="324"/>
      <c r="C4" s="324"/>
      <c r="D4" s="160">
        <v>96.5</v>
      </c>
      <c r="E4" s="56"/>
      <c r="F4" s="56"/>
      <c r="G4" s="57"/>
    </row>
    <row r="5" spans="1:11">
      <c r="A5" s="397" t="s">
        <v>70</v>
      </c>
      <c r="B5" s="398"/>
      <c r="C5" s="398"/>
      <c r="D5" s="161">
        <v>3200</v>
      </c>
      <c r="E5" s="56"/>
      <c r="F5" s="56"/>
      <c r="G5" s="57"/>
    </row>
    <row r="6" spans="1:11" ht="13.5" thickBot="1">
      <c r="A6" s="397" t="s">
        <v>34</v>
      </c>
      <c r="B6" s="398"/>
      <c r="C6" s="398"/>
      <c r="D6" s="119">
        <f>(D2*(D4/100))-D5</f>
        <v>417057.5</v>
      </c>
      <c r="E6" s="56"/>
      <c r="F6" s="56"/>
      <c r="G6" s="57"/>
    </row>
    <row r="7" spans="1:11" ht="13.5" thickTop="1">
      <c r="A7" s="397" t="s">
        <v>35</v>
      </c>
      <c r="B7" s="398"/>
      <c r="C7" s="398"/>
      <c r="D7" s="162">
        <v>2.5000000000000001E-2</v>
      </c>
      <c r="E7" s="56"/>
      <c r="F7" s="56"/>
      <c r="G7" s="57"/>
    </row>
    <row r="8" spans="1:11">
      <c r="A8" s="397" t="s">
        <v>36</v>
      </c>
      <c r="B8" s="398"/>
      <c r="C8" s="398"/>
      <c r="D8" s="163">
        <v>6</v>
      </c>
      <c r="E8" s="56"/>
      <c r="F8" s="56"/>
      <c r="G8" s="57"/>
    </row>
    <row r="9" spans="1:11">
      <c r="A9" s="397" t="s">
        <v>37</v>
      </c>
      <c r="B9" s="398"/>
      <c r="C9" s="398"/>
      <c r="D9" s="163">
        <v>1</v>
      </c>
      <c r="E9" s="56"/>
      <c r="F9" s="56"/>
      <c r="G9" s="57"/>
    </row>
    <row r="10" spans="1:11">
      <c r="A10" s="397" t="s">
        <v>38</v>
      </c>
      <c r="B10" s="398"/>
      <c r="C10" s="398"/>
      <c r="D10" s="63">
        <f>D8*D9</f>
        <v>6</v>
      </c>
      <c r="E10" s="56"/>
      <c r="F10" s="56"/>
      <c r="G10" s="57"/>
    </row>
    <row r="11" spans="1:11">
      <c r="A11" s="397" t="s">
        <v>81</v>
      </c>
      <c r="B11" s="398"/>
      <c r="C11" s="398"/>
      <c r="D11" s="64">
        <f>D7/D9</f>
        <v>2.5000000000000001E-2</v>
      </c>
      <c r="E11" s="56"/>
      <c r="F11" s="56"/>
      <c r="G11" s="57"/>
    </row>
    <row r="12" spans="1:11">
      <c r="A12" s="397" t="s">
        <v>75</v>
      </c>
      <c r="B12" s="398"/>
      <c r="C12" s="398"/>
      <c r="D12" s="65">
        <f>D2*D11*-1</f>
        <v>-10887.5</v>
      </c>
      <c r="E12" s="333" t="s">
        <v>82</v>
      </c>
      <c r="F12" s="334"/>
      <c r="G12" s="335"/>
    </row>
    <row r="13" spans="1:11" hidden="1">
      <c r="A13" s="323" t="s">
        <v>42</v>
      </c>
      <c r="B13" s="324"/>
      <c r="C13" s="324"/>
      <c r="D13" s="164">
        <v>0</v>
      </c>
      <c r="E13" s="56"/>
      <c r="F13" s="56"/>
      <c r="G13" s="57"/>
    </row>
    <row r="14" spans="1:11">
      <c r="A14" s="399"/>
      <c r="B14" s="400"/>
      <c r="C14" s="400"/>
      <c r="D14" s="401"/>
      <c r="E14" s="73"/>
      <c r="F14" s="73"/>
      <c r="G14" s="74"/>
      <c r="H14" s="72"/>
      <c r="I14" s="72"/>
      <c r="J14" s="72"/>
      <c r="K14" s="72"/>
    </row>
    <row r="15" spans="1:11" ht="18">
      <c r="A15" s="333" t="s">
        <v>73</v>
      </c>
      <c r="B15" s="334"/>
      <c r="C15" s="334"/>
      <c r="D15" s="165">
        <f>(POWER((RATE(D10,D12-D13,D6,D3)+1),D9))-1</f>
        <v>3.2892417736322566E-2</v>
      </c>
      <c r="E15" s="333" t="str">
        <f>E12</f>
        <v>(Beregning: se note til stående lån)</v>
      </c>
      <c r="F15" s="334"/>
      <c r="G15" s="335"/>
      <c r="H15" s="72"/>
      <c r="I15" s="72"/>
      <c r="J15" s="72"/>
      <c r="K15" s="72"/>
    </row>
    <row r="16" spans="1:11" ht="13.5" thickBot="1">
      <c r="A16" s="336"/>
      <c r="B16" s="337"/>
      <c r="C16" s="337"/>
      <c r="D16" s="338"/>
      <c r="E16" s="73"/>
      <c r="F16" s="166"/>
      <c r="G16" s="74"/>
      <c r="H16" s="72"/>
      <c r="I16" s="72"/>
      <c r="J16" s="72"/>
      <c r="K16" s="72"/>
    </row>
    <row r="17" spans="1:11" ht="13.5" thickBot="1">
      <c r="A17" s="75"/>
      <c r="B17" s="77"/>
      <c r="C17" s="77"/>
      <c r="D17" s="77"/>
      <c r="E17" s="77"/>
      <c r="F17" s="77"/>
      <c r="G17" s="78"/>
      <c r="H17" s="72"/>
      <c r="I17" s="72"/>
      <c r="J17" s="72"/>
      <c r="K17" s="72"/>
    </row>
    <row r="18" spans="1:11">
      <c r="A18" s="127" t="str">
        <f>CONCATENATE("Amortisationstabel for stående lån (",D10," terminer)")</f>
        <v>Amortisationstabel for stående lån (6 terminer)</v>
      </c>
      <c r="B18" s="73"/>
      <c r="C18" s="73"/>
      <c r="D18" s="73"/>
      <c r="E18" s="73"/>
      <c r="F18" s="73"/>
      <c r="G18" s="74"/>
      <c r="H18" s="72"/>
      <c r="I18" s="72"/>
      <c r="J18" s="72"/>
      <c r="K18" s="72"/>
    </row>
    <row r="19" spans="1:11">
      <c r="A19" s="130" t="s">
        <v>44</v>
      </c>
      <c r="B19" s="73" t="s">
        <v>45</v>
      </c>
      <c r="C19" s="73" t="s">
        <v>83</v>
      </c>
      <c r="D19" s="131" t="s">
        <v>75</v>
      </c>
      <c r="E19" s="73" t="s">
        <v>48</v>
      </c>
      <c r="F19" s="73" t="s">
        <v>49</v>
      </c>
      <c r="G19" s="74" t="s">
        <v>50</v>
      </c>
      <c r="H19" s="72"/>
      <c r="I19" s="72"/>
      <c r="J19" s="72"/>
      <c r="K19" s="72"/>
    </row>
    <row r="20" spans="1:11">
      <c r="A20" s="130">
        <v>1</v>
      </c>
      <c r="B20" s="132">
        <f>D2</f>
        <v>435500</v>
      </c>
      <c r="C20" s="132">
        <f>IF(D20=0,0,D20+$D$13)</f>
        <v>10887.5</v>
      </c>
      <c r="D20" s="132">
        <f>E20+F20</f>
        <v>10887.5</v>
      </c>
      <c r="E20" s="132">
        <f>D12*-1</f>
        <v>10887.5</v>
      </c>
      <c r="F20" s="85">
        <f t="shared" ref="F20:F83" si="0">IF(A20=$D$10,$D$2,0)</f>
        <v>0</v>
      </c>
      <c r="G20" s="133">
        <f t="shared" ref="G20:G83" si="1">B20-F20</f>
        <v>435500</v>
      </c>
      <c r="H20" s="72"/>
      <c r="I20" s="72"/>
      <c r="J20" s="72"/>
      <c r="K20" s="72"/>
    </row>
    <row r="21" spans="1:11">
      <c r="A21" s="70">
        <f t="shared" ref="A21:A84" si="2">A20+1</f>
        <v>2</v>
      </c>
      <c r="B21" s="85">
        <f t="shared" ref="B21:B84" si="3">B20-F20</f>
        <v>435500</v>
      </c>
      <c r="C21" s="132">
        <f t="shared" ref="C21:C84" si="4">IF(D21=0,0,D21+$D$13)</f>
        <v>10887.5</v>
      </c>
      <c r="D21" s="132">
        <f t="shared" ref="D21:D84" si="5">E21+F21</f>
        <v>10887.5</v>
      </c>
      <c r="E21" s="85">
        <f t="shared" ref="E21:E84" si="6">IF(B21&gt;0,E20,0)</f>
        <v>10887.5</v>
      </c>
      <c r="F21" s="85">
        <f t="shared" si="0"/>
        <v>0</v>
      </c>
      <c r="G21" s="133">
        <f t="shared" si="1"/>
        <v>435500</v>
      </c>
    </row>
    <row r="22" spans="1:11">
      <c r="A22" s="70">
        <f t="shared" si="2"/>
        <v>3</v>
      </c>
      <c r="B22" s="85">
        <f t="shared" si="3"/>
        <v>435500</v>
      </c>
      <c r="C22" s="132">
        <f t="shared" si="4"/>
        <v>10887.5</v>
      </c>
      <c r="D22" s="132">
        <f t="shared" si="5"/>
        <v>10887.5</v>
      </c>
      <c r="E22" s="85">
        <f t="shared" si="6"/>
        <v>10887.5</v>
      </c>
      <c r="F22" s="85">
        <f t="shared" si="0"/>
        <v>0</v>
      </c>
      <c r="G22" s="133">
        <f t="shared" si="1"/>
        <v>435500</v>
      </c>
    </row>
    <row r="23" spans="1:11">
      <c r="A23" s="70">
        <f t="shared" si="2"/>
        <v>4</v>
      </c>
      <c r="B23" s="85">
        <f t="shared" si="3"/>
        <v>435500</v>
      </c>
      <c r="C23" s="132">
        <f t="shared" si="4"/>
        <v>10887.5</v>
      </c>
      <c r="D23" s="132">
        <f t="shared" si="5"/>
        <v>10887.5</v>
      </c>
      <c r="E23" s="85">
        <f t="shared" si="6"/>
        <v>10887.5</v>
      </c>
      <c r="F23" s="85">
        <f t="shared" si="0"/>
        <v>0</v>
      </c>
      <c r="G23" s="133">
        <f t="shared" si="1"/>
        <v>435500</v>
      </c>
    </row>
    <row r="24" spans="1:11">
      <c r="A24" s="70">
        <f t="shared" si="2"/>
        <v>5</v>
      </c>
      <c r="B24" s="85">
        <f t="shared" si="3"/>
        <v>435500</v>
      </c>
      <c r="C24" s="132">
        <f t="shared" si="4"/>
        <v>10887.5</v>
      </c>
      <c r="D24" s="132">
        <f t="shared" si="5"/>
        <v>10887.5</v>
      </c>
      <c r="E24" s="85">
        <f t="shared" si="6"/>
        <v>10887.5</v>
      </c>
      <c r="F24" s="85">
        <f t="shared" si="0"/>
        <v>0</v>
      </c>
      <c r="G24" s="133">
        <f t="shared" si="1"/>
        <v>435500</v>
      </c>
    </row>
    <row r="25" spans="1:11" ht="13.5" thickBot="1">
      <c r="A25" s="70">
        <f t="shared" si="2"/>
        <v>6</v>
      </c>
      <c r="B25" s="85">
        <f t="shared" si="3"/>
        <v>435500</v>
      </c>
      <c r="C25" s="132">
        <f t="shared" si="4"/>
        <v>446387.5</v>
      </c>
      <c r="D25" s="132">
        <f t="shared" si="5"/>
        <v>446387.5</v>
      </c>
      <c r="E25" s="85">
        <f t="shared" si="6"/>
        <v>10887.5</v>
      </c>
      <c r="F25" s="85">
        <f t="shared" si="0"/>
        <v>435500</v>
      </c>
      <c r="G25" s="133">
        <f t="shared" si="1"/>
        <v>0</v>
      </c>
    </row>
    <row r="26" spans="1:11" ht="13.5" hidden="1" thickBot="1">
      <c r="A26" s="70">
        <f t="shared" si="2"/>
        <v>7</v>
      </c>
      <c r="B26" s="85">
        <f t="shared" si="3"/>
        <v>0</v>
      </c>
      <c r="C26" s="132">
        <f t="shared" si="4"/>
        <v>0</v>
      </c>
      <c r="D26" s="132">
        <f t="shared" si="5"/>
        <v>0</v>
      </c>
      <c r="E26" s="85">
        <f t="shared" si="6"/>
        <v>0</v>
      </c>
      <c r="F26" s="85">
        <f t="shared" si="0"/>
        <v>0</v>
      </c>
      <c r="G26" s="133">
        <f t="shared" si="1"/>
        <v>0</v>
      </c>
    </row>
    <row r="27" spans="1:11" ht="13.5" hidden="1" thickBot="1">
      <c r="A27" s="70">
        <f t="shared" si="2"/>
        <v>8</v>
      </c>
      <c r="B27" s="85">
        <f t="shared" si="3"/>
        <v>0</v>
      </c>
      <c r="C27" s="132">
        <f t="shared" si="4"/>
        <v>0</v>
      </c>
      <c r="D27" s="132">
        <f t="shared" si="5"/>
        <v>0</v>
      </c>
      <c r="E27" s="85">
        <f t="shared" si="6"/>
        <v>0</v>
      </c>
      <c r="F27" s="85">
        <f t="shared" si="0"/>
        <v>0</v>
      </c>
      <c r="G27" s="133">
        <f t="shared" si="1"/>
        <v>0</v>
      </c>
    </row>
    <row r="28" spans="1:11" ht="13.5" hidden="1" thickBot="1">
      <c r="A28" s="70">
        <f t="shared" si="2"/>
        <v>9</v>
      </c>
      <c r="B28" s="85">
        <f t="shared" si="3"/>
        <v>0</v>
      </c>
      <c r="C28" s="132">
        <f t="shared" si="4"/>
        <v>0</v>
      </c>
      <c r="D28" s="132">
        <f t="shared" si="5"/>
        <v>0</v>
      </c>
      <c r="E28" s="85">
        <f t="shared" si="6"/>
        <v>0</v>
      </c>
      <c r="F28" s="85">
        <f t="shared" si="0"/>
        <v>0</v>
      </c>
      <c r="G28" s="133">
        <f t="shared" si="1"/>
        <v>0</v>
      </c>
    </row>
    <row r="29" spans="1:11" ht="13.5" hidden="1" thickBot="1">
      <c r="A29" s="70">
        <f t="shared" si="2"/>
        <v>10</v>
      </c>
      <c r="B29" s="85">
        <f t="shared" si="3"/>
        <v>0</v>
      </c>
      <c r="C29" s="132">
        <f t="shared" si="4"/>
        <v>0</v>
      </c>
      <c r="D29" s="132">
        <f t="shared" si="5"/>
        <v>0</v>
      </c>
      <c r="E29" s="85">
        <f t="shared" si="6"/>
        <v>0</v>
      </c>
      <c r="F29" s="85">
        <f t="shared" si="0"/>
        <v>0</v>
      </c>
      <c r="G29" s="133">
        <f t="shared" si="1"/>
        <v>0</v>
      </c>
    </row>
    <row r="30" spans="1:11" ht="13.5" hidden="1" thickBot="1">
      <c r="A30" s="70">
        <f t="shared" si="2"/>
        <v>11</v>
      </c>
      <c r="B30" s="85">
        <f t="shared" si="3"/>
        <v>0</v>
      </c>
      <c r="C30" s="132">
        <f t="shared" si="4"/>
        <v>0</v>
      </c>
      <c r="D30" s="132">
        <f t="shared" si="5"/>
        <v>0</v>
      </c>
      <c r="E30" s="85">
        <f t="shared" si="6"/>
        <v>0</v>
      </c>
      <c r="F30" s="85">
        <f t="shared" si="0"/>
        <v>0</v>
      </c>
      <c r="G30" s="133">
        <f t="shared" si="1"/>
        <v>0</v>
      </c>
    </row>
    <row r="31" spans="1:11" ht="13.5" hidden="1" thickBot="1">
      <c r="A31" s="70">
        <f t="shared" si="2"/>
        <v>12</v>
      </c>
      <c r="B31" s="85">
        <f t="shared" si="3"/>
        <v>0</v>
      </c>
      <c r="C31" s="132">
        <f t="shared" si="4"/>
        <v>0</v>
      </c>
      <c r="D31" s="132">
        <f t="shared" si="5"/>
        <v>0</v>
      </c>
      <c r="E31" s="85">
        <f t="shared" si="6"/>
        <v>0</v>
      </c>
      <c r="F31" s="85">
        <f t="shared" si="0"/>
        <v>0</v>
      </c>
      <c r="G31" s="133">
        <f t="shared" si="1"/>
        <v>0</v>
      </c>
    </row>
    <row r="32" spans="1:11" ht="13.5" hidden="1" thickBot="1">
      <c r="A32" s="70">
        <f t="shared" si="2"/>
        <v>13</v>
      </c>
      <c r="B32" s="85">
        <f t="shared" si="3"/>
        <v>0</v>
      </c>
      <c r="C32" s="132">
        <f t="shared" si="4"/>
        <v>0</v>
      </c>
      <c r="D32" s="132">
        <f t="shared" si="5"/>
        <v>0</v>
      </c>
      <c r="E32" s="85">
        <f t="shared" si="6"/>
        <v>0</v>
      </c>
      <c r="F32" s="85">
        <f t="shared" si="0"/>
        <v>0</v>
      </c>
      <c r="G32" s="133">
        <f t="shared" si="1"/>
        <v>0</v>
      </c>
    </row>
    <row r="33" spans="1:7" ht="13.5" hidden="1" thickBot="1">
      <c r="A33" s="70">
        <f t="shared" si="2"/>
        <v>14</v>
      </c>
      <c r="B33" s="85">
        <f t="shared" si="3"/>
        <v>0</v>
      </c>
      <c r="C33" s="132">
        <f t="shared" si="4"/>
        <v>0</v>
      </c>
      <c r="D33" s="132">
        <f t="shared" si="5"/>
        <v>0</v>
      </c>
      <c r="E33" s="85">
        <f t="shared" si="6"/>
        <v>0</v>
      </c>
      <c r="F33" s="85">
        <f t="shared" si="0"/>
        <v>0</v>
      </c>
      <c r="G33" s="133">
        <f t="shared" si="1"/>
        <v>0</v>
      </c>
    </row>
    <row r="34" spans="1:7" ht="13.5" hidden="1" thickBot="1">
      <c r="A34" s="70">
        <f t="shared" si="2"/>
        <v>15</v>
      </c>
      <c r="B34" s="85">
        <f t="shared" si="3"/>
        <v>0</v>
      </c>
      <c r="C34" s="132">
        <f t="shared" si="4"/>
        <v>0</v>
      </c>
      <c r="D34" s="132">
        <f t="shared" si="5"/>
        <v>0</v>
      </c>
      <c r="E34" s="85">
        <f t="shared" si="6"/>
        <v>0</v>
      </c>
      <c r="F34" s="85">
        <f t="shared" si="0"/>
        <v>0</v>
      </c>
      <c r="G34" s="133">
        <f t="shared" si="1"/>
        <v>0</v>
      </c>
    </row>
    <row r="35" spans="1:7" ht="13.5" hidden="1" thickBot="1">
      <c r="A35" s="70">
        <f t="shared" si="2"/>
        <v>16</v>
      </c>
      <c r="B35" s="85">
        <f t="shared" si="3"/>
        <v>0</v>
      </c>
      <c r="C35" s="132">
        <f t="shared" si="4"/>
        <v>0</v>
      </c>
      <c r="D35" s="132">
        <f t="shared" si="5"/>
        <v>0</v>
      </c>
      <c r="E35" s="85">
        <f t="shared" si="6"/>
        <v>0</v>
      </c>
      <c r="F35" s="85">
        <f t="shared" si="0"/>
        <v>0</v>
      </c>
      <c r="G35" s="133">
        <f t="shared" si="1"/>
        <v>0</v>
      </c>
    </row>
    <row r="36" spans="1:7" ht="13.5" hidden="1" thickBot="1">
      <c r="A36" s="70">
        <f t="shared" si="2"/>
        <v>17</v>
      </c>
      <c r="B36" s="85">
        <f t="shared" si="3"/>
        <v>0</v>
      </c>
      <c r="C36" s="132">
        <f t="shared" si="4"/>
        <v>0</v>
      </c>
      <c r="D36" s="132">
        <f t="shared" si="5"/>
        <v>0</v>
      </c>
      <c r="E36" s="85">
        <f t="shared" si="6"/>
        <v>0</v>
      </c>
      <c r="F36" s="85">
        <f t="shared" si="0"/>
        <v>0</v>
      </c>
      <c r="G36" s="133">
        <f t="shared" si="1"/>
        <v>0</v>
      </c>
    </row>
    <row r="37" spans="1:7" ht="13.5" hidden="1" thickBot="1">
      <c r="A37" s="70">
        <f t="shared" si="2"/>
        <v>18</v>
      </c>
      <c r="B37" s="85">
        <f t="shared" si="3"/>
        <v>0</v>
      </c>
      <c r="C37" s="132">
        <f t="shared" si="4"/>
        <v>0</v>
      </c>
      <c r="D37" s="132">
        <f t="shared" si="5"/>
        <v>0</v>
      </c>
      <c r="E37" s="85">
        <f t="shared" si="6"/>
        <v>0</v>
      </c>
      <c r="F37" s="85">
        <f t="shared" si="0"/>
        <v>0</v>
      </c>
      <c r="G37" s="133">
        <f t="shared" si="1"/>
        <v>0</v>
      </c>
    </row>
    <row r="38" spans="1:7" ht="13.5" hidden="1" thickBot="1">
      <c r="A38" s="70">
        <f t="shared" si="2"/>
        <v>19</v>
      </c>
      <c r="B38" s="85">
        <f t="shared" si="3"/>
        <v>0</v>
      </c>
      <c r="C38" s="132">
        <f t="shared" si="4"/>
        <v>0</v>
      </c>
      <c r="D38" s="132">
        <f t="shared" si="5"/>
        <v>0</v>
      </c>
      <c r="E38" s="85">
        <f t="shared" si="6"/>
        <v>0</v>
      </c>
      <c r="F38" s="85">
        <f t="shared" si="0"/>
        <v>0</v>
      </c>
      <c r="G38" s="133">
        <f t="shared" si="1"/>
        <v>0</v>
      </c>
    </row>
    <row r="39" spans="1:7" ht="13.5" hidden="1" thickBot="1">
      <c r="A39" s="70">
        <f t="shared" si="2"/>
        <v>20</v>
      </c>
      <c r="B39" s="85">
        <f t="shared" si="3"/>
        <v>0</v>
      </c>
      <c r="C39" s="132">
        <f t="shared" si="4"/>
        <v>0</v>
      </c>
      <c r="D39" s="132">
        <f t="shared" si="5"/>
        <v>0</v>
      </c>
      <c r="E39" s="85">
        <f t="shared" si="6"/>
        <v>0</v>
      </c>
      <c r="F39" s="85">
        <f t="shared" si="0"/>
        <v>0</v>
      </c>
      <c r="G39" s="133">
        <f t="shared" si="1"/>
        <v>0</v>
      </c>
    </row>
    <row r="40" spans="1:7" ht="13.5" hidden="1" thickBot="1">
      <c r="A40" s="70">
        <f t="shared" si="2"/>
        <v>21</v>
      </c>
      <c r="B40" s="85">
        <f t="shared" si="3"/>
        <v>0</v>
      </c>
      <c r="C40" s="132">
        <f t="shared" si="4"/>
        <v>0</v>
      </c>
      <c r="D40" s="132">
        <f t="shared" si="5"/>
        <v>0</v>
      </c>
      <c r="E40" s="85">
        <f t="shared" si="6"/>
        <v>0</v>
      </c>
      <c r="F40" s="85">
        <f t="shared" si="0"/>
        <v>0</v>
      </c>
      <c r="G40" s="133">
        <f t="shared" si="1"/>
        <v>0</v>
      </c>
    </row>
    <row r="41" spans="1:7" ht="13.5" hidden="1" thickBot="1">
      <c r="A41" s="70">
        <f t="shared" si="2"/>
        <v>22</v>
      </c>
      <c r="B41" s="85">
        <f t="shared" si="3"/>
        <v>0</v>
      </c>
      <c r="C41" s="132">
        <f t="shared" si="4"/>
        <v>0</v>
      </c>
      <c r="D41" s="132">
        <f t="shared" si="5"/>
        <v>0</v>
      </c>
      <c r="E41" s="85">
        <f t="shared" si="6"/>
        <v>0</v>
      </c>
      <c r="F41" s="85">
        <f t="shared" si="0"/>
        <v>0</v>
      </c>
      <c r="G41" s="133">
        <f t="shared" si="1"/>
        <v>0</v>
      </c>
    </row>
    <row r="42" spans="1:7" ht="13.5" hidden="1" thickBot="1">
      <c r="A42" s="70">
        <f t="shared" si="2"/>
        <v>23</v>
      </c>
      <c r="B42" s="85">
        <f t="shared" si="3"/>
        <v>0</v>
      </c>
      <c r="C42" s="132">
        <f t="shared" si="4"/>
        <v>0</v>
      </c>
      <c r="D42" s="132">
        <f t="shared" si="5"/>
        <v>0</v>
      </c>
      <c r="E42" s="85">
        <f t="shared" si="6"/>
        <v>0</v>
      </c>
      <c r="F42" s="85">
        <f t="shared" si="0"/>
        <v>0</v>
      </c>
      <c r="G42" s="133">
        <f t="shared" si="1"/>
        <v>0</v>
      </c>
    </row>
    <row r="43" spans="1:7" ht="13.5" hidden="1" thickBot="1">
      <c r="A43" s="70">
        <f t="shared" si="2"/>
        <v>24</v>
      </c>
      <c r="B43" s="85">
        <f t="shared" si="3"/>
        <v>0</v>
      </c>
      <c r="C43" s="132">
        <f t="shared" si="4"/>
        <v>0</v>
      </c>
      <c r="D43" s="132">
        <f t="shared" si="5"/>
        <v>0</v>
      </c>
      <c r="E43" s="85">
        <f t="shared" si="6"/>
        <v>0</v>
      </c>
      <c r="F43" s="85">
        <f t="shared" si="0"/>
        <v>0</v>
      </c>
      <c r="G43" s="133">
        <f t="shared" si="1"/>
        <v>0</v>
      </c>
    </row>
    <row r="44" spans="1:7" ht="13.5" hidden="1" thickBot="1">
      <c r="A44" s="70">
        <f t="shared" si="2"/>
        <v>25</v>
      </c>
      <c r="B44" s="85">
        <f t="shared" si="3"/>
        <v>0</v>
      </c>
      <c r="C44" s="132">
        <f t="shared" si="4"/>
        <v>0</v>
      </c>
      <c r="D44" s="132">
        <f t="shared" si="5"/>
        <v>0</v>
      </c>
      <c r="E44" s="85">
        <f t="shared" si="6"/>
        <v>0</v>
      </c>
      <c r="F44" s="85">
        <f t="shared" si="0"/>
        <v>0</v>
      </c>
      <c r="G44" s="133">
        <f t="shared" si="1"/>
        <v>0</v>
      </c>
    </row>
    <row r="45" spans="1:7" ht="13.5" hidden="1" thickBot="1">
      <c r="A45" s="70">
        <f t="shared" si="2"/>
        <v>26</v>
      </c>
      <c r="B45" s="85">
        <f t="shared" si="3"/>
        <v>0</v>
      </c>
      <c r="C45" s="132">
        <f t="shared" si="4"/>
        <v>0</v>
      </c>
      <c r="D45" s="132">
        <f t="shared" si="5"/>
        <v>0</v>
      </c>
      <c r="E45" s="85">
        <f t="shared" si="6"/>
        <v>0</v>
      </c>
      <c r="F45" s="85">
        <f t="shared" si="0"/>
        <v>0</v>
      </c>
      <c r="G45" s="133">
        <f t="shared" si="1"/>
        <v>0</v>
      </c>
    </row>
    <row r="46" spans="1:7" ht="13.5" hidden="1" thickBot="1">
      <c r="A46" s="70">
        <f t="shared" si="2"/>
        <v>27</v>
      </c>
      <c r="B46" s="85">
        <f t="shared" si="3"/>
        <v>0</v>
      </c>
      <c r="C46" s="132">
        <f t="shared" si="4"/>
        <v>0</v>
      </c>
      <c r="D46" s="132">
        <f t="shared" si="5"/>
        <v>0</v>
      </c>
      <c r="E46" s="85">
        <f t="shared" si="6"/>
        <v>0</v>
      </c>
      <c r="F46" s="85">
        <f t="shared" si="0"/>
        <v>0</v>
      </c>
      <c r="G46" s="133">
        <f t="shared" si="1"/>
        <v>0</v>
      </c>
    </row>
    <row r="47" spans="1:7" ht="13.5" hidden="1" thickBot="1">
      <c r="A47" s="70">
        <f t="shared" si="2"/>
        <v>28</v>
      </c>
      <c r="B47" s="85">
        <f t="shared" si="3"/>
        <v>0</v>
      </c>
      <c r="C47" s="132">
        <f t="shared" si="4"/>
        <v>0</v>
      </c>
      <c r="D47" s="132">
        <f t="shared" si="5"/>
        <v>0</v>
      </c>
      <c r="E47" s="85">
        <f t="shared" si="6"/>
        <v>0</v>
      </c>
      <c r="F47" s="85">
        <f t="shared" si="0"/>
        <v>0</v>
      </c>
      <c r="G47" s="133">
        <f t="shared" si="1"/>
        <v>0</v>
      </c>
    </row>
    <row r="48" spans="1:7" ht="13.5" hidden="1" thickBot="1">
      <c r="A48" s="70">
        <f t="shared" si="2"/>
        <v>29</v>
      </c>
      <c r="B48" s="85">
        <f t="shared" si="3"/>
        <v>0</v>
      </c>
      <c r="C48" s="132">
        <f t="shared" si="4"/>
        <v>0</v>
      </c>
      <c r="D48" s="132">
        <f t="shared" si="5"/>
        <v>0</v>
      </c>
      <c r="E48" s="85">
        <f t="shared" si="6"/>
        <v>0</v>
      </c>
      <c r="F48" s="85">
        <f t="shared" si="0"/>
        <v>0</v>
      </c>
      <c r="G48" s="133">
        <f t="shared" si="1"/>
        <v>0</v>
      </c>
    </row>
    <row r="49" spans="1:7" ht="13.5" hidden="1" thickBot="1">
      <c r="A49" s="70">
        <f t="shared" si="2"/>
        <v>30</v>
      </c>
      <c r="B49" s="85">
        <f t="shared" si="3"/>
        <v>0</v>
      </c>
      <c r="C49" s="132">
        <f t="shared" si="4"/>
        <v>0</v>
      </c>
      <c r="D49" s="132">
        <f t="shared" si="5"/>
        <v>0</v>
      </c>
      <c r="E49" s="85">
        <f t="shared" si="6"/>
        <v>0</v>
      </c>
      <c r="F49" s="85">
        <f t="shared" si="0"/>
        <v>0</v>
      </c>
      <c r="G49" s="133">
        <f t="shared" si="1"/>
        <v>0</v>
      </c>
    </row>
    <row r="50" spans="1:7" ht="13.5" hidden="1" thickBot="1">
      <c r="A50" s="70">
        <f t="shared" si="2"/>
        <v>31</v>
      </c>
      <c r="B50" s="85">
        <f t="shared" si="3"/>
        <v>0</v>
      </c>
      <c r="C50" s="132">
        <f t="shared" si="4"/>
        <v>0</v>
      </c>
      <c r="D50" s="132">
        <f t="shared" si="5"/>
        <v>0</v>
      </c>
      <c r="E50" s="85">
        <f t="shared" si="6"/>
        <v>0</v>
      </c>
      <c r="F50" s="85">
        <f t="shared" si="0"/>
        <v>0</v>
      </c>
      <c r="G50" s="133">
        <f t="shared" si="1"/>
        <v>0</v>
      </c>
    </row>
    <row r="51" spans="1:7" ht="13.5" hidden="1" thickBot="1">
      <c r="A51" s="70">
        <f t="shared" si="2"/>
        <v>32</v>
      </c>
      <c r="B51" s="85">
        <f t="shared" si="3"/>
        <v>0</v>
      </c>
      <c r="C51" s="132">
        <f t="shared" si="4"/>
        <v>0</v>
      </c>
      <c r="D51" s="132">
        <f t="shared" si="5"/>
        <v>0</v>
      </c>
      <c r="E51" s="85">
        <f t="shared" si="6"/>
        <v>0</v>
      </c>
      <c r="F51" s="85">
        <f t="shared" si="0"/>
        <v>0</v>
      </c>
      <c r="G51" s="133">
        <f t="shared" si="1"/>
        <v>0</v>
      </c>
    </row>
    <row r="52" spans="1:7" ht="13.5" hidden="1" thickBot="1">
      <c r="A52" s="70">
        <f t="shared" si="2"/>
        <v>33</v>
      </c>
      <c r="B52" s="85">
        <f t="shared" si="3"/>
        <v>0</v>
      </c>
      <c r="C52" s="132">
        <f t="shared" si="4"/>
        <v>0</v>
      </c>
      <c r="D52" s="132">
        <f t="shared" si="5"/>
        <v>0</v>
      </c>
      <c r="E52" s="85">
        <f t="shared" si="6"/>
        <v>0</v>
      </c>
      <c r="F52" s="85">
        <f t="shared" si="0"/>
        <v>0</v>
      </c>
      <c r="G52" s="133">
        <f t="shared" si="1"/>
        <v>0</v>
      </c>
    </row>
    <row r="53" spans="1:7" ht="13.5" hidden="1" thickBot="1">
      <c r="A53" s="70">
        <f t="shared" si="2"/>
        <v>34</v>
      </c>
      <c r="B53" s="85">
        <f t="shared" si="3"/>
        <v>0</v>
      </c>
      <c r="C53" s="132">
        <f t="shared" si="4"/>
        <v>0</v>
      </c>
      <c r="D53" s="132">
        <f t="shared" si="5"/>
        <v>0</v>
      </c>
      <c r="E53" s="85">
        <f t="shared" si="6"/>
        <v>0</v>
      </c>
      <c r="F53" s="85">
        <f t="shared" si="0"/>
        <v>0</v>
      </c>
      <c r="G53" s="133">
        <f t="shared" si="1"/>
        <v>0</v>
      </c>
    </row>
    <row r="54" spans="1:7" ht="13.5" hidden="1" thickBot="1">
      <c r="A54" s="70">
        <f t="shared" si="2"/>
        <v>35</v>
      </c>
      <c r="B54" s="85">
        <f t="shared" si="3"/>
        <v>0</v>
      </c>
      <c r="C54" s="132">
        <f t="shared" si="4"/>
        <v>0</v>
      </c>
      <c r="D54" s="132">
        <f t="shared" si="5"/>
        <v>0</v>
      </c>
      <c r="E54" s="85">
        <f t="shared" si="6"/>
        <v>0</v>
      </c>
      <c r="F54" s="85">
        <f t="shared" si="0"/>
        <v>0</v>
      </c>
      <c r="G54" s="133">
        <f t="shared" si="1"/>
        <v>0</v>
      </c>
    </row>
    <row r="55" spans="1:7" ht="13.5" hidden="1" thickBot="1">
      <c r="A55" s="70">
        <f t="shared" si="2"/>
        <v>36</v>
      </c>
      <c r="B55" s="85">
        <f t="shared" si="3"/>
        <v>0</v>
      </c>
      <c r="C55" s="132">
        <f t="shared" si="4"/>
        <v>0</v>
      </c>
      <c r="D55" s="132">
        <f t="shared" si="5"/>
        <v>0</v>
      </c>
      <c r="E55" s="85">
        <f t="shared" si="6"/>
        <v>0</v>
      </c>
      <c r="F55" s="85">
        <f t="shared" si="0"/>
        <v>0</v>
      </c>
      <c r="G55" s="133">
        <f t="shared" si="1"/>
        <v>0</v>
      </c>
    </row>
    <row r="56" spans="1:7" ht="13.5" hidden="1" thickBot="1">
      <c r="A56" s="70">
        <f t="shared" si="2"/>
        <v>37</v>
      </c>
      <c r="B56" s="85">
        <f t="shared" si="3"/>
        <v>0</v>
      </c>
      <c r="C56" s="132">
        <f t="shared" si="4"/>
        <v>0</v>
      </c>
      <c r="D56" s="132">
        <f t="shared" si="5"/>
        <v>0</v>
      </c>
      <c r="E56" s="85">
        <f t="shared" si="6"/>
        <v>0</v>
      </c>
      <c r="F56" s="85">
        <f t="shared" si="0"/>
        <v>0</v>
      </c>
      <c r="G56" s="133">
        <f t="shared" si="1"/>
        <v>0</v>
      </c>
    </row>
    <row r="57" spans="1:7" ht="13.5" hidden="1" thickBot="1">
      <c r="A57" s="70">
        <f t="shared" si="2"/>
        <v>38</v>
      </c>
      <c r="B57" s="85">
        <f t="shared" si="3"/>
        <v>0</v>
      </c>
      <c r="C57" s="132">
        <f t="shared" si="4"/>
        <v>0</v>
      </c>
      <c r="D57" s="132">
        <f t="shared" si="5"/>
        <v>0</v>
      </c>
      <c r="E57" s="85">
        <f t="shared" si="6"/>
        <v>0</v>
      </c>
      <c r="F57" s="85">
        <f t="shared" si="0"/>
        <v>0</v>
      </c>
      <c r="G57" s="133">
        <f t="shared" si="1"/>
        <v>0</v>
      </c>
    </row>
    <row r="58" spans="1:7" ht="13.5" hidden="1" thickBot="1">
      <c r="A58" s="70">
        <f t="shared" si="2"/>
        <v>39</v>
      </c>
      <c r="B58" s="85">
        <f t="shared" si="3"/>
        <v>0</v>
      </c>
      <c r="C58" s="132">
        <f t="shared" si="4"/>
        <v>0</v>
      </c>
      <c r="D58" s="132">
        <f t="shared" si="5"/>
        <v>0</v>
      </c>
      <c r="E58" s="85">
        <f t="shared" si="6"/>
        <v>0</v>
      </c>
      <c r="F58" s="85">
        <f t="shared" si="0"/>
        <v>0</v>
      </c>
      <c r="G58" s="133">
        <f t="shared" si="1"/>
        <v>0</v>
      </c>
    </row>
    <row r="59" spans="1:7" ht="13.5" hidden="1" thickBot="1">
      <c r="A59" s="70">
        <f t="shared" si="2"/>
        <v>40</v>
      </c>
      <c r="B59" s="85">
        <f t="shared" si="3"/>
        <v>0</v>
      </c>
      <c r="C59" s="132">
        <f t="shared" si="4"/>
        <v>0</v>
      </c>
      <c r="D59" s="132">
        <f t="shared" si="5"/>
        <v>0</v>
      </c>
      <c r="E59" s="85">
        <f t="shared" si="6"/>
        <v>0</v>
      </c>
      <c r="F59" s="85">
        <f t="shared" si="0"/>
        <v>0</v>
      </c>
      <c r="G59" s="133">
        <f t="shared" si="1"/>
        <v>0</v>
      </c>
    </row>
    <row r="60" spans="1:7" ht="13.5" hidden="1" thickBot="1">
      <c r="A60" s="70">
        <f t="shared" si="2"/>
        <v>41</v>
      </c>
      <c r="B60" s="85">
        <f t="shared" si="3"/>
        <v>0</v>
      </c>
      <c r="C60" s="132">
        <f t="shared" si="4"/>
        <v>0</v>
      </c>
      <c r="D60" s="132">
        <f t="shared" si="5"/>
        <v>0</v>
      </c>
      <c r="E60" s="85">
        <f t="shared" si="6"/>
        <v>0</v>
      </c>
      <c r="F60" s="85">
        <f t="shared" si="0"/>
        <v>0</v>
      </c>
      <c r="G60" s="133">
        <f t="shared" si="1"/>
        <v>0</v>
      </c>
    </row>
    <row r="61" spans="1:7" ht="13.5" hidden="1" thickBot="1">
      <c r="A61" s="70">
        <f t="shared" si="2"/>
        <v>42</v>
      </c>
      <c r="B61" s="85">
        <f t="shared" si="3"/>
        <v>0</v>
      </c>
      <c r="C61" s="132">
        <f t="shared" si="4"/>
        <v>0</v>
      </c>
      <c r="D61" s="132">
        <f t="shared" si="5"/>
        <v>0</v>
      </c>
      <c r="E61" s="85">
        <f t="shared" si="6"/>
        <v>0</v>
      </c>
      <c r="F61" s="85">
        <f t="shared" si="0"/>
        <v>0</v>
      </c>
      <c r="G61" s="133">
        <f t="shared" si="1"/>
        <v>0</v>
      </c>
    </row>
    <row r="62" spans="1:7" ht="13.5" hidden="1" thickBot="1">
      <c r="A62" s="70">
        <f t="shared" si="2"/>
        <v>43</v>
      </c>
      <c r="B62" s="85">
        <f t="shared" si="3"/>
        <v>0</v>
      </c>
      <c r="C62" s="132">
        <f t="shared" si="4"/>
        <v>0</v>
      </c>
      <c r="D62" s="132">
        <f t="shared" si="5"/>
        <v>0</v>
      </c>
      <c r="E62" s="85">
        <f t="shared" si="6"/>
        <v>0</v>
      </c>
      <c r="F62" s="85">
        <f t="shared" si="0"/>
        <v>0</v>
      </c>
      <c r="G62" s="133">
        <f t="shared" si="1"/>
        <v>0</v>
      </c>
    </row>
    <row r="63" spans="1:7" ht="13.5" hidden="1" thickBot="1">
      <c r="A63" s="70">
        <f t="shared" si="2"/>
        <v>44</v>
      </c>
      <c r="B63" s="85">
        <f t="shared" si="3"/>
        <v>0</v>
      </c>
      <c r="C63" s="132">
        <f t="shared" si="4"/>
        <v>0</v>
      </c>
      <c r="D63" s="132">
        <f t="shared" si="5"/>
        <v>0</v>
      </c>
      <c r="E63" s="85">
        <f t="shared" si="6"/>
        <v>0</v>
      </c>
      <c r="F63" s="85">
        <f t="shared" si="0"/>
        <v>0</v>
      </c>
      <c r="G63" s="133">
        <f t="shared" si="1"/>
        <v>0</v>
      </c>
    </row>
    <row r="64" spans="1:7" ht="13.5" hidden="1" thickBot="1">
      <c r="A64" s="70">
        <f t="shared" si="2"/>
        <v>45</v>
      </c>
      <c r="B64" s="85">
        <f t="shared" si="3"/>
        <v>0</v>
      </c>
      <c r="C64" s="132">
        <f t="shared" si="4"/>
        <v>0</v>
      </c>
      <c r="D64" s="132">
        <f t="shared" si="5"/>
        <v>0</v>
      </c>
      <c r="E64" s="85">
        <f t="shared" si="6"/>
        <v>0</v>
      </c>
      <c r="F64" s="85">
        <f t="shared" si="0"/>
        <v>0</v>
      </c>
      <c r="G64" s="133">
        <f t="shared" si="1"/>
        <v>0</v>
      </c>
    </row>
    <row r="65" spans="1:7" ht="13.5" hidden="1" thickBot="1">
      <c r="A65" s="70">
        <f t="shared" si="2"/>
        <v>46</v>
      </c>
      <c r="B65" s="85">
        <f t="shared" si="3"/>
        <v>0</v>
      </c>
      <c r="C65" s="132">
        <f t="shared" si="4"/>
        <v>0</v>
      </c>
      <c r="D65" s="132">
        <f t="shared" si="5"/>
        <v>0</v>
      </c>
      <c r="E65" s="85">
        <f t="shared" si="6"/>
        <v>0</v>
      </c>
      <c r="F65" s="85">
        <f t="shared" si="0"/>
        <v>0</v>
      </c>
      <c r="G65" s="133">
        <f t="shared" si="1"/>
        <v>0</v>
      </c>
    </row>
    <row r="66" spans="1:7" ht="13.5" hidden="1" thickBot="1">
      <c r="A66" s="70">
        <f t="shared" si="2"/>
        <v>47</v>
      </c>
      <c r="B66" s="85">
        <f t="shared" si="3"/>
        <v>0</v>
      </c>
      <c r="C66" s="132">
        <f t="shared" si="4"/>
        <v>0</v>
      </c>
      <c r="D66" s="132">
        <f t="shared" si="5"/>
        <v>0</v>
      </c>
      <c r="E66" s="85">
        <f t="shared" si="6"/>
        <v>0</v>
      </c>
      <c r="F66" s="85">
        <f t="shared" si="0"/>
        <v>0</v>
      </c>
      <c r="G66" s="133">
        <f t="shared" si="1"/>
        <v>0</v>
      </c>
    </row>
    <row r="67" spans="1:7" ht="13.5" hidden="1" thickBot="1">
      <c r="A67" s="70">
        <f t="shared" si="2"/>
        <v>48</v>
      </c>
      <c r="B67" s="85">
        <f t="shared" si="3"/>
        <v>0</v>
      </c>
      <c r="C67" s="132">
        <f t="shared" si="4"/>
        <v>0</v>
      </c>
      <c r="D67" s="132">
        <f t="shared" si="5"/>
        <v>0</v>
      </c>
      <c r="E67" s="85">
        <f t="shared" si="6"/>
        <v>0</v>
      </c>
      <c r="F67" s="85">
        <f t="shared" si="0"/>
        <v>0</v>
      </c>
      <c r="G67" s="133">
        <f t="shared" si="1"/>
        <v>0</v>
      </c>
    </row>
    <row r="68" spans="1:7" ht="13.5" hidden="1" thickBot="1">
      <c r="A68" s="70">
        <f t="shared" si="2"/>
        <v>49</v>
      </c>
      <c r="B68" s="85">
        <f t="shared" si="3"/>
        <v>0</v>
      </c>
      <c r="C68" s="132">
        <f t="shared" si="4"/>
        <v>0</v>
      </c>
      <c r="D68" s="132">
        <f t="shared" si="5"/>
        <v>0</v>
      </c>
      <c r="E68" s="85">
        <f t="shared" si="6"/>
        <v>0</v>
      </c>
      <c r="F68" s="85">
        <f t="shared" si="0"/>
        <v>0</v>
      </c>
      <c r="G68" s="133">
        <f t="shared" si="1"/>
        <v>0</v>
      </c>
    </row>
    <row r="69" spans="1:7" ht="13.5" hidden="1" thickBot="1">
      <c r="A69" s="70">
        <f t="shared" si="2"/>
        <v>50</v>
      </c>
      <c r="B69" s="85">
        <f t="shared" si="3"/>
        <v>0</v>
      </c>
      <c r="C69" s="132">
        <f t="shared" si="4"/>
        <v>0</v>
      </c>
      <c r="D69" s="132">
        <f t="shared" si="5"/>
        <v>0</v>
      </c>
      <c r="E69" s="85">
        <f t="shared" si="6"/>
        <v>0</v>
      </c>
      <c r="F69" s="85">
        <f t="shared" si="0"/>
        <v>0</v>
      </c>
      <c r="G69" s="133">
        <f t="shared" si="1"/>
        <v>0</v>
      </c>
    </row>
    <row r="70" spans="1:7" ht="13.5" hidden="1" thickBot="1">
      <c r="A70" s="70">
        <f t="shared" si="2"/>
        <v>51</v>
      </c>
      <c r="B70" s="85">
        <f t="shared" si="3"/>
        <v>0</v>
      </c>
      <c r="C70" s="132">
        <f t="shared" si="4"/>
        <v>0</v>
      </c>
      <c r="D70" s="132">
        <f t="shared" si="5"/>
        <v>0</v>
      </c>
      <c r="E70" s="85">
        <f t="shared" si="6"/>
        <v>0</v>
      </c>
      <c r="F70" s="85">
        <f t="shared" si="0"/>
        <v>0</v>
      </c>
      <c r="G70" s="133">
        <f t="shared" si="1"/>
        <v>0</v>
      </c>
    </row>
    <row r="71" spans="1:7" ht="13.5" hidden="1" thickBot="1">
      <c r="A71" s="70">
        <f t="shared" si="2"/>
        <v>52</v>
      </c>
      <c r="B71" s="85">
        <f t="shared" si="3"/>
        <v>0</v>
      </c>
      <c r="C71" s="132">
        <f t="shared" si="4"/>
        <v>0</v>
      </c>
      <c r="D71" s="132">
        <f t="shared" si="5"/>
        <v>0</v>
      </c>
      <c r="E71" s="85">
        <f t="shared" si="6"/>
        <v>0</v>
      </c>
      <c r="F71" s="85">
        <f t="shared" si="0"/>
        <v>0</v>
      </c>
      <c r="G71" s="133">
        <f t="shared" si="1"/>
        <v>0</v>
      </c>
    </row>
    <row r="72" spans="1:7" ht="13.5" hidden="1" thickBot="1">
      <c r="A72" s="70">
        <f t="shared" si="2"/>
        <v>53</v>
      </c>
      <c r="B72" s="85">
        <f t="shared" si="3"/>
        <v>0</v>
      </c>
      <c r="C72" s="132">
        <f t="shared" si="4"/>
        <v>0</v>
      </c>
      <c r="D72" s="132">
        <f t="shared" si="5"/>
        <v>0</v>
      </c>
      <c r="E72" s="85">
        <f t="shared" si="6"/>
        <v>0</v>
      </c>
      <c r="F72" s="85">
        <f t="shared" si="0"/>
        <v>0</v>
      </c>
      <c r="G72" s="133">
        <f t="shared" si="1"/>
        <v>0</v>
      </c>
    </row>
    <row r="73" spans="1:7" ht="13.5" hidden="1" thickBot="1">
      <c r="A73" s="70">
        <f t="shared" si="2"/>
        <v>54</v>
      </c>
      <c r="B73" s="85">
        <f t="shared" si="3"/>
        <v>0</v>
      </c>
      <c r="C73" s="132">
        <f t="shared" si="4"/>
        <v>0</v>
      </c>
      <c r="D73" s="132">
        <f t="shared" si="5"/>
        <v>0</v>
      </c>
      <c r="E73" s="85">
        <f t="shared" si="6"/>
        <v>0</v>
      </c>
      <c r="F73" s="85">
        <f t="shared" si="0"/>
        <v>0</v>
      </c>
      <c r="G73" s="133">
        <f t="shared" si="1"/>
        <v>0</v>
      </c>
    </row>
    <row r="74" spans="1:7" ht="13.5" hidden="1" thickBot="1">
      <c r="A74" s="70">
        <f t="shared" si="2"/>
        <v>55</v>
      </c>
      <c r="B74" s="85">
        <f t="shared" si="3"/>
        <v>0</v>
      </c>
      <c r="C74" s="132">
        <f t="shared" si="4"/>
        <v>0</v>
      </c>
      <c r="D74" s="132">
        <f t="shared" si="5"/>
        <v>0</v>
      </c>
      <c r="E74" s="85">
        <f t="shared" si="6"/>
        <v>0</v>
      </c>
      <c r="F74" s="85">
        <f t="shared" si="0"/>
        <v>0</v>
      </c>
      <c r="G74" s="133">
        <f t="shared" si="1"/>
        <v>0</v>
      </c>
    </row>
    <row r="75" spans="1:7" ht="13.5" hidden="1" thickBot="1">
      <c r="A75" s="70">
        <f t="shared" si="2"/>
        <v>56</v>
      </c>
      <c r="B75" s="85">
        <f t="shared" si="3"/>
        <v>0</v>
      </c>
      <c r="C75" s="132">
        <f t="shared" si="4"/>
        <v>0</v>
      </c>
      <c r="D75" s="132">
        <f t="shared" si="5"/>
        <v>0</v>
      </c>
      <c r="E75" s="85">
        <f t="shared" si="6"/>
        <v>0</v>
      </c>
      <c r="F75" s="85">
        <f t="shared" si="0"/>
        <v>0</v>
      </c>
      <c r="G75" s="133">
        <f t="shared" si="1"/>
        <v>0</v>
      </c>
    </row>
    <row r="76" spans="1:7" ht="13.5" hidden="1" thickBot="1">
      <c r="A76" s="70">
        <f t="shared" si="2"/>
        <v>57</v>
      </c>
      <c r="B76" s="85">
        <f t="shared" si="3"/>
        <v>0</v>
      </c>
      <c r="C76" s="132">
        <f t="shared" si="4"/>
        <v>0</v>
      </c>
      <c r="D76" s="132">
        <f t="shared" si="5"/>
        <v>0</v>
      </c>
      <c r="E76" s="85">
        <f t="shared" si="6"/>
        <v>0</v>
      </c>
      <c r="F76" s="85">
        <f t="shared" si="0"/>
        <v>0</v>
      </c>
      <c r="G76" s="133">
        <f t="shared" si="1"/>
        <v>0</v>
      </c>
    </row>
    <row r="77" spans="1:7" ht="13.5" hidden="1" thickBot="1">
      <c r="A77" s="70">
        <f t="shared" si="2"/>
        <v>58</v>
      </c>
      <c r="B77" s="85">
        <f t="shared" si="3"/>
        <v>0</v>
      </c>
      <c r="C77" s="132">
        <f t="shared" si="4"/>
        <v>0</v>
      </c>
      <c r="D77" s="132">
        <f t="shared" si="5"/>
        <v>0</v>
      </c>
      <c r="E77" s="85">
        <f t="shared" si="6"/>
        <v>0</v>
      </c>
      <c r="F77" s="85">
        <f t="shared" si="0"/>
        <v>0</v>
      </c>
      <c r="G77" s="133">
        <f t="shared" si="1"/>
        <v>0</v>
      </c>
    </row>
    <row r="78" spans="1:7" ht="13.5" hidden="1" thickBot="1">
      <c r="A78" s="70">
        <f t="shared" si="2"/>
        <v>59</v>
      </c>
      <c r="B78" s="85">
        <f t="shared" si="3"/>
        <v>0</v>
      </c>
      <c r="C78" s="132">
        <f t="shared" si="4"/>
        <v>0</v>
      </c>
      <c r="D78" s="132">
        <f t="shared" si="5"/>
        <v>0</v>
      </c>
      <c r="E78" s="85">
        <f t="shared" si="6"/>
        <v>0</v>
      </c>
      <c r="F78" s="85">
        <f t="shared" si="0"/>
        <v>0</v>
      </c>
      <c r="G78" s="133">
        <f t="shared" si="1"/>
        <v>0</v>
      </c>
    </row>
    <row r="79" spans="1:7" ht="13.5" hidden="1" thickBot="1">
      <c r="A79" s="70">
        <f t="shared" si="2"/>
        <v>60</v>
      </c>
      <c r="B79" s="85">
        <f t="shared" si="3"/>
        <v>0</v>
      </c>
      <c r="C79" s="132">
        <f t="shared" si="4"/>
        <v>0</v>
      </c>
      <c r="D79" s="132">
        <f t="shared" si="5"/>
        <v>0</v>
      </c>
      <c r="E79" s="85">
        <f t="shared" si="6"/>
        <v>0</v>
      </c>
      <c r="F79" s="85">
        <f t="shared" si="0"/>
        <v>0</v>
      </c>
      <c r="G79" s="133">
        <f t="shared" si="1"/>
        <v>0</v>
      </c>
    </row>
    <row r="80" spans="1:7" ht="13.5" hidden="1" thickBot="1">
      <c r="A80" s="70">
        <f t="shared" si="2"/>
        <v>61</v>
      </c>
      <c r="B80" s="85">
        <f t="shared" si="3"/>
        <v>0</v>
      </c>
      <c r="C80" s="132">
        <f t="shared" si="4"/>
        <v>0</v>
      </c>
      <c r="D80" s="132">
        <f t="shared" si="5"/>
        <v>0</v>
      </c>
      <c r="E80" s="85">
        <f t="shared" si="6"/>
        <v>0</v>
      </c>
      <c r="F80" s="85">
        <f t="shared" si="0"/>
        <v>0</v>
      </c>
      <c r="G80" s="133">
        <f t="shared" si="1"/>
        <v>0</v>
      </c>
    </row>
    <row r="81" spans="1:7" ht="13.5" hidden="1" thickBot="1">
      <c r="A81" s="70">
        <f t="shared" si="2"/>
        <v>62</v>
      </c>
      <c r="B81" s="85">
        <f t="shared" si="3"/>
        <v>0</v>
      </c>
      <c r="C81" s="132">
        <f t="shared" si="4"/>
        <v>0</v>
      </c>
      <c r="D81" s="132">
        <f t="shared" si="5"/>
        <v>0</v>
      </c>
      <c r="E81" s="85">
        <f t="shared" si="6"/>
        <v>0</v>
      </c>
      <c r="F81" s="85">
        <f t="shared" si="0"/>
        <v>0</v>
      </c>
      <c r="G81" s="133">
        <f t="shared" si="1"/>
        <v>0</v>
      </c>
    </row>
    <row r="82" spans="1:7" ht="13.5" hidden="1" thickBot="1">
      <c r="A82" s="70">
        <f t="shared" si="2"/>
        <v>63</v>
      </c>
      <c r="B82" s="85">
        <f t="shared" si="3"/>
        <v>0</v>
      </c>
      <c r="C82" s="132">
        <f t="shared" si="4"/>
        <v>0</v>
      </c>
      <c r="D82" s="132">
        <f t="shared" si="5"/>
        <v>0</v>
      </c>
      <c r="E82" s="85">
        <f t="shared" si="6"/>
        <v>0</v>
      </c>
      <c r="F82" s="85">
        <f t="shared" si="0"/>
        <v>0</v>
      </c>
      <c r="G82" s="133">
        <f t="shared" si="1"/>
        <v>0</v>
      </c>
    </row>
    <row r="83" spans="1:7" ht="13.5" hidden="1" thickBot="1">
      <c r="A83" s="70">
        <f t="shared" si="2"/>
        <v>64</v>
      </c>
      <c r="B83" s="85">
        <f t="shared" si="3"/>
        <v>0</v>
      </c>
      <c r="C83" s="132">
        <f t="shared" si="4"/>
        <v>0</v>
      </c>
      <c r="D83" s="132">
        <f t="shared" si="5"/>
        <v>0</v>
      </c>
      <c r="E83" s="85">
        <f t="shared" si="6"/>
        <v>0</v>
      </c>
      <c r="F83" s="85">
        <f t="shared" si="0"/>
        <v>0</v>
      </c>
      <c r="G83" s="133">
        <f t="shared" si="1"/>
        <v>0</v>
      </c>
    </row>
    <row r="84" spans="1:7" ht="13.5" hidden="1" thickBot="1">
      <c r="A84" s="70">
        <f t="shared" si="2"/>
        <v>65</v>
      </c>
      <c r="B84" s="85">
        <f t="shared" si="3"/>
        <v>0</v>
      </c>
      <c r="C84" s="132">
        <f t="shared" si="4"/>
        <v>0</v>
      </c>
      <c r="D84" s="132">
        <f t="shared" si="5"/>
        <v>0</v>
      </c>
      <c r="E84" s="85">
        <f t="shared" si="6"/>
        <v>0</v>
      </c>
      <c r="F84" s="85">
        <f t="shared" ref="F84:F147" si="7">IF(A84=$D$10,$D$2,0)</f>
        <v>0</v>
      </c>
      <c r="G84" s="133">
        <f t="shared" ref="G84:G147" si="8">B84-F84</f>
        <v>0</v>
      </c>
    </row>
    <row r="85" spans="1:7" ht="13.5" hidden="1" thickBot="1">
      <c r="A85" s="70">
        <f t="shared" ref="A85:A148" si="9">A84+1</f>
        <v>66</v>
      </c>
      <c r="B85" s="85">
        <f t="shared" ref="B85:B148" si="10">B84-F84</f>
        <v>0</v>
      </c>
      <c r="C85" s="132">
        <f t="shared" ref="C85:C148" si="11">IF(D85=0,0,D85+$D$13)</f>
        <v>0</v>
      </c>
      <c r="D85" s="132">
        <f t="shared" ref="D85:D148" si="12">E85+F85</f>
        <v>0</v>
      </c>
      <c r="E85" s="85">
        <f t="shared" ref="E85:E148" si="13">IF(B85&gt;0,E84,0)</f>
        <v>0</v>
      </c>
      <c r="F85" s="85">
        <f t="shared" si="7"/>
        <v>0</v>
      </c>
      <c r="G85" s="133">
        <f t="shared" si="8"/>
        <v>0</v>
      </c>
    </row>
    <row r="86" spans="1:7" ht="13.5" hidden="1" thickBot="1">
      <c r="A86" s="70">
        <f t="shared" si="9"/>
        <v>67</v>
      </c>
      <c r="B86" s="85">
        <f t="shared" si="10"/>
        <v>0</v>
      </c>
      <c r="C86" s="132">
        <f t="shared" si="11"/>
        <v>0</v>
      </c>
      <c r="D86" s="132">
        <f t="shared" si="12"/>
        <v>0</v>
      </c>
      <c r="E86" s="85">
        <f t="shared" si="13"/>
        <v>0</v>
      </c>
      <c r="F86" s="85">
        <f t="shared" si="7"/>
        <v>0</v>
      </c>
      <c r="G86" s="133">
        <f t="shared" si="8"/>
        <v>0</v>
      </c>
    </row>
    <row r="87" spans="1:7" ht="13.5" hidden="1" thickBot="1">
      <c r="A87" s="70">
        <f t="shared" si="9"/>
        <v>68</v>
      </c>
      <c r="B87" s="85">
        <f t="shared" si="10"/>
        <v>0</v>
      </c>
      <c r="C87" s="132">
        <f t="shared" si="11"/>
        <v>0</v>
      </c>
      <c r="D87" s="132">
        <f t="shared" si="12"/>
        <v>0</v>
      </c>
      <c r="E87" s="85">
        <f t="shared" si="13"/>
        <v>0</v>
      </c>
      <c r="F87" s="85">
        <f t="shared" si="7"/>
        <v>0</v>
      </c>
      <c r="G87" s="133">
        <f t="shared" si="8"/>
        <v>0</v>
      </c>
    </row>
    <row r="88" spans="1:7" ht="13.5" hidden="1" thickBot="1">
      <c r="A88" s="70">
        <f t="shared" si="9"/>
        <v>69</v>
      </c>
      <c r="B88" s="85">
        <f t="shared" si="10"/>
        <v>0</v>
      </c>
      <c r="C88" s="132">
        <f t="shared" si="11"/>
        <v>0</v>
      </c>
      <c r="D88" s="132">
        <f t="shared" si="12"/>
        <v>0</v>
      </c>
      <c r="E88" s="85">
        <f t="shared" si="13"/>
        <v>0</v>
      </c>
      <c r="F88" s="85">
        <f t="shared" si="7"/>
        <v>0</v>
      </c>
      <c r="G88" s="133">
        <f t="shared" si="8"/>
        <v>0</v>
      </c>
    </row>
    <row r="89" spans="1:7" ht="13.5" hidden="1" thickBot="1">
      <c r="A89" s="70">
        <f t="shared" si="9"/>
        <v>70</v>
      </c>
      <c r="B89" s="85">
        <f t="shared" si="10"/>
        <v>0</v>
      </c>
      <c r="C89" s="132">
        <f t="shared" si="11"/>
        <v>0</v>
      </c>
      <c r="D89" s="132">
        <f t="shared" si="12"/>
        <v>0</v>
      </c>
      <c r="E89" s="85">
        <f t="shared" si="13"/>
        <v>0</v>
      </c>
      <c r="F89" s="85">
        <f t="shared" si="7"/>
        <v>0</v>
      </c>
      <c r="G89" s="133">
        <f t="shared" si="8"/>
        <v>0</v>
      </c>
    </row>
    <row r="90" spans="1:7" ht="13.5" hidden="1" thickBot="1">
      <c r="A90" s="70">
        <f t="shared" si="9"/>
        <v>71</v>
      </c>
      <c r="B90" s="85">
        <f t="shared" si="10"/>
        <v>0</v>
      </c>
      <c r="C90" s="132">
        <f t="shared" si="11"/>
        <v>0</v>
      </c>
      <c r="D90" s="132">
        <f t="shared" si="12"/>
        <v>0</v>
      </c>
      <c r="E90" s="85">
        <f t="shared" si="13"/>
        <v>0</v>
      </c>
      <c r="F90" s="85">
        <f t="shared" si="7"/>
        <v>0</v>
      </c>
      <c r="G90" s="133">
        <f t="shared" si="8"/>
        <v>0</v>
      </c>
    </row>
    <row r="91" spans="1:7" ht="13.5" hidden="1" thickBot="1">
      <c r="A91" s="70">
        <f t="shared" si="9"/>
        <v>72</v>
      </c>
      <c r="B91" s="85">
        <f t="shared" si="10"/>
        <v>0</v>
      </c>
      <c r="C91" s="132">
        <f t="shared" si="11"/>
        <v>0</v>
      </c>
      <c r="D91" s="132">
        <f t="shared" si="12"/>
        <v>0</v>
      </c>
      <c r="E91" s="85">
        <f t="shared" si="13"/>
        <v>0</v>
      </c>
      <c r="F91" s="85">
        <f t="shared" si="7"/>
        <v>0</v>
      </c>
      <c r="G91" s="133">
        <f t="shared" si="8"/>
        <v>0</v>
      </c>
    </row>
    <row r="92" spans="1:7" ht="13.5" hidden="1" thickBot="1">
      <c r="A92" s="70">
        <f t="shared" si="9"/>
        <v>73</v>
      </c>
      <c r="B92" s="85">
        <f t="shared" si="10"/>
        <v>0</v>
      </c>
      <c r="C92" s="132">
        <f t="shared" si="11"/>
        <v>0</v>
      </c>
      <c r="D92" s="132">
        <f t="shared" si="12"/>
        <v>0</v>
      </c>
      <c r="E92" s="85">
        <f t="shared" si="13"/>
        <v>0</v>
      </c>
      <c r="F92" s="85">
        <f t="shared" si="7"/>
        <v>0</v>
      </c>
      <c r="G92" s="133">
        <f t="shared" si="8"/>
        <v>0</v>
      </c>
    </row>
    <row r="93" spans="1:7" ht="13.5" hidden="1" thickBot="1">
      <c r="A93" s="70">
        <f t="shared" si="9"/>
        <v>74</v>
      </c>
      <c r="B93" s="85">
        <f t="shared" si="10"/>
        <v>0</v>
      </c>
      <c r="C93" s="132">
        <f t="shared" si="11"/>
        <v>0</v>
      </c>
      <c r="D93" s="132">
        <f t="shared" si="12"/>
        <v>0</v>
      </c>
      <c r="E93" s="85">
        <f t="shared" si="13"/>
        <v>0</v>
      </c>
      <c r="F93" s="85">
        <f t="shared" si="7"/>
        <v>0</v>
      </c>
      <c r="G93" s="133">
        <f t="shared" si="8"/>
        <v>0</v>
      </c>
    </row>
    <row r="94" spans="1:7" ht="13.5" hidden="1" thickBot="1">
      <c r="A94" s="70">
        <f t="shared" si="9"/>
        <v>75</v>
      </c>
      <c r="B94" s="85">
        <f t="shared" si="10"/>
        <v>0</v>
      </c>
      <c r="C94" s="132">
        <f t="shared" si="11"/>
        <v>0</v>
      </c>
      <c r="D94" s="132">
        <f t="shared" si="12"/>
        <v>0</v>
      </c>
      <c r="E94" s="85">
        <f t="shared" si="13"/>
        <v>0</v>
      </c>
      <c r="F94" s="85">
        <f t="shared" si="7"/>
        <v>0</v>
      </c>
      <c r="G94" s="133">
        <f t="shared" si="8"/>
        <v>0</v>
      </c>
    </row>
    <row r="95" spans="1:7" ht="13.5" hidden="1" thickBot="1">
      <c r="A95" s="70">
        <f t="shared" si="9"/>
        <v>76</v>
      </c>
      <c r="B95" s="85">
        <f t="shared" si="10"/>
        <v>0</v>
      </c>
      <c r="C95" s="132">
        <f t="shared" si="11"/>
        <v>0</v>
      </c>
      <c r="D95" s="132">
        <f t="shared" si="12"/>
        <v>0</v>
      </c>
      <c r="E95" s="85">
        <f t="shared" si="13"/>
        <v>0</v>
      </c>
      <c r="F95" s="85">
        <f t="shared" si="7"/>
        <v>0</v>
      </c>
      <c r="G95" s="133">
        <f t="shared" si="8"/>
        <v>0</v>
      </c>
    </row>
    <row r="96" spans="1:7" ht="13.5" hidden="1" thickBot="1">
      <c r="A96" s="70">
        <f t="shared" si="9"/>
        <v>77</v>
      </c>
      <c r="B96" s="85">
        <f t="shared" si="10"/>
        <v>0</v>
      </c>
      <c r="C96" s="132">
        <f t="shared" si="11"/>
        <v>0</v>
      </c>
      <c r="D96" s="132">
        <f t="shared" si="12"/>
        <v>0</v>
      </c>
      <c r="E96" s="85">
        <f t="shared" si="13"/>
        <v>0</v>
      </c>
      <c r="F96" s="85">
        <f t="shared" si="7"/>
        <v>0</v>
      </c>
      <c r="G96" s="133">
        <f t="shared" si="8"/>
        <v>0</v>
      </c>
    </row>
    <row r="97" spans="1:7" ht="13.5" hidden="1" thickBot="1">
      <c r="A97" s="70">
        <f t="shared" si="9"/>
        <v>78</v>
      </c>
      <c r="B97" s="85">
        <f t="shared" si="10"/>
        <v>0</v>
      </c>
      <c r="C97" s="132">
        <f t="shared" si="11"/>
        <v>0</v>
      </c>
      <c r="D97" s="132">
        <f t="shared" si="12"/>
        <v>0</v>
      </c>
      <c r="E97" s="85">
        <f t="shared" si="13"/>
        <v>0</v>
      </c>
      <c r="F97" s="85">
        <f t="shared" si="7"/>
        <v>0</v>
      </c>
      <c r="G97" s="133">
        <f t="shared" si="8"/>
        <v>0</v>
      </c>
    </row>
    <row r="98" spans="1:7" ht="13.5" hidden="1" thickBot="1">
      <c r="A98" s="70">
        <f t="shared" si="9"/>
        <v>79</v>
      </c>
      <c r="B98" s="85">
        <f t="shared" si="10"/>
        <v>0</v>
      </c>
      <c r="C98" s="132">
        <f t="shared" si="11"/>
        <v>0</v>
      </c>
      <c r="D98" s="132">
        <f t="shared" si="12"/>
        <v>0</v>
      </c>
      <c r="E98" s="85">
        <f t="shared" si="13"/>
        <v>0</v>
      </c>
      <c r="F98" s="85">
        <f t="shared" si="7"/>
        <v>0</v>
      </c>
      <c r="G98" s="133">
        <f t="shared" si="8"/>
        <v>0</v>
      </c>
    </row>
    <row r="99" spans="1:7" ht="13.5" hidden="1" thickBot="1">
      <c r="A99" s="70">
        <f t="shared" si="9"/>
        <v>80</v>
      </c>
      <c r="B99" s="85">
        <f t="shared" si="10"/>
        <v>0</v>
      </c>
      <c r="C99" s="132">
        <f t="shared" si="11"/>
        <v>0</v>
      </c>
      <c r="D99" s="132">
        <f t="shared" si="12"/>
        <v>0</v>
      </c>
      <c r="E99" s="85">
        <f t="shared" si="13"/>
        <v>0</v>
      </c>
      <c r="F99" s="85">
        <f t="shared" si="7"/>
        <v>0</v>
      </c>
      <c r="G99" s="133">
        <f t="shared" si="8"/>
        <v>0</v>
      </c>
    </row>
    <row r="100" spans="1:7" ht="13.5" hidden="1" thickBot="1">
      <c r="A100" s="70">
        <f t="shared" si="9"/>
        <v>81</v>
      </c>
      <c r="B100" s="85">
        <f t="shared" si="10"/>
        <v>0</v>
      </c>
      <c r="C100" s="132">
        <f t="shared" si="11"/>
        <v>0</v>
      </c>
      <c r="D100" s="132">
        <f t="shared" si="12"/>
        <v>0</v>
      </c>
      <c r="E100" s="85">
        <f t="shared" si="13"/>
        <v>0</v>
      </c>
      <c r="F100" s="85">
        <f t="shared" si="7"/>
        <v>0</v>
      </c>
      <c r="G100" s="133">
        <f t="shared" si="8"/>
        <v>0</v>
      </c>
    </row>
    <row r="101" spans="1:7" ht="13.5" hidden="1" thickBot="1">
      <c r="A101" s="70">
        <f t="shared" si="9"/>
        <v>82</v>
      </c>
      <c r="B101" s="85">
        <f t="shared" si="10"/>
        <v>0</v>
      </c>
      <c r="C101" s="132">
        <f t="shared" si="11"/>
        <v>0</v>
      </c>
      <c r="D101" s="132">
        <f t="shared" si="12"/>
        <v>0</v>
      </c>
      <c r="E101" s="85">
        <f t="shared" si="13"/>
        <v>0</v>
      </c>
      <c r="F101" s="85">
        <f t="shared" si="7"/>
        <v>0</v>
      </c>
      <c r="G101" s="133">
        <f t="shared" si="8"/>
        <v>0</v>
      </c>
    </row>
    <row r="102" spans="1:7" ht="13.5" hidden="1" thickBot="1">
      <c r="A102" s="70">
        <f t="shared" si="9"/>
        <v>83</v>
      </c>
      <c r="B102" s="85">
        <f t="shared" si="10"/>
        <v>0</v>
      </c>
      <c r="C102" s="132">
        <f t="shared" si="11"/>
        <v>0</v>
      </c>
      <c r="D102" s="132">
        <f t="shared" si="12"/>
        <v>0</v>
      </c>
      <c r="E102" s="85">
        <f t="shared" si="13"/>
        <v>0</v>
      </c>
      <c r="F102" s="85">
        <f t="shared" si="7"/>
        <v>0</v>
      </c>
      <c r="G102" s="133">
        <f t="shared" si="8"/>
        <v>0</v>
      </c>
    </row>
    <row r="103" spans="1:7" ht="13.5" hidden="1" thickBot="1">
      <c r="A103" s="70">
        <f t="shared" si="9"/>
        <v>84</v>
      </c>
      <c r="B103" s="85">
        <f t="shared" si="10"/>
        <v>0</v>
      </c>
      <c r="C103" s="132">
        <f t="shared" si="11"/>
        <v>0</v>
      </c>
      <c r="D103" s="132">
        <f t="shared" si="12"/>
        <v>0</v>
      </c>
      <c r="E103" s="85">
        <f t="shared" si="13"/>
        <v>0</v>
      </c>
      <c r="F103" s="85">
        <f t="shared" si="7"/>
        <v>0</v>
      </c>
      <c r="G103" s="133">
        <f t="shared" si="8"/>
        <v>0</v>
      </c>
    </row>
    <row r="104" spans="1:7" ht="13.5" hidden="1" thickBot="1">
      <c r="A104" s="70">
        <f t="shared" si="9"/>
        <v>85</v>
      </c>
      <c r="B104" s="85">
        <f t="shared" si="10"/>
        <v>0</v>
      </c>
      <c r="C104" s="132">
        <f t="shared" si="11"/>
        <v>0</v>
      </c>
      <c r="D104" s="132">
        <f t="shared" si="12"/>
        <v>0</v>
      </c>
      <c r="E104" s="85">
        <f t="shared" si="13"/>
        <v>0</v>
      </c>
      <c r="F104" s="85">
        <f t="shared" si="7"/>
        <v>0</v>
      </c>
      <c r="G104" s="133">
        <f t="shared" si="8"/>
        <v>0</v>
      </c>
    </row>
    <row r="105" spans="1:7" ht="13.5" hidden="1" thickBot="1">
      <c r="A105" s="70">
        <f t="shared" si="9"/>
        <v>86</v>
      </c>
      <c r="B105" s="85">
        <f t="shared" si="10"/>
        <v>0</v>
      </c>
      <c r="C105" s="132">
        <f t="shared" si="11"/>
        <v>0</v>
      </c>
      <c r="D105" s="132">
        <f t="shared" si="12"/>
        <v>0</v>
      </c>
      <c r="E105" s="85">
        <f t="shared" si="13"/>
        <v>0</v>
      </c>
      <c r="F105" s="85">
        <f t="shared" si="7"/>
        <v>0</v>
      </c>
      <c r="G105" s="133">
        <f t="shared" si="8"/>
        <v>0</v>
      </c>
    </row>
    <row r="106" spans="1:7" ht="13.5" hidden="1" thickBot="1">
      <c r="A106" s="70">
        <f t="shared" si="9"/>
        <v>87</v>
      </c>
      <c r="B106" s="85">
        <f t="shared" si="10"/>
        <v>0</v>
      </c>
      <c r="C106" s="132">
        <f t="shared" si="11"/>
        <v>0</v>
      </c>
      <c r="D106" s="132">
        <f t="shared" si="12"/>
        <v>0</v>
      </c>
      <c r="E106" s="85">
        <f t="shared" si="13"/>
        <v>0</v>
      </c>
      <c r="F106" s="85">
        <f t="shared" si="7"/>
        <v>0</v>
      </c>
      <c r="G106" s="133">
        <f t="shared" si="8"/>
        <v>0</v>
      </c>
    </row>
    <row r="107" spans="1:7" ht="13.5" hidden="1" thickBot="1">
      <c r="A107" s="70">
        <f t="shared" si="9"/>
        <v>88</v>
      </c>
      <c r="B107" s="85">
        <f t="shared" si="10"/>
        <v>0</v>
      </c>
      <c r="C107" s="132">
        <f t="shared" si="11"/>
        <v>0</v>
      </c>
      <c r="D107" s="132">
        <f t="shared" si="12"/>
        <v>0</v>
      </c>
      <c r="E107" s="85">
        <f t="shared" si="13"/>
        <v>0</v>
      </c>
      <c r="F107" s="85">
        <f t="shared" si="7"/>
        <v>0</v>
      </c>
      <c r="G107" s="133">
        <f t="shared" si="8"/>
        <v>0</v>
      </c>
    </row>
    <row r="108" spans="1:7" ht="13.5" hidden="1" thickBot="1">
      <c r="A108" s="70">
        <f t="shared" si="9"/>
        <v>89</v>
      </c>
      <c r="B108" s="85">
        <f t="shared" si="10"/>
        <v>0</v>
      </c>
      <c r="C108" s="132">
        <f t="shared" si="11"/>
        <v>0</v>
      </c>
      <c r="D108" s="132">
        <f t="shared" si="12"/>
        <v>0</v>
      </c>
      <c r="E108" s="85">
        <f t="shared" si="13"/>
        <v>0</v>
      </c>
      <c r="F108" s="85">
        <f t="shared" si="7"/>
        <v>0</v>
      </c>
      <c r="G108" s="133">
        <f t="shared" si="8"/>
        <v>0</v>
      </c>
    </row>
    <row r="109" spans="1:7" ht="13.5" hidden="1" thickBot="1">
      <c r="A109" s="70">
        <f t="shared" si="9"/>
        <v>90</v>
      </c>
      <c r="B109" s="85">
        <f t="shared" si="10"/>
        <v>0</v>
      </c>
      <c r="C109" s="132">
        <f t="shared" si="11"/>
        <v>0</v>
      </c>
      <c r="D109" s="132">
        <f t="shared" si="12"/>
        <v>0</v>
      </c>
      <c r="E109" s="85">
        <f t="shared" si="13"/>
        <v>0</v>
      </c>
      <c r="F109" s="85">
        <f t="shared" si="7"/>
        <v>0</v>
      </c>
      <c r="G109" s="133">
        <f t="shared" si="8"/>
        <v>0</v>
      </c>
    </row>
    <row r="110" spans="1:7" ht="13.5" hidden="1" thickBot="1">
      <c r="A110" s="70">
        <f t="shared" si="9"/>
        <v>91</v>
      </c>
      <c r="B110" s="85">
        <f t="shared" si="10"/>
        <v>0</v>
      </c>
      <c r="C110" s="132">
        <f t="shared" si="11"/>
        <v>0</v>
      </c>
      <c r="D110" s="132">
        <f t="shared" si="12"/>
        <v>0</v>
      </c>
      <c r="E110" s="85">
        <f t="shared" si="13"/>
        <v>0</v>
      </c>
      <c r="F110" s="85">
        <f t="shared" si="7"/>
        <v>0</v>
      </c>
      <c r="G110" s="133">
        <f t="shared" si="8"/>
        <v>0</v>
      </c>
    </row>
    <row r="111" spans="1:7" ht="13.5" hidden="1" thickBot="1">
      <c r="A111" s="70">
        <f t="shared" si="9"/>
        <v>92</v>
      </c>
      <c r="B111" s="85">
        <f t="shared" si="10"/>
        <v>0</v>
      </c>
      <c r="C111" s="132">
        <f t="shared" si="11"/>
        <v>0</v>
      </c>
      <c r="D111" s="132">
        <f t="shared" si="12"/>
        <v>0</v>
      </c>
      <c r="E111" s="85">
        <f t="shared" si="13"/>
        <v>0</v>
      </c>
      <c r="F111" s="85">
        <f t="shared" si="7"/>
        <v>0</v>
      </c>
      <c r="G111" s="133">
        <f t="shared" si="8"/>
        <v>0</v>
      </c>
    </row>
    <row r="112" spans="1:7" ht="13.5" hidden="1" thickBot="1">
      <c r="A112" s="70">
        <f t="shared" si="9"/>
        <v>93</v>
      </c>
      <c r="B112" s="85">
        <f t="shared" si="10"/>
        <v>0</v>
      </c>
      <c r="C112" s="132">
        <f t="shared" si="11"/>
        <v>0</v>
      </c>
      <c r="D112" s="132">
        <f t="shared" si="12"/>
        <v>0</v>
      </c>
      <c r="E112" s="85">
        <f t="shared" si="13"/>
        <v>0</v>
      </c>
      <c r="F112" s="85">
        <f t="shared" si="7"/>
        <v>0</v>
      </c>
      <c r="G112" s="133">
        <f t="shared" si="8"/>
        <v>0</v>
      </c>
    </row>
    <row r="113" spans="1:7" ht="13.5" hidden="1" thickBot="1">
      <c r="A113" s="70">
        <f t="shared" si="9"/>
        <v>94</v>
      </c>
      <c r="B113" s="85">
        <f t="shared" si="10"/>
        <v>0</v>
      </c>
      <c r="C113" s="132">
        <f t="shared" si="11"/>
        <v>0</v>
      </c>
      <c r="D113" s="132">
        <f t="shared" si="12"/>
        <v>0</v>
      </c>
      <c r="E113" s="85">
        <f t="shared" si="13"/>
        <v>0</v>
      </c>
      <c r="F113" s="85">
        <f t="shared" si="7"/>
        <v>0</v>
      </c>
      <c r="G113" s="133">
        <f t="shared" si="8"/>
        <v>0</v>
      </c>
    </row>
    <row r="114" spans="1:7" ht="13.5" hidden="1" thickBot="1">
      <c r="A114" s="70">
        <f t="shared" si="9"/>
        <v>95</v>
      </c>
      <c r="B114" s="85">
        <f t="shared" si="10"/>
        <v>0</v>
      </c>
      <c r="C114" s="132">
        <f t="shared" si="11"/>
        <v>0</v>
      </c>
      <c r="D114" s="132">
        <f t="shared" si="12"/>
        <v>0</v>
      </c>
      <c r="E114" s="85">
        <f t="shared" si="13"/>
        <v>0</v>
      </c>
      <c r="F114" s="85">
        <f t="shared" si="7"/>
        <v>0</v>
      </c>
      <c r="G114" s="133">
        <f t="shared" si="8"/>
        <v>0</v>
      </c>
    </row>
    <row r="115" spans="1:7" ht="13.5" hidden="1" thickBot="1">
      <c r="A115" s="70">
        <f t="shared" si="9"/>
        <v>96</v>
      </c>
      <c r="B115" s="85">
        <f t="shared" si="10"/>
        <v>0</v>
      </c>
      <c r="C115" s="132">
        <f t="shared" si="11"/>
        <v>0</v>
      </c>
      <c r="D115" s="132">
        <f t="shared" si="12"/>
        <v>0</v>
      </c>
      <c r="E115" s="85">
        <f t="shared" si="13"/>
        <v>0</v>
      </c>
      <c r="F115" s="85">
        <f t="shared" si="7"/>
        <v>0</v>
      </c>
      <c r="G115" s="133">
        <f t="shared" si="8"/>
        <v>0</v>
      </c>
    </row>
    <row r="116" spans="1:7" ht="13.5" hidden="1" thickBot="1">
      <c r="A116" s="70">
        <f t="shared" si="9"/>
        <v>97</v>
      </c>
      <c r="B116" s="85">
        <f t="shared" si="10"/>
        <v>0</v>
      </c>
      <c r="C116" s="132">
        <f t="shared" si="11"/>
        <v>0</v>
      </c>
      <c r="D116" s="132">
        <f t="shared" si="12"/>
        <v>0</v>
      </c>
      <c r="E116" s="85">
        <f t="shared" si="13"/>
        <v>0</v>
      </c>
      <c r="F116" s="85">
        <f t="shared" si="7"/>
        <v>0</v>
      </c>
      <c r="G116" s="133">
        <f t="shared" si="8"/>
        <v>0</v>
      </c>
    </row>
    <row r="117" spans="1:7" ht="13.5" hidden="1" thickBot="1">
      <c r="A117" s="70">
        <f t="shared" si="9"/>
        <v>98</v>
      </c>
      <c r="B117" s="85">
        <f t="shared" si="10"/>
        <v>0</v>
      </c>
      <c r="C117" s="132">
        <f t="shared" si="11"/>
        <v>0</v>
      </c>
      <c r="D117" s="132">
        <f t="shared" si="12"/>
        <v>0</v>
      </c>
      <c r="E117" s="85">
        <f t="shared" si="13"/>
        <v>0</v>
      </c>
      <c r="F117" s="85">
        <f t="shared" si="7"/>
        <v>0</v>
      </c>
      <c r="G117" s="133">
        <f t="shared" si="8"/>
        <v>0</v>
      </c>
    </row>
    <row r="118" spans="1:7" ht="13.5" hidden="1" thickBot="1">
      <c r="A118" s="70">
        <f t="shared" si="9"/>
        <v>99</v>
      </c>
      <c r="B118" s="85">
        <f t="shared" si="10"/>
        <v>0</v>
      </c>
      <c r="C118" s="132">
        <f t="shared" si="11"/>
        <v>0</v>
      </c>
      <c r="D118" s="132">
        <f t="shared" si="12"/>
        <v>0</v>
      </c>
      <c r="E118" s="85">
        <f t="shared" si="13"/>
        <v>0</v>
      </c>
      <c r="F118" s="85">
        <f t="shared" si="7"/>
        <v>0</v>
      </c>
      <c r="G118" s="133">
        <f t="shared" si="8"/>
        <v>0</v>
      </c>
    </row>
    <row r="119" spans="1:7" ht="13.5" hidden="1" thickBot="1">
      <c r="A119" s="70">
        <f t="shared" si="9"/>
        <v>100</v>
      </c>
      <c r="B119" s="85">
        <f t="shared" si="10"/>
        <v>0</v>
      </c>
      <c r="C119" s="132">
        <f t="shared" si="11"/>
        <v>0</v>
      </c>
      <c r="D119" s="132">
        <f t="shared" si="12"/>
        <v>0</v>
      </c>
      <c r="E119" s="85">
        <f t="shared" si="13"/>
        <v>0</v>
      </c>
      <c r="F119" s="85">
        <f t="shared" si="7"/>
        <v>0</v>
      </c>
      <c r="G119" s="133">
        <f t="shared" si="8"/>
        <v>0</v>
      </c>
    </row>
    <row r="120" spans="1:7" ht="13.5" hidden="1" thickBot="1">
      <c r="A120" s="70">
        <f t="shared" si="9"/>
        <v>101</v>
      </c>
      <c r="B120" s="85">
        <f t="shared" si="10"/>
        <v>0</v>
      </c>
      <c r="C120" s="132">
        <f t="shared" si="11"/>
        <v>0</v>
      </c>
      <c r="D120" s="132">
        <f t="shared" si="12"/>
        <v>0</v>
      </c>
      <c r="E120" s="85">
        <f t="shared" si="13"/>
        <v>0</v>
      </c>
      <c r="F120" s="85">
        <f t="shared" si="7"/>
        <v>0</v>
      </c>
      <c r="G120" s="133">
        <f t="shared" si="8"/>
        <v>0</v>
      </c>
    </row>
    <row r="121" spans="1:7" ht="13.5" hidden="1" thickBot="1">
      <c r="A121" s="70">
        <f t="shared" si="9"/>
        <v>102</v>
      </c>
      <c r="B121" s="85">
        <f t="shared" si="10"/>
        <v>0</v>
      </c>
      <c r="C121" s="132">
        <f t="shared" si="11"/>
        <v>0</v>
      </c>
      <c r="D121" s="132">
        <f t="shared" si="12"/>
        <v>0</v>
      </c>
      <c r="E121" s="85">
        <f t="shared" si="13"/>
        <v>0</v>
      </c>
      <c r="F121" s="85">
        <f t="shared" si="7"/>
        <v>0</v>
      </c>
      <c r="G121" s="133">
        <f t="shared" si="8"/>
        <v>0</v>
      </c>
    </row>
    <row r="122" spans="1:7" ht="13.5" hidden="1" thickBot="1">
      <c r="A122" s="70">
        <f t="shared" si="9"/>
        <v>103</v>
      </c>
      <c r="B122" s="85">
        <f t="shared" si="10"/>
        <v>0</v>
      </c>
      <c r="C122" s="132">
        <f t="shared" si="11"/>
        <v>0</v>
      </c>
      <c r="D122" s="132">
        <f t="shared" si="12"/>
        <v>0</v>
      </c>
      <c r="E122" s="85">
        <f t="shared" si="13"/>
        <v>0</v>
      </c>
      <c r="F122" s="85">
        <f t="shared" si="7"/>
        <v>0</v>
      </c>
      <c r="G122" s="133">
        <f t="shared" si="8"/>
        <v>0</v>
      </c>
    </row>
    <row r="123" spans="1:7" ht="13.5" hidden="1" thickBot="1">
      <c r="A123" s="70">
        <f t="shared" si="9"/>
        <v>104</v>
      </c>
      <c r="B123" s="85">
        <f t="shared" si="10"/>
        <v>0</v>
      </c>
      <c r="C123" s="132">
        <f t="shared" si="11"/>
        <v>0</v>
      </c>
      <c r="D123" s="132">
        <f t="shared" si="12"/>
        <v>0</v>
      </c>
      <c r="E123" s="85">
        <f t="shared" si="13"/>
        <v>0</v>
      </c>
      <c r="F123" s="85">
        <f t="shared" si="7"/>
        <v>0</v>
      </c>
      <c r="G123" s="133">
        <f t="shared" si="8"/>
        <v>0</v>
      </c>
    </row>
    <row r="124" spans="1:7" ht="13.5" hidden="1" thickBot="1">
      <c r="A124" s="70">
        <f t="shared" si="9"/>
        <v>105</v>
      </c>
      <c r="B124" s="85">
        <f t="shared" si="10"/>
        <v>0</v>
      </c>
      <c r="C124" s="132">
        <f t="shared" si="11"/>
        <v>0</v>
      </c>
      <c r="D124" s="132">
        <f t="shared" si="12"/>
        <v>0</v>
      </c>
      <c r="E124" s="85">
        <f t="shared" si="13"/>
        <v>0</v>
      </c>
      <c r="F124" s="85">
        <f t="shared" si="7"/>
        <v>0</v>
      </c>
      <c r="G124" s="133">
        <f t="shared" si="8"/>
        <v>0</v>
      </c>
    </row>
    <row r="125" spans="1:7" ht="13.5" hidden="1" thickBot="1">
      <c r="A125" s="70">
        <f t="shared" si="9"/>
        <v>106</v>
      </c>
      <c r="B125" s="85">
        <f t="shared" si="10"/>
        <v>0</v>
      </c>
      <c r="C125" s="132">
        <f t="shared" si="11"/>
        <v>0</v>
      </c>
      <c r="D125" s="132">
        <f t="shared" si="12"/>
        <v>0</v>
      </c>
      <c r="E125" s="85">
        <f t="shared" si="13"/>
        <v>0</v>
      </c>
      <c r="F125" s="85">
        <f t="shared" si="7"/>
        <v>0</v>
      </c>
      <c r="G125" s="133">
        <f t="shared" si="8"/>
        <v>0</v>
      </c>
    </row>
    <row r="126" spans="1:7" ht="13.5" hidden="1" thickBot="1">
      <c r="A126" s="70">
        <f t="shared" si="9"/>
        <v>107</v>
      </c>
      <c r="B126" s="85">
        <f t="shared" si="10"/>
        <v>0</v>
      </c>
      <c r="C126" s="132">
        <f t="shared" si="11"/>
        <v>0</v>
      </c>
      <c r="D126" s="132">
        <f t="shared" si="12"/>
        <v>0</v>
      </c>
      <c r="E126" s="85">
        <f t="shared" si="13"/>
        <v>0</v>
      </c>
      <c r="F126" s="85">
        <f t="shared" si="7"/>
        <v>0</v>
      </c>
      <c r="G126" s="133">
        <f t="shared" si="8"/>
        <v>0</v>
      </c>
    </row>
    <row r="127" spans="1:7" ht="13.5" hidden="1" thickBot="1">
      <c r="A127" s="70">
        <f t="shared" si="9"/>
        <v>108</v>
      </c>
      <c r="B127" s="85">
        <f t="shared" si="10"/>
        <v>0</v>
      </c>
      <c r="C127" s="132">
        <f t="shared" si="11"/>
        <v>0</v>
      </c>
      <c r="D127" s="132">
        <f t="shared" si="12"/>
        <v>0</v>
      </c>
      <c r="E127" s="85">
        <f t="shared" si="13"/>
        <v>0</v>
      </c>
      <c r="F127" s="85">
        <f t="shared" si="7"/>
        <v>0</v>
      </c>
      <c r="G127" s="133">
        <f t="shared" si="8"/>
        <v>0</v>
      </c>
    </row>
    <row r="128" spans="1:7" ht="13.5" hidden="1" thickBot="1">
      <c r="A128" s="70">
        <f t="shared" si="9"/>
        <v>109</v>
      </c>
      <c r="B128" s="85">
        <f t="shared" si="10"/>
        <v>0</v>
      </c>
      <c r="C128" s="132">
        <f t="shared" si="11"/>
        <v>0</v>
      </c>
      <c r="D128" s="132">
        <f t="shared" si="12"/>
        <v>0</v>
      </c>
      <c r="E128" s="85">
        <f t="shared" si="13"/>
        <v>0</v>
      </c>
      <c r="F128" s="85">
        <f t="shared" si="7"/>
        <v>0</v>
      </c>
      <c r="G128" s="133">
        <f t="shared" si="8"/>
        <v>0</v>
      </c>
    </row>
    <row r="129" spans="1:7" ht="13.5" hidden="1" thickBot="1">
      <c r="A129" s="70">
        <f t="shared" si="9"/>
        <v>110</v>
      </c>
      <c r="B129" s="85">
        <f t="shared" si="10"/>
        <v>0</v>
      </c>
      <c r="C129" s="132">
        <f t="shared" si="11"/>
        <v>0</v>
      </c>
      <c r="D129" s="132">
        <f t="shared" si="12"/>
        <v>0</v>
      </c>
      <c r="E129" s="85">
        <f t="shared" si="13"/>
        <v>0</v>
      </c>
      <c r="F129" s="85">
        <f t="shared" si="7"/>
        <v>0</v>
      </c>
      <c r="G129" s="133">
        <f t="shared" si="8"/>
        <v>0</v>
      </c>
    </row>
    <row r="130" spans="1:7" ht="13.5" hidden="1" thickBot="1">
      <c r="A130" s="70">
        <f t="shared" si="9"/>
        <v>111</v>
      </c>
      <c r="B130" s="85">
        <f t="shared" si="10"/>
        <v>0</v>
      </c>
      <c r="C130" s="132">
        <f t="shared" si="11"/>
        <v>0</v>
      </c>
      <c r="D130" s="132">
        <f t="shared" si="12"/>
        <v>0</v>
      </c>
      <c r="E130" s="85">
        <f t="shared" si="13"/>
        <v>0</v>
      </c>
      <c r="F130" s="85">
        <f t="shared" si="7"/>
        <v>0</v>
      </c>
      <c r="G130" s="133">
        <f t="shared" si="8"/>
        <v>0</v>
      </c>
    </row>
    <row r="131" spans="1:7" ht="13.5" hidden="1" thickBot="1">
      <c r="A131" s="70">
        <f t="shared" si="9"/>
        <v>112</v>
      </c>
      <c r="B131" s="85">
        <f t="shared" si="10"/>
        <v>0</v>
      </c>
      <c r="C131" s="132">
        <f t="shared" si="11"/>
        <v>0</v>
      </c>
      <c r="D131" s="132">
        <f t="shared" si="12"/>
        <v>0</v>
      </c>
      <c r="E131" s="85">
        <f t="shared" si="13"/>
        <v>0</v>
      </c>
      <c r="F131" s="85">
        <f t="shared" si="7"/>
        <v>0</v>
      </c>
      <c r="G131" s="133">
        <f t="shared" si="8"/>
        <v>0</v>
      </c>
    </row>
    <row r="132" spans="1:7" ht="13.5" hidden="1" thickBot="1">
      <c r="A132" s="70">
        <f t="shared" si="9"/>
        <v>113</v>
      </c>
      <c r="B132" s="85">
        <f t="shared" si="10"/>
        <v>0</v>
      </c>
      <c r="C132" s="132">
        <f t="shared" si="11"/>
        <v>0</v>
      </c>
      <c r="D132" s="132">
        <f t="shared" si="12"/>
        <v>0</v>
      </c>
      <c r="E132" s="85">
        <f t="shared" si="13"/>
        <v>0</v>
      </c>
      <c r="F132" s="85">
        <f t="shared" si="7"/>
        <v>0</v>
      </c>
      <c r="G132" s="133">
        <f t="shared" si="8"/>
        <v>0</v>
      </c>
    </row>
    <row r="133" spans="1:7" ht="13.5" hidden="1" thickBot="1">
      <c r="A133" s="70">
        <f t="shared" si="9"/>
        <v>114</v>
      </c>
      <c r="B133" s="85">
        <f t="shared" si="10"/>
        <v>0</v>
      </c>
      <c r="C133" s="132">
        <f t="shared" si="11"/>
        <v>0</v>
      </c>
      <c r="D133" s="132">
        <f t="shared" si="12"/>
        <v>0</v>
      </c>
      <c r="E133" s="85">
        <f t="shared" si="13"/>
        <v>0</v>
      </c>
      <c r="F133" s="85">
        <f t="shared" si="7"/>
        <v>0</v>
      </c>
      <c r="G133" s="133">
        <f t="shared" si="8"/>
        <v>0</v>
      </c>
    </row>
    <row r="134" spans="1:7" ht="13.5" hidden="1" thickBot="1">
      <c r="A134" s="70">
        <f t="shared" si="9"/>
        <v>115</v>
      </c>
      <c r="B134" s="85">
        <f t="shared" si="10"/>
        <v>0</v>
      </c>
      <c r="C134" s="132">
        <f t="shared" si="11"/>
        <v>0</v>
      </c>
      <c r="D134" s="132">
        <f t="shared" si="12"/>
        <v>0</v>
      </c>
      <c r="E134" s="85">
        <f t="shared" si="13"/>
        <v>0</v>
      </c>
      <c r="F134" s="85">
        <f t="shared" si="7"/>
        <v>0</v>
      </c>
      <c r="G134" s="133">
        <f t="shared" si="8"/>
        <v>0</v>
      </c>
    </row>
    <row r="135" spans="1:7" ht="13.5" hidden="1" thickBot="1">
      <c r="A135" s="70">
        <f t="shared" si="9"/>
        <v>116</v>
      </c>
      <c r="B135" s="85">
        <f t="shared" si="10"/>
        <v>0</v>
      </c>
      <c r="C135" s="132">
        <f t="shared" si="11"/>
        <v>0</v>
      </c>
      <c r="D135" s="132">
        <f t="shared" si="12"/>
        <v>0</v>
      </c>
      <c r="E135" s="85">
        <f t="shared" si="13"/>
        <v>0</v>
      </c>
      <c r="F135" s="85">
        <f t="shared" si="7"/>
        <v>0</v>
      </c>
      <c r="G135" s="133">
        <f t="shared" si="8"/>
        <v>0</v>
      </c>
    </row>
    <row r="136" spans="1:7" ht="13.5" hidden="1" thickBot="1">
      <c r="A136" s="70">
        <f t="shared" si="9"/>
        <v>117</v>
      </c>
      <c r="B136" s="85">
        <f t="shared" si="10"/>
        <v>0</v>
      </c>
      <c r="C136" s="132">
        <f t="shared" si="11"/>
        <v>0</v>
      </c>
      <c r="D136" s="132">
        <f t="shared" si="12"/>
        <v>0</v>
      </c>
      <c r="E136" s="85">
        <f t="shared" si="13"/>
        <v>0</v>
      </c>
      <c r="F136" s="85">
        <f t="shared" si="7"/>
        <v>0</v>
      </c>
      <c r="G136" s="133">
        <f t="shared" si="8"/>
        <v>0</v>
      </c>
    </row>
    <row r="137" spans="1:7" ht="13.5" hidden="1" thickBot="1">
      <c r="A137" s="70">
        <f t="shared" si="9"/>
        <v>118</v>
      </c>
      <c r="B137" s="85">
        <f t="shared" si="10"/>
        <v>0</v>
      </c>
      <c r="C137" s="132">
        <f t="shared" si="11"/>
        <v>0</v>
      </c>
      <c r="D137" s="132">
        <f t="shared" si="12"/>
        <v>0</v>
      </c>
      <c r="E137" s="85">
        <f t="shared" si="13"/>
        <v>0</v>
      </c>
      <c r="F137" s="85">
        <f t="shared" si="7"/>
        <v>0</v>
      </c>
      <c r="G137" s="133">
        <f t="shared" si="8"/>
        <v>0</v>
      </c>
    </row>
    <row r="138" spans="1:7" ht="13.5" hidden="1" thickBot="1">
      <c r="A138" s="70">
        <f t="shared" si="9"/>
        <v>119</v>
      </c>
      <c r="B138" s="85">
        <f t="shared" si="10"/>
        <v>0</v>
      </c>
      <c r="C138" s="132">
        <f t="shared" si="11"/>
        <v>0</v>
      </c>
      <c r="D138" s="132">
        <f t="shared" si="12"/>
        <v>0</v>
      </c>
      <c r="E138" s="85">
        <f t="shared" si="13"/>
        <v>0</v>
      </c>
      <c r="F138" s="85">
        <f t="shared" si="7"/>
        <v>0</v>
      </c>
      <c r="G138" s="133">
        <f t="shared" si="8"/>
        <v>0</v>
      </c>
    </row>
    <row r="139" spans="1:7" ht="13.5" hidden="1" thickBot="1">
      <c r="A139" s="70">
        <f t="shared" si="9"/>
        <v>120</v>
      </c>
      <c r="B139" s="85">
        <f t="shared" si="10"/>
        <v>0</v>
      </c>
      <c r="C139" s="132">
        <f t="shared" si="11"/>
        <v>0</v>
      </c>
      <c r="D139" s="132">
        <f t="shared" si="12"/>
        <v>0</v>
      </c>
      <c r="E139" s="85">
        <f t="shared" si="13"/>
        <v>0</v>
      </c>
      <c r="F139" s="85">
        <f t="shared" si="7"/>
        <v>0</v>
      </c>
      <c r="G139" s="133">
        <f t="shared" si="8"/>
        <v>0</v>
      </c>
    </row>
    <row r="140" spans="1:7" ht="13.5" hidden="1" thickBot="1">
      <c r="A140" s="70">
        <f t="shared" si="9"/>
        <v>121</v>
      </c>
      <c r="B140" s="85">
        <f t="shared" si="10"/>
        <v>0</v>
      </c>
      <c r="C140" s="132">
        <f t="shared" si="11"/>
        <v>0</v>
      </c>
      <c r="D140" s="132">
        <f t="shared" si="12"/>
        <v>0</v>
      </c>
      <c r="E140" s="85">
        <f t="shared" si="13"/>
        <v>0</v>
      </c>
      <c r="F140" s="85">
        <f t="shared" si="7"/>
        <v>0</v>
      </c>
      <c r="G140" s="133">
        <f t="shared" si="8"/>
        <v>0</v>
      </c>
    </row>
    <row r="141" spans="1:7" ht="13.5" hidden="1" thickBot="1">
      <c r="A141" s="70">
        <f t="shared" si="9"/>
        <v>122</v>
      </c>
      <c r="B141" s="85">
        <f t="shared" si="10"/>
        <v>0</v>
      </c>
      <c r="C141" s="132">
        <f t="shared" si="11"/>
        <v>0</v>
      </c>
      <c r="D141" s="132">
        <f t="shared" si="12"/>
        <v>0</v>
      </c>
      <c r="E141" s="85">
        <f t="shared" si="13"/>
        <v>0</v>
      </c>
      <c r="F141" s="85">
        <f t="shared" si="7"/>
        <v>0</v>
      </c>
      <c r="G141" s="133">
        <f t="shared" si="8"/>
        <v>0</v>
      </c>
    </row>
    <row r="142" spans="1:7" ht="13.5" hidden="1" thickBot="1">
      <c r="A142" s="70">
        <f t="shared" si="9"/>
        <v>123</v>
      </c>
      <c r="B142" s="85">
        <f t="shared" si="10"/>
        <v>0</v>
      </c>
      <c r="C142" s="132">
        <f t="shared" si="11"/>
        <v>0</v>
      </c>
      <c r="D142" s="132">
        <f t="shared" si="12"/>
        <v>0</v>
      </c>
      <c r="E142" s="85">
        <f t="shared" si="13"/>
        <v>0</v>
      </c>
      <c r="F142" s="85">
        <f t="shared" si="7"/>
        <v>0</v>
      </c>
      <c r="G142" s="133">
        <f t="shared" si="8"/>
        <v>0</v>
      </c>
    </row>
    <row r="143" spans="1:7" ht="13.5" hidden="1" thickBot="1">
      <c r="A143" s="70">
        <f t="shared" si="9"/>
        <v>124</v>
      </c>
      <c r="B143" s="85">
        <f t="shared" si="10"/>
        <v>0</v>
      </c>
      <c r="C143" s="132">
        <f t="shared" si="11"/>
        <v>0</v>
      </c>
      <c r="D143" s="132">
        <f t="shared" si="12"/>
        <v>0</v>
      </c>
      <c r="E143" s="85">
        <f t="shared" si="13"/>
        <v>0</v>
      </c>
      <c r="F143" s="85">
        <f t="shared" si="7"/>
        <v>0</v>
      </c>
      <c r="G143" s="133">
        <f t="shared" si="8"/>
        <v>0</v>
      </c>
    </row>
    <row r="144" spans="1:7" ht="13.5" hidden="1" thickBot="1">
      <c r="A144" s="70">
        <f t="shared" si="9"/>
        <v>125</v>
      </c>
      <c r="B144" s="85">
        <f t="shared" si="10"/>
        <v>0</v>
      </c>
      <c r="C144" s="132">
        <f t="shared" si="11"/>
        <v>0</v>
      </c>
      <c r="D144" s="132">
        <f t="shared" si="12"/>
        <v>0</v>
      </c>
      <c r="E144" s="85">
        <f t="shared" si="13"/>
        <v>0</v>
      </c>
      <c r="F144" s="85">
        <f t="shared" si="7"/>
        <v>0</v>
      </c>
      <c r="G144" s="133">
        <f t="shared" si="8"/>
        <v>0</v>
      </c>
    </row>
    <row r="145" spans="1:7" ht="13.5" hidden="1" thickBot="1">
      <c r="A145" s="70">
        <f t="shared" si="9"/>
        <v>126</v>
      </c>
      <c r="B145" s="85">
        <f t="shared" si="10"/>
        <v>0</v>
      </c>
      <c r="C145" s="132">
        <f t="shared" si="11"/>
        <v>0</v>
      </c>
      <c r="D145" s="132">
        <f t="shared" si="12"/>
        <v>0</v>
      </c>
      <c r="E145" s="85">
        <f t="shared" si="13"/>
        <v>0</v>
      </c>
      <c r="F145" s="85">
        <f t="shared" si="7"/>
        <v>0</v>
      </c>
      <c r="G145" s="133">
        <f t="shared" si="8"/>
        <v>0</v>
      </c>
    </row>
    <row r="146" spans="1:7" ht="13.5" hidden="1" thickBot="1">
      <c r="A146" s="70">
        <f t="shared" si="9"/>
        <v>127</v>
      </c>
      <c r="B146" s="85">
        <f t="shared" si="10"/>
        <v>0</v>
      </c>
      <c r="C146" s="132">
        <f t="shared" si="11"/>
        <v>0</v>
      </c>
      <c r="D146" s="132">
        <f t="shared" si="12"/>
        <v>0</v>
      </c>
      <c r="E146" s="85">
        <f t="shared" si="13"/>
        <v>0</v>
      </c>
      <c r="F146" s="85">
        <f t="shared" si="7"/>
        <v>0</v>
      </c>
      <c r="G146" s="133">
        <f t="shared" si="8"/>
        <v>0</v>
      </c>
    </row>
    <row r="147" spans="1:7" ht="13.5" hidden="1" thickBot="1">
      <c r="A147" s="70">
        <f t="shared" si="9"/>
        <v>128</v>
      </c>
      <c r="B147" s="85">
        <f t="shared" si="10"/>
        <v>0</v>
      </c>
      <c r="C147" s="132">
        <f t="shared" si="11"/>
        <v>0</v>
      </c>
      <c r="D147" s="132">
        <f t="shared" si="12"/>
        <v>0</v>
      </c>
      <c r="E147" s="85">
        <f t="shared" si="13"/>
        <v>0</v>
      </c>
      <c r="F147" s="85">
        <f t="shared" si="7"/>
        <v>0</v>
      </c>
      <c r="G147" s="133">
        <f t="shared" si="8"/>
        <v>0</v>
      </c>
    </row>
    <row r="148" spans="1:7" ht="13.5" hidden="1" thickBot="1">
      <c r="A148" s="70">
        <f t="shared" si="9"/>
        <v>129</v>
      </c>
      <c r="B148" s="85">
        <f t="shared" si="10"/>
        <v>0</v>
      </c>
      <c r="C148" s="132">
        <f t="shared" si="11"/>
        <v>0</v>
      </c>
      <c r="D148" s="132">
        <f t="shared" si="12"/>
        <v>0</v>
      </c>
      <c r="E148" s="85">
        <f t="shared" si="13"/>
        <v>0</v>
      </c>
      <c r="F148" s="85">
        <f t="shared" ref="F148:F211" si="14">IF(A148=$D$10,$D$2,0)</f>
        <v>0</v>
      </c>
      <c r="G148" s="133">
        <f t="shared" ref="G148:G211" si="15">B148-F148</f>
        <v>0</v>
      </c>
    </row>
    <row r="149" spans="1:7" ht="13.5" hidden="1" thickBot="1">
      <c r="A149" s="70">
        <f t="shared" ref="A149:A212" si="16">A148+1</f>
        <v>130</v>
      </c>
      <c r="B149" s="85">
        <f t="shared" ref="B149:B212" si="17">B148-F148</f>
        <v>0</v>
      </c>
      <c r="C149" s="132">
        <f t="shared" ref="C149:C212" si="18">IF(D149=0,0,D149+$D$13)</f>
        <v>0</v>
      </c>
      <c r="D149" s="132">
        <f t="shared" ref="D149:D212" si="19">E149+F149</f>
        <v>0</v>
      </c>
      <c r="E149" s="85">
        <f t="shared" ref="E149:E212" si="20">IF(B149&gt;0,E148,0)</f>
        <v>0</v>
      </c>
      <c r="F149" s="85">
        <f t="shared" si="14"/>
        <v>0</v>
      </c>
      <c r="G149" s="133">
        <f t="shared" si="15"/>
        <v>0</v>
      </c>
    </row>
    <row r="150" spans="1:7" ht="13.5" hidden="1" thickBot="1">
      <c r="A150" s="70">
        <f t="shared" si="16"/>
        <v>131</v>
      </c>
      <c r="B150" s="85">
        <f t="shared" si="17"/>
        <v>0</v>
      </c>
      <c r="C150" s="132">
        <f t="shared" si="18"/>
        <v>0</v>
      </c>
      <c r="D150" s="132">
        <f t="shared" si="19"/>
        <v>0</v>
      </c>
      <c r="E150" s="85">
        <f t="shared" si="20"/>
        <v>0</v>
      </c>
      <c r="F150" s="85">
        <f t="shared" si="14"/>
        <v>0</v>
      </c>
      <c r="G150" s="133">
        <f t="shared" si="15"/>
        <v>0</v>
      </c>
    </row>
    <row r="151" spans="1:7" ht="13.5" hidden="1" thickBot="1">
      <c r="A151" s="70">
        <f t="shared" si="16"/>
        <v>132</v>
      </c>
      <c r="B151" s="85">
        <f t="shared" si="17"/>
        <v>0</v>
      </c>
      <c r="C151" s="132">
        <f t="shared" si="18"/>
        <v>0</v>
      </c>
      <c r="D151" s="132">
        <f t="shared" si="19"/>
        <v>0</v>
      </c>
      <c r="E151" s="85">
        <f t="shared" si="20"/>
        <v>0</v>
      </c>
      <c r="F151" s="85">
        <f t="shared" si="14"/>
        <v>0</v>
      </c>
      <c r="G151" s="133">
        <f t="shared" si="15"/>
        <v>0</v>
      </c>
    </row>
    <row r="152" spans="1:7" ht="13.5" hidden="1" thickBot="1">
      <c r="A152" s="70">
        <f t="shared" si="16"/>
        <v>133</v>
      </c>
      <c r="B152" s="85">
        <f t="shared" si="17"/>
        <v>0</v>
      </c>
      <c r="C152" s="132">
        <f t="shared" si="18"/>
        <v>0</v>
      </c>
      <c r="D152" s="132">
        <f t="shared" si="19"/>
        <v>0</v>
      </c>
      <c r="E152" s="85">
        <f t="shared" si="20"/>
        <v>0</v>
      </c>
      <c r="F152" s="85">
        <f t="shared" si="14"/>
        <v>0</v>
      </c>
      <c r="G152" s="133">
        <f t="shared" si="15"/>
        <v>0</v>
      </c>
    </row>
    <row r="153" spans="1:7" ht="13.5" hidden="1" thickBot="1">
      <c r="A153" s="70">
        <f t="shared" si="16"/>
        <v>134</v>
      </c>
      <c r="B153" s="85">
        <f t="shared" si="17"/>
        <v>0</v>
      </c>
      <c r="C153" s="132">
        <f t="shared" si="18"/>
        <v>0</v>
      </c>
      <c r="D153" s="132">
        <f t="shared" si="19"/>
        <v>0</v>
      </c>
      <c r="E153" s="85">
        <f t="shared" si="20"/>
        <v>0</v>
      </c>
      <c r="F153" s="85">
        <f t="shared" si="14"/>
        <v>0</v>
      </c>
      <c r="G153" s="133">
        <f t="shared" si="15"/>
        <v>0</v>
      </c>
    </row>
    <row r="154" spans="1:7" ht="13.5" hidden="1" thickBot="1">
      <c r="A154" s="70">
        <f t="shared" si="16"/>
        <v>135</v>
      </c>
      <c r="B154" s="85">
        <f t="shared" si="17"/>
        <v>0</v>
      </c>
      <c r="C154" s="132">
        <f t="shared" si="18"/>
        <v>0</v>
      </c>
      <c r="D154" s="132">
        <f t="shared" si="19"/>
        <v>0</v>
      </c>
      <c r="E154" s="85">
        <f t="shared" si="20"/>
        <v>0</v>
      </c>
      <c r="F154" s="85">
        <f t="shared" si="14"/>
        <v>0</v>
      </c>
      <c r="G154" s="133">
        <f t="shared" si="15"/>
        <v>0</v>
      </c>
    </row>
    <row r="155" spans="1:7" ht="13.5" hidden="1" thickBot="1">
      <c r="A155" s="70">
        <f t="shared" si="16"/>
        <v>136</v>
      </c>
      <c r="B155" s="85">
        <f t="shared" si="17"/>
        <v>0</v>
      </c>
      <c r="C155" s="132">
        <f t="shared" si="18"/>
        <v>0</v>
      </c>
      <c r="D155" s="132">
        <f t="shared" si="19"/>
        <v>0</v>
      </c>
      <c r="E155" s="85">
        <f t="shared" si="20"/>
        <v>0</v>
      </c>
      <c r="F155" s="85">
        <f t="shared" si="14"/>
        <v>0</v>
      </c>
      <c r="G155" s="133">
        <f t="shared" si="15"/>
        <v>0</v>
      </c>
    </row>
    <row r="156" spans="1:7" ht="13.5" hidden="1" thickBot="1">
      <c r="A156" s="70">
        <f t="shared" si="16"/>
        <v>137</v>
      </c>
      <c r="B156" s="85">
        <f t="shared" si="17"/>
        <v>0</v>
      </c>
      <c r="C156" s="132">
        <f t="shared" si="18"/>
        <v>0</v>
      </c>
      <c r="D156" s="132">
        <f t="shared" si="19"/>
        <v>0</v>
      </c>
      <c r="E156" s="85">
        <f t="shared" si="20"/>
        <v>0</v>
      </c>
      <c r="F156" s="85">
        <f t="shared" si="14"/>
        <v>0</v>
      </c>
      <c r="G156" s="133">
        <f t="shared" si="15"/>
        <v>0</v>
      </c>
    </row>
    <row r="157" spans="1:7" ht="13.5" hidden="1" thickBot="1">
      <c r="A157" s="70">
        <f t="shared" si="16"/>
        <v>138</v>
      </c>
      <c r="B157" s="85">
        <f t="shared" si="17"/>
        <v>0</v>
      </c>
      <c r="C157" s="132">
        <f t="shared" si="18"/>
        <v>0</v>
      </c>
      <c r="D157" s="132">
        <f t="shared" si="19"/>
        <v>0</v>
      </c>
      <c r="E157" s="85">
        <f t="shared" si="20"/>
        <v>0</v>
      </c>
      <c r="F157" s="85">
        <f t="shared" si="14"/>
        <v>0</v>
      </c>
      <c r="G157" s="133">
        <f t="shared" si="15"/>
        <v>0</v>
      </c>
    </row>
    <row r="158" spans="1:7" ht="13.5" hidden="1" thickBot="1">
      <c r="A158" s="70">
        <f t="shared" si="16"/>
        <v>139</v>
      </c>
      <c r="B158" s="85">
        <f t="shared" si="17"/>
        <v>0</v>
      </c>
      <c r="C158" s="132">
        <f t="shared" si="18"/>
        <v>0</v>
      </c>
      <c r="D158" s="132">
        <f t="shared" si="19"/>
        <v>0</v>
      </c>
      <c r="E158" s="85">
        <f t="shared" si="20"/>
        <v>0</v>
      </c>
      <c r="F158" s="85">
        <f t="shared" si="14"/>
        <v>0</v>
      </c>
      <c r="G158" s="133">
        <f t="shared" si="15"/>
        <v>0</v>
      </c>
    </row>
    <row r="159" spans="1:7" ht="13.5" hidden="1" thickBot="1">
      <c r="A159" s="70">
        <f t="shared" si="16"/>
        <v>140</v>
      </c>
      <c r="B159" s="85">
        <f t="shared" si="17"/>
        <v>0</v>
      </c>
      <c r="C159" s="132">
        <f t="shared" si="18"/>
        <v>0</v>
      </c>
      <c r="D159" s="132">
        <f t="shared" si="19"/>
        <v>0</v>
      </c>
      <c r="E159" s="85">
        <f t="shared" si="20"/>
        <v>0</v>
      </c>
      <c r="F159" s="85">
        <f t="shared" si="14"/>
        <v>0</v>
      </c>
      <c r="G159" s="133">
        <f t="shared" si="15"/>
        <v>0</v>
      </c>
    </row>
    <row r="160" spans="1:7" ht="13.5" hidden="1" thickBot="1">
      <c r="A160" s="70">
        <f t="shared" si="16"/>
        <v>141</v>
      </c>
      <c r="B160" s="85">
        <f t="shared" si="17"/>
        <v>0</v>
      </c>
      <c r="C160" s="132">
        <f t="shared" si="18"/>
        <v>0</v>
      </c>
      <c r="D160" s="132">
        <f t="shared" si="19"/>
        <v>0</v>
      </c>
      <c r="E160" s="85">
        <f t="shared" si="20"/>
        <v>0</v>
      </c>
      <c r="F160" s="85">
        <f t="shared" si="14"/>
        <v>0</v>
      </c>
      <c r="G160" s="133">
        <f t="shared" si="15"/>
        <v>0</v>
      </c>
    </row>
    <row r="161" spans="1:7" ht="13.5" hidden="1" thickBot="1">
      <c r="A161" s="70">
        <f t="shared" si="16"/>
        <v>142</v>
      </c>
      <c r="B161" s="85">
        <f t="shared" si="17"/>
        <v>0</v>
      </c>
      <c r="C161" s="132">
        <f t="shared" si="18"/>
        <v>0</v>
      </c>
      <c r="D161" s="132">
        <f t="shared" si="19"/>
        <v>0</v>
      </c>
      <c r="E161" s="85">
        <f t="shared" si="20"/>
        <v>0</v>
      </c>
      <c r="F161" s="85">
        <f t="shared" si="14"/>
        <v>0</v>
      </c>
      <c r="G161" s="133">
        <f t="shared" si="15"/>
        <v>0</v>
      </c>
    </row>
    <row r="162" spans="1:7" ht="13.5" hidden="1" thickBot="1">
      <c r="A162" s="70">
        <f t="shared" si="16"/>
        <v>143</v>
      </c>
      <c r="B162" s="85">
        <f t="shared" si="17"/>
        <v>0</v>
      </c>
      <c r="C162" s="132">
        <f t="shared" si="18"/>
        <v>0</v>
      </c>
      <c r="D162" s="132">
        <f t="shared" si="19"/>
        <v>0</v>
      </c>
      <c r="E162" s="85">
        <f t="shared" si="20"/>
        <v>0</v>
      </c>
      <c r="F162" s="85">
        <f t="shared" si="14"/>
        <v>0</v>
      </c>
      <c r="G162" s="133">
        <f t="shared" si="15"/>
        <v>0</v>
      </c>
    </row>
    <row r="163" spans="1:7" ht="13.5" hidden="1" thickBot="1">
      <c r="A163" s="70">
        <f t="shared" si="16"/>
        <v>144</v>
      </c>
      <c r="B163" s="85">
        <f t="shared" si="17"/>
        <v>0</v>
      </c>
      <c r="C163" s="132">
        <f t="shared" si="18"/>
        <v>0</v>
      </c>
      <c r="D163" s="132">
        <f t="shared" si="19"/>
        <v>0</v>
      </c>
      <c r="E163" s="85">
        <f t="shared" si="20"/>
        <v>0</v>
      </c>
      <c r="F163" s="85">
        <f t="shared" si="14"/>
        <v>0</v>
      </c>
      <c r="G163" s="133">
        <f t="shared" si="15"/>
        <v>0</v>
      </c>
    </row>
    <row r="164" spans="1:7" ht="13.5" hidden="1" thickBot="1">
      <c r="A164" s="70">
        <f t="shared" si="16"/>
        <v>145</v>
      </c>
      <c r="B164" s="85">
        <f t="shared" si="17"/>
        <v>0</v>
      </c>
      <c r="C164" s="132">
        <f t="shared" si="18"/>
        <v>0</v>
      </c>
      <c r="D164" s="132">
        <f t="shared" si="19"/>
        <v>0</v>
      </c>
      <c r="E164" s="85">
        <f t="shared" si="20"/>
        <v>0</v>
      </c>
      <c r="F164" s="85">
        <f t="shared" si="14"/>
        <v>0</v>
      </c>
      <c r="G164" s="133">
        <f t="shared" si="15"/>
        <v>0</v>
      </c>
    </row>
    <row r="165" spans="1:7" ht="13.5" hidden="1" thickBot="1">
      <c r="A165" s="70">
        <f t="shared" si="16"/>
        <v>146</v>
      </c>
      <c r="B165" s="85">
        <f t="shared" si="17"/>
        <v>0</v>
      </c>
      <c r="C165" s="132">
        <f t="shared" si="18"/>
        <v>0</v>
      </c>
      <c r="D165" s="132">
        <f t="shared" si="19"/>
        <v>0</v>
      </c>
      <c r="E165" s="85">
        <f t="shared" si="20"/>
        <v>0</v>
      </c>
      <c r="F165" s="85">
        <f t="shared" si="14"/>
        <v>0</v>
      </c>
      <c r="G165" s="133">
        <f t="shared" si="15"/>
        <v>0</v>
      </c>
    </row>
    <row r="166" spans="1:7" ht="13.5" hidden="1" thickBot="1">
      <c r="A166" s="70">
        <f t="shared" si="16"/>
        <v>147</v>
      </c>
      <c r="B166" s="85">
        <f t="shared" si="17"/>
        <v>0</v>
      </c>
      <c r="C166" s="132">
        <f t="shared" si="18"/>
        <v>0</v>
      </c>
      <c r="D166" s="132">
        <f t="shared" si="19"/>
        <v>0</v>
      </c>
      <c r="E166" s="85">
        <f t="shared" si="20"/>
        <v>0</v>
      </c>
      <c r="F166" s="85">
        <f t="shared" si="14"/>
        <v>0</v>
      </c>
      <c r="G166" s="133">
        <f t="shared" si="15"/>
        <v>0</v>
      </c>
    </row>
    <row r="167" spans="1:7" ht="13.5" hidden="1" thickBot="1">
      <c r="A167" s="70">
        <f t="shared" si="16"/>
        <v>148</v>
      </c>
      <c r="B167" s="85">
        <f t="shared" si="17"/>
        <v>0</v>
      </c>
      <c r="C167" s="132">
        <f t="shared" si="18"/>
        <v>0</v>
      </c>
      <c r="D167" s="132">
        <f t="shared" si="19"/>
        <v>0</v>
      </c>
      <c r="E167" s="85">
        <f t="shared" si="20"/>
        <v>0</v>
      </c>
      <c r="F167" s="85">
        <f t="shared" si="14"/>
        <v>0</v>
      </c>
      <c r="G167" s="133">
        <f t="shared" si="15"/>
        <v>0</v>
      </c>
    </row>
    <row r="168" spans="1:7" ht="13.5" hidden="1" thickBot="1">
      <c r="A168" s="70">
        <f t="shared" si="16"/>
        <v>149</v>
      </c>
      <c r="B168" s="85">
        <f t="shared" si="17"/>
        <v>0</v>
      </c>
      <c r="C168" s="132">
        <f t="shared" si="18"/>
        <v>0</v>
      </c>
      <c r="D168" s="132">
        <f t="shared" si="19"/>
        <v>0</v>
      </c>
      <c r="E168" s="85">
        <f t="shared" si="20"/>
        <v>0</v>
      </c>
      <c r="F168" s="85">
        <f t="shared" si="14"/>
        <v>0</v>
      </c>
      <c r="G168" s="133">
        <f t="shared" si="15"/>
        <v>0</v>
      </c>
    </row>
    <row r="169" spans="1:7" ht="13.5" hidden="1" thickBot="1">
      <c r="A169" s="70">
        <f t="shared" si="16"/>
        <v>150</v>
      </c>
      <c r="B169" s="85">
        <f t="shared" si="17"/>
        <v>0</v>
      </c>
      <c r="C169" s="132">
        <f t="shared" si="18"/>
        <v>0</v>
      </c>
      <c r="D169" s="132">
        <f t="shared" si="19"/>
        <v>0</v>
      </c>
      <c r="E169" s="85">
        <f t="shared" si="20"/>
        <v>0</v>
      </c>
      <c r="F169" s="85">
        <f t="shared" si="14"/>
        <v>0</v>
      </c>
      <c r="G169" s="133">
        <f t="shared" si="15"/>
        <v>0</v>
      </c>
    </row>
    <row r="170" spans="1:7" ht="13.5" hidden="1" thickBot="1">
      <c r="A170" s="70">
        <f t="shared" si="16"/>
        <v>151</v>
      </c>
      <c r="B170" s="85">
        <f t="shared" si="17"/>
        <v>0</v>
      </c>
      <c r="C170" s="132">
        <f t="shared" si="18"/>
        <v>0</v>
      </c>
      <c r="D170" s="132">
        <f t="shared" si="19"/>
        <v>0</v>
      </c>
      <c r="E170" s="85">
        <f t="shared" si="20"/>
        <v>0</v>
      </c>
      <c r="F170" s="85">
        <f t="shared" si="14"/>
        <v>0</v>
      </c>
      <c r="G170" s="133">
        <f t="shared" si="15"/>
        <v>0</v>
      </c>
    </row>
    <row r="171" spans="1:7" ht="13.5" hidden="1" thickBot="1">
      <c r="A171" s="70">
        <f t="shared" si="16"/>
        <v>152</v>
      </c>
      <c r="B171" s="85">
        <f t="shared" si="17"/>
        <v>0</v>
      </c>
      <c r="C171" s="132">
        <f t="shared" si="18"/>
        <v>0</v>
      </c>
      <c r="D171" s="132">
        <f t="shared" si="19"/>
        <v>0</v>
      </c>
      <c r="E171" s="85">
        <f t="shared" si="20"/>
        <v>0</v>
      </c>
      <c r="F171" s="85">
        <f t="shared" si="14"/>
        <v>0</v>
      </c>
      <c r="G171" s="133">
        <f t="shared" si="15"/>
        <v>0</v>
      </c>
    </row>
    <row r="172" spans="1:7" ht="13.5" hidden="1" thickBot="1">
      <c r="A172" s="70">
        <f t="shared" si="16"/>
        <v>153</v>
      </c>
      <c r="B172" s="85">
        <f t="shared" si="17"/>
        <v>0</v>
      </c>
      <c r="C172" s="132">
        <f t="shared" si="18"/>
        <v>0</v>
      </c>
      <c r="D172" s="132">
        <f t="shared" si="19"/>
        <v>0</v>
      </c>
      <c r="E172" s="85">
        <f t="shared" si="20"/>
        <v>0</v>
      </c>
      <c r="F172" s="85">
        <f t="shared" si="14"/>
        <v>0</v>
      </c>
      <c r="G172" s="133">
        <f t="shared" si="15"/>
        <v>0</v>
      </c>
    </row>
    <row r="173" spans="1:7" ht="13.5" hidden="1" thickBot="1">
      <c r="A173" s="70">
        <f t="shared" si="16"/>
        <v>154</v>
      </c>
      <c r="B173" s="85">
        <f t="shared" si="17"/>
        <v>0</v>
      </c>
      <c r="C173" s="132">
        <f t="shared" si="18"/>
        <v>0</v>
      </c>
      <c r="D173" s="132">
        <f t="shared" si="19"/>
        <v>0</v>
      </c>
      <c r="E173" s="85">
        <f t="shared" si="20"/>
        <v>0</v>
      </c>
      <c r="F173" s="85">
        <f t="shared" si="14"/>
        <v>0</v>
      </c>
      <c r="G173" s="133">
        <f t="shared" si="15"/>
        <v>0</v>
      </c>
    </row>
    <row r="174" spans="1:7" ht="13.5" hidden="1" thickBot="1">
      <c r="A174" s="70">
        <f t="shared" si="16"/>
        <v>155</v>
      </c>
      <c r="B174" s="85">
        <f t="shared" si="17"/>
        <v>0</v>
      </c>
      <c r="C174" s="132">
        <f t="shared" si="18"/>
        <v>0</v>
      </c>
      <c r="D174" s="132">
        <f t="shared" si="19"/>
        <v>0</v>
      </c>
      <c r="E174" s="85">
        <f t="shared" si="20"/>
        <v>0</v>
      </c>
      <c r="F174" s="85">
        <f t="shared" si="14"/>
        <v>0</v>
      </c>
      <c r="G174" s="133">
        <f t="shared" si="15"/>
        <v>0</v>
      </c>
    </row>
    <row r="175" spans="1:7" ht="13.5" hidden="1" thickBot="1">
      <c r="A175" s="70">
        <f t="shared" si="16"/>
        <v>156</v>
      </c>
      <c r="B175" s="85">
        <f t="shared" si="17"/>
        <v>0</v>
      </c>
      <c r="C175" s="132">
        <f t="shared" si="18"/>
        <v>0</v>
      </c>
      <c r="D175" s="132">
        <f t="shared" si="19"/>
        <v>0</v>
      </c>
      <c r="E175" s="85">
        <f t="shared" si="20"/>
        <v>0</v>
      </c>
      <c r="F175" s="85">
        <f t="shared" si="14"/>
        <v>0</v>
      </c>
      <c r="G175" s="133">
        <f t="shared" si="15"/>
        <v>0</v>
      </c>
    </row>
    <row r="176" spans="1:7" ht="13.5" hidden="1" thickBot="1">
      <c r="A176" s="70">
        <f t="shared" si="16"/>
        <v>157</v>
      </c>
      <c r="B176" s="85">
        <f t="shared" si="17"/>
        <v>0</v>
      </c>
      <c r="C176" s="132">
        <f t="shared" si="18"/>
        <v>0</v>
      </c>
      <c r="D176" s="132">
        <f t="shared" si="19"/>
        <v>0</v>
      </c>
      <c r="E176" s="85">
        <f t="shared" si="20"/>
        <v>0</v>
      </c>
      <c r="F176" s="85">
        <f t="shared" si="14"/>
        <v>0</v>
      </c>
      <c r="G176" s="133">
        <f t="shared" si="15"/>
        <v>0</v>
      </c>
    </row>
    <row r="177" spans="1:7" ht="13.5" hidden="1" thickBot="1">
      <c r="A177" s="70">
        <f t="shared" si="16"/>
        <v>158</v>
      </c>
      <c r="B177" s="85">
        <f t="shared" si="17"/>
        <v>0</v>
      </c>
      <c r="C177" s="132">
        <f t="shared" si="18"/>
        <v>0</v>
      </c>
      <c r="D177" s="132">
        <f t="shared" si="19"/>
        <v>0</v>
      </c>
      <c r="E177" s="85">
        <f t="shared" si="20"/>
        <v>0</v>
      </c>
      <c r="F177" s="85">
        <f t="shared" si="14"/>
        <v>0</v>
      </c>
      <c r="G177" s="133">
        <f t="shared" si="15"/>
        <v>0</v>
      </c>
    </row>
    <row r="178" spans="1:7" ht="13.5" hidden="1" thickBot="1">
      <c r="A178" s="70">
        <f t="shared" si="16"/>
        <v>159</v>
      </c>
      <c r="B178" s="85">
        <f t="shared" si="17"/>
        <v>0</v>
      </c>
      <c r="C178" s="132">
        <f t="shared" si="18"/>
        <v>0</v>
      </c>
      <c r="D178" s="132">
        <f t="shared" si="19"/>
        <v>0</v>
      </c>
      <c r="E178" s="85">
        <f t="shared" si="20"/>
        <v>0</v>
      </c>
      <c r="F178" s="85">
        <f t="shared" si="14"/>
        <v>0</v>
      </c>
      <c r="G178" s="133">
        <f t="shared" si="15"/>
        <v>0</v>
      </c>
    </row>
    <row r="179" spans="1:7" ht="13.5" hidden="1" thickBot="1">
      <c r="A179" s="70">
        <f t="shared" si="16"/>
        <v>160</v>
      </c>
      <c r="B179" s="85">
        <f t="shared" si="17"/>
        <v>0</v>
      </c>
      <c r="C179" s="132">
        <f t="shared" si="18"/>
        <v>0</v>
      </c>
      <c r="D179" s="132">
        <f t="shared" si="19"/>
        <v>0</v>
      </c>
      <c r="E179" s="85">
        <f t="shared" si="20"/>
        <v>0</v>
      </c>
      <c r="F179" s="85">
        <f t="shared" si="14"/>
        <v>0</v>
      </c>
      <c r="G179" s="133">
        <f t="shared" si="15"/>
        <v>0</v>
      </c>
    </row>
    <row r="180" spans="1:7" ht="13.5" hidden="1" thickBot="1">
      <c r="A180" s="70">
        <f t="shared" si="16"/>
        <v>161</v>
      </c>
      <c r="B180" s="85">
        <f t="shared" si="17"/>
        <v>0</v>
      </c>
      <c r="C180" s="132">
        <f t="shared" si="18"/>
        <v>0</v>
      </c>
      <c r="D180" s="132">
        <f t="shared" si="19"/>
        <v>0</v>
      </c>
      <c r="E180" s="85">
        <f t="shared" si="20"/>
        <v>0</v>
      </c>
      <c r="F180" s="85">
        <f t="shared" si="14"/>
        <v>0</v>
      </c>
      <c r="G180" s="133">
        <f t="shared" si="15"/>
        <v>0</v>
      </c>
    </row>
    <row r="181" spans="1:7" ht="13.5" hidden="1" thickBot="1">
      <c r="A181" s="70">
        <f t="shared" si="16"/>
        <v>162</v>
      </c>
      <c r="B181" s="85">
        <f t="shared" si="17"/>
        <v>0</v>
      </c>
      <c r="C181" s="132">
        <f t="shared" si="18"/>
        <v>0</v>
      </c>
      <c r="D181" s="132">
        <f t="shared" si="19"/>
        <v>0</v>
      </c>
      <c r="E181" s="85">
        <f t="shared" si="20"/>
        <v>0</v>
      </c>
      <c r="F181" s="85">
        <f t="shared" si="14"/>
        <v>0</v>
      </c>
      <c r="G181" s="133">
        <f t="shared" si="15"/>
        <v>0</v>
      </c>
    </row>
    <row r="182" spans="1:7" ht="13.5" hidden="1" thickBot="1">
      <c r="A182" s="70">
        <f t="shared" si="16"/>
        <v>163</v>
      </c>
      <c r="B182" s="85">
        <f t="shared" si="17"/>
        <v>0</v>
      </c>
      <c r="C182" s="132">
        <f t="shared" si="18"/>
        <v>0</v>
      </c>
      <c r="D182" s="132">
        <f t="shared" si="19"/>
        <v>0</v>
      </c>
      <c r="E182" s="85">
        <f t="shared" si="20"/>
        <v>0</v>
      </c>
      <c r="F182" s="85">
        <f t="shared" si="14"/>
        <v>0</v>
      </c>
      <c r="G182" s="133">
        <f t="shared" si="15"/>
        <v>0</v>
      </c>
    </row>
    <row r="183" spans="1:7" ht="13.5" hidden="1" thickBot="1">
      <c r="A183" s="70">
        <f t="shared" si="16"/>
        <v>164</v>
      </c>
      <c r="B183" s="85">
        <f t="shared" si="17"/>
        <v>0</v>
      </c>
      <c r="C183" s="132">
        <f t="shared" si="18"/>
        <v>0</v>
      </c>
      <c r="D183" s="132">
        <f t="shared" si="19"/>
        <v>0</v>
      </c>
      <c r="E183" s="85">
        <f t="shared" si="20"/>
        <v>0</v>
      </c>
      <c r="F183" s="85">
        <f t="shared" si="14"/>
        <v>0</v>
      </c>
      <c r="G183" s="133">
        <f t="shared" si="15"/>
        <v>0</v>
      </c>
    </row>
    <row r="184" spans="1:7" ht="13.5" hidden="1" thickBot="1">
      <c r="A184" s="70">
        <f t="shared" si="16"/>
        <v>165</v>
      </c>
      <c r="B184" s="85">
        <f t="shared" si="17"/>
        <v>0</v>
      </c>
      <c r="C184" s="132">
        <f t="shared" si="18"/>
        <v>0</v>
      </c>
      <c r="D184" s="132">
        <f t="shared" si="19"/>
        <v>0</v>
      </c>
      <c r="E184" s="85">
        <f t="shared" si="20"/>
        <v>0</v>
      </c>
      <c r="F184" s="85">
        <f t="shared" si="14"/>
        <v>0</v>
      </c>
      <c r="G184" s="133">
        <f t="shared" si="15"/>
        <v>0</v>
      </c>
    </row>
    <row r="185" spans="1:7" ht="13.5" hidden="1" thickBot="1">
      <c r="A185" s="70">
        <f t="shared" si="16"/>
        <v>166</v>
      </c>
      <c r="B185" s="85">
        <f t="shared" si="17"/>
        <v>0</v>
      </c>
      <c r="C185" s="132">
        <f t="shared" si="18"/>
        <v>0</v>
      </c>
      <c r="D185" s="132">
        <f t="shared" si="19"/>
        <v>0</v>
      </c>
      <c r="E185" s="85">
        <f t="shared" si="20"/>
        <v>0</v>
      </c>
      <c r="F185" s="85">
        <f t="shared" si="14"/>
        <v>0</v>
      </c>
      <c r="G185" s="133">
        <f t="shared" si="15"/>
        <v>0</v>
      </c>
    </row>
    <row r="186" spans="1:7" ht="13.5" hidden="1" thickBot="1">
      <c r="A186" s="70">
        <f t="shared" si="16"/>
        <v>167</v>
      </c>
      <c r="B186" s="85">
        <f t="shared" si="17"/>
        <v>0</v>
      </c>
      <c r="C186" s="132">
        <f t="shared" si="18"/>
        <v>0</v>
      </c>
      <c r="D186" s="132">
        <f t="shared" si="19"/>
        <v>0</v>
      </c>
      <c r="E186" s="85">
        <f t="shared" si="20"/>
        <v>0</v>
      </c>
      <c r="F186" s="85">
        <f t="shared" si="14"/>
        <v>0</v>
      </c>
      <c r="G186" s="133">
        <f t="shared" si="15"/>
        <v>0</v>
      </c>
    </row>
    <row r="187" spans="1:7" ht="13.5" hidden="1" thickBot="1">
      <c r="A187" s="70">
        <f t="shared" si="16"/>
        <v>168</v>
      </c>
      <c r="B187" s="85">
        <f t="shared" si="17"/>
        <v>0</v>
      </c>
      <c r="C187" s="132">
        <f t="shared" si="18"/>
        <v>0</v>
      </c>
      <c r="D187" s="132">
        <f t="shared" si="19"/>
        <v>0</v>
      </c>
      <c r="E187" s="85">
        <f t="shared" si="20"/>
        <v>0</v>
      </c>
      <c r="F187" s="85">
        <f t="shared" si="14"/>
        <v>0</v>
      </c>
      <c r="G187" s="133">
        <f t="shared" si="15"/>
        <v>0</v>
      </c>
    </row>
    <row r="188" spans="1:7" ht="13.5" hidden="1" thickBot="1">
      <c r="A188" s="70">
        <f t="shared" si="16"/>
        <v>169</v>
      </c>
      <c r="B188" s="85">
        <f t="shared" si="17"/>
        <v>0</v>
      </c>
      <c r="C188" s="132">
        <f t="shared" si="18"/>
        <v>0</v>
      </c>
      <c r="D188" s="132">
        <f t="shared" si="19"/>
        <v>0</v>
      </c>
      <c r="E188" s="85">
        <f t="shared" si="20"/>
        <v>0</v>
      </c>
      <c r="F188" s="85">
        <f t="shared" si="14"/>
        <v>0</v>
      </c>
      <c r="G188" s="133">
        <f t="shared" si="15"/>
        <v>0</v>
      </c>
    </row>
    <row r="189" spans="1:7" ht="13.5" hidden="1" thickBot="1">
      <c r="A189" s="70">
        <f t="shared" si="16"/>
        <v>170</v>
      </c>
      <c r="B189" s="85">
        <f t="shared" si="17"/>
        <v>0</v>
      </c>
      <c r="C189" s="132">
        <f t="shared" si="18"/>
        <v>0</v>
      </c>
      <c r="D189" s="132">
        <f t="shared" si="19"/>
        <v>0</v>
      </c>
      <c r="E189" s="85">
        <f t="shared" si="20"/>
        <v>0</v>
      </c>
      <c r="F189" s="85">
        <f t="shared" si="14"/>
        <v>0</v>
      </c>
      <c r="G189" s="133">
        <f t="shared" si="15"/>
        <v>0</v>
      </c>
    </row>
    <row r="190" spans="1:7" ht="13.5" hidden="1" thickBot="1">
      <c r="A190" s="70">
        <f t="shared" si="16"/>
        <v>171</v>
      </c>
      <c r="B190" s="85">
        <f t="shared" si="17"/>
        <v>0</v>
      </c>
      <c r="C190" s="132">
        <f t="shared" si="18"/>
        <v>0</v>
      </c>
      <c r="D190" s="132">
        <f t="shared" si="19"/>
        <v>0</v>
      </c>
      <c r="E190" s="85">
        <f t="shared" si="20"/>
        <v>0</v>
      </c>
      <c r="F190" s="85">
        <f t="shared" si="14"/>
        <v>0</v>
      </c>
      <c r="G190" s="133">
        <f t="shared" si="15"/>
        <v>0</v>
      </c>
    </row>
    <row r="191" spans="1:7" ht="13.5" hidden="1" thickBot="1">
      <c r="A191" s="70">
        <f t="shared" si="16"/>
        <v>172</v>
      </c>
      <c r="B191" s="85">
        <f t="shared" si="17"/>
        <v>0</v>
      </c>
      <c r="C191" s="132">
        <f t="shared" si="18"/>
        <v>0</v>
      </c>
      <c r="D191" s="132">
        <f t="shared" si="19"/>
        <v>0</v>
      </c>
      <c r="E191" s="85">
        <f t="shared" si="20"/>
        <v>0</v>
      </c>
      <c r="F191" s="85">
        <f t="shared" si="14"/>
        <v>0</v>
      </c>
      <c r="G191" s="133">
        <f t="shared" si="15"/>
        <v>0</v>
      </c>
    </row>
    <row r="192" spans="1:7" ht="13.5" hidden="1" thickBot="1">
      <c r="A192" s="70">
        <f t="shared" si="16"/>
        <v>173</v>
      </c>
      <c r="B192" s="85">
        <f t="shared" si="17"/>
        <v>0</v>
      </c>
      <c r="C192" s="132">
        <f t="shared" si="18"/>
        <v>0</v>
      </c>
      <c r="D192" s="132">
        <f t="shared" si="19"/>
        <v>0</v>
      </c>
      <c r="E192" s="85">
        <f t="shared" si="20"/>
        <v>0</v>
      </c>
      <c r="F192" s="85">
        <f t="shared" si="14"/>
        <v>0</v>
      </c>
      <c r="G192" s="133">
        <f t="shared" si="15"/>
        <v>0</v>
      </c>
    </row>
    <row r="193" spans="1:7" ht="13.5" hidden="1" thickBot="1">
      <c r="A193" s="70">
        <f t="shared" si="16"/>
        <v>174</v>
      </c>
      <c r="B193" s="85">
        <f t="shared" si="17"/>
        <v>0</v>
      </c>
      <c r="C193" s="132">
        <f t="shared" si="18"/>
        <v>0</v>
      </c>
      <c r="D193" s="132">
        <f t="shared" si="19"/>
        <v>0</v>
      </c>
      <c r="E193" s="85">
        <f t="shared" si="20"/>
        <v>0</v>
      </c>
      <c r="F193" s="85">
        <f t="shared" si="14"/>
        <v>0</v>
      </c>
      <c r="G193" s="133">
        <f t="shared" si="15"/>
        <v>0</v>
      </c>
    </row>
    <row r="194" spans="1:7" ht="13.5" hidden="1" thickBot="1">
      <c r="A194" s="70">
        <f t="shared" si="16"/>
        <v>175</v>
      </c>
      <c r="B194" s="85">
        <f t="shared" si="17"/>
        <v>0</v>
      </c>
      <c r="C194" s="132">
        <f t="shared" si="18"/>
        <v>0</v>
      </c>
      <c r="D194" s="132">
        <f t="shared" si="19"/>
        <v>0</v>
      </c>
      <c r="E194" s="85">
        <f t="shared" si="20"/>
        <v>0</v>
      </c>
      <c r="F194" s="85">
        <f t="shared" si="14"/>
        <v>0</v>
      </c>
      <c r="G194" s="133">
        <f t="shared" si="15"/>
        <v>0</v>
      </c>
    </row>
    <row r="195" spans="1:7" ht="13.5" hidden="1" thickBot="1">
      <c r="A195" s="70">
        <f t="shared" si="16"/>
        <v>176</v>
      </c>
      <c r="B195" s="85">
        <f t="shared" si="17"/>
        <v>0</v>
      </c>
      <c r="C195" s="132">
        <f t="shared" si="18"/>
        <v>0</v>
      </c>
      <c r="D195" s="132">
        <f t="shared" si="19"/>
        <v>0</v>
      </c>
      <c r="E195" s="85">
        <f t="shared" si="20"/>
        <v>0</v>
      </c>
      <c r="F195" s="85">
        <f t="shared" si="14"/>
        <v>0</v>
      </c>
      <c r="G195" s="133">
        <f t="shared" si="15"/>
        <v>0</v>
      </c>
    </row>
    <row r="196" spans="1:7" ht="13.5" hidden="1" thickBot="1">
      <c r="A196" s="70">
        <f t="shared" si="16"/>
        <v>177</v>
      </c>
      <c r="B196" s="85">
        <f t="shared" si="17"/>
        <v>0</v>
      </c>
      <c r="C196" s="132">
        <f t="shared" si="18"/>
        <v>0</v>
      </c>
      <c r="D196" s="132">
        <f t="shared" si="19"/>
        <v>0</v>
      </c>
      <c r="E196" s="85">
        <f t="shared" si="20"/>
        <v>0</v>
      </c>
      <c r="F196" s="85">
        <f t="shared" si="14"/>
        <v>0</v>
      </c>
      <c r="G196" s="133">
        <f t="shared" si="15"/>
        <v>0</v>
      </c>
    </row>
    <row r="197" spans="1:7" ht="13.5" hidden="1" thickBot="1">
      <c r="A197" s="70">
        <f t="shared" si="16"/>
        <v>178</v>
      </c>
      <c r="B197" s="85">
        <f t="shared" si="17"/>
        <v>0</v>
      </c>
      <c r="C197" s="132">
        <f t="shared" si="18"/>
        <v>0</v>
      </c>
      <c r="D197" s="132">
        <f t="shared" si="19"/>
        <v>0</v>
      </c>
      <c r="E197" s="85">
        <f t="shared" si="20"/>
        <v>0</v>
      </c>
      <c r="F197" s="85">
        <f t="shared" si="14"/>
        <v>0</v>
      </c>
      <c r="G197" s="133">
        <f t="shared" si="15"/>
        <v>0</v>
      </c>
    </row>
    <row r="198" spans="1:7" ht="13.5" hidden="1" thickBot="1">
      <c r="A198" s="70">
        <f t="shared" si="16"/>
        <v>179</v>
      </c>
      <c r="B198" s="85">
        <f t="shared" si="17"/>
        <v>0</v>
      </c>
      <c r="C198" s="132">
        <f t="shared" si="18"/>
        <v>0</v>
      </c>
      <c r="D198" s="132">
        <f t="shared" si="19"/>
        <v>0</v>
      </c>
      <c r="E198" s="85">
        <f t="shared" si="20"/>
        <v>0</v>
      </c>
      <c r="F198" s="85">
        <f t="shared" si="14"/>
        <v>0</v>
      </c>
      <c r="G198" s="133">
        <f t="shared" si="15"/>
        <v>0</v>
      </c>
    </row>
    <row r="199" spans="1:7" ht="13.5" hidden="1" thickBot="1">
      <c r="A199" s="70">
        <f t="shared" si="16"/>
        <v>180</v>
      </c>
      <c r="B199" s="85">
        <f t="shared" si="17"/>
        <v>0</v>
      </c>
      <c r="C199" s="132">
        <f t="shared" si="18"/>
        <v>0</v>
      </c>
      <c r="D199" s="132">
        <f t="shared" si="19"/>
        <v>0</v>
      </c>
      <c r="E199" s="85">
        <f t="shared" si="20"/>
        <v>0</v>
      </c>
      <c r="F199" s="85">
        <f t="shared" si="14"/>
        <v>0</v>
      </c>
      <c r="G199" s="133">
        <f t="shared" si="15"/>
        <v>0</v>
      </c>
    </row>
    <row r="200" spans="1:7" ht="13.5" hidden="1" thickBot="1">
      <c r="A200" s="70">
        <f t="shared" si="16"/>
        <v>181</v>
      </c>
      <c r="B200" s="85">
        <f t="shared" si="17"/>
        <v>0</v>
      </c>
      <c r="C200" s="132">
        <f t="shared" si="18"/>
        <v>0</v>
      </c>
      <c r="D200" s="132">
        <f t="shared" si="19"/>
        <v>0</v>
      </c>
      <c r="E200" s="85">
        <f t="shared" si="20"/>
        <v>0</v>
      </c>
      <c r="F200" s="85">
        <f t="shared" si="14"/>
        <v>0</v>
      </c>
      <c r="G200" s="133">
        <f t="shared" si="15"/>
        <v>0</v>
      </c>
    </row>
    <row r="201" spans="1:7" ht="13.5" hidden="1" thickBot="1">
      <c r="A201" s="70">
        <f t="shared" si="16"/>
        <v>182</v>
      </c>
      <c r="B201" s="85">
        <f t="shared" si="17"/>
        <v>0</v>
      </c>
      <c r="C201" s="132">
        <f t="shared" si="18"/>
        <v>0</v>
      </c>
      <c r="D201" s="132">
        <f t="shared" si="19"/>
        <v>0</v>
      </c>
      <c r="E201" s="85">
        <f t="shared" si="20"/>
        <v>0</v>
      </c>
      <c r="F201" s="85">
        <f t="shared" si="14"/>
        <v>0</v>
      </c>
      <c r="G201" s="133">
        <f t="shared" si="15"/>
        <v>0</v>
      </c>
    </row>
    <row r="202" spans="1:7" ht="13.5" hidden="1" thickBot="1">
      <c r="A202" s="70">
        <f t="shared" si="16"/>
        <v>183</v>
      </c>
      <c r="B202" s="85">
        <f t="shared" si="17"/>
        <v>0</v>
      </c>
      <c r="C202" s="132">
        <f t="shared" si="18"/>
        <v>0</v>
      </c>
      <c r="D202" s="132">
        <f t="shared" si="19"/>
        <v>0</v>
      </c>
      <c r="E202" s="85">
        <f t="shared" si="20"/>
        <v>0</v>
      </c>
      <c r="F202" s="85">
        <f t="shared" si="14"/>
        <v>0</v>
      </c>
      <c r="G202" s="133">
        <f t="shared" si="15"/>
        <v>0</v>
      </c>
    </row>
    <row r="203" spans="1:7" ht="13.5" hidden="1" thickBot="1">
      <c r="A203" s="70">
        <f t="shared" si="16"/>
        <v>184</v>
      </c>
      <c r="B203" s="85">
        <f t="shared" si="17"/>
        <v>0</v>
      </c>
      <c r="C203" s="132">
        <f t="shared" si="18"/>
        <v>0</v>
      </c>
      <c r="D203" s="132">
        <f t="shared" si="19"/>
        <v>0</v>
      </c>
      <c r="E203" s="85">
        <f t="shared" si="20"/>
        <v>0</v>
      </c>
      <c r="F203" s="85">
        <f t="shared" si="14"/>
        <v>0</v>
      </c>
      <c r="G203" s="133">
        <f t="shared" si="15"/>
        <v>0</v>
      </c>
    </row>
    <row r="204" spans="1:7" ht="13.5" hidden="1" thickBot="1">
      <c r="A204" s="70">
        <f t="shared" si="16"/>
        <v>185</v>
      </c>
      <c r="B204" s="85">
        <f t="shared" si="17"/>
        <v>0</v>
      </c>
      <c r="C204" s="132">
        <f t="shared" si="18"/>
        <v>0</v>
      </c>
      <c r="D204" s="132">
        <f t="shared" si="19"/>
        <v>0</v>
      </c>
      <c r="E204" s="85">
        <f t="shared" si="20"/>
        <v>0</v>
      </c>
      <c r="F204" s="85">
        <f t="shared" si="14"/>
        <v>0</v>
      </c>
      <c r="G204" s="133">
        <f t="shared" si="15"/>
        <v>0</v>
      </c>
    </row>
    <row r="205" spans="1:7" ht="13.5" hidden="1" thickBot="1">
      <c r="A205" s="70">
        <f t="shared" si="16"/>
        <v>186</v>
      </c>
      <c r="B205" s="85">
        <f t="shared" si="17"/>
        <v>0</v>
      </c>
      <c r="C205" s="132">
        <f t="shared" si="18"/>
        <v>0</v>
      </c>
      <c r="D205" s="132">
        <f t="shared" si="19"/>
        <v>0</v>
      </c>
      <c r="E205" s="85">
        <f t="shared" si="20"/>
        <v>0</v>
      </c>
      <c r="F205" s="85">
        <f t="shared" si="14"/>
        <v>0</v>
      </c>
      <c r="G205" s="133">
        <f t="shared" si="15"/>
        <v>0</v>
      </c>
    </row>
    <row r="206" spans="1:7" ht="13.5" hidden="1" thickBot="1">
      <c r="A206" s="70">
        <f t="shared" si="16"/>
        <v>187</v>
      </c>
      <c r="B206" s="85">
        <f t="shared" si="17"/>
        <v>0</v>
      </c>
      <c r="C206" s="132">
        <f t="shared" si="18"/>
        <v>0</v>
      </c>
      <c r="D206" s="132">
        <f t="shared" si="19"/>
        <v>0</v>
      </c>
      <c r="E206" s="85">
        <f t="shared" si="20"/>
        <v>0</v>
      </c>
      <c r="F206" s="85">
        <f t="shared" si="14"/>
        <v>0</v>
      </c>
      <c r="G206" s="133">
        <f t="shared" si="15"/>
        <v>0</v>
      </c>
    </row>
    <row r="207" spans="1:7" ht="13.5" hidden="1" thickBot="1">
      <c r="A207" s="70">
        <f t="shared" si="16"/>
        <v>188</v>
      </c>
      <c r="B207" s="85">
        <f t="shared" si="17"/>
        <v>0</v>
      </c>
      <c r="C207" s="132">
        <f t="shared" si="18"/>
        <v>0</v>
      </c>
      <c r="D207" s="132">
        <f t="shared" si="19"/>
        <v>0</v>
      </c>
      <c r="E207" s="85">
        <f t="shared" si="20"/>
        <v>0</v>
      </c>
      <c r="F207" s="85">
        <f t="shared" si="14"/>
        <v>0</v>
      </c>
      <c r="G207" s="133">
        <f t="shared" si="15"/>
        <v>0</v>
      </c>
    </row>
    <row r="208" spans="1:7" ht="13.5" hidden="1" thickBot="1">
      <c r="A208" s="70">
        <f t="shared" si="16"/>
        <v>189</v>
      </c>
      <c r="B208" s="85">
        <f t="shared" si="17"/>
        <v>0</v>
      </c>
      <c r="C208" s="132">
        <f t="shared" si="18"/>
        <v>0</v>
      </c>
      <c r="D208" s="132">
        <f t="shared" si="19"/>
        <v>0</v>
      </c>
      <c r="E208" s="85">
        <f t="shared" si="20"/>
        <v>0</v>
      </c>
      <c r="F208" s="85">
        <f t="shared" si="14"/>
        <v>0</v>
      </c>
      <c r="G208" s="133">
        <f t="shared" si="15"/>
        <v>0</v>
      </c>
    </row>
    <row r="209" spans="1:7" ht="13.5" hidden="1" thickBot="1">
      <c r="A209" s="70">
        <f t="shared" si="16"/>
        <v>190</v>
      </c>
      <c r="B209" s="85">
        <f t="shared" si="17"/>
        <v>0</v>
      </c>
      <c r="C209" s="132">
        <f t="shared" si="18"/>
        <v>0</v>
      </c>
      <c r="D209" s="132">
        <f t="shared" si="19"/>
        <v>0</v>
      </c>
      <c r="E209" s="85">
        <f t="shared" si="20"/>
        <v>0</v>
      </c>
      <c r="F209" s="85">
        <f t="shared" si="14"/>
        <v>0</v>
      </c>
      <c r="G209" s="133">
        <f t="shared" si="15"/>
        <v>0</v>
      </c>
    </row>
    <row r="210" spans="1:7" ht="13.5" hidden="1" thickBot="1">
      <c r="A210" s="70">
        <f t="shared" si="16"/>
        <v>191</v>
      </c>
      <c r="B210" s="85">
        <f t="shared" si="17"/>
        <v>0</v>
      </c>
      <c r="C210" s="132">
        <f t="shared" si="18"/>
        <v>0</v>
      </c>
      <c r="D210" s="132">
        <f t="shared" si="19"/>
        <v>0</v>
      </c>
      <c r="E210" s="85">
        <f t="shared" si="20"/>
        <v>0</v>
      </c>
      <c r="F210" s="85">
        <f t="shared" si="14"/>
        <v>0</v>
      </c>
      <c r="G210" s="133">
        <f t="shared" si="15"/>
        <v>0</v>
      </c>
    </row>
    <row r="211" spans="1:7" ht="13.5" hidden="1" thickBot="1">
      <c r="A211" s="70">
        <f t="shared" si="16"/>
        <v>192</v>
      </c>
      <c r="B211" s="85">
        <f t="shared" si="17"/>
        <v>0</v>
      </c>
      <c r="C211" s="132">
        <f t="shared" si="18"/>
        <v>0</v>
      </c>
      <c r="D211" s="132">
        <f t="shared" si="19"/>
        <v>0</v>
      </c>
      <c r="E211" s="85">
        <f t="shared" si="20"/>
        <v>0</v>
      </c>
      <c r="F211" s="85">
        <f t="shared" si="14"/>
        <v>0</v>
      </c>
      <c r="G211" s="133">
        <f t="shared" si="15"/>
        <v>0</v>
      </c>
    </row>
    <row r="212" spans="1:7" ht="13.5" hidden="1" thickBot="1">
      <c r="A212" s="70">
        <f t="shared" si="16"/>
        <v>193</v>
      </c>
      <c r="B212" s="85">
        <f t="shared" si="17"/>
        <v>0</v>
      </c>
      <c r="C212" s="132">
        <f t="shared" si="18"/>
        <v>0</v>
      </c>
      <c r="D212" s="132">
        <f t="shared" si="19"/>
        <v>0</v>
      </c>
      <c r="E212" s="85">
        <f t="shared" si="20"/>
        <v>0</v>
      </c>
      <c r="F212" s="85">
        <f t="shared" ref="F212:F275" si="21">IF(A212=$D$10,$D$2,0)</f>
        <v>0</v>
      </c>
      <c r="G212" s="133">
        <f t="shared" ref="G212:G275" si="22">B212-F212</f>
        <v>0</v>
      </c>
    </row>
    <row r="213" spans="1:7" ht="13.5" hidden="1" thickBot="1">
      <c r="A213" s="70">
        <f t="shared" ref="A213:A276" si="23">A212+1</f>
        <v>194</v>
      </c>
      <c r="B213" s="85">
        <f t="shared" ref="B213:B276" si="24">B212-F212</f>
        <v>0</v>
      </c>
      <c r="C213" s="132">
        <f t="shared" ref="C213:C276" si="25">IF(D213=0,0,D213+$D$13)</f>
        <v>0</v>
      </c>
      <c r="D213" s="132">
        <f t="shared" ref="D213:D276" si="26">E213+F213</f>
        <v>0</v>
      </c>
      <c r="E213" s="85">
        <f t="shared" ref="E213:E276" si="27">IF(B213&gt;0,E212,0)</f>
        <v>0</v>
      </c>
      <c r="F213" s="85">
        <f t="shared" si="21"/>
        <v>0</v>
      </c>
      <c r="G213" s="133">
        <f t="shared" si="22"/>
        <v>0</v>
      </c>
    </row>
    <row r="214" spans="1:7" ht="13.5" hidden="1" thickBot="1">
      <c r="A214" s="70">
        <f t="shared" si="23"/>
        <v>195</v>
      </c>
      <c r="B214" s="85">
        <f t="shared" si="24"/>
        <v>0</v>
      </c>
      <c r="C214" s="132">
        <f t="shared" si="25"/>
        <v>0</v>
      </c>
      <c r="D214" s="132">
        <f t="shared" si="26"/>
        <v>0</v>
      </c>
      <c r="E214" s="85">
        <f t="shared" si="27"/>
        <v>0</v>
      </c>
      <c r="F214" s="85">
        <f t="shared" si="21"/>
        <v>0</v>
      </c>
      <c r="G214" s="133">
        <f t="shared" si="22"/>
        <v>0</v>
      </c>
    </row>
    <row r="215" spans="1:7" ht="13.5" hidden="1" thickBot="1">
      <c r="A215" s="70">
        <f t="shared" si="23"/>
        <v>196</v>
      </c>
      <c r="B215" s="85">
        <f t="shared" si="24"/>
        <v>0</v>
      </c>
      <c r="C215" s="132">
        <f t="shared" si="25"/>
        <v>0</v>
      </c>
      <c r="D215" s="132">
        <f t="shared" si="26"/>
        <v>0</v>
      </c>
      <c r="E215" s="85">
        <f t="shared" si="27"/>
        <v>0</v>
      </c>
      <c r="F215" s="85">
        <f t="shared" si="21"/>
        <v>0</v>
      </c>
      <c r="G215" s="133">
        <f t="shared" si="22"/>
        <v>0</v>
      </c>
    </row>
    <row r="216" spans="1:7" ht="13.5" hidden="1" thickBot="1">
      <c r="A216" s="70">
        <f t="shared" si="23"/>
        <v>197</v>
      </c>
      <c r="B216" s="85">
        <f t="shared" si="24"/>
        <v>0</v>
      </c>
      <c r="C216" s="132">
        <f t="shared" si="25"/>
        <v>0</v>
      </c>
      <c r="D216" s="132">
        <f t="shared" si="26"/>
        <v>0</v>
      </c>
      <c r="E216" s="85">
        <f t="shared" si="27"/>
        <v>0</v>
      </c>
      <c r="F216" s="85">
        <f t="shared" si="21"/>
        <v>0</v>
      </c>
      <c r="G216" s="133">
        <f t="shared" si="22"/>
        <v>0</v>
      </c>
    </row>
    <row r="217" spans="1:7" ht="13.5" hidden="1" thickBot="1">
      <c r="A217" s="70">
        <f t="shared" si="23"/>
        <v>198</v>
      </c>
      <c r="B217" s="85">
        <f t="shared" si="24"/>
        <v>0</v>
      </c>
      <c r="C217" s="132">
        <f t="shared" si="25"/>
        <v>0</v>
      </c>
      <c r="D217" s="132">
        <f t="shared" si="26"/>
        <v>0</v>
      </c>
      <c r="E217" s="85">
        <f t="shared" si="27"/>
        <v>0</v>
      </c>
      <c r="F217" s="85">
        <f t="shared" si="21"/>
        <v>0</v>
      </c>
      <c r="G217" s="133">
        <f t="shared" si="22"/>
        <v>0</v>
      </c>
    </row>
    <row r="218" spans="1:7" ht="13.5" hidden="1" thickBot="1">
      <c r="A218" s="70">
        <f t="shared" si="23"/>
        <v>199</v>
      </c>
      <c r="B218" s="85">
        <f t="shared" si="24"/>
        <v>0</v>
      </c>
      <c r="C218" s="132">
        <f t="shared" si="25"/>
        <v>0</v>
      </c>
      <c r="D218" s="132">
        <f t="shared" si="26"/>
        <v>0</v>
      </c>
      <c r="E218" s="85">
        <f t="shared" si="27"/>
        <v>0</v>
      </c>
      <c r="F218" s="85">
        <f t="shared" si="21"/>
        <v>0</v>
      </c>
      <c r="G218" s="133">
        <f t="shared" si="22"/>
        <v>0</v>
      </c>
    </row>
    <row r="219" spans="1:7" ht="13.5" hidden="1" thickBot="1">
      <c r="A219" s="70">
        <f t="shared" si="23"/>
        <v>200</v>
      </c>
      <c r="B219" s="85">
        <f t="shared" si="24"/>
        <v>0</v>
      </c>
      <c r="C219" s="132">
        <f t="shared" si="25"/>
        <v>0</v>
      </c>
      <c r="D219" s="132">
        <f t="shared" si="26"/>
        <v>0</v>
      </c>
      <c r="E219" s="85">
        <f t="shared" si="27"/>
        <v>0</v>
      </c>
      <c r="F219" s="85">
        <f t="shared" si="21"/>
        <v>0</v>
      </c>
      <c r="G219" s="133">
        <f t="shared" si="22"/>
        <v>0</v>
      </c>
    </row>
    <row r="220" spans="1:7" ht="13.5" hidden="1" thickBot="1">
      <c r="A220" s="70">
        <f t="shared" si="23"/>
        <v>201</v>
      </c>
      <c r="B220" s="85">
        <f t="shared" si="24"/>
        <v>0</v>
      </c>
      <c r="C220" s="132">
        <f t="shared" si="25"/>
        <v>0</v>
      </c>
      <c r="D220" s="132">
        <f t="shared" si="26"/>
        <v>0</v>
      </c>
      <c r="E220" s="85">
        <f t="shared" si="27"/>
        <v>0</v>
      </c>
      <c r="F220" s="85">
        <f t="shared" si="21"/>
        <v>0</v>
      </c>
      <c r="G220" s="133">
        <f t="shared" si="22"/>
        <v>0</v>
      </c>
    </row>
    <row r="221" spans="1:7" ht="13.5" hidden="1" thickBot="1">
      <c r="A221" s="70">
        <f t="shared" si="23"/>
        <v>202</v>
      </c>
      <c r="B221" s="85">
        <f t="shared" si="24"/>
        <v>0</v>
      </c>
      <c r="C221" s="132">
        <f t="shared" si="25"/>
        <v>0</v>
      </c>
      <c r="D221" s="132">
        <f t="shared" si="26"/>
        <v>0</v>
      </c>
      <c r="E221" s="85">
        <f t="shared" si="27"/>
        <v>0</v>
      </c>
      <c r="F221" s="85">
        <f t="shared" si="21"/>
        <v>0</v>
      </c>
      <c r="G221" s="133">
        <f t="shared" si="22"/>
        <v>0</v>
      </c>
    </row>
    <row r="222" spans="1:7" ht="13.5" hidden="1" thickBot="1">
      <c r="A222" s="70">
        <f t="shared" si="23"/>
        <v>203</v>
      </c>
      <c r="B222" s="85">
        <f t="shared" si="24"/>
        <v>0</v>
      </c>
      <c r="C222" s="132">
        <f t="shared" si="25"/>
        <v>0</v>
      </c>
      <c r="D222" s="132">
        <f t="shared" si="26"/>
        <v>0</v>
      </c>
      <c r="E222" s="85">
        <f t="shared" si="27"/>
        <v>0</v>
      </c>
      <c r="F222" s="85">
        <f t="shared" si="21"/>
        <v>0</v>
      </c>
      <c r="G222" s="133">
        <f t="shared" si="22"/>
        <v>0</v>
      </c>
    </row>
    <row r="223" spans="1:7" ht="13.5" hidden="1" thickBot="1">
      <c r="A223" s="70">
        <f t="shared" si="23"/>
        <v>204</v>
      </c>
      <c r="B223" s="85">
        <f t="shared" si="24"/>
        <v>0</v>
      </c>
      <c r="C223" s="132">
        <f t="shared" si="25"/>
        <v>0</v>
      </c>
      <c r="D223" s="132">
        <f t="shared" si="26"/>
        <v>0</v>
      </c>
      <c r="E223" s="85">
        <f t="shared" si="27"/>
        <v>0</v>
      </c>
      <c r="F223" s="85">
        <f t="shared" si="21"/>
        <v>0</v>
      </c>
      <c r="G223" s="133">
        <f t="shared" si="22"/>
        <v>0</v>
      </c>
    </row>
    <row r="224" spans="1:7" ht="13.5" hidden="1" thickBot="1">
      <c r="A224" s="70">
        <f t="shared" si="23"/>
        <v>205</v>
      </c>
      <c r="B224" s="85">
        <f t="shared" si="24"/>
        <v>0</v>
      </c>
      <c r="C224" s="132">
        <f t="shared" si="25"/>
        <v>0</v>
      </c>
      <c r="D224" s="132">
        <f t="shared" si="26"/>
        <v>0</v>
      </c>
      <c r="E224" s="85">
        <f t="shared" si="27"/>
        <v>0</v>
      </c>
      <c r="F224" s="85">
        <f t="shared" si="21"/>
        <v>0</v>
      </c>
      <c r="G224" s="133">
        <f t="shared" si="22"/>
        <v>0</v>
      </c>
    </row>
    <row r="225" spans="1:7" ht="13.5" hidden="1" thickBot="1">
      <c r="A225" s="70">
        <f t="shared" si="23"/>
        <v>206</v>
      </c>
      <c r="B225" s="85">
        <f t="shared" si="24"/>
        <v>0</v>
      </c>
      <c r="C225" s="132">
        <f t="shared" si="25"/>
        <v>0</v>
      </c>
      <c r="D225" s="132">
        <f t="shared" si="26"/>
        <v>0</v>
      </c>
      <c r="E225" s="85">
        <f t="shared" si="27"/>
        <v>0</v>
      </c>
      <c r="F225" s="85">
        <f t="shared" si="21"/>
        <v>0</v>
      </c>
      <c r="G225" s="133">
        <f t="shared" si="22"/>
        <v>0</v>
      </c>
    </row>
    <row r="226" spans="1:7" ht="13.5" hidden="1" thickBot="1">
      <c r="A226" s="70">
        <f t="shared" si="23"/>
        <v>207</v>
      </c>
      <c r="B226" s="85">
        <f t="shared" si="24"/>
        <v>0</v>
      </c>
      <c r="C226" s="132">
        <f t="shared" si="25"/>
        <v>0</v>
      </c>
      <c r="D226" s="132">
        <f t="shared" si="26"/>
        <v>0</v>
      </c>
      <c r="E226" s="85">
        <f t="shared" si="27"/>
        <v>0</v>
      </c>
      <c r="F226" s="85">
        <f t="shared" si="21"/>
        <v>0</v>
      </c>
      <c r="G226" s="133">
        <f t="shared" si="22"/>
        <v>0</v>
      </c>
    </row>
    <row r="227" spans="1:7" ht="13.5" hidden="1" thickBot="1">
      <c r="A227" s="70">
        <f t="shared" si="23"/>
        <v>208</v>
      </c>
      <c r="B227" s="85">
        <f t="shared" si="24"/>
        <v>0</v>
      </c>
      <c r="C227" s="132">
        <f t="shared" si="25"/>
        <v>0</v>
      </c>
      <c r="D227" s="132">
        <f t="shared" si="26"/>
        <v>0</v>
      </c>
      <c r="E227" s="85">
        <f t="shared" si="27"/>
        <v>0</v>
      </c>
      <c r="F227" s="85">
        <f t="shared" si="21"/>
        <v>0</v>
      </c>
      <c r="G227" s="133">
        <f t="shared" si="22"/>
        <v>0</v>
      </c>
    </row>
    <row r="228" spans="1:7" ht="13.5" hidden="1" thickBot="1">
      <c r="A228" s="70">
        <f t="shared" si="23"/>
        <v>209</v>
      </c>
      <c r="B228" s="85">
        <f t="shared" si="24"/>
        <v>0</v>
      </c>
      <c r="C228" s="132">
        <f t="shared" si="25"/>
        <v>0</v>
      </c>
      <c r="D228" s="132">
        <f t="shared" si="26"/>
        <v>0</v>
      </c>
      <c r="E228" s="85">
        <f t="shared" si="27"/>
        <v>0</v>
      </c>
      <c r="F228" s="85">
        <f t="shared" si="21"/>
        <v>0</v>
      </c>
      <c r="G228" s="133">
        <f t="shared" si="22"/>
        <v>0</v>
      </c>
    </row>
    <row r="229" spans="1:7" ht="13.5" hidden="1" thickBot="1">
      <c r="A229" s="70">
        <f t="shared" si="23"/>
        <v>210</v>
      </c>
      <c r="B229" s="85">
        <f t="shared" si="24"/>
        <v>0</v>
      </c>
      <c r="C229" s="132">
        <f t="shared" si="25"/>
        <v>0</v>
      </c>
      <c r="D229" s="132">
        <f t="shared" si="26"/>
        <v>0</v>
      </c>
      <c r="E229" s="85">
        <f t="shared" si="27"/>
        <v>0</v>
      </c>
      <c r="F229" s="85">
        <f t="shared" si="21"/>
        <v>0</v>
      </c>
      <c r="G229" s="133">
        <f t="shared" si="22"/>
        <v>0</v>
      </c>
    </row>
    <row r="230" spans="1:7" ht="13.5" hidden="1" thickBot="1">
      <c r="A230" s="70">
        <f t="shared" si="23"/>
        <v>211</v>
      </c>
      <c r="B230" s="85">
        <f t="shared" si="24"/>
        <v>0</v>
      </c>
      <c r="C230" s="132">
        <f t="shared" si="25"/>
        <v>0</v>
      </c>
      <c r="D230" s="132">
        <f t="shared" si="26"/>
        <v>0</v>
      </c>
      <c r="E230" s="85">
        <f t="shared" si="27"/>
        <v>0</v>
      </c>
      <c r="F230" s="85">
        <f t="shared" si="21"/>
        <v>0</v>
      </c>
      <c r="G230" s="133">
        <f t="shared" si="22"/>
        <v>0</v>
      </c>
    </row>
    <row r="231" spans="1:7" ht="13.5" hidden="1" thickBot="1">
      <c r="A231" s="70">
        <f t="shared" si="23"/>
        <v>212</v>
      </c>
      <c r="B231" s="85">
        <f t="shared" si="24"/>
        <v>0</v>
      </c>
      <c r="C231" s="132">
        <f t="shared" si="25"/>
        <v>0</v>
      </c>
      <c r="D231" s="132">
        <f t="shared" si="26"/>
        <v>0</v>
      </c>
      <c r="E231" s="85">
        <f t="shared" si="27"/>
        <v>0</v>
      </c>
      <c r="F231" s="85">
        <f t="shared" si="21"/>
        <v>0</v>
      </c>
      <c r="G231" s="133">
        <f t="shared" si="22"/>
        <v>0</v>
      </c>
    </row>
    <row r="232" spans="1:7" ht="13.5" hidden="1" thickBot="1">
      <c r="A232" s="70">
        <f t="shared" si="23"/>
        <v>213</v>
      </c>
      <c r="B232" s="85">
        <f t="shared" si="24"/>
        <v>0</v>
      </c>
      <c r="C232" s="132">
        <f t="shared" si="25"/>
        <v>0</v>
      </c>
      <c r="D232" s="132">
        <f t="shared" si="26"/>
        <v>0</v>
      </c>
      <c r="E232" s="85">
        <f t="shared" si="27"/>
        <v>0</v>
      </c>
      <c r="F232" s="85">
        <f t="shared" si="21"/>
        <v>0</v>
      </c>
      <c r="G232" s="133">
        <f t="shared" si="22"/>
        <v>0</v>
      </c>
    </row>
    <row r="233" spans="1:7" ht="13.5" hidden="1" thickBot="1">
      <c r="A233" s="70">
        <f t="shared" si="23"/>
        <v>214</v>
      </c>
      <c r="B233" s="85">
        <f t="shared" si="24"/>
        <v>0</v>
      </c>
      <c r="C233" s="132">
        <f t="shared" si="25"/>
        <v>0</v>
      </c>
      <c r="D233" s="132">
        <f t="shared" si="26"/>
        <v>0</v>
      </c>
      <c r="E233" s="85">
        <f t="shared" si="27"/>
        <v>0</v>
      </c>
      <c r="F233" s="85">
        <f t="shared" si="21"/>
        <v>0</v>
      </c>
      <c r="G233" s="133">
        <f t="shared" si="22"/>
        <v>0</v>
      </c>
    </row>
    <row r="234" spans="1:7" ht="13.5" hidden="1" thickBot="1">
      <c r="A234" s="70">
        <f t="shared" si="23"/>
        <v>215</v>
      </c>
      <c r="B234" s="85">
        <f t="shared" si="24"/>
        <v>0</v>
      </c>
      <c r="C234" s="132">
        <f t="shared" si="25"/>
        <v>0</v>
      </c>
      <c r="D234" s="132">
        <f t="shared" si="26"/>
        <v>0</v>
      </c>
      <c r="E234" s="85">
        <f t="shared" si="27"/>
        <v>0</v>
      </c>
      <c r="F234" s="85">
        <f t="shared" si="21"/>
        <v>0</v>
      </c>
      <c r="G234" s="133">
        <f t="shared" si="22"/>
        <v>0</v>
      </c>
    </row>
    <row r="235" spans="1:7" ht="13.5" hidden="1" thickBot="1">
      <c r="A235" s="70">
        <f t="shared" si="23"/>
        <v>216</v>
      </c>
      <c r="B235" s="85">
        <f t="shared" si="24"/>
        <v>0</v>
      </c>
      <c r="C235" s="132">
        <f t="shared" si="25"/>
        <v>0</v>
      </c>
      <c r="D235" s="132">
        <f t="shared" si="26"/>
        <v>0</v>
      </c>
      <c r="E235" s="85">
        <f t="shared" si="27"/>
        <v>0</v>
      </c>
      <c r="F235" s="85">
        <f t="shared" si="21"/>
        <v>0</v>
      </c>
      <c r="G235" s="133">
        <f t="shared" si="22"/>
        <v>0</v>
      </c>
    </row>
    <row r="236" spans="1:7" ht="13.5" hidden="1" thickBot="1">
      <c r="A236" s="70">
        <f t="shared" si="23"/>
        <v>217</v>
      </c>
      <c r="B236" s="85">
        <f t="shared" si="24"/>
        <v>0</v>
      </c>
      <c r="C236" s="132">
        <f t="shared" si="25"/>
        <v>0</v>
      </c>
      <c r="D236" s="132">
        <f t="shared" si="26"/>
        <v>0</v>
      </c>
      <c r="E236" s="85">
        <f t="shared" si="27"/>
        <v>0</v>
      </c>
      <c r="F236" s="85">
        <f t="shared" si="21"/>
        <v>0</v>
      </c>
      <c r="G236" s="133">
        <f t="shared" si="22"/>
        <v>0</v>
      </c>
    </row>
    <row r="237" spans="1:7" ht="13.5" hidden="1" thickBot="1">
      <c r="A237" s="70">
        <f t="shared" si="23"/>
        <v>218</v>
      </c>
      <c r="B237" s="85">
        <f t="shared" si="24"/>
        <v>0</v>
      </c>
      <c r="C237" s="132">
        <f t="shared" si="25"/>
        <v>0</v>
      </c>
      <c r="D237" s="132">
        <f t="shared" si="26"/>
        <v>0</v>
      </c>
      <c r="E237" s="85">
        <f t="shared" si="27"/>
        <v>0</v>
      </c>
      <c r="F237" s="85">
        <f t="shared" si="21"/>
        <v>0</v>
      </c>
      <c r="G237" s="133">
        <f t="shared" si="22"/>
        <v>0</v>
      </c>
    </row>
    <row r="238" spans="1:7" ht="13.5" hidden="1" thickBot="1">
      <c r="A238" s="70">
        <f t="shared" si="23"/>
        <v>219</v>
      </c>
      <c r="B238" s="85">
        <f t="shared" si="24"/>
        <v>0</v>
      </c>
      <c r="C238" s="132">
        <f t="shared" si="25"/>
        <v>0</v>
      </c>
      <c r="D238" s="132">
        <f t="shared" si="26"/>
        <v>0</v>
      </c>
      <c r="E238" s="85">
        <f t="shared" si="27"/>
        <v>0</v>
      </c>
      <c r="F238" s="85">
        <f t="shared" si="21"/>
        <v>0</v>
      </c>
      <c r="G238" s="133">
        <f t="shared" si="22"/>
        <v>0</v>
      </c>
    </row>
    <row r="239" spans="1:7" ht="13.5" hidden="1" thickBot="1">
      <c r="A239" s="70">
        <f t="shared" si="23"/>
        <v>220</v>
      </c>
      <c r="B239" s="85">
        <f t="shared" si="24"/>
        <v>0</v>
      </c>
      <c r="C239" s="132">
        <f t="shared" si="25"/>
        <v>0</v>
      </c>
      <c r="D239" s="132">
        <f t="shared" si="26"/>
        <v>0</v>
      </c>
      <c r="E239" s="85">
        <f t="shared" si="27"/>
        <v>0</v>
      </c>
      <c r="F239" s="85">
        <f t="shared" si="21"/>
        <v>0</v>
      </c>
      <c r="G239" s="133">
        <f t="shared" si="22"/>
        <v>0</v>
      </c>
    </row>
    <row r="240" spans="1:7" ht="13.5" hidden="1" thickBot="1">
      <c r="A240" s="70">
        <f t="shared" si="23"/>
        <v>221</v>
      </c>
      <c r="B240" s="85">
        <f t="shared" si="24"/>
        <v>0</v>
      </c>
      <c r="C240" s="132">
        <f t="shared" si="25"/>
        <v>0</v>
      </c>
      <c r="D240" s="132">
        <f t="shared" si="26"/>
        <v>0</v>
      </c>
      <c r="E240" s="85">
        <f t="shared" si="27"/>
        <v>0</v>
      </c>
      <c r="F240" s="85">
        <f t="shared" si="21"/>
        <v>0</v>
      </c>
      <c r="G240" s="133">
        <f t="shared" si="22"/>
        <v>0</v>
      </c>
    </row>
    <row r="241" spans="1:7" ht="13.5" hidden="1" thickBot="1">
      <c r="A241" s="70">
        <f t="shared" si="23"/>
        <v>222</v>
      </c>
      <c r="B241" s="85">
        <f t="shared" si="24"/>
        <v>0</v>
      </c>
      <c r="C241" s="132">
        <f t="shared" si="25"/>
        <v>0</v>
      </c>
      <c r="D241" s="132">
        <f t="shared" si="26"/>
        <v>0</v>
      </c>
      <c r="E241" s="85">
        <f t="shared" si="27"/>
        <v>0</v>
      </c>
      <c r="F241" s="85">
        <f t="shared" si="21"/>
        <v>0</v>
      </c>
      <c r="G241" s="133">
        <f t="shared" si="22"/>
        <v>0</v>
      </c>
    </row>
    <row r="242" spans="1:7" ht="13.5" hidden="1" thickBot="1">
      <c r="A242" s="70">
        <f t="shared" si="23"/>
        <v>223</v>
      </c>
      <c r="B242" s="85">
        <f t="shared" si="24"/>
        <v>0</v>
      </c>
      <c r="C242" s="132">
        <f t="shared" si="25"/>
        <v>0</v>
      </c>
      <c r="D242" s="132">
        <f t="shared" si="26"/>
        <v>0</v>
      </c>
      <c r="E242" s="85">
        <f t="shared" si="27"/>
        <v>0</v>
      </c>
      <c r="F242" s="85">
        <f t="shared" si="21"/>
        <v>0</v>
      </c>
      <c r="G242" s="133">
        <f t="shared" si="22"/>
        <v>0</v>
      </c>
    </row>
    <row r="243" spans="1:7" ht="13.5" hidden="1" thickBot="1">
      <c r="A243" s="70">
        <f t="shared" si="23"/>
        <v>224</v>
      </c>
      <c r="B243" s="85">
        <f t="shared" si="24"/>
        <v>0</v>
      </c>
      <c r="C243" s="132">
        <f t="shared" si="25"/>
        <v>0</v>
      </c>
      <c r="D243" s="132">
        <f t="shared" si="26"/>
        <v>0</v>
      </c>
      <c r="E243" s="85">
        <f t="shared" si="27"/>
        <v>0</v>
      </c>
      <c r="F243" s="85">
        <f t="shared" si="21"/>
        <v>0</v>
      </c>
      <c r="G243" s="133">
        <f t="shared" si="22"/>
        <v>0</v>
      </c>
    </row>
    <row r="244" spans="1:7" ht="13.5" hidden="1" thickBot="1">
      <c r="A244" s="70">
        <f t="shared" si="23"/>
        <v>225</v>
      </c>
      <c r="B244" s="85">
        <f t="shared" si="24"/>
        <v>0</v>
      </c>
      <c r="C244" s="132">
        <f t="shared" si="25"/>
        <v>0</v>
      </c>
      <c r="D244" s="132">
        <f t="shared" si="26"/>
        <v>0</v>
      </c>
      <c r="E244" s="85">
        <f t="shared" si="27"/>
        <v>0</v>
      </c>
      <c r="F244" s="85">
        <f t="shared" si="21"/>
        <v>0</v>
      </c>
      <c r="G244" s="133">
        <f t="shared" si="22"/>
        <v>0</v>
      </c>
    </row>
    <row r="245" spans="1:7" ht="13.5" hidden="1" thickBot="1">
      <c r="A245" s="70">
        <f t="shared" si="23"/>
        <v>226</v>
      </c>
      <c r="B245" s="85">
        <f t="shared" si="24"/>
        <v>0</v>
      </c>
      <c r="C245" s="132">
        <f t="shared" si="25"/>
        <v>0</v>
      </c>
      <c r="D245" s="132">
        <f t="shared" si="26"/>
        <v>0</v>
      </c>
      <c r="E245" s="85">
        <f t="shared" si="27"/>
        <v>0</v>
      </c>
      <c r="F245" s="85">
        <f t="shared" si="21"/>
        <v>0</v>
      </c>
      <c r="G245" s="133">
        <f t="shared" si="22"/>
        <v>0</v>
      </c>
    </row>
    <row r="246" spans="1:7" ht="13.5" hidden="1" thickBot="1">
      <c r="A246" s="70">
        <f t="shared" si="23"/>
        <v>227</v>
      </c>
      <c r="B246" s="85">
        <f t="shared" si="24"/>
        <v>0</v>
      </c>
      <c r="C246" s="132">
        <f t="shared" si="25"/>
        <v>0</v>
      </c>
      <c r="D246" s="132">
        <f t="shared" si="26"/>
        <v>0</v>
      </c>
      <c r="E246" s="85">
        <f t="shared" si="27"/>
        <v>0</v>
      </c>
      <c r="F246" s="85">
        <f t="shared" si="21"/>
        <v>0</v>
      </c>
      <c r="G246" s="133">
        <f t="shared" si="22"/>
        <v>0</v>
      </c>
    </row>
    <row r="247" spans="1:7" ht="13.5" hidden="1" thickBot="1">
      <c r="A247" s="70">
        <f t="shared" si="23"/>
        <v>228</v>
      </c>
      <c r="B247" s="85">
        <f t="shared" si="24"/>
        <v>0</v>
      </c>
      <c r="C247" s="132">
        <f t="shared" si="25"/>
        <v>0</v>
      </c>
      <c r="D247" s="132">
        <f t="shared" si="26"/>
        <v>0</v>
      </c>
      <c r="E247" s="85">
        <f t="shared" si="27"/>
        <v>0</v>
      </c>
      <c r="F247" s="85">
        <f t="shared" si="21"/>
        <v>0</v>
      </c>
      <c r="G247" s="133">
        <f t="shared" si="22"/>
        <v>0</v>
      </c>
    </row>
    <row r="248" spans="1:7" ht="13.5" hidden="1" thickBot="1">
      <c r="A248" s="70">
        <f t="shared" si="23"/>
        <v>229</v>
      </c>
      <c r="B248" s="85">
        <f t="shared" si="24"/>
        <v>0</v>
      </c>
      <c r="C248" s="132">
        <f t="shared" si="25"/>
        <v>0</v>
      </c>
      <c r="D248" s="132">
        <f t="shared" si="26"/>
        <v>0</v>
      </c>
      <c r="E248" s="85">
        <f t="shared" si="27"/>
        <v>0</v>
      </c>
      <c r="F248" s="85">
        <f t="shared" si="21"/>
        <v>0</v>
      </c>
      <c r="G248" s="133">
        <f t="shared" si="22"/>
        <v>0</v>
      </c>
    </row>
    <row r="249" spans="1:7" ht="13.5" hidden="1" thickBot="1">
      <c r="A249" s="70">
        <f t="shared" si="23"/>
        <v>230</v>
      </c>
      <c r="B249" s="85">
        <f t="shared" si="24"/>
        <v>0</v>
      </c>
      <c r="C249" s="132">
        <f t="shared" si="25"/>
        <v>0</v>
      </c>
      <c r="D249" s="132">
        <f t="shared" si="26"/>
        <v>0</v>
      </c>
      <c r="E249" s="85">
        <f t="shared" si="27"/>
        <v>0</v>
      </c>
      <c r="F249" s="85">
        <f t="shared" si="21"/>
        <v>0</v>
      </c>
      <c r="G249" s="133">
        <f t="shared" si="22"/>
        <v>0</v>
      </c>
    </row>
    <row r="250" spans="1:7" ht="13.5" hidden="1" thickBot="1">
      <c r="A250" s="70">
        <f t="shared" si="23"/>
        <v>231</v>
      </c>
      <c r="B250" s="85">
        <f t="shared" si="24"/>
        <v>0</v>
      </c>
      <c r="C250" s="132">
        <f t="shared" si="25"/>
        <v>0</v>
      </c>
      <c r="D250" s="132">
        <f t="shared" si="26"/>
        <v>0</v>
      </c>
      <c r="E250" s="85">
        <f t="shared" si="27"/>
        <v>0</v>
      </c>
      <c r="F250" s="85">
        <f t="shared" si="21"/>
        <v>0</v>
      </c>
      <c r="G250" s="133">
        <f t="shared" si="22"/>
        <v>0</v>
      </c>
    </row>
    <row r="251" spans="1:7" ht="13.5" hidden="1" thickBot="1">
      <c r="A251" s="70">
        <f t="shared" si="23"/>
        <v>232</v>
      </c>
      <c r="B251" s="85">
        <f t="shared" si="24"/>
        <v>0</v>
      </c>
      <c r="C251" s="132">
        <f t="shared" si="25"/>
        <v>0</v>
      </c>
      <c r="D251" s="132">
        <f t="shared" si="26"/>
        <v>0</v>
      </c>
      <c r="E251" s="85">
        <f t="shared" si="27"/>
        <v>0</v>
      </c>
      <c r="F251" s="85">
        <f t="shared" si="21"/>
        <v>0</v>
      </c>
      <c r="G251" s="133">
        <f t="shared" si="22"/>
        <v>0</v>
      </c>
    </row>
    <row r="252" spans="1:7" ht="13.5" hidden="1" thickBot="1">
      <c r="A252" s="70">
        <f t="shared" si="23"/>
        <v>233</v>
      </c>
      <c r="B252" s="85">
        <f t="shared" si="24"/>
        <v>0</v>
      </c>
      <c r="C252" s="132">
        <f t="shared" si="25"/>
        <v>0</v>
      </c>
      <c r="D252" s="132">
        <f t="shared" si="26"/>
        <v>0</v>
      </c>
      <c r="E252" s="85">
        <f t="shared" si="27"/>
        <v>0</v>
      </c>
      <c r="F252" s="85">
        <f t="shared" si="21"/>
        <v>0</v>
      </c>
      <c r="G252" s="133">
        <f t="shared" si="22"/>
        <v>0</v>
      </c>
    </row>
    <row r="253" spans="1:7" ht="13.5" hidden="1" thickBot="1">
      <c r="A253" s="70">
        <f t="shared" si="23"/>
        <v>234</v>
      </c>
      <c r="B253" s="85">
        <f t="shared" si="24"/>
        <v>0</v>
      </c>
      <c r="C253" s="132">
        <f t="shared" si="25"/>
        <v>0</v>
      </c>
      <c r="D253" s="132">
        <f t="shared" si="26"/>
        <v>0</v>
      </c>
      <c r="E253" s="85">
        <f t="shared" si="27"/>
        <v>0</v>
      </c>
      <c r="F253" s="85">
        <f t="shared" si="21"/>
        <v>0</v>
      </c>
      <c r="G253" s="133">
        <f t="shared" si="22"/>
        <v>0</v>
      </c>
    </row>
    <row r="254" spans="1:7" ht="13.5" hidden="1" thickBot="1">
      <c r="A254" s="70">
        <f t="shared" si="23"/>
        <v>235</v>
      </c>
      <c r="B254" s="85">
        <f t="shared" si="24"/>
        <v>0</v>
      </c>
      <c r="C254" s="132">
        <f t="shared" si="25"/>
        <v>0</v>
      </c>
      <c r="D254" s="132">
        <f t="shared" si="26"/>
        <v>0</v>
      </c>
      <c r="E254" s="85">
        <f t="shared" si="27"/>
        <v>0</v>
      </c>
      <c r="F254" s="85">
        <f t="shared" si="21"/>
        <v>0</v>
      </c>
      <c r="G254" s="133">
        <f t="shared" si="22"/>
        <v>0</v>
      </c>
    </row>
    <row r="255" spans="1:7" ht="13.5" hidden="1" thickBot="1">
      <c r="A255" s="70">
        <f t="shared" si="23"/>
        <v>236</v>
      </c>
      <c r="B255" s="85">
        <f t="shared" si="24"/>
        <v>0</v>
      </c>
      <c r="C255" s="132">
        <f t="shared" si="25"/>
        <v>0</v>
      </c>
      <c r="D255" s="132">
        <f t="shared" si="26"/>
        <v>0</v>
      </c>
      <c r="E255" s="85">
        <f t="shared" si="27"/>
        <v>0</v>
      </c>
      <c r="F255" s="85">
        <f t="shared" si="21"/>
        <v>0</v>
      </c>
      <c r="G255" s="133">
        <f t="shared" si="22"/>
        <v>0</v>
      </c>
    </row>
    <row r="256" spans="1:7" ht="13.5" hidden="1" thickBot="1">
      <c r="A256" s="70">
        <f t="shared" si="23"/>
        <v>237</v>
      </c>
      <c r="B256" s="85">
        <f t="shared" si="24"/>
        <v>0</v>
      </c>
      <c r="C256" s="132">
        <f t="shared" si="25"/>
        <v>0</v>
      </c>
      <c r="D256" s="132">
        <f t="shared" si="26"/>
        <v>0</v>
      </c>
      <c r="E256" s="85">
        <f t="shared" si="27"/>
        <v>0</v>
      </c>
      <c r="F256" s="85">
        <f t="shared" si="21"/>
        <v>0</v>
      </c>
      <c r="G256" s="133">
        <f t="shared" si="22"/>
        <v>0</v>
      </c>
    </row>
    <row r="257" spans="1:7" ht="13.5" hidden="1" thickBot="1">
      <c r="A257" s="70">
        <f t="shared" si="23"/>
        <v>238</v>
      </c>
      <c r="B257" s="85">
        <f t="shared" si="24"/>
        <v>0</v>
      </c>
      <c r="C257" s="132">
        <f t="shared" si="25"/>
        <v>0</v>
      </c>
      <c r="D257" s="132">
        <f t="shared" si="26"/>
        <v>0</v>
      </c>
      <c r="E257" s="85">
        <f t="shared" si="27"/>
        <v>0</v>
      </c>
      <c r="F257" s="85">
        <f t="shared" si="21"/>
        <v>0</v>
      </c>
      <c r="G257" s="133">
        <f t="shared" si="22"/>
        <v>0</v>
      </c>
    </row>
    <row r="258" spans="1:7" ht="13.5" hidden="1" thickBot="1">
      <c r="A258" s="70">
        <f t="shared" si="23"/>
        <v>239</v>
      </c>
      <c r="B258" s="85">
        <f t="shared" si="24"/>
        <v>0</v>
      </c>
      <c r="C258" s="132">
        <f t="shared" si="25"/>
        <v>0</v>
      </c>
      <c r="D258" s="132">
        <f t="shared" si="26"/>
        <v>0</v>
      </c>
      <c r="E258" s="85">
        <f t="shared" si="27"/>
        <v>0</v>
      </c>
      <c r="F258" s="85">
        <f t="shared" si="21"/>
        <v>0</v>
      </c>
      <c r="G258" s="133">
        <f t="shared" si="22"/>
        <v>0</v>
      </c>
    </row>
    <row r="259" spans="1:7" ht="13.5" hidden="1" thickBot="1">
      <c r="A259" s="70">
        <f t="shared" si="23"/>
        <v>240</v>
      </c>
      <c r="B259" s="85">
        <f t="shared" si="24"/>
        <v>0</v>
      </c>
      <c r="C259" s="132">
        <f t="shared" si="25"/>
        <v>0</v>
      </c>
      <c r="D259" s="132">
        <f t="shared" si="26"/>
        <v>0</v>
      </c>
      <c r="E259" s="85">
        <f t="shared" si="27"/>
        <v>0</v>
      </c>
      <c r="F259" s="85">
        <f t="shared" si="21"/>
        <v>0</v>
      </c>
      <c r="G259" s="133">
        <f t="shared" si="22"/>
        <v>0</v>
      </c>
    </row>
    <row r="260" spans="1:7" ht="13.5" hidden="1" thickBot="1">
      <c r="A260" s="70">
        <f t="shared" si="23"/>
        <v>241</v>
      </c>
      <c r="B260" s="85">
        <f t="shared" si="24"/>
        <v>0</v>
      </c>
      <c r="C260" s="132">
        <f t="shared" si="25"/>
        <v>0</v>
      </c>
      <c r="D260" s="132">
        <f t="shared" si="26"/>
        <v>0</v>
      </c>
      <c r="E260" s="85">
        <f t="shared" si="27"/>
        <v>0</v>
      </c>
      <c r="F260" s="85">
        <f t="shared" si="21"/>
        <v>0</v>
      </c>
      <c r="G260" s="133">
        <f t="shared" si="22"/>
        <v>0</v>
      </c>
    </row>
    <row r="261" spans="1:7" ht="13.5" hidden="1" thickBot="1">
      <c r="A261" s="70">
        <f t="shared" si="23"/>
        <v>242</v>
      </c>
      <c r="B261" s="85">
        <f t="shared" si="24"/>
        <v>0</v>
      </c>
      <c r="C261" s="132">
        <f t="shared" si="25"/>
        <v>0</v>
      </c>
      <c r="D261" s="132">
        <f t="shared" si="26"/>
        <v>0</v>
      </c>
      <c r="E261" s="85">
        <f t="shared" si="27"/>
        <v>0</v>
      </c>
      <c r="F261" s="85">
        <f t="shared" si="21"/>
        <v>0</v>
      </c>
      <c r="G261" s="133">
        <f t="shared" si="22"/>
        <v>0</v>
      </c>
    </row>
    <row r="262" spans="1:7" ht="13.5" hidden="1" thickBot="1">
      <c r="A262" s="70">
        <f t="shared" si="23"/>
        <v>243</v>
      </c>
      <c r="B262" s="85">
        <f t="shared" si="24"/>
        <v>0</v>
      </c>
      <c r="C262" s="132">
        <f t="shared" si="25"/>
        <v>0</v>
      </c>
      <c r="D262" s="132">
        <f t="shared" si="26"/>
        <v>0</v>
      </c>
      <c r="E262" s="85">
        <f t="shared" si="27"/>
        <v>0</v>
      </c>
      <c r="F262" s="85">
        <f t="shared" si="21"/>
        <v>0</v>
      </c>
      <c r="G262" s="133">
        <f t="shared" si="22"/>
        <v>0</v>
      </c>
    </row>
    <row r="263" spans="1:7" ht="13.5" hidden="1" thickBot="1">
      <c r="A263" s="70">
        <f t="shared" si="23"/>
        <v>244</v>
      </c>
      <c r="B263" s="85">
        <f t="shared" si="24"/>
        <v>0</v>
      </c>
      <c r="C263" s="132">
        <f t="shared" si="25"/>
        <v>0</v>
      </c>
      <c r="D263" s="132">
        <f t="shared" si="26"/>
        <v>0</v>
      </c>
      <c r="E263" s="85">
        <f t="shared" si="27"/>
        <v>0</v>
      </c>
      <c r="F263" s="85">
        <f t="shared" si="21"/>
        <v>0</v>
      </c>
      <c r="G263" s="133">
        <f t="shared" si="22"/>
        <v>0</v>
      </c>
    </row>
    <row r="264" spans="1:7" ht="13.5" hidden="1" thickBot="1">
      <c r="A264" s="70">
        <f t="shared" si="23"/>
        <v>245</v>
      </c>
      <c r="B264" s="85">
        <f t="shared" si="24"/>
        <v>0</v>
      </c>
      <c r="C264" s="132">
        <f t="shared" si="25"/>
        <v>0</v>
      </c>
      <c r="D264" s="132">
        <f t="shared" si="26"/>
        <v>0</v>
      </c>
      <c r="E264" s="85">
        <f t="shared" si="27"/>
        <v>0</v>
      </c>
      <c r="F264" s="85">
        <f t="shared" si="21"/>
        <v>0</v>
      </c>
      <c r="G264" s="133">
        <f t="shared" si="22"/>
        <v>0</v>
      </c>
    </row>
    <row r="265" spans="1:7" ht="13.5" hidden="1" thickBot="1">
      <c r="A265" s="70">
        <f t="shared" si="23"/>
        <v>246</v>
      </c>
      <c r="B265" s="85">
        <f t="shared" si="24"/>
        <v>0</v>
      </c>
      <c r="C265" s="132">
        <f t="shared" si="25"/>
        <v>0</v>
      </c>
      <c r="D265" s="132">
        <f t="shared" si="26"/>
        <v>0</v>
      </c>
      <c r="E265" s="85">
        <f t="shared" si="27"/>
        <v>0</v>
      </c>
      <c r="F265" s="85">
        <f t="shared" si="21"/>
        <v>0</v>
      </c>
      <c r="G265" s="133">
        <f t="shared" si="22"/>
        <v>0</v>
      </c>
    </row>
    <row r="266" spans="1:7" ht="13.5" hidden="1" thickBot="1">
      <c r="A266" s="70">
        <f t="shared" si="23"/>
        <v>247</v>
      </c>
      <c r="B266" s="85">
        <f t="shared" si="24"/>
        <v>0</v>
      </c>
      <c r="C266" s="132">
        <f t="shared" si="25"/>
        <v>0</v>
      </c>
      <c r="D266" s="132">
        <f t="shared" si="26"/>
        <v>0</v>
      </c>
      <c r="E266" s="85">
        <f t="shared" si="27"/>
        <v>0</v>
      </c>
      <c r="F266" s="85">
        <f t="shared" si="21"/>
        <v>0</v>
      </c>
      <c r="G266" s="133">
        <f t="shared" si="22"/>
        <v>0</v>
      </c>
    </row>
    <row r="267" spans="1:7" ht="13.5" hidden="1" thickBot="1">
      <c r="A267" s="70">
        <f t="shared" si="23"/>
        <v>248</v>
      </c>
      <c r="B267" s="85">
        <f t="shared" si="24"/>
        <v>0</v>
      </c>
      <c r="C267" s="132">
        <f t="shared" si="25"/>
        <v>0</v>
      </c>
      <c r="D267" s="132">
        <f t="shared" si="26"/>
        <v>0</v>
      </c>
      <c r="E267" s="85">
        <f t="shared" si="27"/>
        <v>0</v>
      </c>
      <c r="F267" s="85">
        <f t="shared" si="21"/>
        <v>0</v>
      </c>
      <c r="G267" s="133">
        <f t="shared" si="22"/>
        <v>0</v>
      </c>
    </row>
    <row r="268" spans="1:7" ht="13.5" hidden="1" thickBot="1">
      <c r="A268" s="70">
        <f t="shared" si="23"/>
        <v>249</v>
      </c>
      <c r="B268" s="85">
        <f t="shared" si="24"/>
        <v>0</v>
      </c>
      <c r="C268" s="132">
        <f t="shared" si="25"/>
        <v>0</v>
      </c>
      <c r="D268" s="132">
        <f t="shared" si="26"/>
        <v>0</v>
      </c>
      <c r="E268" s="85">
        <f t="shared" si="27"/>
        <v>0</v>
      </c>
      <c r="F268" s="85">
        <f t="shared" si="21"/>
        <v>0</v>
      </c>
      <c r="G268" s="133">
        <f t="shared" si="22"/>
        <v>0</v>
      </c>
    </row>
    <row r="269" spans="1:7" ht="13.5" hidden="1" thickBot="1">
      <c r="A269" s="70">
        <f t="shared" si="23"/>
        <v>250</v>
      </c>
      <c r="B269" s="85">
        <f t="shared" si="24"/>
        <v>0</v>
      </c>
      <c r="C269" s="132">
        <f t="shared" si="25"/>
        <v>0</v>
      </c>
      <c r="D269" s="132">
        <f t="shared" si="26"/>
        <v>0</v>
      </c>
      <c r="E269" s="85">
        <f t="shared" si="27"/>
        <v>0</v>
      </c>
      <c r="F269" s="85">
        <f t="shared" si="21"/>
        <v>0</v>
      </c>
      <c r="G269" s="133">
        <f t="shared" si="22"/>
        <v>0</v>
      </c>
    </row>
    <row r="270" spans="1:7" ht="13.5" hidden="1" thickBot="1">
      <c r="A270" s="70">
        <f t="shared" si="23"/>
        <v>251</v>
      </c>
      <c r="B270" s="85">
        <f t="shared" si="24"/>
        <v>0</v>
      </c>
      <c r="C270" s="132">
        <f t="shared" si="25"/>
        <v>0</v>
      </c>
      <c r="D270" s="132">
        <f t="shared" si="26"/>
        <v>0</v>
      </c>
      <c r="E270" s="85">
        <f t="shared" si="27"/>
        <v>0</v>
      </c>
      <c r="F270" s="85">
        <f t="shared" si="21"/>
        <v>0</v>
      </c>
      <c r="G270" s="133">
        <f t="shared" si="22"/>
        <v>0</v>
      </c>
    </row>
    <row r="271" spans="1:7" ht="13.5" hidden="1" thickBot="1">
      <c r="A271" s="70">
        <f t="shared" si="23"/>
        <v>252</v>
      </c>
      <c r="B271" s="85">
        <f t="shared" si="24"/>
        <v>0</v>
      </c>
      <c r="C271" s="132">
        <f t="shared" si="25"/>
        <v>0</v>
      </c>
      <c r="D271" s="132">
        <f t="shared" si="26"/>
        <v>0</v>
      </c>
      <c r="E271" s="85">
        <f t="shared" si="27"/>
        <v>0</v>
      </c>
      <c r="F271" s="85">
        <f t="shared" si="21"/>
        <v>0</v>
      </c>
      <c r="G271" s="133">
        <f t="shared" si="22"/>
        <v>0</v>
      </c>
    </row>
    <row r="272" spans="1:7" ht="13.5" hidden="1" thickBot="1">
      <c r="A272" s="70">
        <f t="shared" si="23"/>
        <v>253</v>
      </c>
      <c r="B272" s="85">
        <f t="shared" si="24"/>
        <v>0</v>
      </c>
      <c r="C272" s="132">
        <f t="shared" si="25"/>
        <v>0</v>
      </c>
      <c r="D272" s="132">
        <f t="shared" si="26"/>
        <v>0</v>
      </c>
      <c r="E272" s="85">
        <f t="shared" si="27"/>
        <v>0</v>
      </c>
      <c r="F272" s="85">
        <f t="shared" si="21"/>
        <v>0</v>
      </c>
      <c r="G272" s="133">
        <f t="shared" si="22"/>
        <v>0</v>
      </c>
    </row>
    <row r="273" spans="1:7" ht="13.5" hidden="1" thickBot="1">
      <c r="A273" s="70">
        <f t="shared" si="23"/>
        <v>254</v>
      </c>
      <c r="B273" s="85">
        <f t="shared" si="24"/>
        <v>0</v>
      </c>
      <c r="C273" s="132">
        <f t="shared" si="25"/>
        <v>0</v>
      </c>
      <c r="D273" s="132">
        <f t="shared" si="26"/>
        <v>0</v>
      </c>
      <c r="E273" s="85">
        <f t="shared" si="27"/>
        <v>0</v>
      </c>
      <c r="F273" s="85">
        <f t="shared" si="21"/>
        <v>0</v>
      </c>
      <c r="G273" s="133">
        <f t="shared" si="22"/>
        <v>0</v>
      </c>
    </row>
    <row r="274" spans="1:7" ht="13.5" hidden="1" thickBot="1">
      <c r="A274" s="70">
        <f t="shared" si="23"/>
        <v>255</v>
      </c>
      <c r="B274" s="85">
        <f t="shared" si="24"/>
        <v>0</v>
      </c>
      <c r="C274" s="132">
        <f t="shared" si="25"/>
        <v>0</v>
      </c>
      <c r="D274" s="132">
        <f t="shared" si="26"/>
        <v>0</v>
      </c>
      <c r="E274" s="85">
        <f t="shared" si="27"/>
        <v>0</v>
      </c>
      <c r="F274" s="85">
        <f t="shared" si="21"/>
        <v>0</v>
      </c>
      <c r="G274" s="133">
        <f t="shared" si="22"/>
        <v>0</v>
      </c>
    </row>
    <row r="275" spans="1:7" ht="13.5" hidden="1" thickBot="1">
      <c r="A275" s="70">
        <f t="shared" si="23"/>
        <v>256</v>
      </c>
      <c r="B275" s="85">
        <f t="shared" si="24"/>
        <v>0</v>
      </c>
      <c r="C275" s="132">
        <f t="shared" si="25"/>
        <v>0</v>
      </c>
      <c r="D275" s="132">
        <f t="shared" si="26"/>
        <v>0</v>
      </c>
      <c r="E275" s="85">
        <f t="shared" si="27"/>
        <v>0</v>
      </c>
      <c r="F275" s="85">
        <f t="shared" si="21"/>
        <v>0</v>
      </c>
      <c r="G275" s="133">
        <f t="shared" si="22"/>
        <v>0</v>
      </c>
    </row>
    <row r="276" spans="1:7" ht="13.5" hidden="1" thickBot="1">
      <c r="A276" s="70">
        <f t="shared" si="23"/>
        <v>257</v>
      </c>
      <c r="B276" s="85">
        <f t="shared" si="24"/>
        <v>0</v>
      </c>
      <c r="C276" s="132">
        <f t="shared" si="25"/>
        <v>0</v>
      </c>
      <c r="D276" s="132">
        <f t="shared" si="26"/>
        <v>0</v>
      </c>
      <c r="E276" s="85">
        <f t="shared" si="27"/>
        <v>0</v>
      </c>
      <c r="F276" s="85">
        <f t="shared" ref="F276:F339" si="28">IF(A276=$D$10,$D$2,0)</f>
        <v>0</v>
      </c>
      <c r="G276" s="133">
        <f t="shared" ref="G276:G339" si="29">B276-F276</f>
        <v>0</v>
      </c>
    </row>
    <row r="277" spans="1:7" ht="13.5" hidden="1" thickBot="1">
      <c r="A277" s="70">
        <f t="shared" ref="A277:A340" si="30">A276+1</f>
        <v>258</v>
      </c>
      <c r="B277" s="85">
        <f t="shared" ref="B277:B340" si="31">B276-F276</f>
        <v>0</v>
      </c>
      <c r="C277" s="132">
        <f t="shared" ref="C277:C340" si="32">IF(D277=0,0,D277+$D$13)</f>
        <v>0</v>
      </c>
      <c r="D277" s="132">
        <f t="shared" ref="D277:D340" si="33">E277+F277</f>
        <v>0</v>
      </c>
      <c r="E277" s="85">
        <f t="shared" ref="E277:E340" si="34">IF(B277&gt;0,E276,0)</f>
        <v>0</v>
      </c>
      <c r="F277" s="85">
        <f t="shared" si="28"/>
        <v>0</v>
      </c>
      <c r="G277" s="133">
        <f t="shared" si="29"/>
        <v>0</v>
      </c>
    </row>
    <row r="278" spans="1:7" ht="13.5" hidden="1" thickBot="1">
      <c r="A278" s="70">
        <f t="shared" si="30"/>
        <v>259</v>
      </c>
      <c r="B278" s="85">
        <f t="shared" si="31"/>
        <v>0</v>
      </c>
      <c r="C278" s="132">
        <f t="shared" si="32"/>
        <v>0</v>
      </c>
      <c r="D278" s="132">
        <f t="shared" si="33"/>
        <v>0</v>
      </c>
      <c r="E278" s="85">
        <f t="shared" si="34"/>
        <v>0</v>
      </c>
      <c r="F278" s="85">
        <f t="shared" si="28"/>
        <v>0</v>
      </c>
      <c r="G278" s="133">
        <f t="shared" si="29"/>
        <v>0</v>
      </c>
    </row>
    <row r="279" spans="1:7" ht="13.5" hidden="1" thickBot="1">
      <c r="A279" s="70">
        <f t="shared" si="30"/>
        <v>260</v>
      </c>
      <c r="B279" s="85">
        <f t="shared" si="31"/>
        <v>0</v>
      </c>
      <c r="C279" s="132">
        <f t="shared" si="32"/>
        <v>0</v>
      </c>
      <c r="D279" s="132">
        <f t="shared" si="33"/>
        <v>0</v>
      </c>
      <c r="E279" s="85">
        <f t="shared" si="34"/>
        <v>0</v>
      </c>
      <c r="F279" s="85">
        <f t="shared" si="28"/>
        <v>0</v>
      </c>
      <c r="G279" s="133">
        <f t="shared" si="29"/>
        <v>0</v>
      </c>
    </row>
    <row r="280" spans="1:7" ht="13.5" hidden="1" thickBot="1">
      <c r="A280" s="70">
        <f t="shared" si="30"/>
        <v>261</v>
      </c>
      <c r="B280" s="85">
        <f t="shared" si="31"/>
        <v>0</v>
      </c>
      <c r="C280" s="132">
        <f t="shared" si="32"/>
        <v>0</v>
      </c>
      <c r="D280" s="132">
        <f t="shared" si="33"/>
        <v>0</v>
      </c>
      <c r="E280" s="85">
        <f t="shared" si="34"/>
        <v>0</v>
      </c>
      <c r="F280" s="85">
        <f t="shared" si="28"/>
        <v>0</v>
      </c>
      <c r="G280" s="133">
        <f t="shared" si="29"/>
        <v>0</v>
      </c>
    </row>
    <row r="281" spans="1:7" ht="13.5" hidden="1" thickBot="1">
      <c r="A281" s="70">
        <f t="shared" si="30"/>
        <v>262</v>
      </c>
      <c r="B281" s="85">
        <f t="shared" si="31"/>
        <v>0</v>
      </c>
      <c r="C281" s="132">
        <f t="shared" si="32"/>
        <v>0</v>
      </c>
      <c r="D281" s="132">
        <f t="shared" si="33"/>
        <v>0</v>
      </c>
      <c r="E281" s="85">
        <f t="shared" si="34"/>
        <v>0</v>
      </c>
      <c r="F281" s="85">
        <f t="shared" si="28"/>
        <v>0</v>
      </c>
      <c r="G281" s="133">
        <f t="shared" si="29"/>
        <v>0</v>
      </c>
    </row>
    <row r="282" spans="1:7" ht="13.5" hidden="1" thickBot="1">
      <c r="A282" s="70">
        <f t="shared" si="30"/>
        <v>263</v>
      </c>
      <c r="B282" s="85">
        <f t="shared" si="31"/>
        <v>0</v>
      </c>
      <c r="C282" s="132">
        <f t="shared" si="32"/>
        <v>0</v>
      </c>
      <c r="D282" s="132">
        <f t="shared" si="33"/>
        <v>0</v>
      </c>
      <c r="E282" s="85">
        <f t="shared" si="34"/>
        <v>0</v>
      </c>
      <c r="F282" s="85">
        <f t="shared" si="28"/>
        <v>0</v>
      </c>
      <c r="G282" s="133">
        <f t="shared" si="29"/>
        <v>0</v>
      </c>
    </row>
    <row r="283" spans="1:7" ht="13.5" hidden="1" thickBot="1">
      <c r="A283" s="70">
        <f t="shared" si="30"/>
        <v>264</v>
      </c>
      <c r="B283" s="85">
        <f t="shared" si="31"/>
        <v>0</v>
      </c>
      <c r="C283" s="132">
        <f t="shared" si="32"/>
        <v>0</v>
      </c>
      <c r="D283" s="132">
        <f t="shared" si="33"/>
        <v>0</v>
      </c>
      <c r="E283" s="85">
        <f t="shared" si="34"/>
        <v>0</v>
      </c>
      <c r="F283" s="85">
        <f t="shared" si="28"/>
        <v>0</v>
      </c>
      <c r="G283" s="133">
        <f t="shared" si="29"/>
        <v>0</v>
      </c>
    </row>
    <row r="284" spans="1:7" ht="13.5" hidden="1" thickBot="1">
      <c r="A284" s="70">
        <f t="shared" si="30"/>
        <v>265</v>
      </c>
      <c r="B284" s="85">
        <f t="shared" si="31"/>
        <v>0</v>
      </c>
      <c r="C284" s="132">
        <f t="shared" si="32"/>
        <v>0</v>
      </c>
      <c r="D284" s="132">
        <f t="shared" si="33"/>
        <v>0</v>
      </c>
      <c r="E284" s="85">
        <f t="shared" si="34"/>
        <v>0</v>
      </c>
      <c r="F284" s="85">
        <f t="shared" si="28"/>
        <v>0</v>
      </c>
      <c r="G284" s="133">
        <f t="shared" si="29"/>
        <v>0</v>
      </c>
    </row>
    <row r="285" spans="1:7" ht="13.5" hidden="1" thickBot="1">
      <c r="A285" s="70">
        <f t="shared" si="30"/>
        <v>266</v>
      </c>
      <c r="B285" s="85">
        <f t="shared" si="31"/>
        <v>0</v>
      </c>
      <c r="C285" s="132">
        <f t="shared" si="32"/>
        <v>0</v>
      </c>
      <c r="D285" s="132">
        <f t="shared" si="33"/>
        <v>0</v>
      </c>
      <c r="E285" s="85">
        <f t="shared" si="34"/>
        <v>0</v>
      </c>
      <c r="F285" s="85">
        <f t="shared" si="28"/>
        <v>0</v>
      </c>
      <c r="G285" s="133">
        <f t="shared" si="29"/>
        <v>0</v>
      </c>
    </row>
    <row r="286" spans="1:7" ht="13.5" hidden="1" thickBot="1">
      <c r="A286" s="70">
        <f t="shared" si="30"/>
        <v>267</v>
      </c>
      <c r="B286" s="85">
        <f t="shared" si="31"/>
        <v>0</v>
      </c>
      <c r="C286" s="132">
        <f t="shared" si="32"/>
        <v>0</v>
      </c>
      <c r="D286" s="132">
        <f t="shared" si="33"/>
        <v>0</v>
      </c>
      <c r="E286" s="85">
        <f t="shared" si="34"/>
        <v>0</v>
      </c>
      <c r="F286" s="85">
        <f t="shared" si="28"/>
        <v>0</v>
      </c>
      <c r="G286" s="133">
        <f t="shared" si="29"/>
        <v>0</v>
      </c>
    </row>
    <row r="287" spans="1:7" ht="13.5" hidden="1" thickBot="1">
      <c r="A287" s="70">
        <f t="shared" si="30"/>
        <v>268</v>
      </c>
      <c r="B287" s="85">
        <f t="shared" si="31"/>
        <v>0</v>
      </c>
      <c r="C287" s="132">
        <f t="shared" si="32"/>
        <v>0</v>
      </c>
      <c r="D287" s="132">
        <f t="shared" si="33"/>
        <v>0</v>
      </c>
      <c r="E287" s="85">
        <f t="shared" si="34"/>
        <v>0</v>
      </c>
      <c r="F287" s="85">
        <f t="shared" si="28"/>
        <v>0</v>
      </c>
      <c r="G287" s="133">
        <f t="shared" si="29"/>
        <v>0</v>
      </c>
    </row>
    <row r="288" spans="1:7" ht="13.5" hidden="1" thickBot="1">
      <c r="A288" s="70">
        <f t="shared" si="30"/>
        <v>269</v>
      </c>
      <c r="B288" s="85">
        <f t="shared" si="31"/>
        <v>0</v>
      </c>
      <c r="C288" s="132">
        <f t="shared" si="32"/>
        <v>0</v>
      </c>
      <c r="D288" s="132">
        <f t="shared" si="33"/>
        <v>0</v>
      </c>
      <c r="E288" s="85">
        <f t="shared" si="34"/>
        <v>0</v>
      </c>
      <c r="F288" s="85">
        <f t="shared" si="28"/>
        <v>0</v>
      </c>
      <c r="G288" s="133">
        <f t="shared" si="29"/>
        <v>0</v>
      </c>
    </row>
    <row r="289" spans="1:7" ht="13.5" hidden="1" thickBot="1">
      <c r="A289" s="70">
        <f t="shared" si="30"/>
        <v>270</v>
      </c>
      <c r="B289" s="85">
        <f t="shared" si="31"/>
        <v>0</v>
      </c>
      <c r="C289" s="132">
        <f t="shared" si="32"/>
        <v>0</v>
      </c>
      <c r="D289" s="132">
        <f t="shared" si="33"/>
        <v>0</v>
      </c>
      <c r="E289" s="85">
        <f t="shared" si="34"/>
        <v>0</v>
      </c>
      <c r="F289" s="85">
        <f t="shared" si="28"/>
        <v>0</v>
      </c>
      <c r="G289" s="133">
        <f t="shared" si="29"/>
        <v>0</v>
      </c>
    </row>
    <row r="290" spans="1:7" ht="13.5" hidden="1" thickBot="1">
      <c r="A290" s="70">
        <f t="shared" si="30"/>
        <v>271</v>
      </c>
      <c r="B290" s="85">
        <f t="shared" si="31"/>
        <v>0</v>
      </c>
      <c r="C290" s="132">
        <f t="shared" si="32"/>
        <v>0</v>
      </c>
      <c r="D290" s="132">
        <f t="shared" si="33"/>
        <v>0</v>
      </c>
      <c r="E290" s="85">
        <f t="shared" si="34"/>
        <v>0</v>
      </c>
      <c r="F290" s="85">
        <f t="shared" si="28"/>
        <v>0</v>
      </c>
      <c r="G290" s="133">
        <f t="shared" si="29"/>
        <v>0</v>
      </c>
    </row>
    <row r="291" spans="1:7" ht="13.5" hidden="1" thickBot="1">
      <c r="A291" s="70">
        <f t="shared" si="30"/>
        <v>272</v>
      </c>
      <c r="B291" s="85">
        <f t="shared" si="31"/>
        <v>0</v>
      </c>
      <c r="C291" s="132">
        <f t="shared" si="32"/>
        <v>0</v>
      </c>
      <c r="D291" s="132">
        <f t="shared" si="33"/>
        <v>0</v>
      </c>
      <c r="E291" s="85">
        <f t="shared" si="34"/>
        <v>0</v>
      </c>
      <c r="F291" s="85">
        <f t="shared" si="28"/>
        <v>0</v>
      </c>
      <c r="G291" s="133">
        <f t="shared" si="29"/>
        <v>0</v>
      </c>
    </row>
    <row r="292" spans="1:7" ht="13.5" hidden="1" thickBot="1">
      <c r="A292" s="70">
        <f t="shared" si="30"/>
        <v>273</v>
      </c>
      <c r="B292" s="85">
        <f t="shared" si="31"/>
        <v>0</v>
      </c>
      <c r="C292" s="132">
        <f t="shared" si="32"/>
        <v>0</v>
      </c>
      <c r="D292" s="132">
        <f t="shared" si="33"/>
        <v>0</v>
      </c>
      <c r="E292" s="85">
        <f t="shared" si="34"/>
        <v>0</v>
      </c>
      <c r="F292" s="85">
        <f t="shared" si="28"/>
        <v>0</v>
      </c>
      <c r="G292" s="133">
        <f t="shared" si="29"/>
        <v>0</v>
      </c>
    </row>
    <row r="293" spans="1:7" ht="13.5" hidden="1" thickBot="1">
      <c r="A293" s="70">
        <f t="shared" si="30"/>
        <v>274</v>
      </c>
      <c r="B293" s="85">
        <f t="shared" si="31"/>
        <v>0</v>
      </c>
      <c r="C293" s="132">
        <f t="shared" si="32"/>
        <v>0</v>
      </c>
      <c r="D293" s="132">
        <f t="shared" si="33"/>
        <v>0</v>
      </c>
      <c r="E293" s="85">
        <f t="shared" si="34"/>
        <v>0</v>
      </c>
      <c r="F293" s="85">
        <f t="shared" si="28"/>
        <v>0</v>
      </c>
      <c r="G293" s="133">
        <f t="shared" si="29"/>
        <v>0</v>
      </c>
    </row>
    <row r="294" spans="1:7" ht="13.5" hidden="1" thickBot="1">
      <c r="A294" s="70">
        <f t="shared" si="30"/>
        <v>275</v>
      </c>
      <c r="B294" s="85">
        <f t="shared" si="31"/>
        <v>0</v>
      </c>
      <c r="C294" s="132">
        <f t="shared" si="32"/>
        <v>0</v>
      </c>
      <c r="D294" s="132">
        <f t="shared" si="33"/>
        <v>0</v>
      </c>
      <c r="E294" s="85">
        <f t="shared" si="34"/>
        <v>0</v>
      </c>
      <c r="F294" s="85">
        <f t="shared" si="28"/>
        <v>0</v>
      </c>
      <c r="G294" s="133">
        <f t="shared" si="29"/>
        <v>0</v>
      </c>
    </row>
    <row r="295" spans="1:7" ht="13.5" hidden="1" thickBot="1">
      <c r="A295" s="70">
        <f t="shared" si="30"/>
        <v>276</v>
      </c>
      <c r="B295" s="85">
        <f t="shared" si="31"/>
        <v>0</v>
      </c>
      <c r="C295" s="132">
        <f t="shared" si="32"/>
        <v>0</v>
      </c>
      <c r="D295" s="132">
        <f t="shared" si="33"/>
        <v>0</v>
      </c>
      <c r="E295" s="85">
        <f t="shared" si="34"/>
        <v>0</v>
      </c>
      <c r="F295" s="85">
        <f t="shared" si="28"/>
        <v>0</v>
      </c>
      <c r="G295" s="133">
        <f t="shared" si="29"/>
        <v>0</v>
      </c>
    </row>
    <row r="296" spans="1:7" ht="13.5" hidden="1" thickBot="1">
      <c r="A296" s="70">
        <f t="shared" si="30"/>
        <v>277</v>
      </c>
      <c r="B296" s="85">
        <f t="shared" si="31"/>
        <v>0</v>
      </c>
      <c r="C296" s="132">
        <f t="shared" si="32"/>
        <v>0</v>
      </c>
      <c r="D296" s="132">
        <f t="shared" si="33"/>
        <v>0</v>
      </c>
      <c r="E296" s="85">
        <f t="shared" si="34"/>
        <v>0</v>
      </c>
      <c r="F296" s="85">
        <f t="shared" si="28"/>
        <v>0</v>
      </c>
      <c r="G296" s="133">
        <f t="shared" si="29"/>
        <v>0</v>
      </c>
    </row>
    <row r="297" spans="1:7" ht="13.5" hidden="1" thickBot="1">
      <c r="A297" s="70">
        <f t="shared" si="30"/>
        <v>278</v>
      </c>
      <c r="B297" s="85">
        <f t="shared" si="31"/>
        <v>0</v>
      </c>
      <c r="C297" s="132">
        <f t="shared" si="32"/>
        <v>0</v>
      </c>
      <c r="D297" s="132">
        <f t="shared" si="33"/>
        <v>0</v>
      </c>
      <c r="E297" s="85">
        <f t="shared" si="34"/>
        <v>0</v>
      </c>
      <c r="F297" s="85">
        <f t="shared" si="28"/>
        <v>0</v>
      </c>
      <c r="G297" s="133">
        <f t="shared" si="29"/>
        <v>0</v>
      </c>
    </row>
    <row r="298" spans="1:7" ht="13.5" hidden="1" thickBot="1">
      <c r="A298" s="70">
        <f t="shared" si="30"/>
        <v>279</v>
      </c>
      <c r="B298" s="85">
        <f t="shared" si="31"/>
        <v>0</v>
      </c>
      <c r="C298" s="132">
        <f t="shared" si="32"/>
        <v>0</v>
      </c>
      <c r="D298" s="132">
        <f t="shared" si="33"/>
        <v>0</v>
      </c>
      <c r="E298" s="85">
        <f t="shared" si="34"/>
        <v>0</v>
      </c>
      <c r="F298" s="85">
        <f t="shared" si="28"/>
        <v>0</v>
      </c>
      <c r="G298" s="133">
        <f t="shared" si="29"/>
        <v>0</v>
      </c>
    </row>
    <row r="299" spans="1:7" ht="13.5" hidden="1" thickBot="1">
      <c r="A299" s="70">
        <f t="shared" si="30"/>
        <v>280</v>
      </c>
      <c r="B299" s="85">
        <f t="shared" si="31"/>
        <v>0</v>
      </c>
      <c r="C299" s="132">
        <f t="shared" si="32"/>
        <v>0</v>
      </c>
      <c r="D299" s="132">
        <f t="shared" si="33"/>
        <v>0</v>
      </c>
      <c r="E299" s="85">
        <f t="shared" si="34"/>
        <v>0</v>
      </c>
      <c r="F299" s="85">
        <f t="shared" si="28"/>
        <v>0</v>
      </c>
      <c r="G299" s="133">
        <f t="shared" si="29"/>
        <v>0</v>
      </c>
    </row>
    <row r="300" spans="1:7" ht="13.5" hidden="1" thickBot="1">
      <c r="A300" s="70">
        <f t="shared" si="30"/>
        <v>281</v>
      </c>
      <c r="B300" s="85">
        <f t="shared" si="31"/>
        <v>0</v>
      </c>
      <c r="C300" s="132">
        <f t="shared" si="32"/>
        <v>0</v>
      </c>
      <c r="D300" s="132">
        <f t="shared" si="33"/>
        <v>0</v>
      </c>
      <c r="E300" s="85">
        <f t="shared" si="34"/>
        <v>0</v>
      </c>
      <c r="F300" s="85">
        <f t="shared" si="28"/>
        <v>0</v>
      </c>
      <c r="G300" s="133">
        <f t="shared" si="29"/>
        <v>0</v>
      </c>
    </row>
    <row r="301" spans="1:7" ht="13.5" hidden="1" thickBot="1">
      <c r="A301" s="70">
        <f t="shared" si="30"/>
        <v>282</v>
      </c>
      <c r="B301" s="85">
        <f t="shared" si="31"/>
        <v>0</v>
      </c>
      <c r="C301" s="132">
        <f t="shared" si="32"/>
        <v>0</v>
      </c>
      <c r="D301" s="132">
        <f t="shared" si="33"/>
        <v>0</v>
      </c>
      <c r="E301" s="85">
        <f t="shared" si="34"/>
        <v>0</v>
      </c>
      <c r="F301" s="85">
        <f t="shared" si="28"/>
        <v>0</v>
      </c>
      <c r="G301" s="133">
        <f t="shared" si="29"/>
        <v>0</v>
      </c>
    </row>
    <row r="302" spans="1:7" ht="13.5" hidden="1" thickBot="1">
      <c r="A302" s="70">
        <f t="shared" si="30"/>
        <v>283</v>
      </c>
      <c r="B302" s="85">
        <f t="shared" si="31"/>
        <v>0</v>
      </c>
      <c r="C302" s="132">
        <f t="shared" si="32"/>
        <v>0</v>
      </c>
      <c r="D302" s="132">
        <f t="shared" si="33"/>
        <v>0</v>
      </c>
      <c r="E302" s="85">
        <f t="shared" si="34"/>
        <v>0</v>
      </c>
      <c r="F302" s="85">
        <f t="shared" si="28"/>
        <v>0</v>
      </c>
      <c r="G302" s="133">
        <f t="shared" si="29"/>
        <v>0</v>
      </c>
    </row>
    <row r="303" spans="1:7" ht="13.5" hidden="1" thickBot="1">
      <c r="A303" s="70">
        <f t="shared" si="30"/>
        <v>284</v>
      </c>
      <c r="B303" s="85">
        <f t="shared" si="31"/>
        <v>0</v>
      </c>
      <c r="C303" s="132">
        <f t="shared" si="32"/>
        <v>0</v>
      </c>
      <c r="D303" s="132">
        <f t="shared" si="33"/>
        <v>0</v>
      </c>
      <c r="E303" s="85">
        <f t="shared" si="34"/>
        <v>0</v>
      </c>
      <c r="F303" s="85">
        <f t="shared" si="28"/>
        <v>0</v>
      </c>
      <c r="G303" s="133">
        <f t="shared" si="29"/>
        <v>0</v>
      </c>
    </row>
    <row r="304" spans="1:7" ht="13.5" hidden="1" thickBot="1">
      <c r="A304" s="70">
        <f t="shared" si="30"/>
        <v>285</v>
      </c>
      <c r="B304" s="85">
        <f t="shared" si="31"/>
        <v>0</v>
      </c>
      <c r="C304" s="132">
        <f t="shared" si="32"/>
        <v>0</v>
      </c>
      <c r="D304" s="132">
        <f t="shared" si="33"/>
        <v>0</v>
      </c>
      <c r="E304" s="85">
        <f t="shared" si="34"/>
        <v>0</v>
      </c>
      <c r="F304" s="85">
        <f t="shared" si="28"/>
        <v>0</v>
      </c>
      <c r="G304" s="133">
        <f t="shared" si="29"/>
        <v>0</v>
      </c>
    </row>
    <row r="305" spans="1:7" ht="13.5" hidden="1" thickBot="1">
      <c r="A305" s="70">
        <f t="shared" si="30"/>
        <v>286</v>
      </c>
      <c r="B305" s="85">
        <f t="shared" si="31"/>
        <v>0</v>
      </c>
      <c r="C305" s="132">
        <f t="shared" si="32"/>
        <v>0</v>
      </c>
      <c r="D305" s="132">
        <f t="shared" si="33"/>
        <v>0</v>
      </c>
      <c r="E305" s="85">
        <f t="shared" si="34"/>
        <v>0</v>
      </c>
      <c r="F305" s="85">
        <f t="shared" si="28"/>
        <v>0</v>
      </c>
      <c r="G305" s="133">
        <f t="shared" si="29"/>
        <v>0</v>
      </c>
    </row>
    <row r="306" spans="1:7" ht="13.5" hidden="1" thickBot="1">
      <c r="A306" s="70">
        <f t="shared" si="30"/>
        <v>287</v>
      </c>
      <c r="B306" s="85">
        <f t="shared" si="31"/>
        <v>0</v>
      </c>
      <c r="C306" s="132">
        <f t="shared" si="32"/>
        <v>0</v>
      </c>
      <c r="D306" s="132">
        <f t="shared" si="33"/>
        <v>0</v>
      </c>
      <c r="E306" s="85">
        <f t="shared" si="34"/>
        <v>0</v>
      </c>
      <c r="F306" s="85">
        <f t="shared" si="28"/>
        <v>0</v>
      </c>
      <c r="G306" s="133">
        <f t="shared" si="29"/>
        <v>0</v>
      </c>
    </row>
    <row r="307" spans="1:7" ht="13.5" hidden="1" thickBot="1">
      <c r="A307" s="70">
        <f t="shared" si="30"/>
        <v>288</v>
      </c>
      <c r="B307" s="85">
        <f t="shared" si="31"/>
        <v>0</v>
      </c>
      <c r="C307" s="132">
        <f t="shared" si="32"/>
        <v>0</v>
      </c>
      <c r="D307" s="132">
        <f t="shared" si="33"/>
        <v>0</v>
      </c>
      <c r="E307" s="85">
        <f t="shared" si="34"/>
        <v>0</v>
      </c>
      <c r="F307" s="85">
        <f t="shared" si="28"/>
        <v>0</v>
      </c>
      <c r="G307" s="133">
        <f t="shared" si="29"/>
        <v>0</v>
      </c>
    </row>
    <row r="308" spans="1:7" ht="13.5" hidden="1" thickBot="1">
      <c r="A308" s="70">
        <f t="shared" si="30"/>
        <v>289</v>
      </c>
      <c r="B308" s="85">
        <f t="shared" si="31"/>
        <v>0</v>
      </c>
      <c r="C308" s="132">
        <f t="shared" si="32"/>
        <v>0</v>
      </c>
      <c r="D308" s="132">
        <f t="shared" si="33"/>
        <v>0</v>
      </c>
      <c r="E308" s="85">
        <f t="shared" si="34"/>
        <v>0</v>
      </c>
      <c r="F308" s="85">
        <f t="shared" si="28"/>
        <v>0</v>
      </c>
      <c r="G308" s="133">
        <f t="shared" si="29"/>
        <v>0</v>
      </c>
    </row>
    <row r="309" spans="1:7" ht="13.5" hidden="1" thickBot="1">
      <c r="A309" s="70">
        <f t="shared" si="30"/>
        <v>290</v>
      </c>
      <c r="B309" s="85">
        <f t="shared" si="31"/>
        <v>0</v>
      </c>
      <c r="C309" s="132">
        <f t="shared" si="32"/>
        <v>0</v>
      </c>
      <c r="D309" s="132">
        <f t="shared" si="33"/>
        <v>0</v>
      </c>
      <c r="E309" s="85">
        <f t="shared" si="34"/>
        <v>0</v>
      </c>
      <c r="F309" s="85">
        <f t="shared" si="28"/>
        <v>0</v>
      </c>
      <c r="G309" s="133">
        <f t="shared" si="29"/>
        <v>0</v>
      </c>
    </row>
    <row r="310" spans="1:7" ht="13.5" hidden="1" thickBot="1">
      <c r="A310" s="70">
        <f t="shared" si="30"/>
        <v>291</v>
      </c>
      <c r="B310" s="85">
        <f t="shared" si="31"/>
        <v>0</v>
      </c>
      <c r="C310" s="132">
        <f t="shared" si="32"/>
        <v>0</v>
      </c>
      <c r="D310" s="132">
        <f t="shared" si="33"/>
        <v>0</v>
      </c>
      <c r="E310" s="85">
        <f t="shared" si="34"/>
        <v>0</v>
      </c>
      <c r="F310" s="85">
        <f t="shared" si="28"/>
        <v>0</v>
      </c>
      <c r="G310" s="133">
        <f t="shared" si="29"/>
        <v>0</v>
      </c>
    </row>
    <row r="311" spans="1:7" ht="13.5" hidden="1" thickBot="1">
      <c r="A311" s="70">
        <f t="shared" si="30"/>
        <v>292</v>
      </c>
      <c r="B311" s="85">
        <f t="shared" si="31"/>
        <v>0</v>
      </c>
      <c r="C311" s="132">
        <f t="shared" si="32"/>
        <v>0</v>
      </c>
      <c r="D311" s="132">
        <f t="shared" si="33"/>
        <v>0</v>
      </c>
      <c r="E311" s="85">
        <f t="shared" si="34"/>
        <v>0</v>
      </c>
      <c r="F311" s="85">
        <f t="shared" si="28"/>
        <v>0</v>
      </c>
      <c r="G311" s="133">
        <f t="shared" si="29"/>
        <v>0</v>
      </c>
    </row>
    <row r="312" spans="1:7" ht="13.5" hidden="1" thickBot="1">
      <c r="A312" s="70">
        <f t="shared" si="30"/>
        <v>293</v>
      </c>
      <c r="B312" s="85">
        <f t="shared" si="31"/>
        <v>0</v>
      </c>
      <c r="C312" s="132">
        <f t="shared" si="32"/>
        <v>0</v>
      </c>
      <c r="D312" s="132">
        <f t="shared" si="33"/>
        <v>0</v>
      </c>
      <c r="E312" s="85">
        <f t="shared" si="34"/>
        <v>0</v>
      </c>
      <c r="F312" s="85">
        <f t="shared" si="28"/>
        <v>0</v>
      </c>
      <c r="G312" s="133">
        <f t="shared" si="29"/>
        <v>0</v>
      </c>
    </row>
    <row r="313" spans="1:7" ht="13.5" hidden="1" thickBot="1">
      <c r="A313" s="70">
        <f t="shared" si="30"/>
        <v>294</v>
      </c>
      <c r="B313" s="85">
        <f t="shared" si="31"/>
        <v>0</v>
      </c>
      <c r="C313" s="132">
        <f t="shared" si="32"/>
        <v>0</v>
      </c>
      <c r="D313" s="132">
        <f t="shared" si="33"/>
        <v>0</v>
      </c>
      <c r="E313" s="85">
        <f t="shared" si="34"/>
        <v>0</v>
      </c>
      <c r="F313" s="85">
        <f t="shared" si="28"/>
        <v>0</v>
      </c>
      <c r="G313" s="133">
        <f t="shared" si="29"/>
        <v>0</v>
      </c>
    </row>
    <row r="314" spans="1:7" ht="13.5" hidden="1" thickBot="1">
      <c r="A314" s="70">
        <f t="shared" si="30"/>
        <v>295</v>
      </c>
      <c r="B314" s="85">
        <f t="shared" si="31"/>
        <v>0</v>
      </c>
      <c r="C314" s="132">
        <f t="shared" si="32"/>
        <v>0</v>
      </c>
      <c r="D314" s="132">
        <f t="shared" si="33"/>
        <v>0</v>
      </c>
      <c r="E314" s="85">
        <f t="shared" si="34"/>
        <v>0</v>
      </c>
      <c r="F314" s="85">
        <f t="shared" si="28"/>
        <v>0</v>
      </c>
      <c r="G314" s="133">
        <f t="shared" si="29"/>
        <v>0</v>
      </c>
    </row>
    <row r="315" spans="1:7" ht="13.5" hidden="1" thickBot="1">
      <c r="A315" s="70">
        <f t="shared" si="30"/>
        <v>296</v>
      </c>
      <c r="B315" s="85">
        <f t="shared" si="31"/>
        <v>0</v>
      </c>
      <c r="C315" s="132">
        <f t="shared" si="32"/>
        <v>0</v>
      </c>
      <c r="D315" s="132">
        <f t="shared" si="33"/>
        <v>0</v>
      </c>
      <c r="E315" s="85">
        <f t="shared" si="34"/>
        <v>0</v>
      </c>
      <c r="F315" s="85">
        <f t="shared" si="28"/>
        <v>0</v>
      </c>
      <c r="G315" s="133">
        <f t="shared" si="29"/>
        <v>0</v>
      </c>
    </row>
    <row r="316" spans="1:7" ht="13.5" hidden="1" thickBot="1">
      <c r="A316" s="70">
        <f t="shared" si="30"/>
        <v>297</v>
      </c>
      <c r="B316" s="85">
        <f t="shared" si="31"/>
        <v>0</v>
      </c>
      <c r="C316" s="132">
        <f t="shared" si="32"/>
        <v>0</v>
      </c>
      <c r="D316" s="132">
        <f t="shared" si="33"/>
        <v>0</v>
      </c>
      <c r="E316" s="85">
        <f t="shared" si="34"/>
        <v>0</v>
      </c>
      <c r="F316" s="85">
        <f t="shared" si="28"/>
        <v>0</v>
      </c>
      <c r="G316" s="133">
        <f t="shared" si="29"/>
        <v>0</v>
      </c>
    </row>
    <row r="317" spans="1:7" ht="13.5" hidden="1" thickBot="1">
      <c r="A317" s="70">
        <f t="shared" si="30"/>
        <v>298</v>
      </c>
      <c r="B317" s="85">
        <f t="shared" si="31"/>
        <v>0</v>
      </c>
      <c r="C317" s="132">
        <f t="shared" si="32"/>
        <v>0</v>
      </c>
      <c r="D317" s="132">
        <f t="shared" si="33"/>
        <v>0</v>
      </c>
      <c r="E317" s="85">
        <f t="shared" si="34"/>
        <v>0</v>
      </c>
      <c r="F317" s="85">
        <f t="shared" si="28"/>
        <v>0</v>
      </c>
      <c r="G317" s="133">
        <f t="shared" si="29"/>
        <v>0</v>
      </c>
    </row>
    <row r="318" spans="1:7" ht="13.5" hidden="1" thickBot="1">
      <c r="A318" s="70">
        <f t="shared" si="30"/>
        <v>299</v>
      </c>
      <c r="B318" s="85">
        <f t="shared" si="31"/>
        <v>0</v>
      </c>
      <c r="C318" s="132">
        <f t="shared" si="32"/>
        <v>0</v>
      </c>
      <c r="D318" s="132">
        <f t="shared" si="33"/>
        <v>0</v>
      </c>
      <c r="E318" s="85">
        <f t="shared" si="34"/>
        <v>0</v>
      </c>
      <c r="F318" s="85">
        <f t="shared" si="28"/>
        <v>0</v>
      </c>
      <c r="G318" s="133">
        <f t="shared" si="29"/>
        <v>0</v>
      </c>
    </row>
    <row r="319" spans="1:7" ht="13.5" hidden="1" thickBot="1">
      <c r="A319" s="70">
        <f t="shared" si="30"/>
        <v>300</v>
      </c>
      <c r="B319" s="85">
        <f t="shared" si="31"/>
        <v>0</v>
      </c>
      <c r="C319" s="132">
        <f t="shared" si="32"/>
        <v>0</v>
      </c>
      <c r="D319" s="132">
        <f t="shared" si="33"/>
        <v>0</v>
      </c>
      <c r="E319" s="85">
        <f t="shared" si="34"/>
        <v>0</v>
      </c>
      <c r="F319" s="85">
        <f t="shared" si="28"/>
        <v>0</v>
      </c>
      <c r="G319" s="133">
        <f t="shared" si="29"/>
        <v>0</v>
      </c>
    </row>
    <row r="320" spans="1:7" ht="13.5" hidden="1" thickBot="1">
      <c r="A320" s="70">
        <f t="shared" si="30"/>
        <v>301</v>
      </c>
      <c r="B320" s="85">
        <f t="shared" si="31"/>
        <v>0</v>
      </c>
      <c r="C320" s="132">
        <f t="shared" si="32"/>
        <v>0</v>
      </c>
      <c r="D320" s="132">
        <f t="shared" si="33"/>
        <v>0</v>
      </c>
      <c r="E320" s="85">
        <f t="shared" si="34"/>
        <v>0</v>
      </c>
      <c r="F320" s="85">
        <f t="shared" si="28"/>
        <v>0</v>
      </c>
      <c r="G320" s="133">
        <f t="shared" si="29"/>
        <v>0</v>
      </c>
    </row>
    <row r="321" spans="1:7" ht="13.5" hidden="1" thickBot="1">
      <c r="A321" s="70">
        <f t="shared" si="30"/>
        <v>302</v>
      </c>
      <c r="B321" s="85">
        <f t="shared" si="31"/>
        <v>0</v>
      </c>
      <c r="C321" s="132">
        <f t="shared" si="32"/>
        <v>0</v>
      </c>
      <c r="D321" s="132">
        <f t="shared" si="33"/>
        <v>0</v>
      </c>
      <c r="E321" s="85">
        <f t="shared" si="34"/>
        <v>0</v>
      </c>
      <c r="F321" s="85">
        <f t="shared" si="28"/>
        <v>0</v>
      </c>
      <c r="G321" s="133">
        <f t="shared" si="29"/>
        <v>0</v>
      </c>
    </row>
    <row r="322" spans="1:7" ht="13.5" hidden="1" thickBot="1">
      <c r="A322" s="70">
        <f t="shared" si="30"/>
        <v>303</v>
      </c>
      <c r="B322" s="85">
        <f t="shared" si="31"/>
        <v>0</v>
      </c>
      <c r="C322" s="132">
        <f t="shared" si="32"/>
        <v>0</v>
      </c>
      <c r="D322" s="132">
        <f t="shared" si="33"/>
        <v>0</v>
      </c>
      <c r="E322" s="85">
        <f t="shared" si="34"/>
        <v>0</v>
      </c>
      <c r="F322" s="85">
        <f t="shared" si="28"/>
        <v>0</v>
      </c>
      <c r="G322" s="133">
        <f t="shared" si="29"/>
        <v>0</v>
      </c>
    </row>
    <row r="323" spans="1:7" ht="13.5" hidden="1" thickBot="1">
      <c r="A323" s="70">
        <f t="shared" si="30"/>
        <v>304</v>
      </c>
      <c r="B323" s="85">
        <f t="shared" si="31"/>
        <v>0</v>
      </c>
      <c r="C323" s="132">
        <f t="shared" si="32"/>
        <v>0</v>
      </c>
      <c r="D323" s="132">
        <f t="shared" si="33"/>
        <v>0</v>
      </c>
      <c r="E323" s="85">
        <f t="shared" si="34"/>
        <v>0</v>
      </c>
      <c r="F323" s="85">
        <f t="shared" si="28"/>
        <v>0</v>
      </c>
      <c r="G323" s="133">
        <f t="shared" si="29"/>
        <v>0</v>
      </c>
    </row>
    <row r="324" spans="1:7" ht="13.5" hidden="1" thickBot="1">
      <c r="A324" s="70">
        <f t="shared" si="30"/>
        <v>305</v>
      </c>
      <c r="B324" s="85">
        <f t="shared" si="31"/>
        <v>0</v>
      </c>
      <c r="C324" s="132">
        <f t="shared" si="32"/>
        <v>0</v>
      </c>
      <c r="D324" s="132">
        <f t="shared" si="33"/>
        <v>0</v>
      </c>
      <c r="E324" s="85">
        <f t="shared" si="34"/>
        <v>0</v>
      </c>
      <c r="F324" s="85">
        <f t="shared" si="28"/>
        <v>0</v>
      </c>
      <c r="G324" s="133">
        <f t="shared" si="29"/>
        <v>0</v>
      </c>
    </row>
    <row r="325" spans="1:7" ht="13.5" hidden="1" thickBot="1">
      <c r="A325" s="70">
        <f t="shared" si="30"/>
        <v>306</v>
      </c>
      <c r="B325" s="85">
        <f t="shared" si="31"/>
        <v>0</v>
      </c>
      <c r="C325" s="132">
        <f t="shared" si="32"/>
        <v>0</v>
      </c>
      <c r="D325" s="132">
        <f t="shared" si="33"/>
        <v>0</v>
      </c>
      <c r="E325" s="85">
        <f t="shared" si="34"/>
        <v>0</v>
      </c>
      <c r="F325" s="85">
        <f t="shared" si="28"/>
        <v>0</v>
      </c>
      <c r="G325" s="133">
        <f t="shared" si="29"/>
        <v>0</v>
      </c>
    </row>
    <row r="326" spans="1:7" ht="13.5" hidden="1" thickBot="1">
      <c r="A326" s="70">
        <f t="shared" si="30"/>
        <v>307</v>
      </c>
      <c r="B326" s="85">
        <f t="shared" si="31"/>
        <v>0</v>
      </c>
      <c r="C326" s="132">
        <f t="shared" si="32"/>
        <v>0</v>
      </c>
      <c r="D326" s="132">
        <f t="shared" si="33"/>
        <v>0</v>
      </c>
      <c r="E326" s="85">
        <f t="shared" si="34"/>
        <v>0</v>
      </c>
      <c r="F326" s="85">
        <f t="shared" si="28"/>
        <v>0</v>
      </c>
      <c r="G326" s="133">
        <f t="shared" si="29"/>
        <v>0</v>
      </c>
    </row>
    <row r="327" spans="1:7" ht="13.5" hidden="1" thickBot="1">
      <c r="A327" s="70">
        <f t="shared" si="30"/>
        <v>308</v>
      </c>
      <c r="B327" s="85">
        <f t="shared" si="31"/>
        <v>0</v>
      </c>
      <c r="C327" s="132">
        <f t="shared" si="32"/>
        <v>0</v>
      </c>
      <c r="D327" s="132">
        <f t="shared" si="33"/>
        <v>0</v>
      </c>
      <c r="E327" s="85">
        <f t="shared" si="34"/>
        <v>0</v>
      </c>
      <c r="F327" s="85">
        <f t="shared" si="28"/>
        <v>0</v>
      </c>
      <c r="G327" s="133">
        <f t="shared" si="29"/>
        <v>0</v>
      </c>
    </row>
    <row r="328" spans="1:7" ht="13.5" hidden="1" thickBot="1">
      <c r="A328" s="70">
        <f t="shared" si="30"/>
        <v>309</v>
      </c>
      <c r="B328" s="85">
        <f t="shared" si="31"/>
        <v>0</v>
      </c>
      <c r="C328" s="132">
        <f t="shared" si="32"/>
        <v>0</v>
      </c>
      <c r="D328" s="132">
        <f t="shared" si="33"/>
        <v>0</v>
      </c>
      <c r="E328" s="85">
        <f t="shared" si="34"/>
        <v>0</v>
      </c>
      <c r="F328" s="85">
        <f t="shared" si="28"/>
        <v>0</v>
      </c>
      <c r="G328" s="133">
        <f t="shared" si="29"/>
        <v>0</v>
      </c>
    </row>
    <row r="329" spans="1:7" ht="13.5" hidden="1" thickBot="1">
      <c r="A329" s="70">
        <f t="shared" si="30"/>
        <v>310</v>
      </c>
      <c r="B329" s="85">
        <f t="shared" si="31"/>
        <v>0</v>
      </c>
      <c r="C329" s="132">
        <f t="shared" si="32"/>
        <v>0</v>
      </c>
      <c r="D329" s="132">
        <f t="shared" si="33"/>
        <v>0</v>
      </c>
      <c r="E329" s="85">
        <f t="shared" si="34"/>
        <v>0</v>
      </c>
      <c r="F329" s="85">
        <f t="shared" si="28"/>
        <v>0</v>
      </c>
      <c r="G329" s="133">
        <f t="shared" si="29"/>
        <v>0</v>
      </c>
    </row>
    <row r="330" spans="1:7" ht="13.5" hidden="1" thickBot="1">
      <c r="A330" s="70">
        <f t="shared" si="30"/>
        <v>311</v>
      </c>
      <c r="B330" s="85">
        <f t="shared" si="31"/>
        <v>0</v>
      </c>
      <c r="C330" s="132">
        <f t="shared" si="32"/>
        <v>0</v>
      </c>
      <c r="D330" s="132">
        <f t="shared" si="33"/>
        <v>0</v>
      </c>
      <c r="E330" s="85">
        <f t="shared" si="34"/>
        <v>0</v>
      </c>
      <c r="F330" s="85">
        <f t="shared" si="28"/>
        <v>0</v>
      </c>
      <c r="G330" s="133">
        <f t="shared" si="29"/>
        <v>0</v>
      </c>
    </row>
    <row r="331" spans="1:7" ht="13.5" hidden="1" thickBot="1">
      <c r="A331" s="70">
        <f t="shared" si="30"/>
        <v>312</v>
      </c>
      <c r="B331" s="85">
        <f t="shared" si="31"/>
        <v>0</v>
      </c>
      <c r="C331" s="132">
        <f t="shared" si="32"/>
        <v>0</v>
      </c>
      <c r="D331" s="132">
        <f t="shared" si="33"/>
        <v>0</v>
      </c>
      <c r="E331" s="85">
        <f t="shared" si="34"/>
        <v>0</v>
      </c>
      <c r="F331" s="85">
        <f t="shared" si="28"/>
        <v>0</v>
      </c>
      <c r="G331" s="133">
        <f t="shared" si="29"/>
        <v>0</v>
      </c>
    </row>
    <row r="332" spans="1:7" ht="13.5" hidden="1" thickBot="1">
      <c r="A332" s="70">
        <f t="shared" si="30"/>
        <v>313</v>
      </c>
      <c r="B332" s="85">
        <f t="shared" si="31"/>
        <v>0</v>
      </c>
      <c r="C332" s="132">
        <f t="shared" si="32"/>
        <v>0</v>
      </c>
      <c r="D332" s="132">
        <f t="shared" si="33"/>
        <v>0</v>
      </c>
      <c r="E332" s="85">
        <f t="shared" si="34"/>
        <v>0</v>
      </c>
      <c r="F332" s="85">
        <f t="shared" si="28"/>
        <v>0</v>
      </c>
      <c r="G332" s="133">
        <f t="shared" si="29"/>
        <v>0</v>
      </c>
    </row>
    <row r="333" spans="1:7" ht="13.5" hidden="1" thickBot="1">
      <c r="A333" s="70">
        <f t="shared" si="30"/>
        <v>314</v>
      </c>
      <c r="B333" s="85">
        <f t="shared" si="31"/>
        <v>0</v>
      </c>
      <c r="C333" s="132">
        <f t="shared" si="32"/>
        <v>0</v>
      </c>
      <c r="D333" s="132">
        <f t="shared" si="33"/>
        <v>0</v>
      </c>
      <c r="E333" s="85">
        <f t="shared" si="34"/>
        <v>0</v>
      </c>
      <c r="F333" s="85">
        <f t="shared" si="28"/>
        <v>0</v>
      </c>
      <c r="G333" s="133">
        <f t="shared" si="29"/>
        <v>0</v>
      </c>
    </row>
    <row r="334" spans="1:7" ht="13.5" hidden="1" thickBot="1">
      <c r="A334" s="70">
        <f t="shared" si="30"/>
        <v>315</v>
      </c>
      <c r="B334" s="85">
        <f t="shared" si="31"/>
        <v>0</v>
      </c>
      <c r="C334" s="132">
        <f t="shared" si="32"/>
        <v>0</v>
      </c>
      <c r="D334" s="132">
        <f t="shared" si="33"/>
        <v>0</v>
      </c>
      <c r="E334" s="85">
        <f t="shared" si="34"/>
        <v>0</v>
      </c>
      <c r="F334" s="85">
        <f t="shared" si="28"/>
        <v>0</v>
      </c>
      <c r="G334" s="133">
        <f t="shared" si="29"/>
        <v>0</v>
      </c>
    </row>
    <row r="335" spans="1:7" ht="13.5" hidden="1" thickBot="1">
      <c r="A335" s="70">
        <f t="shared" si="30"/>
        <v>316</v>
      </c>
      <c r="B335" s="85">
        <f t="shared" si="31"/>
        <v>0</v>
      </c>
      <c r="C335" s="132">
        <f t="shared" si="32"/>
        <v>0</v>
      </c>
      <c r="D335" s="132">
        <f t="shared" si="33"/>
        <v>0</v>
      </c>
      <c r="E335" s="85">
        <f t="shared" si="34"/>
        <v>0</v>
      </c>
      <c r="F335" s="85">
        <f t="shared" si="28"/>
        <v>0</v>
      </c>
      <c r="G335" s="133">
        <f t="shared" si="29"/>
        <v>0</v>
      </c>
    </row>
    <row r="336" spans="1:7" ht="13.5" hidden="1" thickBot="1">
      <c r="A336" s="70">
        <f t="shared" si="30"/>
        <v>317</v>
      </c>
      <c r="B336" s="85">
        <f t="shared" si="31"/>
        <v>0</v>
      </c>
      <c r="C336" s="132">
        <f t="shared" si="32"/>
        <v>0</v>
      </c>
      <c r="D336" s="132">
        <f t="shared" si="33"/>
        <v>0</v>
      </c>
      <c r="E336" s="85">
        <f t="shared" si="34"/>
        <v>0</v>
      </c>
      <c r="F336" s="85">
        <f t="shared" si="28"/>
        <v>0</v>
      </c>
      <c r="G336" s="133">
        <f t="shared" si="29"/>
        <v>0</v>
      </c>
    </row>
    <row r="337" spans="1:7" ht="13.5" hidden="1" thickBot="1">
      <c r="A337" s="70">
        <f t="shared" si="30"/>
        <v>318</v>
      </c>
      <c r="B337" s="85">
        <f t="shared" si="31"/>
        <v>0</v>
      </c>
      <c r="C337" s="132">
        <f t="shared" si="32"/>
        <v>0</v>
      </c>
      <c r="D337" s="132">
        <f t="shared" si="33"/>
        <v>0</v>
      </c>
      <c r="E337" s="85">
        <f t="shared" si="34"/>
        <v>0</v>
      </c>
      <c r="F337" s="85">
        <f t="shared" si="28"/>
        <v>0</v>
      </c>
      <c r="G337" s="133">
        <f t="shared" si="29"/>
        <v>0</v>
      </c>
    </row>
    <row r="338" spans="1:7" ht="13.5" hidden="1" thickBot="1">
      <c r="A338" s="70">
        <f t="shared" si="30"/>
        <v>319</v>
      </c>
      <c r="B338" s="85">
        <f t="shared" si="31"/>
        <v>0</v>
      </c>
      <c r="C338" s="132">
        <f t="shared" si="32"/>
        <v>0</v>
      </c>
      <c r="D338" s="132">
        <f t="shared" si="33"/>
        <v>0</v>
      </c>
      <c r="E338" s="85">
        <f t="shared" si="34"/>
        <v>0</v>
      </c>
      <c r="F338" s="85">
        <f t="shared" si="28"/>
        <v>0</v>
      </c>
      <c r="G338" s="133">
        <f t="shared" si="29"/>
        <v>0</v>
      </c>
    </row>
    <row r="339" spans="1:7" ht="13.5" hidden="1" thickBot="1">
      <c r="A339" s="70">
        <f t="shared" si="30"/>
        <v>320</v>
      </c>
      <c r="B339" s="85">
        <f t="shared" si="31"/>
        <v>0</v>
      </c>
      <c r="C339" s="132">
        <f t="shared" si="32"/>
        <v>0</v>
      </c>
      <c r="D339" s="132">
        <f t="shared" si="33"/>
        <v>0</v>
      </c>
      <c r="E339" s="85">
        <f t="shared" si="34"/>
        <v>0</v>
      </c>
      <c r="F339" s="85">
        <f t="shared" si="28"/>
        <v>0</v>
      </c>
      <c r="G339" s="133">
        <f t="shared" si="29"/>
        <v>0</v>
      </c>
    </row>
    <row r="340" spans="1:7" ht="13.5" hidden="1" thickBot="1">
      <c r="A340" s="70">
        <f t="shared" si="30"/>
        <v>321</v>
      </c>
      <c r="B340" s="85">
        <f t="shared" si="31"/>
        <v>0</v>
      </c>
      <c r="C340" s="132">
        <f t="shared" si="32"/>
        <v>0</v>
      </c>
      <c r="D340" s="132">
        <f t="shared" si="33"/>
        <v>0</v>
      </c>
      <c r="E340" s="85">
        <f t="shared" si="34"/>
        <v>0</v>
      </c>
      <c r="F340" s="85">
        <f t="shared" ref="F340:F379" si="35">IF(A340=$D$10,$D$2,0)</f>
        <v>0</v>
      </c>
      <c r="G340" s="133">
        <f t="shared" ref="G340:G379" si="36">B340-F340</f>
        <v>0</v>
      </c>
    </row>
    <row r="341" spans="1:7" ht="13.5" hidden="1" thickBot="1">
      <c r="A341" s="70">
        <f t="shared" ref="A341:A379" si="37">A340+1</f>
        <v>322</v>
      </c>
      <c r="B341" s="85">
        <f t="shared" ref="B341:B379" si="38">B340-F340</f>
        <v>0</v>
      </c>
      <c r="C341" s="132">
        <f t="shared" ref="C341:C379" si="39">IF(D341=0,0,D341+$D$13)</f>
        <v>0</v>
      </c>
      <c r="D341" s="132">
        <f t="shared" ref="D341:D379" si="40">E341+F341</f>
        <v>0</v>
      </c>
      <c r="E341" s="85">
        <f t="shared" ref="E341:E379" si="41">IF(B341&gt;0,E340,0)</f>
        <v>0</v>
      </c>
      <c r="F341" s="85">
        <f t="shared" si="35"/>
        <v>0</v>
      </c>
      <c r="G341" s="133">
        <f t="shared" si="36"/>
        <v>0</v>
      </c>
    </row>
    <row r="342" spans="1:7" ht="13.5" hidden="1" thickBot="1">
      <c r="A342" s="70">
        <f t="shared" si="37"/>
        <v>323</v>
      </c>
      <c r="B342" s="85">
        <f t="shared" si="38"/>
        <v>0</v>
      </c>
      <c r="C342" s="132">
        <f t="shared" si="39"/>
        <v>0</v>
      </c>
      <c r="D342" s="132">
        <f t="shared" si="40"/>
        <v>0</v>
      </c>
      <c r="E342" s="85">
        <f t="shared" si="41"/>
        <v>0</v>
      </c>
      <c r="F342" s="85">
        <f t="shared" si="35"/>
        <v>0</v>
      </c>
      <c r="G342" s="133">
        <f t="shared" si="36"/>
        <v>0</v>
      </c>
    </row>
    <row r="343" spans="1:7" ht="13.5" hidden="1" thickBot="1">
      <c r="A343" s="70">
        <f t="shared" si="37"/>
        <v>324</v>
      </c>
      <c r="B343" s="85">
        <f t="shared" si="38"/>
        <v>0</v>
      </c>
      <c r="C343" s="132">
        <f t="shared" si="39"/>
        <v>0</v>
      </c>
      <c r="D343" s="132">
        <f t="shared" si="40"/>
        <v>0</v>
      </c>
      <c r="E343" s="85">
        <f t="shared" si="41"/>
        <v>0</v>
      </c>
      <c r="F343" s="85">
        <f t="shared" si="35"/>
        <v>0</v>
      </c>
      <c r="G343" s="133">
        <f t="shared" si="36"/>
        <v>0</v>
      </c>
    </row>
    <row r="344" spans="1:7" ht="13.5" hidden="1" thickBot="1">
      <c r="A344" s="70">
        <f t="shared" si="37"/>
        <v>325</v>
      </c>
      <c r="B344" s="85">
        <f t="shared" si="38"/>
        <v>0</v>
      </c>
      <c r="C344" s="132">
        <f t="shared" si="39"/>
        <v>0</v>
      </c>
      <c r="D344" s="132">
        <f t="shared" si="40"/>
        <v>0</v>
      </c>
      <c r="E344" s="85">
        <f t="shared" si="41"/>
        <v>0</v>
      </c>
      <c r="F344" s="85">
        <f t="shared" si="35"/>
        <v>0</v>
      </c>
      <c r="G344" s="133">
        <f t="shared" si="36"/>
        <v>0</v>
      </c>
    </row>
    <row r="345" spans="1:7" ht="13.5" hidden="1" thickBot="1">
      <c r="A345" s="70">
        <f t="shared" si="37"/>
        <v>326</v>
      </c>
      <c r="B345" s="85">
        <f t="shared" si="38"/>
        <v>0</v>
      </c>
      <c r="C345" s="132">
        <f t="shared" si="39"/>
        <v>0</v>
      </c>
      <c r="D345" s="132">
        <f t="shared" si="40"/>
        <v>0</v>
      </c>
      <c r="E345" s="85">
        <f t="shared" si="41"/>
        <v>0</v>
      </c>
      <c r="F345" s="85">
        <f t="shared" si="35"/>
        <v>0</v>
      </c>
      <c r="G345" s="133">
        <f t="shared" si="36"/>
        <v>0</v>
      </c>
    </row>
    <row r="346" spans="1:7" ht="13.5" hidden="1" thickBot="1">
      <c r="A346" s="70">
        <f t="shared" si="37"/>
        <v>327</v>
      </c>
      <c r="B346" s="85">
        <f t="shared" si="38"/>
        <v>0</v>
      </c>
      <c r="C346" s="132">
        <f t="shared" si="39"/>
        <v>0</v>
      </c>
      <c r="D346" s="132">
        <f t="shared" si="40"/>
        <v>0</v>
      </c>
      <c r="E346" s="85">
        <f t="shared" si="41"/>
        <v>0</v>
      </c>
      <c r="F346" s="85">
        <f t="shared" si="35"/>
        <v>0</v>
      </c>
      <c r="G346" s="133">
        <f t="shared" si="36"/>
        <v>0</v>
      </c>
    </row>
    <row r="347" spans="1:7" ht="13.5" hidden="1" thickBot="1">
      <c r="A347" s="70">
        <f t="shared" si="37"/>
        <v>328</v>
      </c>
      <c r="B347" s="85">
        <f t="shared" si="38"/>
        <v>0</v>
      </c>
      <c r="C347" s="132">
        <f t="shared" si="39"/>
        <v>0</v>
      </c>
      <c r="D347" s="132">
        <f t="shared" si="40"/>
        <v>0</v>
      </c>
      <c r="E347" s="85">
        <f t="shared" si="41"/>
        <v>0</v>
      </c>
      <c r="F347" s="85">
        <f t="shared" si="35"/>
        <v>0</v>
      </c>
      <c r="G347" s="133">
        <f t="shared" si="36"/>
        <v>0</v>
      </c>
    </row>
    <row r="348" spans="1:7" ht="13.5" hidden="1" thickBot="1">
      <c r="A348" s="70">
        <f t="shared" si="37"/>
        <v>329</v>
      </c>
      <c r="B348" s="85">
        <f t="shared" si="38"/>
        <v>0</v>
      </c>
      <c r="C348" s="132">
        <f t="shared" si="39"/>
        <v>0</v>
      </c>
      <c r="D348" s="132">
        <f t="shared" si="40"/>
        <v>0</v>
      </c>
      <c r="E348" s="85">
        <f t="shared" si="41"/>
        <v>0</v>
      </c>
      <c r="F348" s="85">
        <f t="shared" si="35"/>
        <v>0</v>
      </c>
      <c r="G348" s="133">
        <f t="shared" si="36"/>
        <v>0</v>
      </c>
    </row>
    <row r="349" spans="1:7" ht="13.5" hidden="1" thickBot="1">
      <c r="A349" s="70">
        <f t="shared" si="37"/>
        <v>330</v>
      </c>
      <c r="B349" s="85">
        <f t="shared" si="38"/>
        <v>0</v>
      </c>
      <c r="C349" s="132">
        <f t="shared" si="39"/>
        <v>0</v>
      </c>
      <c r="D349" s="132">
        <f t="shared" si="40"/>
        <v>0</v>
      </c>
      <c r="E349" s="85">
        <f t="shared" si="41"/>
        <v>0</v>
      </c>
      <c r="F349" s="85">
        <f t="shared" si="35"/>
        <v>0</v>
      </c>
      <c r="G349" s="133">
        <f t="shared" si="36"/>
        <v>0</v>
      </c>
    </row>
    <row r="350" spans="1:7" ht="13.5" hidden="1" thickBot="1">
      <c r="A350" s="70">
        <f t="shared" si="37"/>
        <v>331</v>
      </c>
      <c r="B350" s="85">
        <f t="shared" si="38"/>
        <v>0</v>
      </c>
      <c r="C350" s="132">
        <f t="shared" si="39"/>
        <v>0</v>
      </c>
      <c r="D350" s="132">
        <f t="shared" si="40"/>
        <v>0</v>
      </c>
      <c r="E350" s="85">
        <f t="shared" si="41"/>
        <v>0</v>
      </c>
      <c r="F350" s="85">
        <f t="shared" si="35"/>
        <v>0</v>
      </c>
      <c r="G350" s="133">
        <f t="shared" si="36"/>
        <v>0</v>
      </c>
    </row>
    <row r="351" spans="1:7" ht="13.5" hidden="1" thickBot="1">
      <c r="A351" s="70">
        <f t="shared" si="37"/>
        <v>332</v>
      </c>
      <c r="B351" s="85">
        <f t="shared" si="38"/>
        <v>0</v>
      </c>
      <c r="C351" s="132">
        <f t="shared" si="39"/>
        <v>0</v>
      </c>
      <c r="D351" s="132">
        <f t="shared" si="40"/>
        <v>0</v>
      </c>
      <c r="E351" s="85">
        <f t="shared" si="41"/>
        <v>0</v>
      </c>
      <c r="F351" s="85">
        <f t="shared" si="35"/>
        <v>0</v>
      </c>
      <c r="G351" s="133">
        <f t="shared" si="36"/>
        <v>0</v>
      </c>
    </row>
    <row r="352" spans="1:7" ht="13.5" hidden="1" thickBot="1">
      <c r="A352" s="70">
        <f t="shared" si="37"/>
        <v>333</v>
      </c>
      <c r="B352" s="85">
        <f t="shared" si="38"/>
        <v>0</v>
      </c>
      <c r="C352" s="132">
        <f t="shared" si="39"/>
        <v>0</v>
      </c>
      <c r="D352" s="132">
        <f t="shared" si="40"/>
        <v>0</v>
      </c>
      <c r="E352" s="85">
        <f t="shared" si="41"/>
        <v>0</v>
      </c>
      <c r="F352" s="85">
        <f t="shared" si="35"/>
        <v>0</v>
      </c>
      <c r="G352" s="133">
        <f t="shared" si="36"/>
        <v>0</v>
      </c>
    </row>
    <row r="353" spans="1:7" ht="13.5" hidden="1" thickBot="1">
      <c r="A353" s="70">
        <f t="shared" si="37"/>
        <v>334</v>
      </c>
      <c r="B353" s="85">
        <f t="shared" si="38"/>
        <v>0</v>
      </c>
      <c r="C353" s="132">
        <f t="shared" si="39"/>
        <v>0</v>
      </c>
      <c r="D353" s="132">
        <f t="shared" si="40"/>
        <v>0</v>
      </c>
      <c r="E353" s="85">
        <f t="shared" si="41"/>
        <v>0</v>
      </c>
      <c r="F353" s="85">
        <f t="shared" si="35"/>
        <v>0</v>
      </c>
      <c r="G353" s="133">
        <f t="shared" si="36"/>
        <v>0</v>
      </c>
    </row>
    <row r="354" spans="1:7" ht="13.5" hidden="1" thickBot="1">
      <c r="A354" s="70">
        <f t="shared" si="37"/>
        <v>335</v>
      </c>
      <c r="B354" s="85">
        <f t="shared" si="38"/>
        <v>0</v>
      </c>
      <c r="C354" s="132">
        <f t="shared" si="39"/>
        <v>0</v>
      </c>
      <c r="D354" s="132">
        <f t="shared" si="40"/>
        <v>0</v>
      </c>
      <c r="E354" s="85">
        <f t="shared" si="41"/>
        <v>0</v>
      </c>
      <c r="F354" s="85">
        <f t="shared" si="35"/>
        <v>0</v>
      </c>
      <c r="G354" s="133">
        <f t="shared" si="36"/>
        <v>0</v>
      </c>
    </row>
    <row r="355" spans="1:7" ht="13.5" hidden="1" thickBot="1">
      <c r="A355" s="70">
        <f t="shared" si="37"/>
        <v>336</v>
      </c>
      <c r="B355" s="85">
        <f t="shared" si="38"/>
        <v>0</v>
      </c>
      <c r="C355" s="132">
        <f t="shared" si="39"/>
        <v>0</v>
      </c>
      <c r="D355" s="132">
        <f t="shared" si="40"/>
        <v>0</v>
      </c>
      <c r="E355" s="85">
        <f t="shared" si="41"/>
        <v>0</v>
      </c>
      <c r="F355" s="85">
        <f t="shared" si="35"/>
        <v>0</v>
      </c>
      <c r="G355" s="133">
        <f t="shared" si="36"/>
        <v>0</v>
      </c>
    </row>
    <row r="356" spans="1:7" ht="13.5" hidden="1" thickBot="1">
      <c r="A356" s="70">
        <f t="shared" si="37"/>
        <v>337</v>
      </c>
      <c r="B356" s="85">
        <f t="shared" si="38"/>
        <v>0</v>
      </c>
      <c r="C356" s="132">
        <f t="shared" si="39"/>
        <v>0</v>
      </c>
      <c r="D356" s="132">
        <f t="shared" si="40"/>
        <v>0</v>
      </c>
      <c r="E356" s="85">
        <f t="shared" si="41"/>
        <v>0</v>
      </c>
      <c r="F356" s="85">
        <f t="shared" si="35"/>
        <v>0</v>
      </c>
      <c r="G356" s="133">
        <f t="shared" si="36"/>
        <v>0</v>
      </c>
    </row>
    <row r="357" spans="1:7" ht="13.5" hidden="1" thickBot="1">
      <c r="A357" s="70">
        <f t="shared" si="37"/>
        <v>338</v>
      </c>
      <c r="B357" s="85">
        <f t="shared" si="38"/>
        <v>0</v>
      </c>
      <c r="C357" s="132">
        <f t="shared" si="39"/>
        <v>0</v>
      </c>
      <c r="D357" s="132">
        <f t="shared" si="40"/>
        <v>0</v>
      </c>
      <c r="E357" s="85">
        <f t="shared" si="41"/>
        <v>0</v>
      </c>
      <c r="F357" s="85">
        <f t="shared" si="35"/>
        <v>0</v>
      </c>
      <c r="G357" s="133">
        <f t="shared" si="36"/>
        <v>0</v>
      </c>
    </row>
    <row r="358" spans="1:7" ht="13.5" hidden="1" thickBot="1">
      <c r="A358" s="70">
        <f t="shared" si="37"/>
        <v>339</v>
      </c>
      <c r="B358" s="85">
        <f t="shared" si="38"/>
        <v>0</v>
      </c>
      <c r="C358" s="132">
        <f t="shared" si="39"/>
        <v>0</v>
      </c>
      <c r="D358" s="132">
        <f t="shared" si="40"/>
        <v>0</v>
      </c>
      <c r="E358" s="85">
        <f t="shared" si="41"/>
        <v>0</v>
      </c>
      <c r="F358" s="85">
        <f t="shared" si="35"/>
        <v>0</v>
      </c>
      <c r="G358" s="133">
        <f t="shared" si="36"/>
        <v>0</v>
      </c>
    </row>
    <row r="359" spans="1:7" ht="13.5" hidden="1" thickBot="1">
      <c r="A359" s="70">
        <f t="shared" si="37"/>
        <v>340</v>
      </c>
      <c r="B359" s="85">
        <f t="shared" si="38"/>
        <v>0</v>
      </c>
      <c r="C359" s="132">
        <f t="shared" si="39"/>
        <v>0</v>
      </c>
      <c r="D359" s="132">
        <f t="shared" si="40"/>
        <v>0</v>
      </c>
      <c r="E359" s="85">
        <f t="shared" si="41"/>
        <v>0</v>
      </c>
      <c r="F359" s="85">
        <f t="shared" si="35"/>
        <v>0</v>
      </c>
      <c r="G359" s="133">
        <f t="shared" si="36"/>
        <v>0</v>
      </c>
    </row>
    <row r="360" spans="1:7" ht="13.5" hidden="1" thickBot="1">
      <c r="A360" s="70">
        <f t="shared" si="37"/>
        <v>341</v>
      </c>
      <c r="B360" s="85">
        <f t="shared" si="38"/>
        <v>0</v>
      </c>
      <c r="C360" s="132">
        <f t="shared" si="39"/>
        <v>0</v>
      </c>
      <c r="D360" s="132">
        <f t="shared" si="40"/>
        <v>0</v>
      </c>
      <c r="E360" s="85">
        <f t="shared" si="41"/>
        <v>0</v>
      </c>
      <c r="F360" s="85">
        <f t="shared" si="35"/>
        <v>0</v>
      </c>
      <c r="G360" s="133">
        <f t="shared" si="36"/>
        <v>0</v>
      </c>
    </row>
    <row r="361" spans="1:7" ht="13.5" hidden="1" thickBot="1">
      <c r="A361" s="70">
        <f t="shared" si="37"/>
        <v>342</v>
      </c>
      <c r="B361" s="85">
        <f t="shared" si="38"/>
        <v>0</v>
      </c>
      <c r="C361" s="132">
        <f t="shared" si="39"/>
        <v>0</v>
      </c>
      <c r="D361" s="132">
        <f t="shared" si="40"/>
        <v>0</v>
      </c>
      <c r="E361" s="85">
        <f t="shared" si="41"/>
        <v>0</v>
      </c>
      <c r="F361" s="85">
        <f t="shared" si="35"/>
        <v>0</v>
      </c>
      <c r="G361" s="133">
        <f t="shared" si="36"/>
        <v>0</v>
      </c>
    </row>
    <row r="362" spans="1:7" ht="13.5" hidden="1" thickBot="1">
      <c r="A362" s="70">
        <f t="shared" si="37"/>
        <v>343</v>
      </c>
      <c r="B362" s="85">
        <f t="shared" si="38"/>
        <v>0</v>
      </c>
      <c r="C362" s="132">
        <f t="shared" si="39"/>
        <v>0</v>
      </c>
      <c r="D362" s="132">
        <f t="shared" si="40"/>
        <v>0</v>
      </c>
      <c r="E362" s="85">
        <f t="shared" si="41"/>
        <v>0</v>
      </c>
      <c r="F362" s="85">
        <f t="shared" si="35"/>
        <v>0</v>
      </c>
      <c r="G362" s="133">
        <f t="shared" si="36"/>
        <v>0</v>
      </c>
    </row>
    <row r="363" spans="1:7" ht="13.5" hidden="1" thickBot="1">
      <c r="A363" s="70">
        <f t="shared" si="37"/>
        <v>344</v>
      </c>
      <c r="B363" s="85">
        <f t="shared" si="38"/>
        <v>0</v>
      </c>
      <c r="C363" s="132">
        <f t="shared" si="39"/>
        <v>0</v>
      </c>
      <c r="D363" s="132">
        <f t="shared" si="40"/>
        <v>0</v>
      </c>
      <c r="E363" s="85">
        <f t="shared" si="41"/>
        <v>0</v>
      </c>
      <c r="F363" s="85">
        <f t="shared" si="35"/>
        <v>0</v>
      </c>
      <c r="G363" s="133">
        <f t="shared" si="36"/>
        <v>0</v>
      </c>
    </row>
    <row r="364" spans="1:7" ht="13.5" hidden="1" thickBot="1">
      <c r="A364" s="70">
        <f t="shared" si="37"/>
        <v>345</v>
      </c>
      <c r="B364" s="85">
        <f t="shared" si="38"/>
        <v>0</v>
      </c>
      <c r="C364" s="132">
        <f t="shared" si="39"/>
        <v>0</v>
      </c>
      <c r="D364" s="132">
        <f t="shared" si="40"/>
        <v>0</v>
      </c>
      <c r="E364" s="85">
        <f t="shared" si="41"/>
        <v>0</v>
      </c>
      <c r="F364" s="85">
        <f t="shared" si="35"/>
        <v>0</v>
      </c>
      <c r="G364" s="133">
        <f t="shared" si="36"/>
        <v>0</v>
      </c>
    </row>
    <row r="365" spans="1:7" ht="13.5" hidden="1" thickBot="1">
      <c r="A365" s="70">
        <f t="shared" si="37"/>
        <v>346</v>
      </c>
      <c r="B365" s="85">
        <f t="shared" si="38"/>
        <v>0</v>
      </c>
      <c r="C365" s="132">
        <f t="shared" si="39"/>
        <v>0</v>
      </c>
      <c r="D365" s="132">
        <f t="shared" si="40"/>
        <v>0</v>
      </c>
      <c r="E365" s="85">
        <f t="shared" si="41"/>
        <v>0</v>
      </c>
      <c r="F365" s="85">
        <f t="shared" si="35"/>
        <v>0</v>
      </c>
      <c r="G365" s="133">
        <f t="shared" si="36"/>
        <v>0</v>
      </c>
    </row>
    <row r="366" spans="1:7" ht="13.5" hidden="1" thickBot="1">
      <c r="A366" s="70">
        <f t="shared" si="37"/>
        <v>347</v>
      </c>
      <c r="B366" s="85">
        <f t="shared" si="38"/>
        <v>0</v>
      </c>
      <c r="C366" s="132">
        <f t="shared" si="39"/>
        <v>0</v>
      </c>
      <c r="D366" s="132">
        <f t="shared" si="40"/>
        <v>0</v>
      </c>
      <c r="E366" s="85">
        <f t="shared" si="41"/>
        <v>0</v>
      </c>
      <c r="F366" s="85">
        <f t="shared" si="35"/>
        <v>0</v>
      </c>
      <c r="G366" s="133">
        <f t="shared" si="36"/>
        <v>0</v>
      </c>
    </row>
    <row r="367" spans="1:7" ht="13.5" hidden="1" thickBot="1">
      <c r="A367" s="70">
        <f t="shared" si="37"/>
        <v>348</v>
      </c>
      <c r="B367" s="85">
        <f t="shared" si="38"/>
        <v>0</v>
      </c>
      <c r="C367" s="132">
        <f t="shared" si="39"/>
        <v>0</v>
      </c>
      <c r="D367" s="132">
        <f t="shared" si="40"/>
        <v>0</v>
      </c>
      <c r="E367" s="85">
        <f t="shared" si="41"/>
        <v>0</v>
      </c>
      <c r="F367" s="85">
        <f t="shared" si="35"/>
        <v>0</v>
      </c>
      <c r="G367" s="133">
        <f t="shared" si="36"/>
        <v>0</v>
      </c>
    </row>
    <row r="368" spans="1:7" ht="13.5" hidden="1" thickBot="1">
      <c r="A368" s="70">
        <f t="shared" si="37"/>
        <v>349</v>
      </c>
      <c r="B368" s="85">
        <f t="shared" si="38"/>
        <v>0</v>
      </c>
      <c r="C368" s="132">
        <f t="shared" si="39"/>
        <v>0</v>
      </c>
      <c r="D368" s="132">
        <f t="shared" si="40"/>
        <v>0</v>
      </c>
      <c r="E368" s="85">
        <f t="shared" si="41"/>
        <v>0</v>
      </c>
      <c r="F368" s="85">
        <f t="shared" si="35"/>
        <v>0</v>
      </c>
      <c r="G368" s="133">
        <f t="shared" si="36"/>
        <v>0</v>
      </c>
    </row>
    <row r="369" spans="1:7" ht="13.5" hidden="1" thickBot="1">
      <c r="A369" s="70">
        <f t="shared" si="37"/>
        <v>350</v>
      </c>
      <c r="B369" s="85">
        <f t="shared" si="38"/>
        <v>0</v>
      </c>
      <c r="C369" s="132">
        <f t="shared" si="39"/>
        <v>0</v>
      </c>
      <c r="D369" s="132">
        <f t="shared" si="40"/>
        <v>0</v>
      </c>
      <c r="E369" s="85">
        <f t="shared" si="41"/>
        <v>0</v>
      </c>
      <c r="F369" s="85">
        <f t="shared" si="35"/>
        <v>0</v>
      </c>
      <c r="G369" s="133">
        <f t="shared" si="36"/>
        <v>0</v>
      </c>
    </row>
    <row r="370" spans="1:7" ht="13.5" hidden="1" thickBot="1">
      <c r="A370" s="70">
        <f t="shared" si="37"/>
        <v>351</v>
      </c>
      <c r="B370" s="85">
        <f t="shared" si="38"/>
        <v>0</v>
      </c>
      <c r="C370" s="132">
        <f t="shared" si="39"/>
        <v>0</v>
      </c>
      <c r="D370" s="132">
        <f t="shared" si="40"/>
        <v>0</v>
      </c>
      <c r="E370" s="85">
        <f t="shared" si="41"/>
        <v>0</v>
      </c>
      <c r="F370" s="85">
        <f t="shared" si="35"/>
        <v>0</v>
      </c>
      <c r="G370" s="133">
        <f t="shared" si="36"/>
        <v>0</v>
      </c>
    </row>
    <row r="371" spans="1:7" ht="13.5" hidden="1" thickBot="1">
      <c r="A371" s="70">
        <f t="shared" si="37"/>
        <v>352</v>
      </c>
      <c r="B371" s="85">
        <f t="shared" si="38"/>
        <v>0</v>
      </c>
      <c r="C371" s="132">
        <f t="shared" si="39"/>
        <v>0</v>
      </c>
      <c r="D371" s="132">
        <f t="shared" si="40"/>
        <v>0</v>
      </c>
      <c r="E371" s="85">
        <f t="shared" si="41"/>
        <v>0</v>
      </c>
      <c r="F371" s="85">
        <f t="shared" si="35"/>
        <v>0</v>
      </c>
      <c r="G371" s="133">
        <f t="shared" si="36"/>
        <v>0</v>
      </c>
    </row>
    <row r="372" spans="1:7" ht="13.5" hidden="1" thickBot="1">
      <c r="A372" s="70">
        <f t="shared" si="37"/>
        <v>353</v>
      </c>
      <c r="B372" s="85">
        <f t="shared" si="38"/>
        <v>0</v>
      </c>
      <c r="C372" s="132">
        <f t="shared" si="39"/>
        <v>0</v>
      </c>
      <c r="D372" s="132">
        <f t="shared" si="40"/>
        <v>0</v>
      </c>
      <c r="E372" s="85">
        <f t="shared" si="41"/>
        <v>0</v>
      </c>
      <c r="F372" s="85">
        <f t="shared" si="35"/>
        <v>0</v>
      </c>
      <c r="G372" s="133">
        <f t="shared" si="36"/>
        <v>0</v>
      </c>
    </row>
    <row r="373" spans="1:7" ht="13.5" hidden="1" thickBot="1">
      <c r="A373" s="70">
        <f t="shared" si="37"/>
        <v>354</v>
      </c>
      <c r="B373" s="85">
        <f t="shared" si="38"/>
        <v>0</v>
      </c>
      <c r="C373" s="132">
        <f t="shared" si="39"/>
        <v>0</v>
      </c>
      <c r="D373" s="132">
        <f t="shared" si="40"/>
        <v>0</v>
      </c>
      <c r="E373" s="85">
        <f t="shared" si="41"/>
        <v>0</v>
      </c>
      <c r="F373" s="85">
        <f t="shared" si="35"/>
        <v>0</v>
      </c>
      <c r="G373" s="133">
        <f t="shared" si="36"/>
        <v>0</v>
      </c>
    </row>
    <row r="374" spans="1:7" ht="13.5" hidden="1" thickBot="1">
      <c r="A374" s="70">
        <f t="shared" si="37"/>
        <v>355</v>
      </c>
      <c r="B374" s="85">
        <f t="shared" si="38"/>
        <v>0</v>
      </c>
      <c r="C374" s="132">
        <f t="shared" si="39"/>
        <v>0</v>
      </c>
      <c r="D374" s="132">
        <f t="shared" si="40"/>
        <v>0</v>
      </c>
      <c r="E374" s="85">
        <f t="shared" si="41"/>
        <v>0</v>
      </c>
      <c r="F374" s="85">
        <f t="shared" si="35"/>
        <v>0</v>
      </c>
      <c r="G374" s="133">
        <f t="shared" si="36"/>
        <v>0</v>
      </c>
    </row>
    <row r="375" spans="1:7" ht="13.5" hidden="1" thickBot="1">
      <c r="A375" s="70">
        <f t="shared" si="37"/>
        <v>356</v>
      </c>
      <c r="B375" s="85">
        <f t="shared" si="38"/>
        <v>0</v>
      </c>
      <c r="C375" s="132">
        <f t="shared" si="39"/>
        <v>0</v>
      </c>
      <c r="D375" s="132">
        <f t="shared" si="40"/>
        <v>0</v>
      </c>
      <c r="E375" s="85">
        <f t="shared" si="41"/>
        <v>0</v>
      </c>
      <c r="F375" s="85">
        <f t="shared" si="35"/>
        <v>0</v>
      </c>
      <c r="G375" s="133">
        <f t="shared" si="36"/>
        <v>0</v>
      </c>
    </row>
    <row r="376" spans="1:7" ht="13.5" hidden="1" thickBot="1">
      <c r="A376" s="70">
        <f t="shared" si="37"/>
        <v>357</v>
      </c>
      <c r="B376" s="85">
        <f t="shared" si="38"/>
        <v>0</v>
      </c>
      <c r="C376" s="132">
        <f t="shared" si="39"/>
        <v>0</v>
      </c>
      <c r="D376" s="132">
        <f t="shared" si="40"/>
        <v>0</v>
      </c>
      <c r="E376" s="85">
        <f t="shared" si="41"/>
        <v>0</v>
      </c>
      <c r="F376" s="85">
        <f t="shared" si="35"/>
        <v>0</v>
      </c>
      <c r="G376" s="133">
        <f t="shared" si="36"/>
        <v>0</v>
      </c>
    </row>
    <row r="377" spans="1:7" ht="13.5" hidden="1" thickBot="1">
      <c r="A377" s="70">
        <f t="shared" si="37"/>
        <v>358</v>
      </c>
      <c r="B377" s="85">
        <f t="shared" si="38"/>
        <v>0</v>
      </c>
      <c r="C377" s="132">
        <f t="shared" si="39"/>
        <v>0</v>
      </c>
      <c r="D377" s="132">
        <f t="shared" si="40"/>
        <v>0</v>
      </c>
      <c r="E377" s="85">
        <f t="shared" si="41"/>
        <v>0</v>
      </c>
      <c r="F377" s="85">
        <f t="shared" si="35"/>
        <v>0</v>
      </c>
      <c r="G377" s="133">
        <f t="shared" si="36"/>
        <v>0</v>
      </c>
    </row>
    <row r="378" spans="1:7" ht="13.5" hidden="1" thickBot="1">
      <c r="A378" s="70">
        <f t="shared" si="37"/>
        <v>359</v>
      </c>
      <c r="B378" s="85">
        <f t="shared" si="38"/>
        <v>0</v>
      </c>
      <c r="C378" s="132">
        <f t="shared" si="39"/>
        <v>0</v>
      </c>
      <c r="D378" s="132">
        <f t="shared" si="40"/>
        <v>0</v>
      </c>
      <c r="E378" s="85">
        <f t="shared" si="41"/>
        <v>0</v>
      </c>
      <c r="F378" s="85">
        <f t="shared" si="35"/>
        <v>0</v>
      </c>
      <c r="G378" s="133">
        <f t="shared" si="36"/>
        <v>0</v>
      </c>
    </row>
    <row r="379" spans="1:7" ht="13.5" hidden="1" thickBot="1">
      <c r="A379" s="70">
        <f t="shared" si="37"/>
        <v>360</v>
      </c>
      <c r="B379" s="85">
        <f t="shared" si="38"/>
        <v>0</v>
      </c>
      <c r="C379" s="132">
        <f t="shared" si="39"/>
        <v>0</v>
      </c>
      <c r="D379" s="132">
        <f t="shared" si="40"/>
        <v>0</v>
      </c>
      <c r="E379" s="85">
        <f t="shared" si="41"/>
        <v>0</v>
      </c>
      <c r="F379" s="85">
        <f t="shared" si="35"/>
        <v>0</v>
      </c>
      <c r="G379" s="133">
        <f t="shared" si="36"/>
        <v>0</v>
      </c>
    </row>
    <row r="380" spans="1:7" ht="13.5" thickBot="1">
      <c r="A380" s="87" t="s">
        <v>84</v>
      </c>
      <c r="B380" s="167"/>
      <c r="C380" s="88">
        <f>SUM(C20:C379)</f>
        <v>500825</v>
      </c>
      <c r="D380" s="88">
        <f>SUM(D20:D379)</f>
        <v>500825</v>
      </c>
      <c r="E380" s="88">
        <f>SUM(E20:E379)</f>
        <v>65325</v>
      </c>
      <c r="F380" s="88">
        <f>SUM(F20:F379)</f>
        <v>435500</v>
      </c>
      <c r="G380" s="168"/>
    </row>
    <row r="381" spans="1:7">
      <c r="A381" s="56"/>
    </row>
  </sheetData>
  <mergeCells count="17">
    <mergeCell ref="A13:C13"/>
    <mergeCell ref="A14:D14"/>
    <mergeCell ref="A15:C15"/>
    <mergeCell ref="E15:G15"/>
    <mergeCell ref="A16:D16"/>
    <mergeCell ref="E12:G12"/>
    <mergeCell ref="A1:G1"/>
    <mergeCell ref="A2:C2"/>
    <mergeCell ref="A4:C4"/>
    <mergeCell ref="A5:C5"/>
    <mergeCell ref="A6:C6"/>
    <mergeCell ref="A7:C7"/>
    <mergeCell ref="A8:C8"/>
    <mergeCell ref="A9:C9"/>
    <mergeCell ref="A10:C10"/>
    <mergeCell ref="A11:C11"/>
    <mergeCell ref="A12:C12"/>
  </mergeCells>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N24"/>
  <sheetViews>
    <sheetView workbookViewId="0">
      <selection activeCell="C381" sqref="C381"/>
    </sheetView>
  </sheetViews>
  <sheetFormatPr defaultRowHeight="12.75"/>
  <cols>
    <col min="1" max="1" width="21.7109375" style="54" customWidth="1"/>
    <col min="2" max="2" width="7.7109375" style="54" customWidth="1"/>
    <col min="3" max="3" width="3.42578125" style="54" customWidth="1"/>
    <col min="4" max="4" width="11.5703125" style="54" bestFit="1" customWidth="1"/>
    <col min="5" max="5" width="6.140625" style="54" customWidth="1"/>
    <col min="6" max="6" width="3" style="54" customWidth="1"/>
    <col min="7" max="7" width="18.28515625" style="54" customWidth="1"/>
    <col min="8" max="9" width="2.7109375" style="54" customWidth="1"/>
    <col min="10" max="10" width="26.7109375" style="54" bestFit="1" customWidth="1"/>
    <col min="11" max="11" width="3.85546875" style="54" bestFit="1" customWidth="1"/>
    <col min="12" max="12" width="9.28515625" style="54" bestFit="1" customWidth="1"/>
    <col min="13" max="13" width="6.28515625" style="54" customWidth="1"/>
    <col min="14" max="14" width="2.7109375" style="54" customWidth="1"/>
    <col min="15" max="16384" width="9.140625" style="54"/>
  </cols>
  <sheetData>
    <row r="1" spans="1:14" ht="50.25" customHeight="1">
      <c r="A1" s="340" t="s">
        <v>85</v>
      </c>
      <c r="B1" s="341"/>
      <c r="C1" s="341"/>
      <c r="D1" s="341"/>
      <c r="E1" s="341"/>
      <c r="F1" s="341"/>
      <c r="G1" s="341"/>
      <c r="H1" s="341"/>
      <c r="I1" s="341"/>
      <c r="J1" s="341"/>
      <c r="K1" s="341"/>
      <c r="L1" s="341"/>
      <c r="M1" s="341"/>
      <c r="N1" s="341"/>
    </row>
    <row r="2" spans="1:14" ht="33" customHeight="1">
      <c r="A2" s="342" t="s">
        <v>86</v>
      </c>
      <c r="B2" s="342"/>
      <c r="C2" s="342"/>
      <c r="D2" s="342"/>
      <c r="E2" s="342"/>
      <c r="F2" s="342"/>
      <c r="G2" s="342"/>
      <c r="H2" s="342"/>
      <c r="I2" s="342"/>
      <c r="J2" s="342"/>
      <c r="K2" s="342"/>
      <c r="L2" s="342"/>
      <c r="M2" s="342"/>
      <c r="N2" s="342"/>
    </row>
    <row r="3" spans="1:14" ht="21" customHeight="1">
      <c r="A3" s="340" t="s">
        <v>87</v>
      </c>
      <c r="B3" s="340"/>
      <c r="C3" s="340"/>
      <c r="D3" s="340"/>
      <c r="E3" s="340"/>
      <c r="F3" s="340"/>
      <c r="G3" s="340"/>
      <c r="H3" s="340"/>
      <c r="I3" s="340"/>
      <c r="J3" s="340"/>
      <c r="K3" s="340"/>
      <c r="L3" s="340"/>
      <c r="M3" s="340"/>
      <c r="N3" s="340"/>
    </row>
    <row r="4" spans="1:14" ht="27.75" customHeight="1">
      <c r="A4" s="169" t="s">
        <v>88</v>
      </c>
      <c r="B4" s="103" t="s">
        <v>56</v>
      </c>
      <c r="C4" s="103"/>
      <c r="D4" s="403" t="s">
        <v>89</v>
      </c>
      <c r="E4" s="403"/>
      <c r="F4" s="403"/>
      <c r="G4" s="403"/>
      <c r="H4" s="403"/>
      <c r="I4" s="403"/>
      <c r="J4" s="403"/>
      <c r="K4" s="170"/>
      <c r="L4" s="170"/>
      <c r="M4" s="170"/>
      <c r="N4" s="170"/>
    </row>
    <row r="5" spans="1:14" ht="33" customHeight="1">
      <c r="A5" s="169" t="s">
        <v>88</v>
      </c>
      <c r="B5" s="103" t="s">
        <v>56</v>
      </c>
      <c r="C5" s="103"/>
      <c r="D5" s="404">
        <f>'3.1 Effektiv rente stående lån'!D2</f>
        <v>435500</v>
      </c>
      <c r="E5" s="405"/>
      <c r="F5" s="405"/>
      <c r="G5" s="171" t="str">
        <f>CONCATENATE("* ",'3.1 Effektiv rente stående lån'!D11*100,"%")</f>
        <v>* 2,5%</v>
      </c>
      <c r="H5" s="170"/>
      <c r="I5" s="170"/>
      <c r="J5" s="170"/>
      <c r="K5" s="170"/>
      <c r="L5" s="170"/>
      <c r="M5" s="170"/>
      <c r="N5" s="170"/>
    </row>
    <row r="6" spans="1:14" ht="33.75" customHeight="1">
      <c r="A6" s="169" t="s">
        <v>88</v>
      </c>
      <c r="B6" s="103" t="s">
        <v>56</v>
      </c>
      <c r="C6" s="103"/>
      <c r="D6" s="402">
        <f>'3.1 Effektiv rente stående lån'!D12*-1</f>
        <v>10887.5</v>
      </c>
      <c r="E6" s="402"/>
      <c r="F6" s="402"/>
      <c r="G6" s="172"/>
      <c r="H6" s="170"/>
      <c r="I6" s="170"/>
      <c r="J6" s="170"/>
      <c r="K6" s="170"/>
      <c r="L6" s="170"/>
      <c r="M6" s="170"/>
      <c r="N6" s="170"/>
    </row>
    <row r="7" spans="1:14" ht="33.75" customHeight="1">
      <c r="A7" s="406" t="s">
        <v>90</v>
      </c>
      <c r="B7" s="406"/>
      <c r="C7" s="406"/>
      <c r="D7" s="406"/>
      <c r="E7" s="406"/>
      <c r="F7" s="406"/>
      <c r="G7" s="406"/>
      <c r="H7" s="406"/>
      <c r="I7" s="406"/>
      <c r="J7" s="406"/>
      <c r="K7" s="406"/>
      <c r="L7" s="406"/>
      <c r="M7" s="406"/>
      <c r="N7" s="406"/>
    </row>
    <row r="8" spans="1:14" ht="28.15" customHeight="1" thickBot="1">
      <c r="A8" s="343" t="s">
        <v>63</v>
      </c>
      <c r="B8" s="345" t="s">
        <v>56</v>
      </c>
      <c r="C8" s="90"/>
      <c r="D8" s="91" t="s">
        <v>57</v>
      </c>
      <c r="E8" s="92" t="s">
        <v>58</v>
      </c>
      <c r="F8" s="346" t="s">
        <v>59</v>
      </c>
      <c r="G8" s="347" t="str">
        <f>IF('3.1 Effektiv rente stående lån'!D13=0,"b","b + Gebyr")</f>
        <v>b</v>
      </c>
      <c r="H8" s="407" t="s">
        <v>91</v>
      </c>
      <c r="I8" s="408" t="s">
        <v>92</v>
      </c>
      <c r="J8" s="409" t="s">
        <v>93</v>
      </c>
      <c r="K8" s="410" t="s">
        <v>59</v>
      </c>
      <c r="L8" s="411" t="s">
        <v>79</v>
      </c>
      <c r="M8" s="412" t="s">
        <v>58</v>
      </c>
      <c r="N8" s="408" t="s">
        <v>94</v>
      </c>
    </row>
    <row r="9" spans="1:14" ht="21.6" customHeight="1">
      <c r="A9" s="343"/>
      <c r="B9" s="345"/>
      <c r="C9" s="90"/>
      <c r="D9" s="348" t="s">
        <v>61</v>
      </c>
      <c r="E9" s="348"/>
      <c r="F9" s="346"/>
      <c r="G9" s="347"/>
      <c r="H9" s="407"/>
      <c r="I9" s="408"/>
      <c r="J9" s="407"/>
      <c r="K9" s="410"/>
      <c r="L9" s="411"/>
      <c r="M9" s="412"/>
      <c r="N9" s="408"/>
    </row>
    <row r="10" spans="1:14" ht="21.6" customHeight="1">
      <c r="A10" s="413" t="s">
        <v>64</v>
      </c>
      <c r="B10" s="413"/>
      <c r="C10" s="413"/>
      <c r="D10" s="413"/>
      <c r="E10" s="413"/>
      <c r="F10" s="413"/>
      <c r="G10" s="413"/>
      <c r="H10" s="413"/>
      <c r="I10" s="413"/>
      <c r="J10" s="413"/>
      <c r="K10" s="413"/>
      <c r="L10" s="413"/>
      <c r="M10" s="413"/>
    </row>
    <row r="11" spans="1:14" ht="27.75" thickBot="1">
      <c r="A11" s="355">
        <f>'3.1 Effektiv rente stående lån'!D6</f>
        <v>417057.5</v>
      </c>
      <c r="B11" s="345" t="s">
        <v>56</v>
      </c>
      <c r="C11" s="90"/>
      <c r="D11" s="91" t="str">
        <f>D8</f>
        <v>1-(1+ r)</v>
      </c>
      <c r="E11" s="100">
        <f>'3.1 Effektiv rente stående lån'!D10*-1</f>
        <v>-6</v>
      </c>
      <c r="F11" s="356" t="str">
        <f>F8</f>
        <v>*</v>
      </c>
      <c r="G11" s="358">
        <f>('3.1 Effektiv rente stående lån'!D12-'3.1 Effektiv rente stående lån'!D13)*-1</f>
        <v>10887.5</v>
      </c>
      <c r="H11" s="407" t="s">
        <v>91</v>
      </c>
      <c r="I11" s="408" t="str">
        <f>I8</f>
        <v>(</v>
      </c>
      <c r="J11" s="409">
        <f>'3.1 Effektiv rente stående lån'!D2</f>
        <v>435500</v>
      </c>
      <c r="K11" s="410" t="s">
        <v>59</v>
      </c>
      <c r="L11" s="411" t="str">
        <f>L8</f>
        <v>(1+r)</v>
      </c>
      <c r="M11" s="414">
        <f>E11</f>
        <v>-6</v>
      </c>
      <c r="N11" s="408" t="str">
        <f>N8</f>
        <v>)</v>
      </c>
    </row>
    <row r="12" spans="1:14" ht="27">
      <c r="A12" s="355"/>
      <c r="B12" s="345"/>
      <c r="C12" s="90"/>
      <c r="D12" s="348" t="str">
        <f>D9</f>
        <v>r</v>
      </c>
      <c r="E12" s="348"/>
      <c r="F12" s="357"/>
      <c r="G12" s="358"/>
      <c r="H12" s="407"/>
      <c r="I12" s="408"/>
      <c r="J12" s="407"/>
      <c r="K12" s="410"/>
      <c r="L12" s="411"/>
      <c r="M12" s="414"/>
      <c r="N12" s="408"/>
    </row>
    <row r="13" spans="1:14" ht="18">
      <c r="A13" s="364" t="s">
        <v>66</v>
      </c>
      <c r="B13" s="364"/>
      <c r="C13" s="364"/>
      <c r="D13" s="364"/>
      <c r="E13" s="364"/>
      <c r="F13" s="364"/>
      <c r="G13" s="364"/>
      <c r="H13" s="364"/>
      <c r="I13" s="364"/>
      <c r="J13" s="364"/>
      <c r="K13" s="364"/>
      <c r="L13" s="364"/>
      <c r="M13" s="364"/>
    </row>
    <row r="14" spans="1:14" ht="27">
      <c r="A14" s="102" t="s">
        <v>61</v>
      </c>
      <c r="B14" s="103" t="s">
        <v>56</v>
      </c>
      <c r="C14" s="103"/>
      <c r="D14" s="173">
        <f>RATE('3.1 Effektiv rente stående lån'!D10,'3.1 Effektiv rente stående lån'!D12-'3.1 Effektiv rente stående lån'!D13,'3.1 Effektiv rente stående lån'!D6,'3.1 Effektiv rente stående lån'!D3)</f>
        <v>3.2892417736322663E-2</v>
      </c>
    </row>
    <row r="15" spans="1:14" ht="18">
      <c r="A15" s="364" t="s">
        <v>67</v>
      </c>
      <c r="B15" s="364"/>
      <c r="C15" s="364"/>
      <c r="D15" s="364"/>
      <c r="E15" s="364"/>
      <c r="F15" s="364"/>
      <c r="G15" s="364"/>
      <c r="H15" s="364"/>
      <c r="I15" s="364"/>
      <c r="J15" s="364"/>
      <c r="K15" s="364"/>
      <c r="L15" s="364"/>
      <c r="M15" s="364"/>
    </row>
    <row r="16" spans="1:14" ht="28.5" thickBot="1">
      <c r="A16" s="105" t="str">
        <f>A14</f>
        <v>r</v>
      </c>
      <c r="B16" s="106" t="str">
        <f>B14</f>
        <v>=</v>
      </c>
      <c r="C16" s="106"/>
      <c r="D16" s="174">
        <f>D14</f>
        <v>3.2892417736322663E-2</v>
      </c>
      <c r="E16" s="175"/>
    </row>
    <row r="17" spans="1:13" ht="13.5" thickTop="1"/>
    <row r="18" spans="1:13" ht="18">
      <c r="A18" s="176" t="str">
        <f>IF('3.1 Effektiv rente stående lån'!D9=1," ",CONCATENATE("Da terminerne på lånet er ",'3.1 Effektiv rente stående lån'!D9," gange pr. år skal følgende beregning foretages:"))</f>
        <v xml:space="preserve"> </v>
      </c>
      <c r="B18" s="177"/>
      <c r="C18" s="177"/>
      <c r="D18" s="177"/>
      <c r="E18" s="177"/>
      <c r="F18" s="177"/>
      <c r="G18" s="177"/>
      <c r="H18" s="178"/>
      <c r="I18" s="178"/>
      <c r="J18" s="178"/>
    </row>
    <row r="19" spans="1:13" ht="24" customHeight="1">
      <c r="A19" s="108" t="str">
        <f>IF('3.1 Effektiv rente stående lån'!$D$9=1,"","(1+r)")</f>
        <v/>
      </c>
      <c r="B19" s="109" t="str">
        <f>IF('3.1 Effektiv rente stående lån'!D9=1,"",'3.1 Effektiv rente stående lån'!D9)</f>
        <v/>
      </c>
      <c r="C19" s="108" t="str">
        <f>IF('3.1 Effektiv rente stående lån'!$D$9=1,"","-1")</f>
        <v/>
      </c>
      <c r="D19" s="364" t="str">
        <f>IF('3.1 Effektiv rente stående lån'!$D$9=1,"",CONCATENATE("="," Årlig rente"))</f>
        <v/>
      </c>
      <c r="E19" s="364"/>
    </row>
    <row r="20" spans="1:13" ht="18">
      <c r="A20" s="179" t="str">
        <f>IF('3.1 Effektiv rente stående lån'!$D$9=1,"","Ved at indsætte fås:")</f>
        <v/>
      </c>
      <c r="B20" s="156"/>
      <c r="C20" s="156"/>
      <c r="D20" s="156"/>
      <c r="E20" s="156"/>
      <c r="F20" s="156"/>
      <c r="G20" s="156"/>
    </row>
    <row r="21" spans="1:13" ht="22.9" customHeight="1">
      <c r="A21" s="111" t="str">
        <f>IF('3.1 Effektiv rente stående lån'!D9=1,"",CONCATENATE("(1+",ROUND(D14,4),")"))</f>
        <v/>
      </c>
      <c r="B21" s="180" t="str">
        <f>B19</f>
        <v/>
      </c>
      <c r="C21" s="108" t="str">
        <f>IF('3.1 Effektiv rente stående lån'!$D$9=1,"","-1")</f>
        <v/>
      </c>
      <c r="D21" s="364" t="str">
        <f>D19</f>
        <v/>
      </c>
      <c r="E21" s="364"/>
    </row>
    <row r="22" spans="1:13" ht="28.15" customHeight="1">
      <c r="A22" s="415" t="str">
        <f>IF('3.1 Effektiv rente stående lån'!D9=1,"",'3.1 Effektiv rente stående lån'!D15)</f>
        <v/>
      </c>
      <c r="B22" s="415"/>
      <c r="C22" s="415"/>
      <c r="D22" s="416" t="str">
        <f>D21</f>
        <v/>
      </c>
      <c r="E22" s="416"/>
    </row>
    <row r="23" spans="1:13" ht="18">
      <c r="A23" s="364" t="str">
        <f>IF('3.1 Effektiv rente stående lån'!D9=1,"","Eller udtrykt i procent:")</f>
        <v/>
      </c>
      <c r="B23" s="364"/>
      <c r="C23" s="364"/>
      <c r="D23" s="364"/>
      <c r="E23" s="364"/>
      <c r="F23" s="364"/>
      <c r="G23" s="364"/>
      <c r="H23" s="364"/>
      <c r="I23" s="364"/>
      <c r="J23" s="364"/>
      <c r="K23" s="364"/>
      <c r="L23" s="364"/>
      <c r="M23" s="364"/>
    </row>
    <row r="24" spans="1:13" ht="24.6" customHeight="1">
      <c r="A24" s="359" t="str">
        <f>IF('3.1 Effektiv rente stående lån'!$D$9=1,"",CONCATENATE("Årlig rente = ",ROUND('3.1 Effektiv rente stående lån'!D15*100,2),"%"))</f>
        <v/>
      </c>
      <c r="B24" s="359"/>
      <c r="C24" s="359"/>
      <c r="D24" s="359"/>
      <c r="E24" s="359"/>
    </row>
  </sheetData>
  <mergeCells count="40">
    <mergeCell ref="A23:M23"/>
    <mergeCell ref="A24:E24"/>
    <mergeCell ref="A13:M13"/>
    <mergeCell ref="A15:M15"/>
    <mergeCell ref="D19:E19"/>
    <mergeCell ref="D21:E21"/>
    <mergeCell ref="A22:C22"/>
    <mergeCell ref="D22:E22"/>
    <mergeCell ref="D12:E12"/>
    <mergeCell ref="M8:M9"/>
    <mergeCell ref="N8:N9"/>
    <mergeCell ref="D9:E9"/>
    <mergeCell ref="A10:M10"/>
    <mergeCell ref="A11:A12"/>
    <mergeCell ref="B11:B12"/>
    <mergeCell ref="F11:F12"/>
    <mergeCell ref="G11:G12"/>
    <mergeCell ref="H11:H12"/>
    <mergeCell ref="I11:I12"/>
    <mergeCell ref="J11:J12"/>
    <mergeCell ref="K11:K12"/>
    <mergeCell ref="L11:L12"/>
    <mergeCell ref="M11:M12"/>
    <mergeCell ref="N11:N12"/>
    <mergeCell ref="A7:N7"/>
    <mergeCell ref="A8:A9"/>
    <mergeCell ref="B8:B9"/>
    <mergeCell ref="F8:F9"/>
    <mergeCell ref="G8:G9"/>
    <mergeCell ref="H8:H9"/>
    <mergeCell ref="I8:I9"/>
    <mergeCell ref="J8:J9"/>
    <mergeCell ref="K8:K9"/>
    <mergeCell ref="L8:L9"/>
    <mergeCell ref="D6:F6"/>
    <mergeCell ref="A1:N1"/>
    <mergeCell ref="A2:N2"/>
    <mergeCell ref="A3:N3"/>
    <mergeCell ref="D4:J4"/>
    <mergeCell ref="D5:F5"/>
  </mergeCells>
  <pageMargins left="0.19685039370078741" right="0.19685039370078741" top="0.98425196850393704" bottom="0.98425196850393704" header="0" footer="0"/>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66"/>
  <sheetViews>
    <sheetView zoomScale="90" zoomScaleNormal="90" workbookViewId="0">
      <selection activeCell="D76" sqref="D76"/>
    </sheetView>
  </sheetViews>
  <sheetFormatPr defaultRowHeight="12.75"/>
  <cols>
    <col min="1" max="1" width="12.7109375" style="54" customWidth="1"/>
    <col min="2" max="2" width="22.85546875" style="54" customWidth="1"/>
    <col min="3" max="3" width="20.7109375" style="54" customWidth="1"/>
    <col min="4" max="4" width="28.28515625" style="54" customWidth="1"/>
    <col min="5" max="5" width="27.7109375" style="54" customWidth="1"/>
    <col min="6" max="6" width="28.28515625" style="54" customWidth="1"/>
    <col min="7" max="7" width="24.7109375" style="54" hidden="1" customWidth="1"/>
    <col min="8" max="8" width="24.85546875" style="54" hidden="1" customWidth="1"/>
    <col min="9" max="9" width="24.140625" style="54" hidden="1" customWidth="1"/>
    <col min="10" max="16384" width="9.140625" style="54"/>
  </cols>
  <sheetData>
    <row r="1" spans="1:11" ht="18">
      <c r="A1" s="417" t="s">
        <v>122</v>
      </c>
      <c r="B1" s="418"/>
      <c r="C1" s="418"/>
    </row>
    <row r="2" spans="1:11" ht="15.75">
      <c r="A2" s="189" t="s">
        <v>9</v>
      </c>
      <c r="B2" s="190">
        <v>6</v>
      </c>
    </row>
    <row r="3" spans="1:11" ht="16.5" thickBot="1">
      <c r="A3" s="189" t="s">
        <v>10</v>
      </c>
      <c r="B3" s="191">
        <v>0.08</v>
      </c>
    </row>
    <row r="4" spans="1:11" ht="64.5" customHeight="1" thickBot="1">
      <c r="A4" s="192" t="s">
        <v>11</v>
      </c>
      <c r="B4" s="193" t="s">
        <v>12</v>
      </c>
      <c r="C4" s="194" t="s">
        <v>13</v>
      </c>
      <c r="D4" s="192" t="s">
        <v>14</v>
      </c>
      <c r="E4" s="195" t="s">
        <v>15</v>
      </c>
      <c r="F4" s="192" t="s">
        <v>16</v>
      </c>
      <c r="G4" s="192" t="s">
        <v>17</v>
      </c>
      <c r="H4" s="195" t="str">
        <f>CONCATENATE("Nutidsværdien ved den interne rente (IRR) ",(ROUND(F58,4)*100)," %")</f>
        <v>Nutidsværdien ved den interne rente (IRR) 4,33 %</v>
      </c>
      <c r="I4" s="195" t="s">
        <v>18</v>
      </c>
    </row>
    <row r="5" spans="1:11" ht="18">
      <c r="A5" s="196">
        <v>0</v>
      </c>
      <c r="B5" s="197">
        <v>0</v>
      </c>
      <c r="C5" s="198">
        <v>417000</v>
      </c>
      <c r="D5" s="199">
        <f t="shared" ref="D5:D55" si="0">B5-C5</f>
        <v>-417000</v>
      </c>
      <c r="E5" s="200">
        <f t="shared" ref="E5:E55" si="1">IF(A5&lt;=$B$2,POWER((1+$B$3),(A5*-1)),"-")</f>
        <v>1</v>
      </c>
      <c r="F5" s="201">
        <f>D5</f>
        <v>-417000</v>
      </c>
      <c r="G5" s="200">
        <f>IF(A5&lt;=$B$2,POWER((1+$F$58),(A5*-1)),"-")</f>
        <v>1</v>
      </c>
      <c r="H5" s="201">
        <f>F5</f>
        <v>-417000</v>
      </c>
      <c r="I5" s="196"/>
    </row>
    <row r="6" spans="1:11" ht="18">
      <c r="A6" s="202">
        <f t="shared" ref="A6:A55" si="2">A5+1</f>
        <v>1</v>
      </c>
      <c r="B6" s="203">
        <v>80408.149999999994</v>
      </c>
      <c r="C6" s="204">
        <v>0</v>
      </c>
      <c r="D6" s="205">
        <f t="shared" si="0"/>
        <v>80408.149999999994</v>
      </c>
      <c r="E6" s="206">
        <f t="shared" si="1"/>
        <v>0.92592592592592582</v>
      </c>
      <c r="F6" s="207">
        <f t="shared" ref="F6:F55" si="3">PV($B$3,A6,0,D6)*-1</f>
        <v>74451.99074074073</v>
      </c>
      <c r="G6" s="206">
        <f>IF(A6&lt;=$B$2,POWER((1+$F$58),(A6*-1)),"-")</f>
        <v>0.95848373514653118</v>
      </c>
      <c r="H6" s="207">
        <f t="shared" ref="H6:H55" si="4">PV($F$58,A6,0,D6)*-1</f>
        <v>77069.903948222549</v>
      </c>
      <c r="I6" s="207">
        <f>PMT($B$3,$B$2,$F$56)*-1</f>
        <v>-9795.3660574971236</v>
      </c>
    </row>
    <row r="7" spans="1:11" ht="18">
      <c r="A7" s="202">
        <f t="shared" si="2"/>
        <v>2</v>
      </c>
      <c r="B7" s="203">
        <v>80408.149999999994</v>
      </c>
      <c r="C7" s="204">
        <v>0</v>
      </c>
      <c r="D7" s="205">
        <f t="shared" si="0"/>
        <v>80408.149999999994</v>
      </c>
      <c r="E7" s="206">
        <f t="shared" si="1"/>
        <v>0.85733882030178321</v>
      </c>
      <c r="F7" s="207">
        <f t="shared" si="3"/>
        <v>68937.028463648821</v>
      </c>
      <c r="G7" s="206">
        <f t="shared" ref="G7:G55" si="5">IF(A7&lt;=$B$2,POWER((1+$F$58),(A7*-1)),"-")</f>
        <v>0.91869107054044563</v>
      </c>
      <c r="H7" s="207">
        <f t="shared" si="4"/>
        <v>73870.249403676731</v>
      </c>
      <c r="I7" s="207">
        <f t="shared" ref="I7:I12" si="6">IF(A7&lt;=$B$2,$I$6,0)</f>
        <v>-9795.3660574971236</v>
      </c>
    </row>
    <row r="8" spans="1:11" ht="18">
      <c r="A8" s="202">
        <f t="shared" si="2"/>
        <v>3</v>
      </c>
      <c r="B8" s="203">
        <v>80408.149999999994</v>
      </c>
      <c r="C8" s="204">
        <v>0</v>
      </c>
      <c r="D8" s="205">
        <f t="shared" si="0"/>
        <v>80408.149999999994</v>
      </c>
      <c r="E8" s="206">
        <f t="shared" si="1"/>
        <v>0.79383224102016958</v>
      </c>
      <c r="F8" s="207">
        <f t="shared" si="3"/>
        <v>63830.581910785942</v>
      </c>
      <c r="G8" s="206">
        <f t="shared" si="5"/>
        <v>0.88055044873737165</v>
      </c>
      <c r="H8" s="207">
        <f t="shared" si="4"/>
        <v>70803.432564641887</v>
      </c>
      <c r="I8" s="207">
        <f t="shared" si="6"/>
        <v>-9795.3660574971236</v>
      </c>
    </row>
    <row r="9" spans="1:11" ht="18">
      <c r="A9" s="202">
        <f t="shared" si="2"/>
        <v>4</v>
      </c>
      <c r="B9" s="203">
        <v>80408.149999999994</v>
      </c>
      <c r="C9" s="204">
        <v>0</v>
      </c>
      <c r="D9" s="205">
        <f t="shared" si="0"/>
        <v>80408.149999999994</v>
      </c>
      <c r="E9" s="206">
        <f t="shared" si="1"/>
        <v>0.73502985279645328</v>
      </c>
      <c r="F9" s="207">
        <f t="shared" si="3"/>
        <v>59102.390658135126</v>
      </c>
      <c r="G9" s="206">
        <f t="shared" si="5"/>
        <v>0.84399328309074995</v>
      </c>
      <c r="H9" s="207">
        <f t="shared" si="4"/>
        <v>67863.938505753482</v>
      </c>
      <c r="I9" s="207">
        <f t="shared" si="6"/>
        <v>-9795.3660574971236</v>
      </c>
    </row>
    <row r="10" spans="1:11" ht="18">
      <c r="A10" s="202">
        <f t="shared" si="2"/>
        <v>5</v>
      </c>
      <c r="B10" s="203">
        <v>80408.149999999994</v>
      </c>
      <c r="C10" s="204">
        <v>0</v>
      </c>
      <c r="D10" s="205">
        <f>(B10-C10)</f>
        <v>80408.149999999994</v>
      </c>
      <c r="E10" s="206">
        <f t="shared" si="1"/>
        <v>0.68058319703375303</v>
      </c>
      <c r="F10" s="207">
        <f t="shared" si="3"/>
        <v>54724.435794569566</v>
      </c>
      <c r="G10" s="206">
        <f t="shared" si="5"/>
        <v>0.8089538344154058</v>
      </c>
      <c r="H10" s="207">
        <f t="shared" si="4"/>
        <v>65046.481260749104</v>
      </c>
      <c r="I10" s="207">
        <f t="shared" si="6"/>
        <v>-9795.3660574971236</v>
      </c>
    </row>
    <row r="11" spans="1:11" ht="18.75" thickBot="1">
      <c r="A11" s="202">
        <f t="shared" si="2"/>
        <v>6</v>
      </c>
      <c r="B11" s="203">
        <v>80408.149999999994</v>
      </c>
      <c r="C11" s="204">
        <v>0</v>
      </c>
      <c r="D11" s="205">
        <f t="shared" si="0"/>
        <v>80408.149999999994</v>
      </c>
      <c r="E11" s="206">
        <f t="shared" si="1"/>
        <v>0.63016962688310452</v>
      </c>
      <c r="F11" s="207">
        <f t="shared" si="3"/>
        <v>50670.773883860704</v>
      </c>
      <c r="G11" s="206">
        <f t="shared" si="5"/>
        <v>0.77536909277158639</v>
      </c>
      <c r="H11" s="207">
        <f t="shared" si="4"/>
        <v>62345.994316941636</v>
      </c>
      <c r="I11" s="207">
        <f t="shared" si="6"/>
        <v>-9795.3660574971236</v>
      </c>
    </row>
    <row r="12" spans="1:11" ht="18.75" hidden="1" thickBot="1">
      <c r="A12" s="202">
        <f t="shared" si="2"/>
        <v>7</v>
      </c>
      <c r="B12" s="208">
        <v>0</v>
      </c>
      <c r="C12" s="204">
        <v>0</v>
      </c>
      <c r="D12" s="205">
        <f t="shared" si="0"/>
        <v>0</v>
      </c>
      <c r="E12" s="206" t="str">
        <f t="shared" si="1"/>
        <v>-</v>
      </c>
      <c r="F12" s="207">
        <f t="shared" si="3"/>
        <v>0</v>
      </c>
      <c r="G12" s="206" t="str">
        <f t="shared" si="5"/>
        <v>-</v>
      </c>
      <c r="H12" s="207">
        <f t="shared" si="4"/>
        <v>0</v>
      </c>
      <c r="I12" s="207">
        <f t="shared" si="6"/>
        <v>0</v>
      </c>
    </row>
    <row r="13" spans="1:11" ht="18.75" hidden="1" thickBot="1">
      <c r="A13" s="202">
        <f t="shared" si="2"/>
        <v>8</v>
      </c>
      <c r="B13" s="208">
        <v>0</v>
      </c>
      <c r="C13" s="204">
        <v>0</v>
      </c>
      <c r="D13" s="205">
        <f t="shared" si="0"/>
        <v>0</v>
      </c>
      <c r="E13" s="206" t="str">
        <f t="shared" si="1"/>
        <v>-</v>
      </c>
      <c r="F13" s="207">
        <f t="shared" si="3"/>
        <v>0</v>
      </c>
      <c r="G13" s="206" t="str">
        <f t="shared" si="5"/>
        <v>-</v>
      </c>
      <c r="H13" s="207">
        <f t="shared" si="4"/>
        <v>0</v>
      </c>
      <c r="I13" s="207">
        <f t="shared" ref="I13:I55" si="7">IF(A12&lt;=$B$2,$I$6,0)</f>
        <v>0</v>
      </c>
      <c r="K13" s="209"/>
    </row>
    <row r="14" spans="1:11" ht="18.75" hidden="1" thickBot="1">
      <c r="A14" s="202">
        <f t="shared" si="2"/>
        <v>9</v>
      </c>
      <c r="B14" s="208">
        <v>0</v>
      </c>
      <c r="C14" s="204">
        <v>0</v>
      </c>
      <c r="D14" s="205">
        <f t="shared" si="0"/>
        <v>0</v>
      </c>
      <c r="E14" s="206" t="str">
        <f t="shared" si="1"/>
        <v>-</v>
      </c>
      <c r="F14" s="207">
        <f t="shared" si="3"/>
        <v>0</v>
      </c>
      <c r="G14" s="206" t="str">
        <f t="shared" si="5"/>
        <v>-</v>
      </c>
      <c r="H14" s="207">
        <f t="shared" si="4"/>
        <v>0</v>
      </c>
      <c r="I14" s="207">
        <f t="shared" si="7"/>
        <v>0</v>
      </c>
    </row>
    <row r="15" spans="1:11" ht="18.75" hidden="1" thickBot="1">
      <c r="A15" s="202">
        <f t="shared" si="2"/>
        <v>10</v>
      </c>
      <c r="B15" s="208">
        <v>0</v>
      </c>
      <c r="C15" s="204">
        <v>0</v>
      </c>
      <c r="D15" s="205">
        <f t="shared" si="0"/>
        <v>0</v>
      </c>
      <c r="E15" s="206" t="str">
        <f t="shared" si="1"/>
        <v>-</v>
      </c>
      <c r="F15" s="207">
        <f t="shared" si="3"/>
        <v>0</v>
      </c>
      <c r="G15" s="206" t="str">
        <f t="shared" si="5"/>
        <v>-</v>
      </c>
      <c r="H15" s="207">
        <f t="shared" si="4"/>
        <v>0</v>
      </c>
      <c r="I15" s="207">
        <f t="shared" si="7"/>
        <v>0</v>
      </c>
    </row>
    <row r="16" spans="1:11" ht="18.75" hidden="1" thickBot="1">
      <c r="A16" s="202">
        <f t="shared" si="2"/>
        <v>11</v>
      </c>
      <c r="B16" s="208">
        <v>0</v>
      </c>
      <c r="C16" s="204">
        <v>0</v>
      </c>
      <c r="D16" s="205">
        <f t="shared" si="0"/>
        <v>0</v>
      </c>
      <c r="E16" s="206" t="str">
        <f t="shared" si="1"/>
        <v>-</v>
      </c>
      <c r="F16" s="207">
        <f t="shared" si="3"/>
        <v>0</v>
      </c>
      <c r="G16" s="206" t="str">
        <f t="shared" si="5"/>
        <v>-</v>
      </c>
      <c r="H16" s="207">
        <f t="shared" si="4"/>
        <v>0</v>
      </c>
      <c r="I16" s="207">
        <f t="shared" si="7"/>
        <v>0</v>
      </c>
    </row>
    <row r="17" spans="1:11" ht="18.75" hidden="1" thickBot="1">
      <c r="A17" s="202">
        <f t="shared" si="2"/>
        <v>12</v>
      </c>
      <c r="B17" s="208">
        <v>0</v>
      </c>
      <c r="C17" s="204">
        <v>0</v>
      </c>
      <c r="D17" s="205">
        <f t="shared" si="0"/>
        <v>0</v>
      </c>
      <c r="E17" s="206" t="str">
        <f t="shared" si="1"/>
        <v>-</v>
      </c>
      <c r="F17" s="207">
        <f t="shared" si="3"/>
        <v>0</v>
      </c>
      <c r="G17" s="206" t="str">
        <f t="shared" si="5"/>
        <v>-</v>
      </c>
      <c r="H17" s="207">
        <f t="shared" si="4"/>
        <v>0</v>
      </c>
      <c r="I17" s="207">
        <f t="shared" si="7"/>
        <v>0</v>
      </c>
    </row>
    <row r="18" spans="1:11" ht="18.75" hidden="1" thickBot="1">
      <c r="A18" s="202">
        <f t="shared" si="2"/>
        <v>13</v>
      </c>
      <c r="B18" s="208">
        <v>0</v>
      </c>
      <c r="C18" s="204">
        <v>0</v>
      </c>
      <c r="D18" s="205">
        <f t="shared" si="0"/>
        <v>0</v>
      </c>
      <c r="E18" s="206" t="str">
        <f t="shared" si="1"/>
        <v>-</v>
      </c>
      <c r="F18" s="207">
        <f t="shared" si="3"/>
        <v>0</v>
      </c>
      <c r="G18" s="206" t="str">
        <f t="shared" si="5"/>
        <v>-</v>
      </c>
      <c r="H18" s="207">
        <f t="shared" si="4"/>
        <v>0</v>
      </c>
      <c r="I18" s="207">
        <f t="shared" si="7"/>
        <v>0</v>
      </c>
      <c r="K18" s="209"/>
    </row>
    <row r="19" spans="1:11" ht="18.75" hidden="1" thickBot="1">
      <c r="A19" s="202">
        <f t="shared" si="2"/>
        <v>14</v>
      </c>
      <c r="B19" s="208">
        <v>0</v>
      </c>
      <c r="C19" s="204">
        <v>0</v>
      </c>
      <c r="D19" s="205">
        <f t="shared" si="0"/>
        <v>0</v>
      </c>
      <c r="E19" s="206" t="str">
        <f t="shared" si="1"/>
        <v>-</v>
      </c>
      <c r="F19" s="207">
        <f t="shared" si="3"/>
        <v>0</v>
      </c>
      <c r="G19" s="206" t="str">
        <f t="shared" si="5"/>
        <v>-</v>
      </c>
      <c r="H19" s="207">
        <f t="shared" si="4"/>
        <v>0</v>
      </c>
      <c r="I19" s="207">
        <f t="shared" si="7"/>
        <v>0</v>
      </c>
    </row>
    <row r="20" spans="1:11" ht="18.75" hidden="1" thickBot="1">
      <c r="A20" s="210">
        <f t="shared" si="2"/>
        <v>15</v>
      </c>
      <c r="B20" s="211">
        <v>0</v>
      </c>
      <c r="C20" s="212">
        <v>0</v>
      </c>
      <c r="D20" s="213">
        <f t="shared" si="0"/>
        <v>0</v>
      </c>
      <c r="E20" s="214" t="str">
        <f t="shared" si="1"/>
        <v>-</v>
      </c>
      <c r="F20" s="215">
        <f t="shared" si="3"/>
        <v>0</v>
      </c>
      <c r="G20" s="214" t="str">
        <f t="shared" si="5"/>
        <v>-</v>
      </c>
      <c r="H20" s="215">
        <f t="shared" si="4"/>
        <v>0</v>
      </c>
      <c r="I20" s="215">
        <f t="shared" si="7"/>
        <v>0</v>
      </c>
    </row>
    <row r="21" spans="1:11" ht="18.75" hidden="1" thickBot="1">
      <c r="A21" s="202">
        <f t="shared" si="2"/>
        <v>16</v>
      </c>
      <c r="B21" s="208">
        <v>0</v>
      </c>
      <c r="C21" s="204">
        <v>0</v>
      </c>
      <c r="D21" s="205">
        <f t="shared" si="0"/>
        <v>0</v>
      </c>
      <c r="E21" s="206" t="str">
        <f t="shared" si="1"/>
        <v>-</v>
      </c>
      <c r="F21" s="207">
        <f t="shared" si="3"/>
        <v>0</v>
      </c>
      <c r="G21" s="206" t="str">
        <f t="shared" si="5"/>
        <v>-</v>
      </c>
      <c r="H21" s="207">
        <f t="shared" si="4"/>
        <v>0</v>
      </c>
      <c r="I21" s="207">
        <f t="shared" si="7"/>
        <v>0</v>
      </c>
    </row>
    <row r="22" spans="1:11" ht="18.75" hidden="1" thickBot="1">
      <c r="A22" s="202">
        <f t="shared" si="2"/>
        <v>17</v>
      </c>
      <c r="B22" s="208">
        <v>0</v>
      </c>
      <c r="C22" s="204">
        <v>0</v>
      </c>
      <c r="D22" s="205">
        <f t="shared" si="0"/>
        <v>0</v>
      </c>
      <c r="E22" s="206" t="str">
        <f t="shared" si="1"/>
        <v>-</v>
      </c>
      <c r="F22" s="207">
        <f t="shared" si="3"/>
        <v>0</v>
      </c>
      <c r="G22" s="206" t="str">
        <f t="shared" si="5"/>
        <v>-</v>
      </c>
      <c r="H22" s="207">
        <f t="shared" si="4"/>
        <v>0</v>
      </c>
      <c r="I22" s="207">
        <f t="shared" si="7"/>
        <v>0</v>
      </c>
    </row>
    <row r="23" spans="1:11" ht="18.75" hidden="1" thickBot="1">
      <c r="A23" s="202">
        <f t="shared" si="2"/>
        <v>18</v>
      </c>
      <c r="B23" s="208">
        <v>0</v>
      </c>
      <c r="C23" s="204">
        <v>0</v>
      </c>
      <c r="D23" s="205">
        <f t="shared" si="0"/>
        <v>0</v>
      </c>
      <c r="E23" s="206" t="str">
        <f t="shared" si="1"/>
        <v>-</v>
      </c>
      <c r="F23" s="207">
        <f t="shared" si="3"/>
        <v>0</v>
      </c>
      <c r="G23" s="206" t="str">
        <f t="shared" si="5"/>
        <v>-</v>
      </c>
      <c r="H23" s="207">
        <f t="shared" si="4"/>
        <v>0</v>
      </c>
      <c r="I23" s="207">
        <f t="shared" si="7"/>
        <v>0</v>
      </c>
    </row>
    <row r="24" spans="1:11" ht="18.75" hidden="1" thickBot="1">
      <c r="A24" s="202">
        <f t="shared" si="2"/>
        <v>19</v>
      </c>
      <c r="B24" s="208">
        <v>0</v>
      </c>
      <c r="C24" s="204">
        <v>0</v>
      </c>
      <c r="D24" s="205">
        <f t="shared" si="0"/>
        <v>0</v>
      </c>
      <c r="E24" s="206" t="str">
        <f t="shared" si="1"/>
        <v>-</v>
      </c>
      <c r="F24" s="207">
        <f t="shared" si="3"/>
        <v>0</v>
      </c>
      <c r="G24" s="206" t="str">
        <f t="shared" si="5"/>
        <v>-</v>
      </c>
      <c r="H24" s="207">
        <f t="shared" si="4"/>
        <v>0</v>
      </c>
      <c r="I24" s="207">
        <f t="shared" si="7"/>
        <v>0</v>
      </c>
    </row>
    <row r="25" spans="1:11" ht="18.75" hidden="1" thickBot="1">
      <c r="A25" s="202">
        <f t="shared" si="2"/>
        <v>20</v>
      </c>
      <c r="B25" s="208">
        <v>0</v>
      </c>
      <c r="C25" s="204">
        <v>0</v>
      </c>
      <c r="D25" s="205">
        <f t="shared" si="0"/>
        <v>0</v>
      </c>
      <c r="E25" s="206" t="str">
        <f t="shared" si="1"/>
        <v>-</v>
      </c>
      <c r="F25" s="207">
        <f t="shared" si="3"/>
        <v>0</v>
      </c>
      <c r="G25" s="206" t="str">
        <f t="shared" si="5"/>
        <v>-</v>
      </c>
      <c r="H25" s="207">
        <f t="shared" si="4"/>
        <v>0</v>
      </c>
      <c r="I25" s="207">
        <f t="shared" si="7"/>
        <v>0</v>
      </c>
    </row>
    <row r="26" spans="1:11" ht="18.75" hidden="1" thickBot="1">
      <c r="A26" s="202">
        <f t="shared" si="2"/>
        <v>21</v>
      </c>
      <c r="B26" s="208">
        <v>0</v>
      </c>
      <c r="C26" s="204">
        <v>0</v>
      </c>
      <c r="D26" s="205">
        <f t="shared" si="0"/>
        <v>0</v>
      </c>
      <c r="E26" s="206" t="str">
        <f t="shared" si="1"/>
        <v>-</v>
      </c>
      <c r="F26" s="207">
        <f t="shared" si="3"/>
        <v>0</v>
      </c>
      <c r="G26" s="206" t="str">
        <f t="shared" si="5"/>
        <v>-</v>
      </c>
      <c r="H26" s="207">
        <f t="shared" si="4"/>
        <v>0</v>
      </c>
      <c r="I26" s="207">
        <f t="shared" si="7"/>
        <v>0</v>
      </c>
    </row>
    <row r="27" spans="1:11" ht="18.75" hidden="1" thickBot="1">
      <c r="A27" s="202">
        <f t="shared" si="2"/>
        <v>22</v>
      </c>
      <c r="B27" s="208">
        <v>0</v>
      </c>
      <c r="C27" s="204">
        <v>0</v>
      </c>
      <c r="D27" s="205">
        <f t="shared" si="0"/>
        <v>0</v>
      </c>
      <c r="E27" s="206" t="str">
        <f t="shared" si="1"/>
        <v>-</v>
      </c>
      <c r="F27" s="207">
        <f t="shared" si="3"/>
        <v>0</v>
      </c>
      <c r="G27" s="206" t="str">
        <f t="shared" si="5"/>
        <v>-</v>
      </c>
      <c r="H27" s="207">
        <f t="shared" si="4"/>
        <v>0</v>
      </c>
      <c r="I27" s="207">
        <f t="shared" si="7"/>
        <v>0</v>
      </c>
    </row>
    <row r="28" spans="1:11" ht="18.75" hidden="1" thickBot="1">
      <c r="A28" s="202">
        <f t="shared" si="2"/>
        <v>23</v>
      </c>
      <c r="B28" s="208">
        <v>0</v>
      </c>
      <c r="C28" s="204">
        <v>0</v>
      </c>
      <c r="D28" s="205">
        <f t="shared" si="0"/>
        <v>0</v>
      </c>
      <c r="E28" s="206" t="str">
        <f t="shared" si="1"/>
        <v>-</v>
      </c>
      <c r="F28" s="207">
        <f t="shared" si="3"/>
        <v>0</v>
      </c>
      <c r="G28" s="206" t="str">
        <f t="shared" si="5"/>
        <v>-</v>
      </c>
      <c r="H28" s="207">
        <f t="shared" si="4"/>
        <v>0</v>
      </c>
      <c r="I28" s="207">
        <f t="shared" si="7"/>
        <v>0</v>
      </c>
    </row>
    <row r="29" spans="1:11" ht="18.75" hidden="1" thickBot="1">
      <c r="A29" s="202">
        <f t="shared" si="2"/>
        <v>24</v>
      </c>
      <c r="B29" s="208">
        <v>0</v>
      </c>
      <c r="C29" s="204">
        <v>0</v>
      </c>
      <c r="D29" s="205">
        <f t="shared" si="0"/>
        <v>0</v>
      </c>
      <c r="E29" s="206" t="str">
        <f t="shared" si="1"/>
        <v>-</v>
      </c>
      <c r="F29" s="207">
        <f t="shared" si="3"/>
        <v>0</v>
      </c>
      <c r="G29" s="206" t="str">
        <f t="shared" si="5"/>
        <v>-</v>
      </c>
      <c r="H29" s="207">
        <f t="shared" si="4"/>
        <v>0</v>
      </c>
      <c r="I29" s="207">
        <f t="shared" si="7"/>
        <v>0</v>
      </c>
    </row>
    <row r="30" spans="1:11" ht="18.75" hidden="1" thickBot="1">
      <c r="A30" s="202">
        <f t="shared" si="2"/>
        <v>25</v>
      </c>
      <c r="B30" s="208">
        <v>0</v>
      </c>
      <c r="C30" s="204">
        <v>0</v>
      </c>
      <c r="D30" s="205">
        <f t="shared" si="0"/>
        <v>0</v>
      </c>
      <c r="E30" s="206" t="str">
        <f t="shared" si="1"/>
        <v>-</v>
      </c>
      <c r="F30" s="207">
        <f t="shared" si="3"/>
        <v>0</v>
      </c>
      <c r="G30" s="206" t="str">
        <f t="shared" si="5"/>
        <v>-</v>
      </c>
      <c r="H30" s="207">
        <f t="shared" si="4"/>
        <v>0</v>
      </c>
      <c r="I30" s="207">
        <f t="shared" si="7"/>
        <v>0</v>
      </c>
    </row>
    <row r="31" spans="1:11" ht="18.75" hidden="1" thickBot="1">
      <c r="A31" s="202">
        <f t="shared" si="2"/>
        <v>26</v>
      </c>
      <c r="B31" s="208">
        <v>0</v>
      </c>
      <c r="C31" s="204">
        <v>0</v>
      </c>
      <c r="D31" s="205">
        <f t="shared" si="0"/>
        <v>0</v>
      </c>
      <c r="E31" s="206" t="str">
        <f t="shared" si="1"/>
        <v>-</v>
      </c>
      <c r="F31" s="207">
        <f t="shared" si="3"/>
        <v>0</v>
      </c>
      <c r="G31" s="206" t="str">
        <f t="shared" si="5"/>
        <v>-</v>
      </c>
      <c r="H31" s="207">
        <f t="shared" si="4"/>
        <v>0</v>
      </c>
      <c r="I31" s="207">
        <f t="shared" si="7"/>
        <v>0</v>
      </c>
    </row>
    <row r="32" spans="1:11" ht="18.75" hidden="1" thickBot="1">
      <c r="A32" s="202">
        <f t="shared" si="2"/>
        <v>27</v>
      </c>
      <c r="B32" s="208">
        <v>0</v>
      </c>
      <c r="C32" s="204">
        <v>0</v>
      </c>
      <c r="D32" s="205">
        <f t="shared" si="0"/>
        <v>0</v>
      </c>
      <c r="E32" s="206" t="str">
        <f t="shared" si="1"/>
        <v>-</v>
      </c>
      <c r="F32" s="207">
        <f t="shared" si="3"/>
        <v>0</v>
      </c>
      <c r="G32" s="206" t="str">
        <f t="shared" si="5"/>
        <v>-</v>
      </c>
      <c r="H32" s="207">
        <f t="shared" si="4"/>
        <v>0</v>
      </c>
      <c r="I32" s="207">
        <f t="shared" si="7"/>
        <v>0</v>
      </c>
    </row>
    <row r="33" spans="1:9" ht="18.75" hidden="1" thickBot="1">
      <c r="A33" s="202">
        <f t="shared" si="2"/>
        <v>28</v>
      </c>
      <c r="B33" s="208">
        <v>0</v>
      </c>
      <c r="C33" s="204">
        <v>0</v>
      </c>
      <c r="D33" s="205">
        <f t="shared" si="0"/>
        <v>0</v>
      </c>
      <c r="E33" s="206" t="str">
        <f t="shared" si="1"/>
        <v>-</v>
      </c>
      <c r="F33" s="207">
        <f t="shared" si="3"/>
        <v>0</v>
      </c>
      <c r="G33" s="206" t="str">
        <f t="shared" si="5"/>
        <v>-</v>
      </c>
      <c r="H33" s="207">
        <f t="shared" si="4"/>
        <v>0</v>
      </c>
      <c r="I33" s="207">
        <f t="shared" si="7"/>
        <v>0</v>
      </c>
    </row>
    <row r="34" spans="1:9" ht="18.75" hidden="1" thickBot="1">
      <c r="A34" s="202">
        <f t="shared" si="2"/>
        <v>29</v>
      </c>
      <c r="B34" s="208">
        <v>0</v>
      </c>
      <c r="C34" s="204">
        <v>0</v>
      </c>
      <c r="D34" s="205">
        <f t="shared" si="0"/>
        <v>0</v>
      </c>
      <c r="E34" s="206" t="str">
        <f t="shared" si="1"/>
        <v>-</v>
      </c>
      <c r="F34" s="207">
        <f t="shared" si="3"/>
        <v>0</v>
      </c>
      <c r="G34" s="206" t="str">
        <f t="shared" si="5"/>
        <v>-</v>
      </c>
      <c r="H34" s="207">
        <f t="shared" si="4"/>
        <v>0</v>
      </c>
      <c r="I34" s="207">
        <f t="shared" si="7"/>
        <v>0</v>
      </c>
    </row>
    <row r="35" spans="1:9" ht="18.75" hidden="1" thickBot="1">
      <c r="A35" s="202">
        <f t="shared" si="2"/>
        <v>30</v>
      </c>
      <c r="B35" s="208">
        <v>0</v>
      </c>
      <c r="C35" s="204">
        <v>0</v>
      </c>
      <c r="D35" s="205">
        <f t="shared" si="0"/>
        <v>0</v>
      </c>
      <c r="E35" s="206" t="str">
        <f t="shared" si="1"/>
        <v>-</v>
      </c>
      <c r="F35" s="207">
        <f t="shared" si="3"/>
        <v>0</v>
      </c>
      <c r="G35" s="206" t="str">
        <f t="shared" si="5"/>
        <v>-</v>
      </c>
      <c r="H35" s="207">
        <f t="shared" si="4"/>
        <v>0</v>
      </c>
      <c r="I35" s="207">
        <f t="shared" si="7"/>
        <v>0</v>
      </c>
    </row>
    <row r="36" spans="1:9" ht="18.75" hidden="1" thickBot="1">
      <c r="A36" s="202">
        <f t="shared" si="2"/>
        <v>31</v>
      </c>
      <c r="B36" s="208">
        <v>0</v>
      </c>
      <c r="C36" s="204">
        <v>0</v>
      </c>
      <c r="D36" s="205">
        <f t="shared" si="0"/>
        <v>0</v>
      </c>
      <c r="E36" s="206" t="str">
        <f t="shared" si="1"/>
        <v>-</v>
      </c>
      <c r="F36" s="207">
        <f t="shared" si="3"/>
        <v>0</v>
      </c>
      <c r="G36" s="206" t="str">
        <f t="shared" si="5"/>
        <v>-</v>
      </c>
      <c r="H36" s="207">
        <f t="shared" si="4"/>
        <v>0</v>
      </c>
      <c r="I36" s="207">
        <f t="shared" si="7"/>
        <v>0</v>
      </c>
    </row>
    <row r="37" spans="1:9" ht="18.75" hidden="1" thickBot="1">
      <c r="A37" s="202">
        <f t="shared" si="2"/>
        <v>32</v>
      </c>
      <c r="B37" s="208">
        <v>0</v>
      </c>
      <c r="C37" s="204">
        <v>0</v>
      </c>
      <c r="D37" s="205">
        <f t="shared" si="0"/>
        <v>0</v>
      </c>
      <c r="E37" s="206" t="str">
        <f t="shared" si="1"/>
        <v>-</v>
      </c>
      <c r="F37" s="207">
        <f t="shared" si="3"/>
        <v>0</v>
      </c>
      <c r="G37" s="206" t="str">
        <f t="shared" si="5"/>
        <v>-</v>
      </c>
      <c r="H37" s="207">
        <f t="shared" si="4"/>
        <v>0</v>
      </c>
      <c r="I37" s="207">
        <f t="shared" si="7"/>
        <v>0</v>
      </c>
    </row>
    <row r="38" spans="1:9" ht="18.75" hidden="1" thickBot="1">
      <c r="A38" s="202">
        <f t="shared" si="2"/>
        <v>33</v>
      </c>
      <c r="B38" s="208">
        <v>0</v>
      </c>
      <c r="C38" s="204">
        <v>0</v>
      </c>
      <c r="D38" s="205">
        <f t="shared" si="0"/>
        <v>0</v>
      </c>
      <c r="E38" s="206" t="str">
        <f t="shared" si="1"/>
        <v>-</v>
      </c>
      <c r="F38" s="207">
        <f t="shared" si="3"/>
        <v>0</v>
      </c>
      <c r="G38" s="206" t="str">
        <f t="shared" si="5"/>
        <v>-</v>
      </c>
      <c r="H38" s="207">
        <f t="shared" si="4"/>
        <v>0</v>
      </c>
      <c r="I38" s="207">
        <f t="shared" si="7"/>
        <v>0</v>
      </c>
    </row>
    <row r="39" spans="1:9" ht="18.75" hidden="1" thickBot="1">
      <c r="A39" s="202">
        <f t="shared" si="2"/>
        <v>34</v>
      </c>
      <c r="B39" s="208">
        <v>0</v>
      </c>
      <c r="C39" s="204">
        <v>0</v>
      </c>
      <c r="D39" s="205">
        <f t="shared" si="0"/>
        <v>0</v>
      </c>
      <c r="E39" s="206" t="str">
        <f t="shared" si="1"/>
        <v>-</v>
      </c>
      <c r="F39" s="207">
        <f t="shared" si="3"/>
        <v>0</v>
      </c>
      <c r="G39" s="206" t="str">
        <f t="shared" si="5"/>
        <v>-</v>
      </c>
      <c r="H39" s="207">
        <f t="shared" si="4"/>
        <v>0</v>
      </c>
      <c r="I39" s="207">
        <f t="shared" si="7"/>
        <v>0</v>
      </c>
    </row>
    <row r="40" spans="1:9" ht="18.75" hidden="1" thickBot="1">
      <c r="A40" s="202">
        <f t="shared" si="2"/>
        <v>35</v>
      </c>
      <c r="B40" s="208">
        <v>0</v>
      </c>
      <c r="C40" s="204">
        <v>0</v>
      </c>
      <c r="D40" s="205">
        <f t="shared" si="0"/>
        <v>0</v>
      </c>
      <c r="E40" s="206" t="str">
        <f t="shared" si="1"/>
        <v>-</v>
      </c>
      <c r="F40" s="207">
        <f t="shared" si="3"/>
        <v>0</v>
      </c>
      <c r="G40" s="206" t="str">
        <f t="shared" si="5"/>
        <v>-</v>
      </c>
      <c r="H40" s="207">
        <f t="shared" si="4"/>
        <v>0</v>
      </c>
      <c r="I40" s="207">
        <f t="shared" si="7"/>
        <v>0</v>
      </c>
    </row>
    <row r="41" spans="1:9" ht="18.75" hidden="1" thickBot="1">
      <c r="A41" s="202">
        <f t="shared" si="2"/>
        <v>36</v>
      </c>
      <c r="B41" s="208">
        <v>0</v>
      </c>
      <c r="C41" s="204">
        <v>0</v>
      </c>
      <c r="D41" s="205">
        <f t="shared" si="0"/>
        <v>0</v>
      </c>
      <c r="E41" s="206" t="str">
        <f t="shared" si="1"/>
        <v>-</v>
      </c>
      <c r="F41" s="207">
        <f t="shared" si="3"/>
        <v>0</v>
      </c>
      <c r="G41" s="206" t="str">
        <f t="shared" si="5"/>
        <v>-</v>
      </c>
      <c r="H41" s="207">
        <f t="shared" si="4"/>
        <v>0</v>
      </c>
      <c r="I41" s="207">
        <f t="shared" si="7"/>
        <v>0</v>
      </c>
    </row>
    <row r="42" spans="1:9" ht="18.75" hidden="1" thickBot="1">
      <c r="A42" s="202">
        <f t="shared" si="2"/>
        <v>37</v>
      </c>
      <c r="B42" s="208">
        <v>0</v>
      </c>
      <c r="C42" s="204">
        <v>0</v>
      </c>
      <c r="D42" s="205">
        <f t="shared" si="0"/>
        <v>0</v>
      </c>
      <c r="E42" s="206" t="str">
        <f t="shared" si="1"/>
        <v>-</v>
      </c>
      <c r="F42" s="207">
        <f t="shared" si="3"/>
        <v>0</v>
      </c>
      <c r="G42" s="206" t="str">
        <f t="shared" si="5"/>
        <v>-</v>
      </c>
      <c r="H42" s="207">
        <f t="shared" si="4"/>
        <v>0</v>
      </c>
      <c r="I42" s="207">
        <f t="shared" si="7"/>
        <v>0</v>
      </c>
    </row>
    <row r="43" spans="1:9" ht="18.75" hidden="1" thickBot="1">
      <c r="A43" s="202">
        <f t="shared" si="2"/>
        <v>38</v>
      </c>
      <c r="B43" s="208">
        <v>0</v>
      </c>
      <c r="C43" s="204">
        <v>0</v>
      </c>
      <c r="D43" s="205">
        <f t="shared" si="0"/>
        <v>0</v>
      </c>
      <c r="E43" s="206" t="str">
        <f t="shared" si="1"/>
        <v>-</v>
      </c>
      <c r="F43" s="207">
        <f t="shared" si="3"/>
        <v>0</v>
      </c>
      <c r="G43" s="206" t="str">
        <f t="shared" si="5"/>
        <v>-</v>
      </c>
      <c r="H43" s="207">
        <f t="shared" si="4"/>
        <v>0</v>
      </c>
      <c r="I43" s="207">
        <f t="shared" si="7"/>
        <v>0</v>
      </c>
    </row>
    <row r="44" spans="1:9" ht="18.75" hidden="1" thickBot="1">
      <c r="A44" s="202">
        <f t="shared" si="2"/>
        <v>39</v>
      </c>
      <c r="B44" s="208">
        <v>0</v>
      </c>
      <c r="C44" s="204">
        <v>0</v>
      </c>
      <c r="D44" s="205">
        <f t="shared" si="0"/>
        <v>0</v>
      </c>
      <c r="E44" s="206" t="str">
        <f t="shared" si="1"/>
        <v>-</v>
      </c>
      <c r="F44" s="207">
        <f t="shared" si="3"/>
        <v>0</v>
      </c>
      <c r="G44" s="206" t="str">
        <f t="shared" si="5"/>
        <v>-</v>
      </c>
      <c r="H44" s="207">
        <f t="shared" si="4"/>
        <v>0</v>
      </c>
      <c r="I44" s="207">
        <f t="shared" si="7"/>
        <v>0</v>
      </c>
    </row>
    <row r="45" spans="1:9" ht="18.75" hidden="1" thickBot="1">
      <c r="A45" s="202">
        <f t="shared" si="2"/>
        <v>40</v>
      </c>
      <c r="B45" s="208">
        <v>0</v>
      </c>
      <c r="C45" s="204">
        <v>0</v>
      </c>
      <c r="D45" s="205">
        <f t="shared" si="0"/>
        <v>0</v>
      </c>
      <c r="E45" s="206" t="str">
        <f t="shared" si="1"/>
        <v>-</v>
      </c>
      <c r="F45" s="207">
        <f t="shared" si="3"/>
        <v>0</v>
      </c>
      <c r="G45" s="206" t="str">
        <f t="shared" si="5"/>
        <v>-</v>
      </c>
      <c r="H45" s="207">
        <f t="shared" si="4"/>
        <v>0</v>
      </c>
      <c r="I45" s="207">
        <f t="shared" si="7"/>
        <v>0</v>
      </c>
    </row>
    <row r="46" spans="1:9" ht="18.75" hidden="1" thickBot="1">
      <c r="A46" s="202">
        <f t="shared" si="2"/>
        <v>41</v>
      </c>
      <c r="B46" s="208">
        <v>0</v>
      </c>
      <c r="C46" s="204">
        <v>0</v>
      </c>
      <c r="D46" s="205">
        <f t="shared" si="0"/>
        <v>0</v>
      </c>
      <c r="E46" s="206" t="str">
        <f t="shared" si="1"/>
        <v>-</v>
      </c>
      <c r="F46" s="207">
        <f t="shared" si="3"/>
        <v>0</v>
      </c>
      <c r="G46" s="206" t="str">
        <f t="shared" si="5"/>
        <v>-</v>
      </c>
      <c r="H46" s="207">
        <f t="shared" si="4"/>
        <v>0</v>
      </c>
      <c r="I46" s="207">
        <f t="shared" si="7"/>
        <v>0</v>
      </c>
    </row>
    <row r="47" spans="1:9" ht="18.75" hidden="1" thickBot="1">
      <c r="A47" s="202">
        <f t="shared" si="2"/>
        <v>42</v>
      </c>
      <c r="B47" s="208">
        <v>0</v>
      </c>
      <c r="C47" s="204">
        <v>0</v>
      </c>
      <c r="D47" s="205">
        <f t="shared" si="0"/>
        <v>0</v>
      </c>
      <c r="E47" s="206" t="str">
        <f t="shared" si="1"/>
        <v>-</v>
      </c>
      <c r="F47" s="207">
        <f t="shared" si="3"/>
        <v>0</v>
      </c>
      <c r="G47" s="206" t="str">
        <f t="shared" si="5"/>
        <v>-</v>
      </c>
      <c r="H47" s="207">
        <f t="shared" si="4"/>
        <v>0</v>
      </c>
      <c r="I47" s="207">
        <f t="shared" si="7"/>
        <v>0</v>
      </c>
    </row>
    <row r="48" spans="1:9" ht="18.75" hidden="1" thickBot="1">
      <c r="A48" s="202">
        <f t="shared" si="2"/>
        <v>43</v>
      </c>
      <c r="B48" s="208">
        <v>0</v>
      </c>
      <c r="C48" s="204">
        <v>0</v>
      </c>
      <c r="D48" s="205">
        <f t="shared" si="0"/>
        <v>0</v>
      </c>
      <c r="E48" s="206" t="str">
        <f t="shared" si="1"/>
        <v>-</v>
      </c>
      <c r="F48" s="207">
        <f t="shared" si="3"/>
        <v>0</v>
      </c>
      <c r="G48" s="206" t="str">
        <f t="shared" si="5"/>
        <v>-</v>
      </c>
      <c r="H48" s="207">
        <f t="shared" si="4"/>
        <v>0</v>
      </c>
      <c r="I48" s="207">
        <f t="shared" si="7"/>
        <v>0</v>
      </c>
    </row>
    <row r="49" spans="1:9" ht="18.75" hidden="1" thickBot="1">
      <c r="A49" s="202">
        <f t="shared" si="2"/>
        <v>44</v>
      </c>
      <c r="B49" s="208">
        <v>0</v>
      </c>
      <c r="C49" s="204">
        <v>0</v>
      </c>
      <c r="D49" s="205">
        <f t="shared" si="0"/>
        <v>0</v>
      </c>
      <c r="E49" s="206" t="str">
        <f t="shared" si="1"/>
        <v>-</v>
      </c>
      <c r="F49" s="207">
        <f t="shared" si="3"/>
        <v>0</v>
      </c>
      <c r="G49" s="206" t="str">
        <f t="shared" si="5"/>
        <v>-</v>
      </c>
      <c r="H49" s="207">
        <f t="shared" si="4"/>
        <v>0</v>
      </c>
      <c r="I49" s="207">
        <f t="shared" si="7"/>
        <v>0</v>
      </c>
    </row>
    <row r="50" spans="1:9" ht="18.75" hidden="1" thickBot="1">
      <c r="A50" s="202">
        <f t="shared" si="2"/>
        <v>45</v>
      </c>
      <c r="B50" s="208">
        <v>0</v>
      </c>
      <c r="C50" s="204">
        <v>0</v>
      </c>
      <c r="D50" s="205">
        <f t="shared" si="0"/>
        <v>0</v>
      </c>
      <c r="E50" s="206" t="str">
        <f t="shared" si="1"/>
        <v>-</v>
      </c>
      <c r="F50" s="207">
        <f t="shared" si="3"/>
        <v>0</v>
      </c>
      <c r="G50" s="206" t="str">
        <f t="shared" si="5"/>
        <v>-</v>
      </c>
      <c r="H50" s="207">
        <f t="shared" si="4"/>
        <v>0</v>
      </c>
      <c r="I50" s="207">
        <f t="shared" si="7"/>
        <v>0</v>
      </c>
    </row>
    <row r="51" spans="1:9" ht="18.75" hidden="1" thickBot="1">
      <c r="A51" s="202">
        <f t="shared" si="2"/>
        <v>46</v>
      </c>
      <c r="B51" s="208">
        <v>0</v>
      </c>
      <c r="C51" s="204">
        <v>0</v>
      </c>
      <c r="D51" s="205">
        <f t="shared" si="0"/>
        <v>0</v>
      </c>
      <c r="E51" s="206" t="str">
        <f t="shared" si="1"/>
        <v>-</v>
      </c>
      <c r="F51" s="207">
        <f t="shared" si="3"/>
        <v>0</v>
      </c>
      <c r="G51" s="206" t="str">
        <f t="shared" si="5"/>
        <v>-</v>
      </c>
      <c r="H51" s="207">
        <f t="shared" si="4"/>
        <v>0</v>
      </c>
      <c r="I51" s="207">
        <f t="shared" si="7"/>
        <v>0</v>
      </c>
    </row>
    <row r="52" spans="1:9" ht="18.75" hidden="1" thickBot="1">
      <c r="A52" s="202">
        <f t="shared" si="2"/>
        <v>47</v>
      </c>
      <c r="B52" s="208">
        <v>0</v>
      </c>
      <c r="C52" s="204">
        <v>0</v>
      </c>
      <c r="D52" s="205">
        <f t="shared" si="0"/>
        <v>0</v>
      </c>
      <c r="E52" s="206" t="str">
        <f t="shared" si="1"/>
        <v>-</v>
      </c>
      <c r="F52" s="207">
        <f t="shared" si="3"/>
        <v>0</v>
      </c>
      <c r="G52" s="206" t="str">
        <f t="shared" si="5"/>
        <v>-</v>
      </c>
      <c r="H52" s="207">
        <f t="shared" si="4"/>
        <v>0</v>
      </c>
      <c r="I52" s="207">
        <f t="shared" si="7"/>
        <v>0</v>
      </c>
    </row>
    <row r="53" spans="1:9" ht="18.75" hidden="1" thickBot="1">
      <c r="A53" s="202">
        <f t="shared" si="2"/>
        <v>48</v>
      </c>
      <c r="B53" s="208">
        <v>0</v>
      </c>
      <c r="C53" s="204">
        <v>0</v>
      </c>
      <c r="D53" s="205">
        <f t="shared" si="0"/>
        <v>0</v>
      </c>
      <c r="E53" s="206" t="str">
        <f t="shared" si="1"/>
        <v>-</v>
      </c>
      <c r="F53" s="207">
        <f t="shared" si="3"/>
        <v>0</v>
      </c>
      <c r="G53" s="206" t="str">
        <f t="shared" si="5"/>
        <v>-</v>
      </c>
      <c r="H53" s="207">
        <f t="shared" si="4"/>
        <v>0</v>
      </c>
      <c r="I53" s="207">
        <f t="shared" si="7"/>
        <v>0</v>
      </c>
    </row>
    <row r="54" spans="1:9" ht="18.75" hidden="1" thickBot="1">
      <c r="A54" s="202">
        <f t="shared" si="2"/>
        <v>49</v>
      </c>
      <c r="B54" s="208">
        <v>0</v>
      </c>
      <c r="C54" s="204">
        <v>0</v>
      </c>
      <c r="D54" s="205">
        <f t="shared" si="0"/>
        <v>0</v>
      </c>
      <c r="E54" s="206" t="str">
        <f t="shared" si="1"/>
        <v>-</v>
      </c>
      <c r="F54" s="207">
        <f t="shared" si="3"/>
        <v>0</v>
      </c>
      <c r="G54" s="206" t="str">
        <f t="shared" si="5"/>
        <v>-</v>
      </c>
      <c r="H54" s="207">
        <f t="shared" si="4"/>
        <v>0</v>
      </c>
      <c r="I54" s="207">
        <f t="shared" si="7"/>
        <v>0</v>
      </c>
    </row>
    <row r="55" spans="1:9" ht="18.75" hidden="1" thickBot="1">
      <c r="A55" s="210">
        <f t="shared" si="2"/>
        <v>50</v>
      </c>
      <c r="B55" s="211">
        <v>0</v>
      </c>
      <c r="C55" s="212">
        <v>0</v>
      </c>
      <c r="D55" s="213">
        <f t="shared" si="0"/>
        <v>0</v>
      </c>
      <c r="E55" s="214" t="str">
        <f t="shared" si="1"/>
        <v>-</v>
      </c>
      <c r="F55" s="215">
        <f t="shared" si="3"/>
        <v>0</v>
      </c>
      <c r="G55" s="214" t="str">
        <f t="shared" si="5"/>
        <v>-</v>
      </c>
      <c r="H55" s="215">
        <f t="shared" si="4"/>
        <v>0</v>
      </c>
      <c r="I55" s="215">
        <f t="shared" si="7"/>
        <v>0</v>
      </c>
    </row>
    <row r="56" spans="1:9" ht="18.75" thickBot="1">
      <c r="A56" s="216" t="s">
        <v>123</v>
      </c>
      <c r="B56" s="217"/>
      <c r="C56" s="217"/>
      <c r="D56" s="217"/>
      <c r="E56" s="217"/>
      <c r="F56" s="218">
        <f>SUM(F5:F55)</f>
        <v>-45282.798548259147</v>
      </c>
      <c r="G56" s="219"/>
      <c r="H56" s="220">
        <f>SUM(H5:H55)</f>
        <v>-1.4668330550193787E-8</v>
      </c>
      <c r="I56" s="221"/>
    </row>
    <row r="57" spans="1:9" ht="18" hidden="1">
      <c r="A57" s="222" t="s">
        <v>20</v>
      </c>
      <c r="B57" s="223"/>
      <c r="C57" s="223"/>
      <c r="D57" s="223"/>
      <c r="E57" s="223"/>
      <c r="F57" s="224">
        <f>I6</f>
        <v>-9795.3660574971236</v>
      </c>
      <c r="G57" s="225"/>
      <c r="H57" s="225"/>
      <c r="I57" s="221"/>
    </row>
    <row r="58" spans="1:9" ht="18.75" hidden="1" thickBot="1">
      <c r="A58" s="216" t="s">
        <v>21</v>
      </c>
      <c r="B58" s="217"/>
      <c r="C58" s="217"/>
      <c r="D58" s="217"/>
      <c r="E58" s="217"/>
      <c r="F58" s="226">
        <f>IRR(D5:D55)</f>
        <v>4.3314522021724144E-2</v>
      </c>
      <c r="G58" s="227"/>
      <c r="H58" s="227"/>
      <c r="I58" s="221"/>
    </row>
    <row r="59" spans="1:9" ht="18.75" hidden="1" thickBot="1">
      <c r="A59" s="228" t="s">
        <v>22</v>
      </c>
      <c r="B59" s="229"/>
      <c r="C59" s="229"/>
      <c r="D59" s="229"/>
      <c r="E59" s="229"/>
      <c r="F59" s="230">
        <f>NPER(B3,F61,F5,0)</f>
        <v>6.9638350249560483</v>
      </c>
      <c r="G59" s="231"/>
      <c r="H59" s="231"/>
      <c r="I59" s="221"/>
    </row>
    <row r="60" spans="1:9" hidden="1">
      <c r="A60" s="130" t="s">
        <v>23</v>
      </c>
      <c r="F60" s="232">
        <f>SUM(F6:F55)</f>
        <v>371717.20145174081</v>
      </c>
      <c r="G60" s="232"/>
      <c r="H60" s="232"/>
    </row>
    <row r="61" spans="1:9" hidden="1">
      <c r="A61" s="130" t="s">
        <v>24</v>
      </c>
      <c r="F61" s="233">
        <f>PMT(B3,B2,F60,0)*-1</f>
        <v>80408.149999999965</v>
      </c>
      <c r="G61" s="233"/>
      <c r="H61" s="233"/>
    </row>
    <row r="63" spans="1:9" ht="18" hidden="1">
      <c r="A63" s="221"/>
    </row>
    <row r="64" spans="1:9" ht="78.599999999999994" hidden="1" customHeight="1">
      <c r="A64" s="419"/>
      <c r="B64" s="419"/>
      <c r="C64" s="419"/>
      <c r="D64" s="419"/>
      <c r="E64" s="419"/>
      <c r="F64" s="419"/>
    </row>
    <row r="65" spans="1:2" hidden="1">
      <c r="A65" s="56"/>
      <c r="B65" s="56"/>
    </row>
    <row r="66" spans="1:2">
      <c r="A66" s="56"/>
      <c r="B66" s="56"/>
    </row>
  </sheetData>
  <mergeCells count="2">
    <mergeCell ref="A1:C1"/>
    <mergeCell ref="A64:F64"/>
  </mergeCells>
  <pageMargins left="0.78740157480314965" right="0.39370078740157483" top="0.98425196850393704" bottom="0.98425196850393704" header="0" footer="0"/>
  <pageSetup paperSize="9" scale="86"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K66"/>
  <sheetViews>
    <sheetView zoomScale="90" zoomScaleNormal="90" workbookViewId="0">
      <selection sqref="A1:C1"/>
    </sheetView>
  </sheetViews>
  <sheetFormatPr defaultRowHeight="12.75"/>
  <cols>
    <col min="1" max="1" width="12.7109375" style="54" customWidth="1"/>
    <col min="2" max="2" width="22.85546875" style="54" customWidth="1"/>
    <col min="3" max="3" width="20.7109375" style="54" customWidth="1"/>
    <col min="4" max="4" width="28.28515625" style="54" customWidth="1"/>
    <col min="5" max="5" width="27.7109375" style="54" customWidth="1"/>
    <col min="6" max="6" width="28.28515625" style="54" customWidth="1"/>
    <col min="7" max="7" width="24.7109375" style="54" hidden="1" customWidth="1"/>
    <col min="8" max="8" width="24.85546875" style="54" hidden="1" customWidth="1"/>
    <col min="9" max="9" width="24.140625" style="54" hidden="1" customWidth="1"/>
    <col min="10" max="16384" width="9.140625" style="54"/>
  </cols>
  <sheetData>
    <row r="1" spans="1:11" ht="18">
      <c r="A1" s="417" t="s">
        <v>124</v>
      </c>
      <c r="B1" s="418"/>
      <c r="C1" s="418"/>
    </row>
    <row r="2" spans="1:11" ht="15.75">
      <c r="A2" s="189" t="s">
        <v>9</v>
      </c>
      <c r="B2" s="190">
        <v>6</v>
      </c>
    </row>
    <row r="3" spans="1:11" ht="16.5" thickBot="1">
      <c r="A3" s="189" t="s">
        <v>10</v>
      </c>
      <c r="B3" s="191">
        <v>0.08</v>
      </c>
    </row>
    <row r="4" spans="1:11" ht="64.5" customHeight="1" thickBot="1">
      <c r="A4" s="192" t="s">
        <v>11</v>
      </c>
      <c r="B4" s="193" t="s">
        <v>12</v>
      </c>
      <c r="C4" s="194" t="s">
        <v>13</v>
      </c>
      <c r="D4" s="192" t="s">
        <v>14</v>
      </c>
      <c r="E4" s="195" t="s">
        <v>15</v>
      </c>
      <c r="F4" s="192" t="s">
        <v>16</v>
      </c>
      <c r="G4" s="192" t="s">
        <v>17</v>
      </c>
      <c r="H4" s="195" t="str">
        <f>CONCATENATE("Nutidsværdien ved den interne rente (IRR) ",(ROUND(F58,4)*100)," %")</f>
        <v>Nutidsværdien ved den interne rente (IRR) 3,29 %</v>
      </c>
      <c r="I4" s="195" t="s">
        <v>18</v>
      </c>
    </row>
    <row r="5" spans="1:11" ht="18">
      <c r="A5" s="196">
        <v>0</v>
      </c>
      <c r="B5" s="197">
        <v>0</v>
      </c>
      <c r="C5" s="234">
        <v>417057.5</v>
      </c>
      <c r="D5" s="199">
        <f t="shared" ref="D5:D55" si="0">B5-C5</f>
        <v>-417057.5</v>
      </c>
      <c r="E5" s="200">
        <f t="shared" ref="E5:E55" si="1">IF(A5&lt;=$B$2,POWER((1+$B$3),(A5*-1)),"-")</f>
        <v>1</v>
      </c>
      <c r="F5" s="201">
        <f>D5</f>
        <v>-417057.5</v>
      </c>
      <c r="G5" s="200">
        <f>IF(A5&lt;=$B$2,POWER((1+$F$58),(A5*-1)),"-")</f>
        <v>1</v>
      </c>
      <c r="H5" s="201">
        <f>F5</f>
        <v>-417057.5</v>
      </c>
      <c r="I5" s="196"/>
    </row>
    <row r="6" spans="1:11" ht="18">
      <c r="A6" s="202">
        <f t="shared" ref="A6:A55" si="2">A5+1</f>
        <v>1</v>
      </c>
      <c r="B6" s="203">
        <v>10887.5</v>
      </c>
      <c r="C6" s="204">
        <v>0</v>
      </c>
      <c r="D6" s="205">
        <f t="shared" si="0"/>
        <v>10887.5</v>
      </c>
      <c r="E6" s="206">
        <f t="shared" si="1"/>
        <v>0.92592592592592582</v>
      </c>
      <c r="F6" s="207">
        <f t="shared" ref="F6:F55" si="3">PV($B$3,A6,0,D6)*-1</f>
        <v>10081.018518518518</v>
      </c>
      <c r="G6" s="206">
        <f>IF(A6&lt;=$B$2,POWER((1+$F$58),(A6*-1)),"-")</f>
        <v>0.9681550399910871</v>
      </c>
      <c r="H6" s="207">
        <f t="shared" ref="H6:H55" si="4">PV($F$58,A6,0,D6)*-1</f>
        <v>10540.78799790296</v>
      </c>
      <c r="I6" s="207">
        <f>PMT($B$3,$B$2,$F$56)*-1</f>
        <v>-19963.103489471519</v>
      </c>
    </row>
    <row r="7" spans="1:11" ht="18">
      <c r="A7" s="202">
        <f t="shared" si="2"/>
        <v>2</v>
      </c>
      <c r="B7" s="203">
        <v>10887.5</v>
      </c>
      <c r="C7" s="204">
        <v>0</v>
      </c>
      <c r="D7" s="205">
        <f t="shared" si="0"/>
        <v>10887.5</v>
      </c>
      <c r="E7" s="206">
        <f t="shared" si="1"/>
        <v>0.85733882030178321</v>
      </c>
      <c r="F7" s="207">
        <f t="shared" si="3"/>
        <v>9334.276406035664</v>
      </c>
      <c r="G7" s="206">
        <f t="shared" ref="G7:G55" si="5">IF(A7&lt;=$B$2,POWER((1+$F$58),(A7*-1)),"-")</f>
        <v>0.9373241814601434</v>
      </c>
      <c r="H7" s="207">
        <f t="shared" si="4"/>
        <v>10205.117025647311</v>
      </c>
      <c r="I7" s="207">
        <f t="shared" ref="I7:I12" si="6">IF(A7&lt;=$B$2,$I$6,0)</f>
        <v>-19963.103489471519</v>
      </c>
    </row>
    <row r="8" spans="1:11" ht="18">
      <c r="A8" s="202">
        <f t="shared" si="2"/>
        <v>3</v>
      </c>
      <c r="B8" s="203">
        <v>10887.5</v>
      </c>
      <c r="C8" s="204">
        <v>0</v>
      </c>
      <c r="D8" s="205">
        <f t="shared" si="0"/>
        <v>10887.5</v>
      </c>
      <c r="E8" s="206">
        <f t="shared" si="1"/>
        <v>0.79383224102016958</v>
      </c>
      <c r="F8" s="207">
        <f t="shared" si="3"/>
        <v>8642.8485241070957</v>
      </c>
      <c r="G8" s="206">
        <f t="shared" si="5"/>
        <v>0.90747513038615801</v>
      </c>
      <c r="H8" s="207">
        <f t="shared" si="4"/>
        <v>9880.1354820792967</v>
      </c>
      <c r="I8" s="207">
        <f t="shared" si="6"/>
        <v>-19963.103489471519</v>
      </c>
    </row>
    <row r="9" spans="1:11" ht="18">
      <c r="A9" s="202">
        <f t="shared" si="2"/>
        <v>4</v>
      </c>
      <c r="B9" s="203">
        <v>10887.5</v>
      </c>
      <c r="C9" s="204">
        <v>0</v>
      </c>
      <c r="D9" s="205">
        <f t="shared" si="0"/>
        <v>10887.5</v>
      </c>
      <c r="E9" s="206">
        <f t="shared" si="1"/>
        <v>0.73502985279645328</v>
      </c>
      <c r="F9" s="207">
        <f t="shared" si="3"/>
        <v>8002.6375223213845</v>
      </c>
      <c r="G9" s="206">
        <f t="shared" si="5"/>
        <v>0.87857662114992774</v>
      </c>
      <c r="H9" s="207">
        <f t="shared" si="4"/>
        <v>9565.5029627698386</v>
      </c>
      <c r="I9" s="207">
        <f t="shared" si="6"/>
        <v>-19963.103489471519</v>
      </c>
    </row>
    <row r="10" spans="1:11" ht="18">
      <c r="A10" s="202">
        <f t="shared" si="2"/>
        <v>5</v>
      </c>
      <c r="B10" s="203">
        <v>10887.5</v>
      </c>
      <c r="C10" s="204">
        <v>0</v>
      </c>
      <c r="D10" s="205">
        <f>(B10-C10)</f>
        <v>10887.5</v>
      </c>
      <c r="E10" s="206">
        <f t="shared" si="1"/>
        <v>0.68058319703375303</v>
      </c>
      <c r="F10" s="207">
        <f t="shared" si="3"/>
        <v>7409.8495577049862</v>
      </c>
      <c r="G10" s="206">
        <f t="shared" si="5"/>
        <v>0.85059838378464248</v>
      </c>
      <c r="H10" s="207">
        <f t="shared" si="4"/>
        <v>9260.8899034552942</v>
      </c>
      <c r="I10" s="207">
        <f t="shared" si="6"/>
        <v>-19963.103489471519</v>
      </c>
    </row>
    <row r="11" spans="1:11" ht="18.75" thickBot="1">
      <c r="A11" s="202">
        <f t="shared" si="2"/>
        <v>6</v>
      </c>
      <c r="B11" s="203">
        <v>446387.5</v>
      </c>
      <c r="C11" s="204">
        <v>0</v>
      </c>
      <c r="D11" s="205">
        <f t="shared" si="0"/>
        <v>446387.5</v>
      </c>
      <c r="E11" s="206">
        <f t="shared" si="1"/>
        <v>0.63016962688310452</v>
      </c>
      <c r="F11" s="207">
        <f t="shared" si="3"/>
        <v>281299.84432028182</v>
      </c>
      <c r="G11" s="206">
        <f t="shared" si="5"/>
        <v>0.82351111226937446</v>
      </c>
      <c r="H11" s="207">
        <f t="shared" si="4"/>
        <v>367605.0666281454</v>
      </c>
      <c r="I11" s="207">
        <f t="shared" si="6"/>
        <v>-19963.103489471519</v>
      </c>
    </row>
    <row r="12" spans="1:11" ht="18.75" hidden="1" thickBot="1">
      <c r="A12" s="202">
        <f t="shared" si="2"/>
        <v>7</v>
      </c>
      <c r="B12" s="208">
        <v>0</v>
      </c>
      <c r="C12" s="204">
        <v>0</v>
      </c>
      <c r="D12" s="205">
        <f t="shared" si="0"/>
        <v>0</v>
      </c>
      <c r="E12" s="206" t="str">
        <f t="shared" si="1"/>
        <v>-</v>
      </c>
      <c r="F12" s="207">
        <f t="shared" si="3"/>
        <v>0</v>
      </c>
      <c r="G12" s="206" t="str">
        <f t="shared" si="5"/>
        <v>-</v>
      </c>
      <c r="H12" s="207">
        <f t="shared" si="4"/>
        <v>0</v>
      </c>
      <c r="I12" s="207">
        <f t="shared" si="6"/>
        <v>0</v>
      </c>
    </row>
    <row r="13" spans="1:11" ht="18.75" hidden="1" thickBot="1">
      <c r="A13" s="202">
        <f t="shared" si="2"/>
        <v>8</v>
      </c>
      <c r="B13" s="208">
        <v>0</v>
      </c>
      <c r="C13" s="204">
        <v>0</v>
      </c>
      <c r="D13" s="205">
        <f t="shared" si="0"/>
        <v>0</v>
      </c>
      <c r="E13" s="206" t="str">
        <f t="shared" si="1"/>
        <v>-</v>
      </c>
      <c r="F13" s="207">
        <f t="shared" si="3"/>
        <v>0</v>
      </c>
      <c r="G13" s="206" t="str">
        <f t="shared" si="5"/>
        <v>-</v>
      </c>
      <c r="H13" s="207">
        <f t="shared" si="4"/>
        <v>0</v>
      </c>
      <c r="I13" s="207">
        <f t="shared" ref="I13:I55" si="7">IF(A12&lt;=$B$2,$I$6,0)</f>
        <v>0</v>
      </c>
      <c r="K13" s="209"/>
    </row>
    <row r="14" spans="1:11" ht="18.75" hidden="1" thickBot="1">
      <c r="A14" s="202">
        <f t="shared" si="2"/>
        <v>9</v>
      </c>
      <c r="B14" s="208">
        <v>0</v>
      </c>
      <c r="C14" s="204">
        <v>0</v>
      </c>
      <c r="D14" s="205">
        <f t="shared" si="0"/>
        <v>0</v>
      </c>
      <c r="E14" s="206" t="str">
        <f t="shared" si="1"/>
        <v>-</v>
      </c>
      <c r="F14" s="207">
        <f t="shared" si="3"/>
        <v>0</v>
      </c>
      <c r="G14" s="206" t="str">
        <f t="shared" si="5"/>
        <v>-</v>
      </c>
      <c r="H14" s="207">
        <f t="shared" si="4"/>
        <v>0</v>
      </c>
      <c r="I14" s="207">
        <f t="shared" si="7"/>
        <v>0</v>
      </c>
    </row>
    <row r="15" spans="1:11" ht="18.75" hidden="1" thickBot="1">
      <c r="A15" s="202">
        <f t="shared" si="2"/>
        <v>10</v>
      </c>
      <c r="B15" s="208">
        <v>0</v>
      </c>
      <c r="C15" s="204">
        <v>0</v>
      </c>
      <c r="D15" s="205">
        <f t="shared" si="0"/>
        <v>0</v>
      </c>
      <c r="E15" s="206" t="str">
        <f t="shared" si="1"/>
        <v>-</v>
      </c>
      <c r="F15" s="207">
        <f t="shared" si="3"/>
        <v>0</v>
      </c>
      <c r="G15" s="206" t="str">
        <f t="shared" si="5"/>
        <v>-</v>
      </c>
      <c r="H15" s="207">
        <f t="shared" si="4"/>
        <v>0</v>
      </c>
      <c r="I15" s="207">
        <f t="shared" si="7"/>
        <v>0</v>
      </c>
    </row>
    <row r="16" spans="1:11" ht="18.75" hidden="1" thickBot="1">
      <c r="A16" s="202">
        <f t="shared" si="2"/>
        <v>11</v>
      </c>
      <c r="B16" s="208">
        <v>0</v>
      </c>
      <c r="C16" s="204">
        <v>0</v>
      </c>
      <c r="D16" s="205">
        <f t="shared" si="0"/>
        <v>0</v>
      </c>
      <c r="E16" s="206" t="str">
        <f t="shared" si="1"/>
        <v>-</v>
      </c>
      <c r="F16" s="207">
        <f t="shared" si="3"/>
        <v>0</v>
      </c>
      <c r="G16" s="206" t="str">
        <f t="shared" si="5"/>
        <v>-</v>
      </c>
      <c r="H16" s="207">
        <f t="shared" si="4"/>
        <v>0</v>
      </c>
      <c r="I16" s="207">
        <f t="shared" si="7"/>
        <v>0</v>
      </c>
    </row>
    <row r="17" spans="1:11" ht="18.75" hidden="1" thickBot="1">
      <c r="A17" s="202">
        <f t="shared" si="2"/>
        <v>12</v>
      </c>
      <c r="B17" s="208">
        <v>0</v>
      </c>
      <c r="C17" s="204">
        <v>0</v>
      </c>
      <c r="D17" s="205">
        <f t="shared" si="0"/>
        <v>0</v>
      </c>
      <c r="E17" s="206" t="str">
        <f t="shared" si="1"/>
        <v>-</v>
      </c>
      <c r="F17" s="207">
        <f t="shared" si="3"/>
        <v>0</v>
      </c>
      <c r="G17" s="206" t="str">
        <f t="shared" si="5"/>
        <v>-</v>
      </c>
      <c r="H17" s="207">
        <f t="shared" si="4"/>
        <v>0</v>
      </c>
      <c r="I17" s="207">
        <f t="shared" si="7"/>
        <v>0</v>
      </c>
    </row>
    <row r="18" spans="1:11" ht="18.75" hidden="1" thickBot="1">
      <c r="A18" s="202">
        <f t="shared" si="2"/>
        <v>13</v>
      </c>
      <c r="B18" s="208">
        <v>0</v>
      </c>
      <c r="C18" s="204">
        <v>0</v>
      </c>
      <c r="D18" s="205">
        <f t="shared" si="0"/>
        <v>0</v>
      </c>
      <c r="E18" s="206" t="str">
        <f t="shared" si="1"/>
        <v>-</v>
      </c>
      <c r="F18" s="207">
        <f t="shared" si="3"/>
        <v>0</v>
      </c>
      <c r="G18" s="206" t="str">
        <f t="shared" si="5"/>
        <v>-</v>
      </c>
      <c r="H18" s="207">
        <f t="shared" si="4"/>
        <v>0</v>
      </c>
      <c r="I18" s="207">
        <f t="shared" si="7"/>
        <v>0</v>
      </c>
      <c r="K18" s="209"/>
    </row>
    <row r="19" spans="1:11" ht="18.75" hidden="1" thickBot="1">
      <c r="A19" s="202">
        <f t="shared" si="2"/>
        <v>14</v>
      </c>
      <c r="B19" s="208">
        <v>0</v>
      </c>
      <c r="C19" s="204">
        <v>0</v>
      </c>
      <c r="D19" s="205">
        <f t="shared" si="0"/>
        <v>0</v>
      </c>
      <c r="E19" s="206" t="str">
        <f t="shared" si="1"/>
        <v>-</v>
      </c>
      <c r="F19" s="207">
        <f t="shared" si="3"/>
        <v>0</v>
      </c>
      <c r="G19" s="206" t="str">
        <f t="shared" si="5"/>
        <v>-</v>
      </c>
      <c r="H19" s="207">
        <f t="shared" si="4"/>
        <v>0</v>
      </c>
      <c r="I19" s="207">
        <f t="shared" si="7"/>
        <v>0</v>
      </c>
    </row>
    <row r="20" spans="1:11" ht="18.75" hidden="1" thickBot="1">
      <c r="A20" s="210">
        <f t="shared" si="2"/>
        <v>15</v>
      </c>
      <c r="B20" s="211">
        <v>0</v>
      </c>
      <c r="C20" s="212">
        <v>0</v>
      </c>
      <c r="D20" s="213">
        <f t="shared" si="0"/>
        <v>0</v>
      </c>
      <c r="E20" s="214" t="str">
        <f t="shared" si="1"/>
        <v>-</v>
      </c>
      <c r="F20" s="215">
        <f t="shared" si="3"/>
        <v>0</v>
      </c>
      <c r="G20" s="214" t="str">
        <f t="shared" si="5"/>
        <v>-</v>
      </c>
      <c r="H20" s="215">
        <f t="shared" si="4"/>
        <v>0</v>
      </c>
      <c r="I20" s="215">
        <f t="shared" si="7"/>
        <v>0</v>
      </c>
    </row>
    <row r="21" spans="1:11" ht="18.75" hidden="1" thickBot="1">
      <c r="A21" s="202">
        <f t="shared" si="2"/>
        <v>16</v>
      </c>
      <c r="B21" s="208">
        <v>0</v>
      </c>
      <c r="C21" s="204">
        <v>0</v>
      </c>
      <c r="D21" s="205">
        <f t="shared" si="0"/>
        <v>0</v>
      </c>
      <c r="E21" s="206" t="str">
        <f t="shared" si="1"/>
        <v>-</v>
      </c>
      <c r="F21" s="207">
        <f t="shared" si="3"/>
        <v>0</v>
      </c>
      <c r="G21" s="206" t="str">
        <f t="shared" si="5"/>
        <v>-</v>
      </c>
      <c r="H21" s="207">
        <f t="shared" si="4"/>
        <v>0</v>
      </c>
      <c r="I21" s="207">
        <f t="shared" si="7"/>
        <v>0</v>
      </c>
    </row>
    <row r="22" spans="1:11" ht="18.75" hidden="1" thickBot="1">
      <c r="A22" s="202">
        <f t="shared" si="2"/>
        <v>17</v>
      </c>
      <c r="B22" s="208">
        <v>0</v>
      </c>
      <c r="C22" s="204">
        <v>0</v>
      </c>
      <c r="D22" s="205">
        <f t="shared" si="0"/>
        <v>0</v>
      </c>
      <c r="E22" s="206" t="str">
        <f t="shared" si="1"/>
        <v>-</v>
      </c>
      <c r="F22" s="207">
        <f t="shared" si="3"/>
        <v>0</v>
      </c>
      <c r="G22" s="206" t="str">
        <f t="shared" si="5"/>
        <v>-</v>
      </c>
      <c r="H22" s="207">
        <f t="shared" si="4"/>
        <v>0</v>
      </c>
      <c r="I22" s="207">
        <f t="shared" si="7"/>
        <v>0</v>
      </c>
    </row>
    <row r="23" spans="1:11" ht="18.75" hidden="1" thickBot="1">
      <c r="A23" s="202">
        <f t="shared" si="2"/>
        <v>18</v>
      </c>
      <c r="B23" s="208">
        <v>0</v>
      </c>
      <c r="C23" s="204">
        <v>0</v>
      </c>
      <c r="D23" s="205">
        <f t="shared" si="0"/>
        <v>0</v>
      </c>
      <c r="E23" s="206" t="str">
        <f t="shared" si="1"/>
        <v>-</v>
      </c>
      <c r="F23" s="207">
        <f t="shared" si="3"/>
        <v>0</v>
      </c>
      <c r="G23" s="206" t="str">
        <f t="shared" si="5"/>
        <v>-</v>
      </c>
      <c r="H23" s="207">
        <f t="shared" si="4"/>
        <v>0</v>
      </c>
      <c r="I23" s="207">
        <f t="shared" si="7"/>
        <v>0</v>
      </c>
    </row>
    <row r="24" spans="1:11" ht="18.75" hidden="1" thickBot="1">
      <c r="A24" s="202">
        <f t="shared" si="2"/>
        <v>19</v>
      </c>
      <c r="B24" s="208">
        <v>0</v>
      </c>
      <c r="C24" s="204">
        <v>0</v>
      </c>
      <c r="D24" s="205">
        <f t="shared" si="0"/>
        <v>0</v>
      </c>
      <c r="E24" s="206" t="str">
        <f t="shared" si="1"/>
        <v>-</v>
      </c>
      <c r="F24" s="207">
        <f t="shared" si="3"/>
        <v>0</v>
      </c>
      <c r="G24" s="206" t="str">
        <f t="shared" si="5"/>
        <v>-</v>
      </c>
      <c r="H24" s="207">
        <f t="shared" si="4"/>
        <v>0</v>
      </c>
      <c r="I24" s="207">
        <f t="shared" si="7"/>
        <v>0</v>
      </c>
    </row>
    <row r="25" spans="1:11" ht="18.75" hidden="1" thickBot="1">
      <c r="A25" s="202">
        <f t="shared" si="2"/>
        <v>20</v>
      </c>
      <c r="B25" s="208">
        <v>0</v>
      </c>
      <c r="C25" s="204">
        <v>0</v>
      </c>
      <c r="D25" s="205">
        <f t="shared" si="0"/>
        <v>0</v>
      </c>
      <c r="E25" s="206" t="str">
        <f t="shared" si="1"/>
        <v>-</v>
      </c>
      <c r="F25" s="207">
        <f t="shared" si="3"/>
        <v>0</v>
      </c>
      <c r="G25" s="206" t="str">
        <f t="shared" si="5"/>
        <v>-</v>
      </c>
      <c r="H25" s="207">
        <f t="shared" si="4"/>
        <v>0</v>
      </c>
      <c r="I25" s="207">
        <f t="shared" si="7"/>
        <v>0</v>
      </c>
    </row>
    <row r="26" spans="1:11" ht="18.75" hidden="1" thickBot="1">
      <c r="A26" s="202">
        <f t="shared" si="2"/>
        <v>21</v>
      </c>
      <c r="B26" s="208">
        <v>0</v>
      </c>
      <c r="C26" s="204">
        <v>0</v>
      </c>
      <c r="D26" s="205">
        <f t="shared" si="0"/>
        <v>0</v>
      </c>
      <c r="E26" s="206" t="str">
        <f t="shared" si="1"/>
        <v>-</v>
      </c>
      <c r="F26" s="207">
        <f t="shared" si="3"/>
        <v>0</v>
      </c>
      <c r="G26" s="206" t="str">
        <f t="shared" si="5"/>
        <v>-</v>
      </c>
      <c r="H26" s="207">
        <f t="shared" si="4"/>
        <v>0</v>
      </c>
      <c r="I26" s="207">
        <f t="shared" si="7"/>
        <v>0</v>
      </c>
    </row>
    <row r="27" spans="1:11" ht="18.75" hidden="1" thickBot="1">
      <c r="A27" s="202">
        <f t="shared" si="2"/>
        <v>22</v>
      </c>
      <c r="B27" s="208">
        <v>0</v>
      </c>
      <c r="C27" s="204">
        <v>0</v>
      </c>
      <c r="D27" s="205">
        <f t="shared" si="0"/>
        <v>0</v>
      </c>
      <c r="E27" s="206" t="str">
        <f t="shared" si="1"/>
        <v>-</v>
      </c>
      <c r="F27" s="207">
        <f t="shared" si="3"/>
        <v>0</v>
      </c>
      <c r="G27" s="206" t="str">
        <f t="shared" si="5"/>
        <v>-</v>
      </c>
      <c r="H27" s="207">
        <f t="shared" si="4"/>
        <v>0</v>
      </c>
      <c r="I27" s="207">
        <f t="shared" si="7"/>
        <v>0</v>
      </c>
    </row>
    <row r="28" spans="1:11" ht="18.75" hidden="1" thickBot="1">
      <c r="A28" s="202">
        <f t="shared" si="2"/>
        <v>23</v>
      </c>
      <c r="B28" s="208">
        <v>0</v>
      </c>
      <c r="C28" s="204">
        <v>0</v>
      </c>
      <c r="D28" s="205">
        <f t="shared" si="0"/>
        <v>0</v>
      </c>
      <c r="E28" s="206" t="str">
        <f t="shared" si="1"/>
        <v>-</v>
      </c>
      <c r="F28" s="207">
        <f t="shared" si="3"/>
        <v>0</v>
      </c>
      <c r="G28" s="206" t="str">
        <f t="shared" si="5"/>
        <v>-</v>
      </c>
      <c r="H28" s="207">
        <f t="shared" si="4"/>
        <v>0</v>
      </c>
      <c r="I28" s="207">
        <f t="shared" si="7"/>
        <v>0</v>
      </c>
    </row>
    <row r="29" spans="1:11" ht="18.75" hidden="1" thickBot="1">
      <c r="A29" s="202">
        <f t="shared" si="2"/>
        <v>24</v>
      </c>
      <c r="B29" s="208">
        <v>0</v>
      </c>
      <c r="C29" s="204">
        <v>0</v>
      </c>
      <c r="D29" s="205">
        <f t="shared" si="0"/>
        <v>0</v>
      </c>
      <c r="E29" s="206" t="str">
        <f t="shared" si="1"/>
        <v>-</v>
      </c>
      <c r="F29" s="207">
        <f t="shared" si="3"/>
        <v>0</v>
      </c>
      <c r="G29" s="206" t="str">
        <f t="shared" si="5"/>
        <v>-</v>
      </c>
      <c r="H29" s="207">
        <f t="shared" si="4"/>
        <v>0</v>
      </c>
      <c r="I29" s="207">
        <f t="shared" si="7"/>
        <v>0</v>
      </c>
    </row>
    <row r="30" spans="1:11" ht="18.75" hidden="1" thickBot="1">
      <c r="A30" s="202">
        <f t="shared" si="2"/>
        <v>25</v>
      </c>
      <c r="B30" s="208">
        <v>0</v>
      </c>
      <c r="C30" s="204">
        <v>0</v>
      </c>
      <c r="D30" s="205">
        <f t="shared" si="0"/>
        <v>0</v>
      </c>
      <c r="E30" s="206" t="str">
        <f t="shared" si="1"/>
        <v>-</v>
      </c>
      <c r="F30" s="207">
        <f t="shared" si="3"/>
        <v>0</v>
      </c>
      <c r="G30" s="206" t="str">
        <f t="shared" si="5"/>
        <v>-</v>
      </c>
      <c r="H30" s="207">
        <f t="shared" si="4"/>
        <v>0</v>
      </c>
      <c r="I30" s="207">
        <f t="shared" si="7"/>
        <v>0</v>
      </c>
    </row>
    <row r="31" spans="1:11" ht="18.75" hidden="1" thickBot="1">
      <c r="A31" s="202">
        <f t="shared" si="2"/>
        <v>26</v>
      </c>
      <c r="B31" s="208">
        <v>0</v>
      </c>
      <c r="C31" s="204">
        <v>0</v>
      </c>
      <c r="D31" s="205">
        <f t="shared" si="0"/>
        <v>0</v>
      </c>
      <c r="E31" s="206" t="str">
        <f t="shared" si="1"/>
        <v>-</v>
      </c>
      <c r="F31" s="207">
        <f t="shared" si="3"/>
        <v>0</v>
      </c>
      <c r="G31" s="206" t="str">
        <f t="shared" si="5"/>
        <v>-</v>
      </c>
      <c r="H31" s="207">
        <f t="shared" si="4"/>
        <v>0</v>
      </c>
      <c r="I31" s="207">
        <f t="shared" si="7"/>
        <v>0</v>
      </c>
    </row>
    <row r="32" spans="1:11" ht="18.75" hidden="1" thickBot="1">
      <c r="A32" s="202">
        <f t="shared" si="2"/>
        <v>27</v>
      </c>
      <c r="B32" s="208">
        <v>0</v>
      </c>
      <c r="C32" s="204">
        <v>0</v>
      </c>
      <c r="D32" s="205">
        <f t="shared" si="0"/>
        <v>0</v>
      </c>
      <c r="E32" s="206" t="str">
        <f t="shared" si="1"/>
        <v>-</v>
      </c>
      <c r="F32" s="207">
        <f t="shared" si="3"/>
        <v>0</v>
      </c>
      <c r="G32" s="206" t="str">
        <f t="shared" si="5"/>
        <v>-</v>
      </c>
      <c r="H32" s="207">
        <f t="shared" si="4"/>
        <v>0</v>
      </c>
      <c r="I32" s="207">
        <f t="shared" si="7"/>
        <v>0</v>
      </c>
    </row>
    <row r="33" spans="1:9" ht="18.75" hidden="1" thickBot="1">
      <c r="A33" s="202">
        <f t="shared" si="2"/>
        <v>28</v>
      </c>
      <c r="B33" s="208">
        <v>0</v>
      </c>
      <c r="C33" s="204">
        <v>0</v>
      </c>
      <c r="D33" s="205">
        <f t="shared" si="0"/>
        <v>0</v>
      </c>
      <c r="E33" s="206" t="str">
        <f t="shared" si="1"/>
        <v>-</v>
      </c>
      <c r="F33" s="207">
        <f t="shared" si="3"/>
        <v>0</v>
      </c>
      <c r="G33" s="206" t="str">
        <f t="shared" si="5"/>
        <v>-</v>
      </c>
      <c r="H33" s="207">
        <f t="shared" si="4"/>
        <v>0</v>
      </c>
      <c r="I33" s="207">
        <f t="shared" si="7"/>
        <v>0</v>
      </c>
    </row>
    <row r="34" spans="1:9" ht="18.75" hidden="1" thickBot="1">
      <c r="A34" s="202">
        <f t="shared" si="2"/>
        <v>29</v>
      </c>
      <c r="B34" s="208">
        <v>0</v>
      </c>
      <c r="C34" s="204">
        <v>0</v>
      </c>
      <c r="D34" s="205">
        <f t="shared" si="0"/>
        <v>0</v>
      </c>
      <c r="E34" s="206" t="str">
        <f t="shared" si="1"/>
        <v>-</v>
      </c>
      <c r="F34" s="207">
        <f t="shared" si="3"/>
        <v>0</v>
      </c>
      <c r="G34" s="206" t="str">
        <f t="shared" si="5"/>
        <v>-</v>
      </c>
      <c r="H34" s="207">
        <f t="shared" si="4"/>
        <v>0</v>
      </c>
      <c r="I34" s="207">
        <f t="shared" si="7"/>
        <v>0</v>
      </c>
    </row>
    <row r="35" spans="1:9" ht="18.75" hidden="1" thickBot="1">
      <c r="A35" s="202">
        <f t="shared" si="2"/>
        <v>30</v>
      </c>
      <c r="B35" s="208">
        <v>0</v>
      </c>
      <c r="C35" s="204">
        <v>0</v>
      </c>
      <c r="D35" s="205">
        <f t="shared" si="0"/>
        <v>0</v>
      </c>
      <c r="E35" s="206" t="str">
        <f t="shared" si="1"/>
        <v>-</v>
      </c>
      <c r="F35" s="207">
        <f t="shared" si="3"/>
        <v>0</v>
      </c>
      <c r="G35" s="206" t="str">
        <f t="shared" si="5"/>
        <v>-</v>
      </c>
      <c r="H35" s="207">
        <f t="shared" si="4"/>
        <v>0</v>
      </c>
      <c r="I35" s="207">
        <f t="shared" si="7"/>
        <v>0</v>
      </c>
    </row>
    <row r="36" spans="1:9" ht="18.75" hidden="1" thickBot="1">
      <c r="A36" s="202">
        <f t="shared" si="2"/>
        <v>31</v>
      </c>
      <c r="B36" s="208">
        <v>0</v>
      </c>
      <c r="C36" s="204">
        <v>0</v>
      </c>
      <c r="D36" s="205">
        <f t="shared" si="0"/>
        <v>0</v>
      </c>
      <c r="E36" s="206" t="str">
        <f t="shared" si="1"/>
        <v>-</v>
      </c>
      <c r="F36" s="207">
        <f t="shared" si="3"/>
        <v>0</v>
      </c>
      <c r="G36" s="206" t="str">
        <f t="shared" si="5"/>
        <v>-</v>
      </c>
      <c r="H36" s="207">
        <f t="shared" si="4"/>
        <v>0</v>
      </c>
      <c r="I36" s="207">
        <f t="shared" si="7"/>
        <v>0</v>
      </c>
    </row>
    <row r="37" spans="1:9" ht="18.75" hidden="1" thickBot="1">
      <c r="A37" s="202">
        <f t="shared" si="2"/>
        <v>32</v>
      </c>
      <c r="B37" s="208">
        <v>0</v>
      </c>
      <c r="C37" s="204">
        <v>0</v>
      </c>
      <c r="D37" s="205">
        <f t="shared" si="0"/>
        <v>0</v>
      </c>
      <c r="E37" s="206" t="str">
        <f t="shared" si="1"/>
        <v>-</v>
      </c>
      <c r="F37" s="207">
        <f t="shared" si="3"/>
        <v>0</v>
      </c>
      <c r="G37" s="206" t="str">
        <f t="shared" si="5"/>
        <v>-</v>
      </c>
      <c r="H37" s="207">
        <f t="shared" si="4"/>
        <v>0</v>
      </c>
      <c r="I37" s="207">
        <f t="shared" si="7"/>
        <v>0</v>
      </c>
    </row>
    <row r="38" spans="1:9" ht="18.75" hidden="1" thickBot="1">
      <c r="A38" s="202">
        <f t="shared" si="2"/>
        <v>33</v>
      </c>
      <c r="B38" s="208">
        <v>0</v>
      </c>
      <c r="C38" s="204">
        <v>0</v>
      </c>
      <c r="D38" s="205">
        <f t="shared" si="0"/>
        <v>0</v>
      </c>
      <c r="E38" s="206" t="str">
        <f t="shared" si="1"/>
        <v>-</v>
      </c>
      <c r="F38" s="207">
        <f t="shared" si="3"/>
        <v>0</v>
      </c>
      <c r="G38" s="206" t="str">
        <f t="shared" si="5"/>
        <v>-</v>
      </c>
      <c r="H38" s="207">
        <f t="shared" si="4"/>
        <v>0</v>
      </c>
      <c r="I38" s="207">
        <f t="shared" si="7"/>
        <v>0</v>
      </c>
    </row>
    <row r="39" spans="1:9" ht="18.75" hidden="1" thickBot="1">
      <c r="A39" s="202">
        <f t="shared" si="2"/>
        <v>34</v>
      </c>
      <c r="B39" s="208">
        <v>0</v>
      </c>
      <c r="C39" s="204">
        <v>0</v>
      </c>
      <c r="D39" s="205">
        <f t="shared" si="0"/>
        <v>0</v>
      </c>
      <c r="E39" s="206" t="str">
        <f t="shared" si="1"/>
        <v>-</v>
      </c>
      <c r="F39" s="207">
        <f t="shared" si="3"/>
        <v>0</v>
      </c>
      <c r="G39" s="206" t="str">
        <f t="shared" si="5"/>
        <v>-</v>
      </c>
      <c r="H39" s="207">
        <f t="shared" si="4"/>
        <v>0</v>
      </c>
      <c r="I39" s="207">
        <f t="shared" si="7"/>
        <v>0</v>
      </c>
    </row>
    <row r="40" spans="1:9" ht="18.75" hidden="1" thickBot="1">
      <c r="A40" s="202">
        <f t="shared" si="2"/>
        <v>35</v>
      </c>
      <c r="B40" s="208">
        <v>0</v>
      </c>
      <c r="C40" s="204">
        <v>0</v>
      </c>
      <c r="D40" s="205">
        <f t="shared" si="0"/>
        <v>0</v>
      </c>
      <c r="E40" s="206" t="str">
        <f t="shared" si="1"/>
        <v>-</v>
      </c>
      <c r="F40" s="207">
        <f t="shared" si="3"/>
        <v>0</v>
      </c>
      <c r="G40" s="206" t="str">
        <f t="shared" si="5"/>
        <v>-</v>
      </c>
      <c r="H40" s="207">
        <f t="shared" si="4"/>
        <v>0</v>
      </c>
      <c r="I40" s="207">
        <f t="shared" si="7"/>
        <v>0</v>
      </c>
    </row>
    <row r="41" spans="1:9" ht="18.75" hidden="1" thickBot="1">
      <c r="A41" s="202">
        <f t="shared" si="2"/>
        <v>36</v>
      </c>
      <c r="B41" s="208">
        <v>0</v>
      </c>
      <c r="C41" s="204">
        <v>0</v>
      </c>
      <c r="D41" s="205">
        <f t="shared" si="0"/>
        <v>0</v>
      </c>
      <c r="E41" s="206" t="str">
        <f t="shared" si="1"/>
        <v>-</v>
      </c>
      <c r="F41" s="207">
        <f t="shared" si="3"/>
        <v>0</v>
      </c>
      <c r="G41" s="206" t="str">
        <f t="shared" si="5"/>
        <v>-</v>
      </c>
      <c r="H41" s="207">
        <f t="shared" si="4"/>
        <v>0</v>
      </c>
      <c r="I41" s="207">
        <f t="shared" si="7"/>
        <v>0</v>
      </c>
    </row>
    <row r="42" spans="1:9" ht="18.75" hidden="1" thickBot="1">
      <c r="A42" s="202">
        <f t="shared" si="2"/>
        <v>37</v>
      </c>
      <c r="B42" s="208">
        <v>0</v>
      </c>
      <c r="C42" s="204">
        <v>0</v>
      </c>
      <c r="D42" s="205">
        <f t="shared" si="0"/>
        <v>0</v>
      </c>
      <c r="E42" s="206" t="str">
        <f t="shared" si="1"/>
        <v>-</v>
      </c>
      <c r="F42" s="207">
        <f t="shared" si="3"/>
        <v>0</v>
      </c>
      <c r="G42" s="206" t="str">
        <f t="shared" si="5"/>
        <v>-</v>
      </c>
      <c r="H42" s="207">
        <f t="shared" si="4"/>
        <v>0</v>
      </c>
      <c r="I42" s="207">
        <f t="shared" si="7"/>
        <v>0</v>
      </c>
    </row>
    <row r="43" spans="1:9" ht="18.75" hidden="1" thickBot="1">
      <c r="A43" s="202">
        <f t="shared" si="2"/>
        <v>38</v>
      </c>
      <c r="B43" s="208">
        <v>0</v>
      </c>
      <c r="C43" s="204">
        <v>0</v>
      </c>
      <c r="D43" s="205">
        <f t="shared" si="0"/>
        <v>0</v>
      </c>
      <c r="E43" s="206" t="str">
        <f t="shared" si="1"/>
        <v>-</v>
      </c>
      <c r="F43" s="207">
        <f t="shared" si="3"/>
        <v>0</v>
      </c>
      <c r="G43" s="206" t="str">
        <f t="shared" si="5"/>
        <v>-</v>
      </c>
      <c r="H43" s="207">
        <f t="shared" si="4"/>
        <v>0</v>
      </c>
      <c r="I43" s="207">
        <f t="shared" si="7"/>
        <v>0</v>
      </c>
    </row>
    <row r="44" spans="1:9" ht="18.75" hidden="1" thickBot="1">
      <c r="A44" s="202">
        <f t="shared" si="2"/>
        <v>39</v>
      </c>
      <c r="B44" s="208">
        <v>0</v>
      </c>
      <c r="C44" s="204">
        <v>0</v>
      </c>
      <c r="D44" s="205">
        <f t="shared" si="0"/>
        <v>0</v>
      </c>
      <c r="E44" s="206" t="str">
        <f t="shared" si="1"/>
        <v>-</v>
      </c>
      <c r="F44" s="207">
        <f t="shared" si="3"/>
        <v>0</v>
      </c>
      <c r="G44" s="206" t="str">
        <f t="shared" si="5"/>
        <v>-</v>
      </c>
      <c r="H44" s="207">
        <f t="shared" si="4"/>
        <v>0</v>
      </c>
      <c r="I44" s="207">
        <f t="shared" si="7"/>
        <v>0</v>
      </c>
    </row>
    <row r="45" spans="1:9" ht="18.75" hidden="1" thickBot="1">
      <c r="A45" s="202">
        <f t="shared" si="2"/>
        <v>40</v>
      </c>
      <c r="B45" s="208">
        <v>0</v>
      </c>
      <c r="C45" s="204">
        <v>0</v>
      </c>
      <c r="D45" s="205">
        <f t="shared" si="0"/>
        <v>0</v>
      </c>
      <c r="E45" s="206" t="str">
        <f t="shared" si="1"/>
        <v>-</v>
      </c>
      <c r="F45" s="207">
        <f t="shared" si="3"/>
        <v>0</v>
      </c>
      <c r="G45" s="206" t="str">
        <f t="shared" si="5"/>
        <v>-</v>
      </c>
      <c r="H45" s="207">
        <f t="shared" si="4"/>
        <v>0</v>
      </c>
      <c r="I45" s="207">
        <f t="shared" si="7"/>
        <v>0</v>
      </c>
    </row>
    <row r="46" spans="1:9" ht="18.75" hidden="1" thickBot="1">
      <c r="A46" s="202">
        <f t="shared" si="2"/>
        <v>41</v>
      </c>
      <c r="B46" s="208">
        <v>0</v>
      </c>
      <c r="C46" s="204">
        <v>0</v>
      </c>
      <c r="D46" s="205">
        <f t="shared" si="0"/>
        <v>0</v>
      </c>
      <c r="E46" s="206" t="str">
        <f t="shared" si="1"/>
        <v>-</v>
      </c>
      <c r="F46" s="207">
        <f t="shared" si="3"/>
        <v>0</v>
      </c>
      <c r="G46" s="206" t="str">
        <f t="shared" si="5"/>
        <v>-</v>
      </c>
      <c r="H46" s="207">
        <f t="shared" si="4"/>
        <v>0</v>
      </c>
      <c r="I46" s="207">
        <f t="shared" si="7"/>
        <v>0</v>
      </c>
    </row>
    <row r="47" spans="1:9" ht="18.75" hidden="1" thickBot="1">
      <c r="A47" s="202">
        <f t="shared" si="2"/>
        <v>42</v>
      </c>
      <c r="B47" s="208">
        <v>0</v>
      </c>
      <c r="C47" s="204">
        <v>0</v>
      </c>
      <c r="D47" s="205">
        <f t="shared" si="0"/>
        <v>0</v>
      </c>
      <c r="E47" s="206" t="str">
        <f t="shared" si="1"/>
        <v>-</v>
      </c>
      <c r="F47" s="207">
        <f t="shared" si="3"/>
        <v>0</v>
      </c>
      <c r="G47" s="206" t="str">
        <f t="shared" si="5"/>
        <v>-</v>
      </c>
      <c r="H47" s="207">
        <f t="shared" si="4"/>
        <v>0</v>
      </c>
      <c r="I47" s="207">
        <f t="shared" si="7"/>
        <v>0</v>
      </c>
    </row>
    <row r="48" spans="1:9" ht="18.75" hidden="1" thickBot="1">
      <c r="A48" s="202">
        <f t="shared" si="2"/>
        <v>43</v>
      </c>
      <c r="B48" s="208">
        <v>0</v>
      </c>
      <c r="C48" s="204">
        <v>0</v>
      </c>
      <c r="D48" s="205">
        <f t="shared" si="0"/>
        <v>0</v>
      </c>
      <c r="E48" s="206" t="str">
        <f t="shared" si="1"/>
        <v>-</v>
      </c>
      <c r="F48" s="207">
        <f t="shared" si="3"/>
        <v>0</v>
      </c>
      <c r="G48" s="206" t="str">
        <f t="shared" si="5"/>
        <v>-</v>
      </c>
      <c r="H48" s="207">
        <f t="shared" si="4"/>
        <v>0</v>
      </c>
      <c r="I48" s="207">
        <f t="shared" si="7"/>
        <v>0</v>
      </c>
    </row>
    <row r="49" spans="1:9" ht="18.75" hidden="1" thickBot="1">
      <c r="A49" s="202">
        <f t="shared" si="2"/>
        <v>44</v>
      </c>
      <c r="B49" s="208">
        <v>0</v>
      </c>
      <c r="C49" s="204">
        <v>0</v>
      </c>
      <c r="D49" s="205">
        <f t="shared" si="0"/>
        <v>0</v>
      </c>
      <c r="E49" s="206" t="str">
        <f t="shared" si="1"/>
        <v>-</v>
      </c>
      <c r="F49" s="207">
        <f t="shared" si="3"/>
        <v>0</v>
      </c>
      <c r="G49" s="206" t="str">
        <f t="shared" si="5"/>
        <v>-</v>
      </c>
      <c r="H49" s="207">
        <f t="shared" si="4"/>
        <v>0</v>
      </c>
      <c r="I49" s="207">
        <f t="shared" si="7"/>
        <v>0</v>
      </c>
    </row>
    <row r="50" spans="1:9" ht="18.75" hidden="1" thickBot="1">
      <c r="A50" s="202">
        <f t="shared" si="2"/>
        <v>45</v>
      </c>
      <c r="B50" s="208">
        <v>0</v>
      </c>
      <c r="C50" s="204">
        <v>0</v>
      </c>
      <c r="D50" s="205">
        <f t="shared" si="0"/>
        <v>0</v>
      </c>
      <c r="E50" s="206" t="str">
        <f t="shared" si="1"/>
        <v>-</v>
      </c>
      <c r="F50" s="207">
        <f t="shared" si="3"/>
        <v>0</v>
      </c>
      <c r="G50" s="206" t="str">
        <f t="shared" si="5"/>
        <v>-</v>
      </c>
      <c r="H50" s="207">
        <f t="shared" si="4"/>
        <v>0</v>
      </c>
      <c r="I50" s="207">
        <f t="shared" si="7"/>
        <v>0</v>
      </c>
    </row>
    <row r="51" spans="1:9" ht="18.75" hidden="1" thickBot="1">
      <c r="A51" s="202">
        <f t="shared" si="2"/>
        <v>46</v>
      </c>
      <c r="B51" s="208">
        <v>0</v>
      </c>
      <c r="C51" s="204">
        <v>0</v>
      </c>
      <c r="D51" s="205">
        <f t="shared" si="0"/>
        <v>0</v>
      </c>
      <c r="E51" s="206" t="str">
        <f t="shared" si="1"/>
        <v>-</v>
      </c>
      <c r="F51" s="207">
        <f t="shared" si="3"/>
        <v>0</v>
      </c>
      <c r="G51" s="206" t="str">
        <f t="shared" si="5"/>
        <v>-</v>
      </c>
      <c r="H51" s="207">
        <f t="shared" si="4"/>
        <v>0</v>
      </c>
      <c r="I51" s="207">
        <f t="shared" si="7"/>
        <v>0</v>
      </c>
    </row>
    <row r="52" spans="1:9" ht="18.75" hidden="1" thickBot="1">
      <c r="A52" s="202">
        <f t="shared" si="2"/>
        <v>47</v>
      </c>
      <c r="B52" s="208">
        <v>0</v>
      </c>
      <c r="C52" s="204">
        <v>0</v>
      </c>
      <c r="D52" s="205">
        <f t="shared" si="0"/>
        <v>0</v>
      </c>
      <c r="E52" s="206" t="str">
        <f t="shared" si="1"/>
        <v>-</v>
      </c>
      <c r="F52" s="207">
        <f t="shared" si="3"/>
        <v>0</v>
      </c>
      <c r="G52" s="206" t="str">
        <f t="shared" si="5"/>
        <v>-</v>
      </c>
      <c r="H52" s="207">
        <f t="shared" si="4"/>
        <v>0</v>
      </c>
      <c r="I52" s="207">
        <f t="shared" si="7"/>
        <v>0</v>
      </c>
    </row>
    <row r="53" spans="1:9" ht="18.75" hidden="1" thickBot="1">
      <c r="A53" s="202">
        <f t="shared" si="2"/>
        <v>48</v>
      </c>
      <c r="B53" s="208">
        <v>0</v>
      </c>
      <c r="C53" s="204">
        <v>0</v>
      </c>
      <c r="D53" s="205">
        <f t="shared" si="0"/>
        <v>0</v>
      </c>
      <c r="E53" s="206" t="str">
        <f t="shared" si="1"/>
        <v>-</v>
      </c>
      <c r="F53" s="207">
        <f t="shared" si="3"/>
        <v>0</v>
      </c>
      <c r="G53" s="206" t="str">
        <f t="shared" si="5"/>
        <v>-</v>
      </c>
      <c r="H53" s="207">
        <f t="shared" si="4"/>
        <v>0</v>
      </c>
      <c r="I53" s="207">
        <f t="shared" si="7"/>
        <v>0</v>
      </c>
    </row>
    <row r="54" spans="1:9" ht="18.75" hidden="1" thickBot="1">
      <c r="A54" s="202">
        <f t="shared" si="2"/>
        <v>49</v>
      </c>
      <c r="B54" s="208">
        <v>0</v>
      </c>
      <c r="C54" s="204">
        <v>0</v>
      </c>
      <c r="D54" s="205">
        <f t="shared" si="0"/>
        <v>0</v>
      </c>
      <c r="E54" s="206" t="str">
        <f t="shared" si="1"/>
        <v>-</v>
      </c>
      <c r="F54" s="207">
        <f t="shared" si="3"/>
        <v>0</v>
      </c>
      <c r="G54" s="206" t="str">
        <f t="shared" si="5"/>
        <v>-</v>
      </c>
      <c r="H54" s="207">
        <f t="shared" si="4"/>
        <v>0</v>
      </c>
      <c r="I54" s="207">
        <f t="shared" si="7"/>
        <v>0</v>
      </c>
    </row>
    <row r="55" spans="1:9" ht="18.75" hidden="1" thickBot="1">
      <c r="A55" s="210">
        <f t="shared" si="2"/>
        <v>50</v>
      </c>
      <c r="B55" s="211">
        <v>0</v>
      </c>
      <c r="C55" s="212">
        <v>0</v>
      </c>
      <c r="D55" s="213">
        <f t="shared" si="0"/>
        <v>0</v>
      </c>
      <c r="E55" s="214" t="str">
        <f t="shared" si="1"/>
        <v>-</v>
      </c>
      <c r="F55" s="215">
        <f t="shared" si="3"/>
        <v>0</v>
      </c>
      <c r="G55" s="214" t="str">
        <f t="shared" si="5"/>
        <v>-</v>
      </c>
      <c r="H55" s="215">
        <f t="shared" si="4"/>
        <v>0</v>
      </c>
      <c r="I55" s="215">
        <f t="shared" si="7"/>
        <v>0</v>
      </c>
    </row>
    <row r="56" spans="1:9" ht="18.75" thickBot="1">
      <c r="A56" s="216" t="s">
        <v>123</v>
      </c>
      <c r="B56" s="217"/>
      <c r="C56" s="217"/>
      <c r="D56" s="217"/>
      <c r="E56" s="217"/>
      <c r="F56" s="218">
        <f>SUM(F5:F55)</f>
        <v>-92287.025151030568</v>
      </c>
      <c r="G56" s="219"/>
      <c r="H56" s="220">
        <f>SUM(H5:H55)</f>
        <v>5.8207660913467407E-11</v>
      </c>
      <c r="I56" s="221"/>
    </row>
    <row r="57" spans="1:9" ht="18.75" hidden="1" thickBot="1">
      <c r="A57" s="222" t="s">
        <v>20</v>
      </c>
      <c r="B57" s="223"/>
      <c r="C57" s="223"/>
      <c r="D57" s="223"/>
      <c r="E57" s="223"/>
      <c r="F57" s="224">
        <f>I6</f>
        <v>-19963.103489471519</v>
      </c>
      <c r="G57" s="225"/>
      <c r="H57" s="225"/>
      <c r="I57" s="221"/>
    </row>
    <row r="58" spans="1:9" ht="18.75" hidden="1" thickBot="1">
      <c r="A58" s="216" t="s">
        <v>21</v>
      </c>
      <c r="B58" s="217"/>
      <c r="C58" s="217"/>
      <c r="D58" s="217"/>
      <c r="E58" s="217"/>
      <c r="F58" s="226">
        <f>IRR(D5:D55)</f>
        <v>3.2892417736322566E-2</v>
      </c>
      <c r="G58" s="227"/>
      <c r="H58" s="227"/>
      <c r="I58" s="221"/>
    </row>
    <row r="59" spans="1:9" ht="18.75" hidden="1" thickBot="1">
      <c r="A59" s="228" t="s">
        <v>22</v>
      </c>
      <c r="B59" s="229"/>
      <c r="C59" s="229"/>
      <c r="D59" s="229"/>
      <c r="E59" s="229"/>
      <c r="F59" s="230">
        <f>NPER(B3,F61,F5,0)</f>
        <v>8.370570175186236</v>
      </c>
      <c r="G59" s="231"/>
      <c r="H59" s="231"/>
      <c r="I59" s="221"/>
    </row>
    <row r="60" spans="1:9" hidden="1">
      <c r="A60" s="130" t="s">
        <v>23</v>
      </c>
      <c r="F60" s="232">
        <f>SUM(F6:F55)</f>
        <v>324770.47484896949</v>
      </c>
      <c r="G60" s="232"/>
      <c r="H60" s="232"/>
    </row>
    <row r="61" spans="1:9" hidden="1">
      <c r="A61" s="130" t="s">
        <v>24</v>
      </c>
      <c r="F61" s="233">
        <f>PMT(B3,B2,F60,0)*-1</f>
        <v>70252.850702733762</v>
      </c>
      <c r="G61" s="233"/>
      <c r="H61" s="233"/>
    </row>
    <row r="63" spans="1:9" ht="18" hidden="1">
      <c r="A63" s="221"/>
    </row>
    <row r="64" spans="1:9" ht="78.599999999999994" hidden="1" customHeight="1">
      <c r="A64" s="419"/>
      <c r="B64" s="419"/>
      <c r="C64" s="419"/>
      <c r="D64" s="419"/>
      <c r="E64" s="419"/>
      <c r="F64" s="419"/>
    </row>
    <row r="65" spans="1:2" hidden="1">
      <c r="A65" s="56"/>
      <c r="B65" s="56"/>
    </row>
    <row r="66" spans="1:2">
      <c r="A66" s="56"/>
      <c r="B66" s="56"/>
    </row>
  </sheetData>
  <mergeCells count="2">
    <mergeCell ref="A1:C1"/>
    <mergeCell ref="A64:F64"/>
  </mergeCells>
  <pageMargins left="0.78740157480314965" right="0.39370078740157483" top="0.98425196850393704" bottom="0.98425196850393704" header="0" footer="0"/>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K66"/>
  <sheetViews>
    <sheetView zoomScale="90" zoomScaleNormal="90" workbookViewId="0">
      <selection activeCell="C72" sqref="C72"/>
    </sheetView>
  </sheetViews>
  <sheetFormatPr defaultRowHeight="12.75"/>
  <cols>
    <col min="1" max="1" width="12.7109375" style="54" customWidth="1"/>
    <col min="2" max="2" width="22.85546875" style="54" customWidth="1"/>
    <col min="3" max="3" width="20.7109375" style="54" customWidth="1"/>
    <col min="4" max="4" width="28.28515625" style="54" customWidth="1"/>
    <col min="5" max="5" width="27.7109375" style="54" customWidth="1"/>
    <col min="6" max="6" width="28.28515625" style="54" customWidth="1"/>
    <col min="7" max="7" width="24.7109375" style="54" hidden="1" customWidth="1"/>
    <col min="8" max="8" width="24.85546875" style="54" hidden="1" customWidth="1"/>
    <col min="9" max="9" width="24.140625" style="54" hidden="1" customWidth="1"/>
    <col min="10" max="16384" width="9.140625" style="54"/>
  </cols>
  <sheetData>
    <row r="1" spans="1:11" ht="18">
      <c r="A1" s="417" t="s">
        <v>125</v>
      </c>
      <c r="B1" s="418"/>
      <c r="C1" s="418"/>
    </row>
    <row r="2" spans="1:11" ht="15.75">
      <c r="A2" s="189" t="s">
        <v>9</v>
      </c>
      <c r="B2" s="190">
        <v>6</v>
      </c>
    </row>
    <row r="3" spans="1:11" ht="16.5" thickBot="1">
      <c r="A3" s="189" t="s">
        <v>10</v>
      </c>
      <c r="B3" s="191">
        <v>0.08</v>
      </c>
    </row>
    <row r="4" spans="1:11" ht="64.5" customHeight="1" thickBot="1">
      <c r="A4" s="192" t="s">
        <v>11</v>
      </c>
      <c r="B4" s="193" t="s">
        <v>12</v>
      </c>
      <c r="C4" s="194" t="s">
        <v>13</v>
      </c>
      <c r="D4" s="192" t="s">
        <v>14</v>
      </c>
      <c r="E4" s="195" t="s">
        <v>15</v>
      </c>
      <c r="F4" s="192" t="s">
        <v>16</v>
      </c>
      <c r="G4" s="192" t="s">
        <v>17</v>
      </c>
      <c r="H4" s="195" t="str">
        <f>CONCATENATE("Nutidsværdien ved den interne rente (IRR) ",(ROUND(F58,4)*100)," %")</f>
        <v>Nutidsværdien ved den interne rente (IRR) 3,84 %</v>
      </c>
      <c r="I4" s="195" t="s">
        <v>18</v>
      </c>
    </row>
    <row r="5" spans="1:11" ht="18">
      <c r="A5" s="196">
        <v>0</v>
      </c>
      <c r="B5" s="197">
        <v>0</v>
      </c>
      <c r="C5" s="234">
        <v>417060</v>
      </c>
      <c r="D5" s="199">
        <f t="shared" ref="D5:D55" si="0">B5-C5</f>
        <v>-417060</v>
      </c>
      <c r="E5" s="200">
        <f t="shared" ref="E5:E55" si="1">IF(A5&lt;=$B$2,POWER((1+$B$3),(A5*-1)),"-")</f>
        <v>1</v>
      </c>
      <c r="F5" s="201">
        <f>D5</f>
        <v>-417060</v>
      </c>
      <c r="G5" s="200">
        <f>IF(A5&lt;=$B$2,POWER((1+$F$58),(A5*-1)),"-")</f>
        <v>1</v>
      </c>
      <c r="H5" s="201">
        <f>F5</f>
        <v>-417060</v>
      </c>
      <c r="I5" s="196"/>
    </row>
    <row r="6" spans="1:11" ht="18">
      <c r="A6" s="202">
        <f t="shared" ref="A6:A55" si="2">A5+1</f>
        <v>1</v>
      </c>
      <c r="B6" s="203">
        <v>83880</v>
      </c>
      <c r="C6" s="204">
        <v>0</v>
      </c>
      <c r="D6" s="205">
        <f t="shared" si="0"/>
        <v>83880</v>
      </c>
      <c r="E6" s="206">
        <f t="shared" si="1"/>
        <v>0.92592592592592582</v>
      </c>
      <c r="F6" s="207">
        <f t="shared" ref="F6:F55" si="3">PV($B$3,A6,0,D6)*-1</f>
        <v>77666.666666666657</v>
      </c>
      <c r="G6" s="206">
        <f>IF(A6&lt;=$B$2,POWER((1+$F$58),(A6*-1)),"-")</f>
        <v>0.96301203954528625</v>
      </c>
      <c r="H6" s="207">
        <f t="shared" ref="H6:H55" si="4">PV($F$58,A6,0,D6)*-1</f>
        <v>80777.449877058607</v>
      </c>
      <c r="I6" s="207">
        <f>PMT($B$3,$B$2,$F$56)*-1</f>
        <v>-10843.660125662895</v>
      </c>
    </row>
    <row r="7" spans="1:11" ht="18">
      <c r="A7" s="202">
        <f t="shared" si="2"/>
        <v>2</v>
      </c>
      <c r="B7" s="203">
        <v>81900</v>
      </c>
      <c r="C7" s="204">
        <v>0</v>
      </c>
      <c r="D7" s="205">
        <f t="shared" si="0"/>
        <v>81900</v>
      </c>
      <c r="E7" s="206">
        <f t="shared" si="1"/>
        <v>0.85733882030178321</v>
      </c>
      <c r="F7" s="207">
        <f t="shared" si="3"/>
        <v>70216.049382716039</v>
      </c>
      <c r="G7" s="206">
        <f t="shared" ref="G7:G55" si="5">IF(A7&lt;=$B$2,POWER((1+$F$58),(A7*-1)),"-")</f>
        <v>0.92739218830917192</v>
      </c>
      <c r="H7" s="207">
        <f t="shared" si="4"/>
        <v>75953.420222521177</v>
      </c>
      <c r="I7" s="207">
        <f t="shared" ref="I7:I12" si="6">IF(A7&lt;=$B$2,$I$6,0)</f>
        <v>-10843.660125662895</v>
      </c>
    </row>
    <row r="8" spans="1:11" ht="18">
      <c r="A8" s="202">
        <f t="shared" si="2"/>
        <v>3</v>
      </c>
      <c r="B8" s="203">
        <v>79920</v>
      </c>
      <c r="C8" s="204">
        <v>0</v>
      </c>
      <c r="D8" s="205">
        <f t="shared" si="0"/>
        <v>79920</v>
      </c>
      <c r="E8" s="206">
        <f t="shared" si="1"/>
        <v>0.79383224102016958</v>
      </c>
      <c r="F8" s="207">
        <f t="shared" si="3"/>
        <v>63443.072702331956</v>
      </c>
      <c r="G8" s="206">
        <f t="shared" si="5"/>
        <v>0.89308984272198177</v>
      </c>
      <c r="H8" s="207">
        <f t="shared" si="4"/>
        <v>71375.740230340787</v>
      </c>
      <c r="I8" s="207">
        <f t="shared" si="6"/>
        <v>-10843.660125662895</v>
      </c>
    </row>
    <row r="9" spans="1:11" ht="18">
      <c r="A9" s="202">
        <f t="shared" si="2"/>
        <v>4</v>
      </c>
      <c r="B9" s="203">
        <v>77940</v>
      </c>
      <c r="C9" s="204">
        <v>0</v>
      </c>
      <c r="D9" s="205">
        <f t="shared" si="0"/>
        <v>77940</v>
      </c>
      <c r="E9" s="206">
        <f t="shared" si="1"/>
        <v>0.73502985279645328</v>
      </c>
      <c r="F9" s="207">
        <f t="shared" si="3"/>
        <v>57288.226726955567</v>
      </c>
      <c r="G9" s="206">
        <f t="shared" si="5"/>
        <v>0.86005627093687476</v>
      </c>
      <c r="H9" s="207">
        <f t="shared" si="4"/>
        <v>67032.785756820012</v>
      </c>
      <c r="I9" s="207">
        <f t="shared" si="6"/>
        <v>-10843.660125662895</v>
      </c>
    </row>
    <row r="10" spans="1:11" ht="18">
      <c r="A10" s="202">
        <f t="shared" si="2"/>
        <v>5</v>
      </c>
      <c r="B10" s="203">
        <v>75960</v>
      </c>
      <c r="C10" s="204">
        <v>0</v>
      </c>
      <c r="D10" s="205">
        <f>(B10-C10)</f>
        <v>75960</v>
      </c>
      <c r="E10" s="206">
        <f t="shared" si="1"/>
        <v>0.68058319703375303</v>
      </c>
      <c r="F10" s="207">
        <f t="shared" si="3"/>
        <v>51697.099646683877</v>
      </c>
      <c r="G10" s="206">
        <f t="shared" si="5"/>
        <v>0.82824454359863309</v>
      </c>
      <c r="H10" s="207">
        <f t="shared" si="4"/>
        <v>62913.455531752166</v>
      </c>
      <c r="I10" s="207">
        <f t="shared" si="6"/>
        <v>-10843.660125662895</v>
      </c>
    </row>
    <row r="11" spans="1:11" ht="18.75" thickBot="1">
      <c r="A11" s="202">
        <f t="shared" si="2"/>
        <v>6</v>
      </c>
      <c r="B11" s="203">
        <v>73980</v>
      </c>
      <c r="C11" s="204">
        <v>0</v>
      </c>
      <c r="D11" s="205">
        <f t="shared" si="0"/>
        <v>73980</v>
      </c>
      <c r="E11" s="206">
        <f t="shared" si="1"/>
        <v>0.63016962688310452</v>
      </c>
      <c r="F11" s="207">
        <f t="shared" si="3"/>
        <v>46619.948996812076</v>
      </c>
      <c r="G11" s="206">
        <f t="shared" si="5"/>
        <v>0.79760946717317438</v>
      </c>
      <c r="H11" s="207">
        <f t="shared" si="4"/>
        <v>59007.148381471437</v>
      </c>
      <c r="I11" s="207">
        <f t="shared" si="6"/>
        <v>-10843.660125662895</v>
      </c>
    </row>
    <row r="12" spans="1:11" ht="18.75" hidden="1" thickBot="1">
      <c r="A12" s="202">
        <f t="shared" si="2"/>
        <v>7</v>
      </c>
      <c r="B12" s="208">
        <v>0</v>
      </c>
      <c r="C12" s="204">
        <v>0</v>
      </c>
      <c r="D12" s="205">
        <f t="shared" si="0"/>
        <v>0</v>
      </c>
      <c r="E12" s="206" t="str">
        <f t="shared" si="1"/>
        <v>-</v>
      </c>
      <c r="F12" s="207">
        <f t="shared" si="3"/>
        <v>0</v>
      </c>
      <c r="G12" s="206" t="str">
        <f t="shared" si="5"/>
        <v>-</v>
      </c>
      <c r="H12" s="207">
        <f t="shared" si="4"/>
        <v>0</v>
      </c>
      <c r="I12" s="207">
        <f t="shared" si="6"/>
        <v>0</v>
      </c>
    </row>
    <row r="13" spans="1:11" ht="18.75" hidden="1" thickBot="1">
      <c r="A13" s="202">
        <f t="shared" si="2"/>
        <v>8</v>
      </c>
      <c r="B13" s="208">
        <v>0</v>
      </c>
      <c r="C13" s="204">
        <v>0</v>
      </c>
      <c r="D13" s="205">
        <f t="shared" si="0"/>
        <v>0</v>
      </c>
      <c r="E13" s="206" t="str">
        <f t="shared" si="1"/>
        <v>-</v>
      </c>
      <c r="F13" s="207">
        <f t="shared" si="3"/>
        <v>0</v>
      </c>
      <c r="G13" s="206" t="str">
        <f t="shared" si="5"/>
        <v>-</v>
      </c>
      <c r="H13" s="207">
        <f t="shared" si="4"/>
        <v>0</v>
      </c>
      <c r="I13" s="207">
        <f t="shared" ref="I13:I55" si="7">IF(A12&lt;=$B$2,$I$6,0)</f>
        <v>0</v>
      </c>
      <c r="K13" s="209"/>
    </row>
    <row r="14" spans="1:11" ht="18.75" hidden="1" thickBot="1">
      <c r="A14" s="202">
        <f t="shared" si="2"/>
        <v>9</v>
      </c>
      <c r="B14" s="208">
        <v>0</v>
      </c>
      <c r="C14" s="204">
        <v>0</v>
      </c>
      <c r="D14" s="205">
        <f t="shared" si="0"/>
        <v>0</v>
      </c>
      <c r="E14" s="206" t="str">
        <f t="shared" si="1"/>
        <v>-</v>
      </c>
      <c r="F14" s="207">
        <f t="shared" si="3"/>
        <v>0</v>
      </c>
      <c r="G14" s="206" t="str">
        <f t="shared" si="5"/>
        <v>-</v>
      </c>
      <c r="H14" s="207">
        <f t="shared" si="4"/>
        <v>0</v>
      </c>
      <c r="I14" s="207">
        <f t="shared" si="7"/>
        <v>0</v>
      </c>
    </row>
    <row r="15" spans="1:11" ht="18.75" hidden="1" thickBot="1">
      <c r="A15" s="202">
        <f t="shared" si="2"/>
        <v>10</v>
      </c>
      <c r="B15" s="208">
        <v>0</v>
      </c>
      <c r="C15" s="204">
        <v>0</v>
      </c>
      <c r="D15" s="205">
        <f t="shared" si="0"/>
        <v>0</v>
      </c>
      <c r="E15" s="206" t="str">
        <f t="shared" si="1"/>
        <v>-</v>
      </c>
      <c r="F15" s="207">
        <f t="shared" si="3"/>
        <v>0</v>
      </c>
      <c r="G15" s="206" t="str">
        <f t="shared" si="5"/>
        <v>-</v>
      </c>
      <c r="H15" s="207">
        <f t="shared" si="4"/>
        <v>0</v>
      </c>
      <c r="I15" s="207">
        <f t="shared" si="7"/>
        <v>0</v>
      </c>
    </row>
    <row r="16" spans="1:11" ht="18.75" hidden="1" thickBot="1">
      <c r="A16" s="202">
        <f t="shared" si="2"/>
        <v>11</v>
      </c>
      <c r="B16" s="208">
        <v>0</v>
      </c>
      <c r="C16" s="204">
        <v>0</v>
      </c>
      <c r="D16" s="205">
        <f t="shared" si="0"/>
        <v>0</v>
      </c>
      <c r="E16" s="206" t="str">
        <f t="shared" si="1"/>
        <v>-</v>
      </c>
      <c r="F16" s="207">
        <f t="shared" si="3"/>
        <v>0</v>
      </c>
      <c r="G16" s="206" t="str">
        <f t="shared" si="5"/>
        <v>-</v>
      </c>
      <c r="H16" s="207">
        <f t="shared" si="4"/>
        <v>0</v>
      </c>
      <c r="I16" s="207">
        <f t="shared" si="7"/>
        <v>0</v>
      </c>
    </row>
    <row r="17" spans="1:11" ht="18.75" hidden="1" thickBot="1">
      <c r="A17" s="202">
        <f t="shared" si="2"/>
        <v>12</v>
      </c>
      <c r="B17" s="208">
        <v>0</v>
      </c>
      <c r="C17" s="204">
        <v>0</v>
      </c>
      <c r="D17" s="205">
        <f t="shared" si="0"/>
        <v>0</v>
      </c>
      <c r="E17" s="206" t="str">
        <f t="shared" si="1"/>
        <v>-</v>
      </c>
      <c r="F17" s="207">
        <f t="shared" si="3"/>
        <v>0</v>
      </c>
      <c r="G17" s="206" t="str">
        <f t="shared" si="5"/>
        <v>-</v>
      </c>
      <c r="H17" s="207">
        <f t="shared" si="4"/>
        <v>0</v>
      </c>
      <c r="I17" s="207">
        <f t="shared" si="7"/>
        <v>0</v>
      </c>
    </row>
    <row r="18" spans="1:11" ht="18.75" hidden="1" thickBot="1">
      <c r="A18" s="202">
        <f t="shared" si="2"/>
        <v>13</v>
      </c>
      <c r="B18" s="208">
        <v>0</v>
      </c>
      <c r="C18" s="204">
        <v>0</v>
      </c>
      <c r="D18" s="205">
        <f t="shared" si="0"/>
        <v>0</v>
      </c>
      <c r="E18" s="206" t="str">
        <f t="shared" si="1"/>
        <v>-</v>
      </c>
      <c r="F18" s="207">
        <f t="shared" si="3"/>
        <v>0</v>
      </c>
      <c r="G18" s="206" t="str">
        <f t="shared" si="5"/>
        <v>-</v>
      </c>
      <c r="H18" s="207">
        <f t="shared" si="4"/>
        <v>0</v>
      </c>
      <c r="I18" s="207">
        <f t="shared" si="7"/>
        <v>0</v>
      </c>
      <c r="K18" s="209"/>
    </row>
    <row r="19" spans="1:11" ht="18.75" hidden="1" thickBot="1">
      <c r="A19" s="202">
        <f t="shared" si="2"/>
        <v>14</v>
      </c>
      <c r="B19" s="208">
        <v>0</v>
      </c>
      <c r="C19" s="204">
        <v>0</v>
      </c>
      <c r="D19" s="205">
        <f t="shared" si="0"/>
        <v>0</v>
      </c>
      <c r="E19" s="206" t="str">
        <f t="shared" si="1"/>
        <v>-</v>
      </c>
      <c r="F19" s="207">
        <f t="shared" si="3"/>
        <v>0</v>
      </c>
      <c r="G19" s="206" t="str">
        <f t="shared" si="5"/>
        <v>-</v>
      </c>
      <c r="H19" s="207">
        <f t="shared" si="4"/>
        <v>0</v>
      </c>
      <c r="I19" s="207">
        <f t="shared" si="7"/>
        <v>0</v>
      </c>
    </row>
    <row r="20" spans="1:11" ht="18.75" hidden="1" thickBot="1">
      <c r="A20" s="210">
        <f t="shared" si="2"/>
        <v>15</v>
      </c>
      <c r="B20" s="211">
        <v>0</v>
      </c>
      <c r="C20" s="212">
        <v>0</v>
      </c>
      <c r="D20" s="213">
        <f t="shared" si="0"/>
        <v>0</v>
      </c>
      <c r="E20" s="214" t="str">
        <f t="shared" si="1"/>
        <v>-</v>
      </c>
      <c r="F20" s="215">
        <f t="shared" si="3"/>
        <v>0</v>
      </c>
      <c r="G20" s="214" t="str">
        <f t="shared" si="5"/>
        <v>-</v>
      </c>
      <c r="H20" s="215">
        <f t="shared" si="4"/>
        <v>0</v>
      </c>
      <c r="I20" s="215">
        <f t="shared" si="7"/>
        <v>0</v>
      </c>
    </row>
    <row r="21" spans="1:11" ht="18.75" hidden="1" thickBot="1">
      <c r="A21" s="202">
        <f t="shared" si="2"/>
        <v>16</v>
      </c>
      <c r="B21" s="208">
        <v>0</v>
      </c>
      <c r="C21" s="204">
        <v>0</v>
      </c>
      <c r="D21" s="205">
        <f t="shared" si="0"/>
        <v>0</v>
      </c>
      <c r="E21" s="206" t="str">
        <f t="shared" si="1"/>
        <v>-</v>
      </c>
      <c r="F21" s="207">
        <f t="shared" si="3"/>
        <v>0</v>
      </c>
      <c r="G21" s="206" t="str">
        <f t="shared" si="5"/>
        <v>-</v>
      </c>
      <c r="H21" s="207">
        <f t="shared" si="4"/>
        <v>0</v>
      </c>
      <c r="I21" s="207">
        <f t="shared" si="7"/>
        <v>0</v>
      </c>
    </row>
    <row r="22" spans="1:11" ht="18.75" hidden="1" thickBot="1">
      <c r="A22" s="202">
        <f t="shared" si="2"/>
        <v>17</v>
      </c>
      <c r="B22" s="208">
        <v>0</v>
      </c>
      <c r="C22" s="204">
        <v>0</v>
      </c>
      <c r="D22" s="205">
        <f t="shared" si="0"/>
        <v>0</v>
      </c>
      <c r="E22" s="206" t="str">
        <f t="shared" si="1"/>
        <v>-</v>
      </c>
      <c r="F22" s="207">
        <f t="shared" si="3"/>
        <v>0</v>
      </c>
      <c r="G22" s="206" t="str">
        <f t="shared" si="5"/>
        <v>-</v>
      </c>
      <c r="H22" s="207">
        <f t="shared" si="4"/>
        <v>0</v>
      </c>
      <c r="I22" s="207">
        <f t="shared" si="7"/>
        <v>0</v>
      </c>
    </row>
    <row r="23" spans="1:11" ht="18.75" hidden="1" thickBot="1">
      <c r="A23" s="202">
        <f t="shared" si="2"/>
        <v>18</v>
      </c>
      <c r="B23" s="208">
        <v>0</v>
      </c>
      <c r="C23" s="204">
        <v>0</v>
      </c>
      <c r="D23" s="205">
        <f t="shared" si="0"/>
        <v>0</v>
      </c>
      <c r="E23" s="206" t="str">
        <f t="shared" si="1"/>
        <v>-</v>
      </c>
      <c r="F23" s="207">
        <f t="shared" si="3"/>
        <v>0</v>
      </c>
      <c r="G23" s="206" t="str">
        <f t="shared" si="5"/>
        <v>-</v>
      </c>
      <c r="H23" s="207">
        <f t="shared" si="4"/>
        <v>0</v>
      </c>
      <c r="I23" s="207">
        <f t="shared" si="7"/>
        <v>0</v>
      </c>
    </row>
    <row r="24" spans="1:11" ht="18.75" hidden="1" thickBot="1">
      <c r="A24" s="202">
        <f t="shared" si="2"/>
        <v>19</v>
      </c>
      <c r="B24" s="208">
        <v>0</v>
      </c>
      <c r="C24" s="204">
        <v>0</v>
      </c>
      <c r="D24" s="205">
        <f t="shared" si="0"/>
        <v>0</v>
      </c>
      <c r="E24" s="206" t="str">
        <f t="shared" si="1"/>
        <v>-</v>
      </c>
      <c r="F24" s="207">
        <f t="shared" si="3"/>
        <v>0</v>
      </c>
      <c r="G24" s="206" t="str">
        <f t="shared" si="5"/>
        <v>-</v>
      </c>
      <c r="H24" s="207">
        <f t="shared" si="4"/>
        <v>0</v>
      </c>
      <c r="I24" s="207">
        <f t="shared" si="7"/>
        <v>0</v>
      </c>
    </row>
    <row r="25" spans="1:11" ht="18.75" hidden="1" thickBot="1">
      <c r="A25" s="202">
        <f t="shared" si="2"/>
        <v>20</v>
      </c>
      <c r="B25" s="208">
        <v>0</v>
      </c>
      <c r="C25" s="204">
        <v>0</v>
      </c>
      <c r="D25" s="205">
        <f t="shared" si="0"/>
        <v>0</v>
      </c>
      <c r="E25" s="206" t="str">
        <f t="shared" si="1"/>
        <v>-</v>
      </c>
      <c r="F25" s="207">
        <f t="shared" si="3"/>
        <v>0</v>
      </c>
      <c r="G25" s="206" t="str">
        <f t="shared" si="5"/>
        <v>-</v>
      </c>
      <c r="H25" s="207">
        <f t="shared" si="4"/>
        <v>0</v>
      </c>
      <c r="I25" s="207">
        <f t="shared" si="7"/>
        <v>0</v>
      </c>
    </row>
    <row r="26" spans="1:11" ht="18.75" hidden="1" thickBot="1">
      <c r="A26" s="202">
        <f t="shared" si="2"/>
        <v>21</v>
      </c>
      <c r="B26" s="208">
        <v>0</v>
      </c>
      <c r="C26" s="204">
        <v>0</v>
      </c>
      <c r="D26" s="205">
        <f t="shared" si="0"/>
        <v>0</v>
      </c>
      <c r="E26" s="206" t="str">
        <f t="shared" si="1"/>
        <v>-</v>
      </c>
      <c r="F26" s="207">
        <f t="shared" si="3"/>
        <v>0</v>
      </c>
      <c r="G26" s="206" t="str">
        <f t="shared" si="5"/>
        <v>-</v>
      </c>
      <c r="H26" s="207">
        <f t="shared" si="4"/>
        <v>0</v>
      </c>
      <c r="I26" s="207">
        <f t="shared" si="7"/>
        <v>0</v>
      </c>
    </row>
    <row r="27" spans="1:11" ht="18.75" hidden="1" thickBot="1">
      <c r="A27" s="202">
        <f t="shared" si="2"/>
        <v>22</v>
      </c>
      <c r="B27" s="208">
        <v>0</v>
      </c>
      <c r="C27" s="204">
        <v>0</v>
      </c>
      <c r="D27" s="205">
        <f t="shared" si="0"/>
        <v>0</v>
      </c>
      <c r="E27" s="206" t="str">
        <f t="shared" si="1"/>
        <v>-</v>
      </c>
      <c r="F27" s="207">
        <f t="shared" si="3"/>
        <v>0</v>
      </c>
      <c r="G27" s="206" t="str">
        <f t="shared" si="5"/>
        <v>-</v>
      </c>
      <c r="H27" s="207">
        <f t="shared" si="4"/>
        <v>0</v>
      </c>
      <c r="I27" s="207">
        <f t="shared" si="7"/>
        <v>0</v>
      </c>
    </row>
    <row r="28" spans="1:11" ht="18.75" hidden="1" thickBot="1">
      <c r="A28" s="202">
        <f t="shared" si="2"/>
        <v>23</v>
      </c>
      <c r="B28" s="208">
        <v>0</v>
      </c>
      <c r="C28" s="204">
        <v>0</v>
      </c>
      <c r="D28" s="205">
        <f t="shared" si="0"/>
        <v>0</v>
      </c>
      <c r="E28" s="206" t="str">
        <f t="shared" si="1"/>
        <v>-</v>
      </c>
      <c r="F28" s="207">
        <f t="shared" si="3"/>
        <v>0</v>
      </c>
      <c r="G28" s="206" t="str">
        <f t="shared" si="5"/>
        <v>-</v>
      </c>
      <c r="H28" s="207">
        <f t="shared" si="4"/>
        <v>0</v>
      </c>
      <c r="I28" s="207">
        <f t="shared" si="7"/>
        <v>0</v>
      </c>
    </row>
    <row r="29" spans="1:11" ht="18.75" hidden="1" thickBot="1">
      <c r="A29" s="202">
        <f t="shared" si="2"/>
        <v>24</v>
      </c>
      <c r="B29" s="208">
        <v>0</v>
      </c>
      <c r="C29" s="204">
        <v>0</v>
      </c>
      <c r="D29" s="205">
        <f t="shared" si="0"/>
        <v>0</v>
      </c>
      <c r="E29" s="206" t="str">
        <f t="shared" si="1"/>
        <v>-</v>
      </c>
      <c r="F29" s="207">
        <f t="shared" si="3"/>
        <v>0</v>
      </c>
      <c r="G29" s="206" t="str">
        <f t="shared" si="5"/>
        <v>-</v>
      </c>
      <c r="H29" s="207">
        <f t="shared" si="4"/>
        <v>0</v>
      </c>
      <c r="I29" s="207">
        <f t="shared" si="7"/>
        <v>0</v>
      </c>
    </row>
    <row r="30" spans="1:11" ht="18.75" hidden="1" thickBot="1">
      <c r="A30" s="202">
        <f t="shared" si="2"/>
        <v>25</v>
      </c>
      <c r="B30" s="208">
        <v>0</v>
      </c>
      <c r="C30" s="204">
        <v>0</v>
      </c>
      <c r="D30" s="205">
        <f t="shared" si="0"/>
        <v>0</v>
      </c>
      <c r="E30" s="206" t="str">
        <f t="shared" si="1"/>
        <v>-</v>
      </c>
      <c r="F30" s="207">
        <f t="shared" si="3"/>
        <v>0</v>
      </c>
      <c r="G30" s="206" t="str">
        <f t="shared" si="5"/>
        <v>-</v>
      </c>
      <c r="H30" s="207">
        <f t="shared" si="4"/>
        <v>0</v>
      </c>
      <c r="I30" s="207">
        <f t="shared" si="7"/>
        <v>0</v>
      </c>
    </row>
    <row r="31" spans="1:11" ht="18.75" hidden="1" thickBot="1">
      <c r="A31" s="202">
        <f t="shared" si="2"/>
        <v>26</v>
      </c>
      <c r="B31" s="208">
        <v>0</v>
      </c>
      <c r="C31" s="204">
        <v>0</v>
      </c>
      <c r="D31" s="205">
        <f t="shared" si="0"/>
        <v>0</v>
      </c>
      <c r="E31" s="206" t="str">
        <f t="shared" si="1"/>
        <v>-</v>
      </c>
      <c r="F31" s="207">
        <f t="shared" si="3"/>
        <v>0</v>
      </c>
      <c r="G31" s="206" t="str">
        <f t="shared" si="5"/>
        <v>-</v>
      </c>
      <c r="H31" s="207">
        <f t="shared" si="4"/>
        <v>0</v>
      </c>
      <c r="I31" s="207">
        <f t="shared" si="7"/>
        <v>0</v>
      </c>
    </row>
    <row r="32" spans="1:11" ht="18.75" hidden="1" thickBot="1">
      <c r="A32" s="202">
        <f t="shared" si="2"/>
        <v>27</v>
      </c>
      <c r="B32" s="208">
        <v>0</v>
      </c>
      <c r="C32" s="204">
        <v>0</v>
      </c>
      <c r="D32" s="205">
        <f t="shared" si="0"/>
        <v>0</v>
      </c>
      <c r="E32" s="206" t="str">
        <f t="shared" si="1"/>
        <v>-</v>
      </c>
      <c r="F32" s="207">
        <f t="shared" si="3"/>
        <v>0</v>
      </c>
      <c r="G32" s="206" t="str">
        <f t="shared" si="5"/>
        <v>-</v>
      </c>
      <c r="H32" s="207">
        <f t="shared" si="4"/>
        <v>0</v>
      </c>
      <c r="I32" s="207">
        <f t="shared" si="7"/>
        <v>0</v>
      </c>
    </row>
    <row r="33" spans="1:9" ht="18.75" hidden="1" thickBot="1">
      <c r="A33" s="202">
        <f t="shared" si="2"/>
        <v>28</v>
      </c>
      <c r="B33" s="208">
        <v>0</v>
      </c>
      <c r="C33" s="204">
        <v>0</v>
      </c>
      <c r="D33" s="205">
        <f t="shared" si="0"/>
        <v>0</v>
      </c>
      <c r="E33" s="206" t="str">
        <f t="shared" si="1"/>
        <v>-</v>
      </c>
      <c r="F33" s="207">
        <f t="shared" si="3"/>
        <v>0</v>
      </c>
      <c r="G33" s="206" t="str">
        <f t="shared" si="5"/>
        <v>-</v>
      </c>
      <c r="H33" s="207">
        <f t="shared" si="4"/>
        <v>0</v>
      </c>
      <c r="I33" s="207">
        <f t="shared" si="7"/>
        <v>0</v>
      </c>
    </row>
    <row r="34" spans="1:9" ht="18.75" hidden="1" thickBot="1">
      <c r="A34" s="202">
        <f t="shared" si="2"/>
        <v>29</v>
      </c>
      <c r="B34" s="208">
        <v>0</v>
      </c>
      <c r="C34" s="204">
        <v>0</v>
      </c>
      <c r="D34" s="205">
        <f t="shared" si="0"/>
        <v>0</v>
      </c>
      <c r="E34" s="206" t="str">
        <f t="shared" si="1"/>
        <v>-</v>
      </c>
      <c r="F34" s="207">
        <f t="shared" si="3"/>
        <v>0</v>
      </c>
      <c r="G34" s="206" t="str">
        <f t="shared" si="5"/>
        <v>-</v>
      </c>
      <c r="H34" s="207">
        <f t="shared" si="4"/>
        <v>0</v>
      </c>
      <c r="I34" s="207">
        <f t="shared" si="7"/>
        <v>0</v>
      </c>
    </row>
    <row r="35" spans="1:9" ht="18.75" hidden="1" thickBot="1">
      <c r="A35" s="202">
        <f t="shared" si="2"/>
        <v>30</v>
      </c>
      <c r="B35" s="208">
        <v>0</v>
      </c>
      <c r="C35" s="204">
        <v>0</v>
      </c>
      <c r="D35" s="205">
        <f t="shared" si="0"/>
        <v>0</v>
      </c>
      <c r="E35" s="206" t="str">
        <f t="shared" si="1"/>
        <v>-</v>
      </c>
      <c r="F35" s="207">
        <f t="shared" si="3"/>
        <v>0</v>
      </c>
      <c r="G35" s="206" t="str">
        <f t="shared" si="5"/>
        <v>-</v>
      </c>
      <c r="H35" s="207">
        <f t="shared" si="4"/>
        <v>0</v>
      </c>
      <c r="I35" s="207">
        <f t="shared" si="7"/>
        <v>0</v>
      </c>
    </row>
    <row r="36" spans="1:9" ht="18.75" hidden="1" thickBot="1">
      <c r="A36" s="202">
        <f t="shared" si="2"/>
        <v>31</v>
      </c>
      <c r="B36" s="208">
        <v>0</v>
      </c>
      <c r="C36" s="204">
        <v>0</v>
      </c>
      <c r="D36" s="205">
        <f t="shared" si="0"/>
        <v>0</v>
      </c>
      <c r="E36" s="206" t="str">
        <f t="shared" si="1"/>
        <v>-</v>
      </c>
      <c r="F36" s="207">
        <f t="shared" si="3"/>
        <v>0</v>
      </c>
      <c r="G36" s="206" t="str">
        <f t="shared" si="5"/>
        <v>-</v>
      </c>
      <c r="H36" s="207">
        <f t="shared" si="4"/>
        <v>0</v>
      </c>
      <c r="I36" s="207">
        <f t="shared" si="7"/>
        <v>0</v>
      </c>
    </row>
    <row r="37" spans="1:9" ht="18.75" hidden="1" thickBot="1">
      <c r="A37" s="202">
        <f t="shared" si="2"/>
        <v>32</v>
      </c>
      <c r="B37" s="208">
        <v>0</v>
      </c>
      <c r="C37" s="204">
        <v>0</v>
      </c>
      <c r="D37" s="205">
        <f t="shared" si="0"/>
        <v>0</v>
      </c>
      <c r="E37" s="206" t="str">
        <f t="shared" si="1"/>
        <v>-</v>
      </c>
      <c r="F37" s="207">
        <f t="shared" si="3"/>
        <v>0</v>
      </c>
      <c r="G37" s="206" t="str">
        <f t="shared" si="5"/>
        <v>-</v>
      </c>
      <c r="H37" s="207">
        <f t="shared" si="4"/>
        <v>0</v>
      </c>
      <c r="I37" s="207">
        <f t="shared" si="7"/>
        <v>0</v>
      </c>
    </row>
    <row r="38" spans="1:9" ht="18.75" hidden="1" thickBot="1">
      <c r="A38" s="202">
        <f t="shared" si="2"/>
        <v>33</v>
      </c>
      <c r="B38" s="208">
        <v>0</v>
      </c>
      <c r="C38" s="204">
        <v>0</v>
      </c>
      <c r="D38" s="205">
        <f t="shared" si="0"/>
        <v>0</v>
      </c>
      <c r="E38" s="206" t="str">
        <f t="shared" si="1"/>
        <v>-</v>
      </c>
      <c r="F38" s="207">
        <f t="shared" si="3"/>
        <v>0</v>
      </c>
      <c r="G38" s="206" t="str">
        <f t="shared" si="5"/>
        <v>-</v>
      </c>
      <c r="H38" s="207">
        <f t="shared" si="4"/>
        <v>0</v>
      </c>
      <c r="I38" s="207">
        <f t="shared" si="7"/>
        <v>0</v>
      </c>
    </row>
    <row r="39" spans="1:9" ht="18.75" hidden="1" thickBot="1">
      <c r="A39" s="202">
        <f t="shared" si="2"/>
        <v>34</v>
      </c>
      <c r="B39" s="208">
        <v>0</v>
      </c>
      <c r="C39" s="204">
        <v>0</v>
      </c>
      <c r="D39" s="205">
        <f t="shared" si="0"/>
        <v>0</v>
      </c>
      <c r="E39" s="206" t="str">
        <f t="shared" si="1"/>
        <v>-</v>
      </c>
      <c r="F39" s="207">
        <f t="shared" si="3"/>
        <v>0</v>
      </c>
      <c r="G39" s="206" t="str">
        <f t="shared" si="5"/>
        <v>-</v>
      </c>
      <c r="H39" s="207">
        <f t="shared" si="4"/>
        <v>0</v>
      </c>
      <c r="I39" s="207">
        <f t="shared" si="7"/>
        <v>0</v>
      </c>
    </row>
    <row r="40" spans="1:9" ht="18.75" hidden="1" thickBot="1">
      <c r="A40" s="202">
        <f t="shared" si="2"/>
        <v>35</v>
      </c>
      <c r="B40" s="208">
        <v>0</v>
      </c>
      <c r="C40" s="204">
        <v>0</v>
      </c>
      <c r="D40" s="205">
        <f t="shared" si="0"/>
        <v>0</v>
      </c>
      <c r="E40" s="206" t="str">
        <f t="shared" si="1"/>
        <v>-</v>
      </c>
      <c r="F40" s="207">
        <f t="shared" si="3"/>
        <v>0</v>
      </c>
      <c r="G40" s="206" t="str">
        <f t="shared" si="5"/>
        <v>-</v>
      </c>
      <c r="H40" s="207">
        <f t="shared" si="4"/>
        <v>0</v>
      </c>
      <c r="I40" s="207">
        <f t="shared" si="7"/>
        <v>0</v>
      </c>
    </row>
    <row r="41" spans="1:9" ht="18.75" hidden="1" thickBot="1">
      <c r="A41" s="202">
        <f t="shared" si="2"/>
        <v>36</v>
      </c>
      <c r="B41" s="208">
        <v>0</v>
      </c>
      <c r="C41" s="204">
        <v>0</v>
      </c>
      <c r="D41" s="205">
        <f t="shared" si="0"/>
        <v>0</v>
      </c>
      <c r="E41" s="206" t="str">
        <f t="shared" si="1"/>
        <v>-</v>
      </c>
      <c r="F41" s="207">
        <f t="shared" si="3"/>
        <v>0</v>
      </c>
      <c r="G41" s="206" t="str">
        <f t="shared" si="5"/>
        <v>-</v>
      </c>
      <c r="H41" s="207">
        <f t="shared" si="4"/>
        <v>0</v>
      </c>
      <c r="I41" s="207">
        <f t="shared" si="7"/>
        <v>0</v>
      </c>
    </row>
    <row r="42" spans="1:9" ht="18.75" hidden="1" thickBot="1">
      <c r="A42" s="202">
        <f t="shared" si="2"/>
        <v>37</v>
      </c>
      <c r="B42" s="208">
        <v>0</v>
      </c>
      <c r="C42" s="204">
        <v>0</v>
      </c>
      <c r="D42" s="205">
        <f t="shared" si="0"/>
        <v>0</v>
      </c>
      <c r="E42" s="206" t="str">
        <f t="shared" si="1"/>
        <v>-</v>
      </c>
      <c r="F42" s="207">
        <f t="shared" si="3"/>
        <v>0</v>
      </c>
      <c r="G42" s="206" t="str">
        <f t="shared" si="5"/>
        <v>-</v>
      </c>
      <c r="H42" s="207">
        <f t="shared" si="4"/>
        <v>0</v>
      </c>
      <c r="I42" s="207">
        <f t="shared" si="7"/>
        <v>0</v>
      </c>
    </row>
    <row r="43" spans="1:9" ht="18.75" hidden="1" thickBot="1">
      <c r="A43" s="202">
        <f t="shared" si="2"/>
        <v>38</v>
      </c>
      <c r="B43" s="208">
        <v>0</v>
      </c>
      <c r="C43" s="204">
        <v>0</v>
      </c>
      <c r="D43" s="205">
        <f t="shared" si="0"/>
        <v>0</v>
      </c>
      <c r="E43" s="206" t="str">
        <f t="shared" si="1"/>
        <v>-</v>
      </c>
      <c r="F43" s="207">
        <f t="shared" si="3"/>
        <v>0</v>
      </c>
      <c r="G43" s="206" t="str">
        <f t="shared" si="5"/>
        <v>-</v>
      </c>
      <c r="H43" s="207">
        <f t="shared" si="4"/>
        <v>0</v>
      </c>
      <c r="I43" s="207">
        <f t="shared" si="7"/>
        <v>0</v>
      </c>
    </row>
    <row r="44" spans="1:9" ht="18.75" hidden="1" thickBot="1">
      <c r="A44" s="202">
        <f t="shared" si="2"/>
        <v>39</v>
      </c>
      <c r="B44" s="208">
        <v>0</v>
      </c>
      <c r="C44" s="204">
        <v>0</v>
      </c>
      <c r="D44" s="205">
        <f t="shared" si="0"/>
        <v>0</v>
      </c>
      <c r="E44" s="206" t="str">
        <f t="shared" si="1"/>
        <v>-</v>
      </c>
      <c r="F44" s="207">
        <f t="shared" si="3"/>
        <v>0</v>
      </c>
      <c r="G44" s="206" t="str">
        <f t="shared" si="5"/>
        <v>-</v>
      </c>
      <c r="H44" s="207">
        <f t="shared" si="4"/>
        <v>0</v>
      </c>
      <c r="I44" s="207">
        <f t="shared" si="7"/>
        <v>0</v>
      </c>
    </row>
    <row r="45" spans="1:9" ht="18.75" hidden="1" thickBot="1">
      <c r="A45" s="202">
        <f t="shared" si="2"/>
        <v>40</v>
      </c>
      <c r="B45" s="208">
        <v>0</v>
      </c>
      <c r="C45" s="204">
        <v>0</v>
      </c>
      <c r="D45" s="205">
        <f t="shared" si="0"/>
        <v>0</v>
      </c>
      <c r="E45" s="206" t="str">
        <f t="shared" si="1"/>
        <v>-</v>
      </c>
      <c r="F45" s="207">
        <f t="shared" si="3"/>
        <v>0</v>
      </c>
      <c r="G45" s="206" t="str">
        <f t="shared" si="5"/>
        <v>-</v>
      </c>
      <c r="H45" s="207">
        <f t="shared" si="4"/>
        <v>0</v>
      </c>
      <c r="I45" s="207">
        <f t="shared" si="7"/>
        <v>0</v>
      </c>
    </row>
    <row r="46" spans="1:9" ht="18.75" hidden="1" thickBot="1">
      <c r="A46" s="202">
        <f t="shared" si="2"/>
        <v>41</v>
      </c>
      <c r="B46" s="208">
        <v>0</v>
      </c>
      <c r="C46" s="204">
        <v>0</v>
      </c>
      <c r="D46" s="205">
        <f t="shared" si="0"/>
        <v>0</v>
      </c>
      <c r="E46" s="206" t="str">
        <f t="shared" si="1"/>
        <v>-</v>
      </c>
      <c r="F46" s="207">
        <f t="shared" si="3"/>
        <v>0</v>
      </c>
      <c r="G46" s="206" t="str">
        <f t="shared" si="5"/>
        <v>-</v>
      </c>
      <c r="H46" s="207">
        <f t="shared" si="4"/>
        <v>0</v>
      </c>
      <c r="I46" s="207">
        <f t="shared" si="7"/>
        <v>0</v>
      </c>
    </row>
    <row r="47" spans="1:9" ht="18.75" hidden="1" thickBot="1">
      <c r="A47" s="202">
        <f t="shared" si="2"/>
        <v>42</v>
      </c>
      <c r="B47" s="208">
        <v>0</v>
      </c>
      <c r="C47" s="204">
        <v>0</v>
      </c>
      <c r="D47" s="205">
        <f t="shared" si="0"/>
        <v>0</v>
      </c>
      <c r="E47" s="206" t="str">
        <f t="shared" si="1"/>
        <v>-</v>
      </c>
      <c r="F47" s="207">
        <f t="shared" si="3"/>
        <v>0</v>
      </c>
      <c r="G47" s="206" t="str">
        <f t="shared" si="5"/>
        <v>-</v>
      </c>
      <c r="H47" s="207">
        <f t="shared" si="4"/>
        <v>0</v>
      </c>
      <c r="I47" s="207">
        <f t="shared" si="7"/>
        <v>0</v>
      </c>
    </row>
    <row r="48" spans="1:9" ht="18.75" hidden="1" thickBot="1">
      <c r="A48" s="202">
        <f t="shared" si="2"/>
        <v>43</v>
      </c>
      <c r="B48" s="208">
        <v>0</v>
      </c>
      <c r="C48" s="204">
        <v>0</v>
      </c>
      <c r="D48" s="205">
        <f t="shared" si="0"/>
        <v>0</v>
      </c>
      <c r="E48" s="206" t="str">
        <f t="shared" si="1"/>
        <v>-</v>
      </c>
      <c r="F48" s="207">
        <f t="shared" si="3"/>
        <v>0</v>
      </c>
      <c r="G48" s="206" t="str">
        <f t="shared" si="5"/>
        <v>-</v>
      </c>
      <c r="H48" s="207">
        <f t="shared" si="4"/>
        <v>0</v>
      </c>
      <c r="I48" s="207">
        <f t="shared" si="7"/>
        <v>0</v>
      </c>
    </row>
    <row r="49" spans="1:9" ht="18.75" hidden="1" thickBot="1">
      <c r="A49" s="202">
        <f t="shared" si="2"/>
        <v>44</v>
      </c>
      <c r="B49" s="208">
        <v>0</v>
      </c>
      <c r="C49" s="204">
        <v>0</v>
      </c>
      <c r="D49" s="205">
        <f t="shared" si="0"/>
        <v>0</v>
      </c>
      <c r="E49" s="206" t="str">
        <f t="shared" si="1"/>
        <v>-</v>
      </c>
      <c r="F49" s="207">
        <f t="shared" si="3"/>
        <v>0</v>
      </c>
      <c r="G49" s="206" t="str">
        <f t="shared" si="5"/>
        <v>-</v>
      </c>
      <c r="H49" s="207">
        <f t="shared" si="4"/>
        <v>0</v>
      </c>
      <c r="I49" s="207">
        <f t="shared" si="7"/>
        <v>0</v>
      </c>
    </row>
    <row r="50" spans="1:9" ht="18.75" hidden="1" thickBot="1">
      <c r="A50" s="202">
        <f t="shared" si="2"/>
        <v>45</v>
      </c>
      <c r="B50" s="208">
        <v>0</v>
      </c>
      <c r="C50" s="204">
        <v>0</v>
      </c>
      <c r="D50" s="205">
        <f t="shared" si="0"/>
        <v>0</v>
      </c>
      <c r="E50" s="206" t="str">
        <f t="shared" si="1"/>
        <v>-</v>
      </c>
      <c r="F50" s="207">
        <f t="shared" si="3"/>
        <v>0</v>
      </c>
      <c r="G50" s="206" t="str">
        <f t="shared" si="5"/>
        <v>-</v>
      </c>
      <c r="H50" s="207">
        <f t="shared" si="4"/>
        <v>0</v>
      </c>
      <c r="I50" s="207">
        <f t="shared" si="7"/>
        <v>0</v>
      </c>
    </row>
    <row r="51" spans="1:9" ht="18.75" hidden="1" thickBot="1">
      <c r="A51" s="202">
        <f t="shared" si="2"/>
        <v>46</v>
      </c>
      <c r="B51" s="208">
        <v>0</v>
      </c>
      <c r="C51" s="204">
        <v>0</v>
      </c>
      <c r="D51" s="205">
        <f t="shared" si="0"/>
        <v>0</v>
      </c>
      <c r="E51" s="206" t="str">
        <f t="shared" si="1"/>
        <v>-</v>
      </c>
      <c r="F51" s="207">
        <f t="shared" si="3"/>
        <v>0</v>
      </c>
      <c r="G51" s="206" t="str">
        <f t="shared" si="5"/>
        <v>-</v>
      </c>
      <c r="H51" s="207">
        <f t="shared" si="4"/>
        <v>0</v>
      </c>
      <c r="I51" s="207">
        <f t="shared" si="7"/>
        <v>0</v>
      </c>
    </row>
    <row r="52" spans="1:9" ht="18.75" hidden="1" thickBot="1">
      <c r="A52" s="202">
        <f t="shared" si="2"/>
        <v>47</v>
      </c>
      <c r="B52" s="208">
        <v>0</v>
      </c>
      <c r="C52" s="204">
        <v>0</v>
      </c>
      <c r="D52" s="205">
        <f t="shared" si="0"/>
        <v>0</v>
      </c>
      <c r="E52" s="206" t="str">
        <f t="shared" si="1"/>
        <v>-</v>
      </c>
      <c r="F52" s="207">
        <f t="shared" si="3"/>
        <v>0</v>
      </c>
      <c r="G52" s="206" t="str">
        <f t="shared" si="5"/>
        <v>-</v>
      </c>
      <c r="H52" s="207">
        <f t="shared" si="4"/>
        <v>0</v>
      </c>
      <c r="I52" s="207">
        <f t="shared" si="7"/>
        <v>0</v>
      </c>
    </row>
    <row r="53" spans="1:9" ht="18.75" hidden="1" thickBot="1">
      <c r="A53" s="202">
        <f t="shared" si="2"/>
        <v>48</v>
      </c>
      <c r="B53" s="208">
        <v>0</v>
      </c>
      <c r="C53" s="204">
        <v>0</v>
      </c>
      <c r="D53" s="205">
        <f t="shared" si="0"/>
        <v>0</v>
      </c>
      <c r="E53" s="206" t="str">
        <f t="shared" si="1"/>
        <v>-</v>
      </c>
      <c r="F53" s="207">
        <f t="shared" si="3"/>
        <v>0</v>
      </c>
      <c r="G53" s="206" t="str">
        <f t="shared" si="5"/>
        <v>-</v>
      </c>
      <c r="H53" s="207">
        <f t="shared" si="4"/>
        <v>0</v>
      </c>
      <c r="I53" s="207">
        <f t="shared" si="7"/>
        <v>0</v>
      </c>
    </row>
    <row r="54" spans="1:9" ht="18.75" hidden="1" thickBot="1">
      <c r="A54" s="202">
        <f t="shared" si="2"/>
        <v>49</v>
      </c>
      <c r="B54" s="208">
        <v>0</v>
      </c>
      <c r="C54" s="204">
        <v>0</v>
      </c>
      <c r="D54" s="205">
        <f t="shared" si="0"/>
        <v>0</v>
      </c>
      <c r="E54" s="206" t="str">
        <f t="shared" si="1"/>
        <v>-</v>
      </c>
      <c r="F54" s="207">
        <f t="shared" si="3"/>
        <v>0</v>
      </c>
      <c r="G54" s="206" t="str">
        <f t="shared" si="5"/>
        <v>-</v>
      </c>
      <c r="H54" s="207">
        <f t="shared" si="4"/>
        <v>0</v>
      </c>
      <c r="I54" s="207">
        <f t="shared" si="7"/>
        <v>0</v>
      </c>
    </row>
    <row r="55" spans="1:9" ht="18.75" hidden="1" thickBot="1">
      <c r="A55" s="210">
        <f t="shared" si="2"/>
        <v>50</v>
      </c>
      <c r="B55" s="211">
        <v>0</v>
      </c>
      <c r="C55" s="212">
        <v>0</v>
      </c>
      <c r="D55" s="213">
        <f t="shared" si="0"/>
        <v>0</v>
      </c>
      <c r="E55" s="214" t="str">
        <f t="shared" si="1"/>
        <v>-</v>
      </c>
      <c r="F55" s="215">
        <f t="shared" si="3"/>
        <v>0</v>
      </c>
      <c r="G55" s="214" t="str">
        <f t="shared" si="5"/>
        <v>-</v>
      </c>
      <c r="H55" s="215">
        <f t="shared" si="4"/>
        <v>0</v>
      </c>
      <c r="I55" s="215">
        <f t="shared" si="7"/>
        <v>0</v>
      </c>
    </row>
    <row r="56" spans="1:9" ht="18.75" thickBot="1">
      <c r="A56" s="216" t="s">
        <v>123</v>
      </c>
      <c r="B56" s="217"/>
      <c r="C56" s="217"/>
      <c r="D56" s="217"/>
      <c r="E56" s="217"/>
      <c r="F56" s="218">
        <f>SUM(F5:F55)</f>
        <v>-50128.935877833836</v>
      </c>
      <c r="G56" s="219"/>
      <c r="H56" s="220">
        <f>SUM(H5:H55)</f>
        <v>-3.5783159546554089E-8</v>
      </c>
      <c r="I56" s="221"/>
    </row>
    <row r="57" spans="1:9" ht="18.75" hidden="1" thickBot="1">
      <c r="A57" s="222" t="s">
        <v>20</v>
      </c>
      <c r="B57" s="223"/>
      <c r="C57" s="223"/>
      <c r="D57" s="223"/>
      <c r="E57" s="223"/>
      <c r="F57" s="224">
        <f>I6</f>
        <v>-10843.660125662895</v>
      </c>
      <c r="G57" s="225"/>
      <c r="H57" s="225"/>
      <c r="I57" s="221"/>
    </row>
    <row r="58" spans="1:9" ht="18.75" hidden="1" thickBot="1">
      <c r="A58" s="216" t="s">
        <v>21</v>
      </c>
      <c r="B58" s="217"/>
      <c r="C58" s="217"/>
      <c r="D58" s="217"/>
      <c r="E58" s="217"/>
      <c r="F58" s="226">
        <f>IRR(D5:D55)</f>
        <v>3.8408616856107747E-2</v>
      </c>
      <c r="G58" s="227"/>
      <c r="H58" s="227"/>
      <c r="I58" s="221"/>
    </row>
    <row r="59" spans="1:9" ht="18.75" hidden="1" thickBot="1">
      <c r="A59" s="228" t="s">
        <v>22</v>
      </c>
      <c r="B59" s="229"/>
      <c r="C59" s="229"/>
      <c r="D59" s="229"/>
      <c r="E59" s="229"/>
      <c r="F59" s="230">
        <f>NPER(B3,F61,F5,0)</f>
        <v>7.0859245064269034</v>
      </c>
      <c r="G59" s="231"/>
      <c r="H59" s="231"/>
      <c r="I59" s="221"/>
    </row>
    <row r="60" spans="1:9" hidden="1">
      <c r="A60" s="130" t="s">
        <v>23</v>
      </c>
      <c r="F60" s="232">
        <f>SUM(F6:F55)</f>
        <v>366931.06412216625</v>
      </c>
      <c r="G60" s="232"/>
      <c r="H60" s="232"/>
    </row>
    <row r="61" spans="1:9" hidden="1">
      <c r="A61" s="130" t="s">
        <v>24</v>
      </c>
      <c r="F61" s="233">
        <f>PMT(B3,B2,F60,0)*-1</f>
        <v>79372.834855007968</v>
      </c>
      <c r="G61" s="233"/>
      <c r="H61" s="233"/>
    </row>
    <row r="63" spans="1:9" ht="18" hidden="1">
      <c r="A63" s="221"/>
    </row>
    <row r="64" spans="1:9" ht="78.599999999999994" hidden="1" customHeight="1">
      <c r="A64" s="419"/>
      <c r="B64" s="419"/>
      <c r="C64" s="419"/>
      <c r="D64" s="419"/>
      <c r="E64" s="419"/>
      <c r="F64" s="419"/>
    </row>
    <row r="65" spans="1:2" hidden="1">
      <c r="A65" s="56"/>
      <c r="B65" s="56"/>
    </row>
    <row r="66" spans="1:2">
      <c r="A66" s="56"/>
      <c r="B66" s="56"/>
    </row>
  </sheetData>
  <mergeCells count="2">
    <mergeCell ref="A1:C1"/>
    <mergeCell ref="A64:F64"/>
  </mergeCells>
  <pageMargins left="0.78740157480314965" right="0.39370078740157483" top="0.98425196850393704" bottom="0.98425196850393704" header="0" footer="0"/>
  <pageSetup paperSize="9" scale="86"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E25"/>
  <sheetViews>
    <sheetView topLeftCell="A4" zoomScaleNormal="100" workbookViewId="0">
      <selection activeCell="B28" sqref="B28"/>
    </sheetView>
  </sheetViews>
  <sheetFormatPr defaultRowHeight="12.75"/>
  <cols>
    <col min="1" max="1" width="34.28515625" style="54" bestFit="1" customWidth="1"/>
    <col min="2" max="2" width="30.28515625" style="54" customWidth="1"/>
    <col min="3" max="3" width="34.5703125" style="54" customWidth="1"/>
    <col min="4" max="4" width="30.7109375" style="54" customWidth="1"/>
    <col min="5" max="5" width="28.28515625" style="54" hidden="1" customWidth="1"/>
    <col min="6" max="16384" width="9.140625" style="54"/>
  </cols>
  <sheetData>
    <row r="1" spans="1:5" ht="25.5">
      <c r="A1" s="420" t="s">
        <v>95</v>
      </c>
      <c r="B1" s="420"/>
      <c r="C1" s="420"/>
      <c r="D1" s="420"/>
      <c r="E1" s="420"/>
    </row>
    <row r="2" spans="1:5" ht="23.25">
      <c r="A2" s="181" t="s">
        <v>96</v>
      </c>
      <c r="B2" s="110" t="s">
        <v>97</v>
      </c>
      <c r="C2" s="110" t="s">
        <v>98</v>
      </c>
      <c r="D2" s="110" t="s">
        <v>99</v>
      </c>
      <c r="E2" s="110" t="s">
        <v>100</v>
      </c>
    </row>
    <row r="3" spans="1:5" ht="18">
      <c r="A3" s="110" t="s">
        <v>101</v>
      </c>
      <c r="B3" s="182">
        <f>'3.1 Effektiv rente annuitetslån'!D16</f>
        <v>4.3314509399579704E-2</v>
      </c>
      <c r="C3" s="182">
        <f>'3.1 Effektiv rente serielån'!D15</f>
        <v>3.8408616856107747E-2</v>
      </c>
      <c r="D3" s="182">
        <f>'3.1 Effektiv rente stående lån'!D15</f>
        <v>3.2892417736322566E-2</v>
      </c>
      <c r="E3" s="182">
        <f>'[1]Effektiv rente kassekredit'!E17</f>
        <v>0.11927763431903338</v>
      </c>
    </row>
    <row r="4" spans="1:5" ht="18">
      <c r="A4" s="110" t="s">
        <v>102</v>
      </c>
      <c r="B4" s="183">
        <f>'3.1 Effektiv rente annuitetslån'!D5</f>
        <v>417000</v>
      </c>
      <c r="C4" s="183">
        <f>'3.1 Effektiv rente serielån'!D6</f>
        <v>417060</v>
      </c>
      <c r="D4" s="183">
        <f>'3.1 Effektiv rente stående lån'!D6</f>
        <v>417057.5</v>
      </c>
      <c r="E4" s="183">
        <f>'[1]Effektiv rente kassekredit'!B2*(1-'[1]Effektiv rente kassekredit'!B4)</f>
        <v>300000.00000000006</v>
      </c>
    </row>
    <row r="5" spans="1:5" ht="18">
      <c r="A5" s="110" t="s">
        <v>103</v>
      </c>
      <c r="B5" s="183">
        <f>'3.1 Effektiv rente annuitetslån'!C21*'3.1 Effektiv rente annuitetslån'!D8</f>
        <v>80408.14671542267</v>
      </c>
      <c r="C5" s="183">
        <f>'3.1 Effektiv rente serielån'!C21*'3.1 Effektiv rente serielån'!D9</f>
        <v>83880</v>
      </c>
      <c r="D5" s="183">
        <f>'3.1 Effektiv rente stående lån'!C20*'3.1 Effektiv rente stående lån'!D9</f>
        <v>10887.5</v>
      </c>
      <c r="E5" s="184" t="s">
        <v>104</v>
      </c>
    </row>
    <row r="6" spans="1:5" ht="18">
      <c r="A6" s="110" t="s">
        <v>105</v>
      </c>
      <c r="B6" s="185" t="str">
        <f>CONCATENATE('3.1 Effektiv rente annuitetslån'!D7," år")</f>
        <v>6 år</v>
      </c>
      <c r="C6" s="185" t="str">
        <f>CONCATENATE('3.1 Effektiv rente serielån'!D8," år")</f>
        <v>6 år</v>
      </c>
      <c r="D6" s="185" t="str">
        <f>CONCATENATE('3.1 Effektiv rente stående lån'!D8," år")</f>
        <v>6 år</v>
      </c>
      <c r="E6" s="186" t="s">
        <v>104</v>
      </c>
    </row>
    <row r="7" spans="1:5" ht="18">
      <c r="A7" s="110" t="s">
        <v>106</v>
      </c>
      <c r="B7" s="187"/>
      <c r="C7" s="187"/>
      <c r="D7" s="187"/>
      <c r="E7" s="186" t="s">
        <v>107</v>
      </c>
    </row>
    <row r="8" spans="1:5" ht="18">
      <c r="A8" s="110" t="s">
        <v>108</v>
      </c>
      <c r="B8" s="187"/>
      <c r="C8" s="187"/>
      <c r="D8" s="187"/>
      <c r="E8" s="186" t="s">
        <v>109</v>
      </c>
    </row>
    <row r="9" spans="1:5" ht="18">
      <c r="A9" s="110" t="s">
        <v>110</v>
      </c>
      <c r="B9" s="187"/>
      <c r="C9" s="187"/>
      <c r="D9" s="187"/>
      <c r="E9" s="186" t="s">
        <v>111</v>
      </c>
    </row>
    <row r="10" spans="1:5" ht="18">
      <c r="A10" s="110" t="s">
        <v>112</v>
      </c>
      <c r="B10" s="187"/>
      <c r="C10" s="187"/>
      <c r="D10" s="187"/>
      <c r="E10" s="186" t="s">
        <v>113</v>
      </c>
    </row>
    <row r="11" spans="1:5" ht="18">
      <c r="A11" s="110" t="s">
        <v>114</v>
      </c>
      <c r="B11" s="187"/>
      <c r="C11" s="187"/>
      <c r="D11" s="187"/>
      <c r="E11" s="110"/>
    </row>
    <row r="12" spans="1:5" ht="18">
      <c r="A12" s="110" t="s">
        <v>115</v>
      </c>
      <c r="B12" s="110"/>
      <c r="C12" s="110"/>
      <c r="D12" s="110"/>
      <c r="E12" s="110"/>
    </row>
    <row r="13" spans="1:5">
      <c r="A13" s="421" t="s">
        <v>116</v>
      </c>
      <c r="B13" s="422"/>
      <c r="C13" s="422"/>
      <c r="D13" s="422"/>
      <c r="E13" s="422"/>
    </row>
    <row r="14" spans="1:5">
      <c r="A14" s="422"/>
      <c r="B14" s="422"/>
      <c r="C14" s="422"/>
      <c r="D14" s="422"/>
      <c r="E14" s="422"/>
    </row>
    <row r="15" spans="1:5">
      <c r="A15" s="422"/>
      <c r="B15" s="422"/>
      <c r="C15" s="422"/>
      <c r="D15" s="422"/>
      <c r="E15" s="422"/>
    </row>
    <row r="16" spans="1:5">
      <c r="A16" s="422"/>
      <c r="B16" s="422"/>
      <c r="C16" s="422"/>
      <c r="D16" s="422"/>
      <c r="E16" s="422"/>
    </row>
    <row r="17" spans="1:5">
      <c r="A17" s="422"/>
      <c r="B17" s="422"/>
      <c r="C17" s="422"/>
      <c r="D17" s="422"/>
      <c r="E17" s="422"/>
    </row>
    <row r="18" spans="1:5">
      <c r="A18" s="422"/>
      <c r="B18" s="422"/>
      <c r="C18" s="422"/>
      <c r="D18" s="422"/>
      <c r="E18" s="422"/>
    </row>
    <row r="19" spans="1:5" ht="18">
      <c r="A19" s="188" t="s">
        <v>117</v>
      </c>
    </row>
    <row r="20" spans="1:5">
      <c r="A20" s="421" t="s">
        <v>118</v>
      </c>
      <c r="B20" s="422"/>
      <c r="C20" s="422"/>
      <c r="D20" s="422"/>
      <c r="E20" s="422"/>
    </row>
    <row r="21" spans="1:5">
      <c r="A21" s="422"/>
      <c r="B21" s="422"/>
      <c r="C21" s="422"/>
      <c r="D21" s="422"/>
      <c r="E21" s="422"/>
    </row>
    <row r="22" spans="1:5">
      <c r="A22" s="422"/>
      <c r="B22" s="422"/>
      <c r="C22" s="422"/>
      <c r="D22" s="422"/>
      <c r="E22" s="422"/>
    </row>
    <row r="23" spans="1:5">
      <c r="A23" s="422"/>
      <c r="B23" s="422"/>
      <c r="C23" s="422"/>
      <c r="D23" s="422"/>
      <c r="E23" s="422"/>
    </row>
    <row r="24" spans="1:5">
      <c r="A24" s="422"/>
      <c r="B24" s="422"/>
      <c r="C24" s="422"/>
      <c r="D24" s="422"/>
      <c r="E24" s="422"/>
    </row>
    <row r="25" spans="1:5">
      <c r="A25" s="422"/>
      <c r="B25" s="422"/>
      <c r="C25" s="422"/>
      <c r="D25" s="422"/>
      <c r="E25" s="422"/>
    </row>
  </sheetData>
  <mergeCells count="3">
    <mergeCell ref="A1:E1"/>
    <mergeCell ref="A13:E18"/>
    <mergeCell ref="A20:E25"/>
  </mergeCells>
  <pageMargins left="0.75" right="0.75" top="1" bottom="1" header="0.5" footer="0.5"/>
  <headerFooter alignWithMargins="0"/>
  <legacyDrawing r:id="rId1"/>
</worksheet>
</file>

<file path=xl/worksheets/sheet16.xml><?xml version="1.0" encoding="utf-8"?>
<worksheet xmlns="http://schemas.openxmlformats.org/spreadsheetml/2006/main" xmlns:r="http://schemas.openxmlformats.org/officeDocument/2006/relationships">
  <dimension ref="A1:E50"/>
  <sheetViews>
    <sheetView zoomScale="130" zoomScaleNormal="130" workbookViewId="0">
      <selection activeCell="A58" sqref="A58"/>
    </sheetView>
  </sheetViews>
  <sheetFormatPr defaultRowHeight="12.75"/>
  <cols>
    <col min="1" max="1" width="25" style="54" customWidth="1"/>
    <col min="2" max="2" width="15.7109375" style="54" customWidth="1"/>
    <col min="3" max="3" width="8.140625" style="54" customWidth="1"/>
    <col min="4" max="4" width="9.28515625" style="54" customWidth="1"/>
    <col min="5" max="5" width="16.28515625" style="54" customWidth="1"/>
    <col min="6" max="16384" width="9.140625" style="54"/>
  </cols>
  <sheetData>
    <row r="1" spans="1:5">
      <c r="A1" s="54" t="s">
        <v>126</v>
      </c>
    </row>
    <row r="2" spans="1:5" ht="24" thickBot="1">
      <c r="A2" s="423" t="str">
        <f>CONCATENATE("Resultatbudget for"," ",B3+1)</f>
        <v>Resultatbudget for 2012</v>
      </c>
      <c r="B2" s="423"/>
      <c r="C2" s="423"/>
      <c r="D2" s="423"/>
      <c r="E2" s="424"/>
    </row>
    <row r="3" spans="1:5" ht="25.5">
      <c r="A3" s="235"/>
      <c r="B3" s="236">
        <v>2011</v>
      </c>
      <c r="C3" s="237" t="s">
        <v>127</v>
      </c>
      <c r="D3" s="238" t="s">
        <v>128</v>
      </c>
      <c r="E3" s="239" t="str">
        <f>CONCATENATE("Budget",  B3+1)</f>
        <v>Budget2012</v>
      </c>
    </row>
    <row r="4" spans="1:5">
      <c r="A4" s="130" t="s">
        <v>129</v>
      </c>
      <c r="B4" s="240">
        <v>35000</v>
      </c>
      <c r="C4" s="241">
        <v>1.03</v>
      </c>
      <c r="D4" s="241">
        <v>0.94</v>
      </c>
      <c r="E4" s="242">
        <f>B4*C4*D4</f>
        <v>33887</v>
      </c>
    </row>
    <row r="5" spans="1:5">
      <c r="A5" s="130" t="s">
        <v>130</v>
      </c>
      <c r="B5" s="240">
        <v>21000</v>
      </c>
      <c r="C5" s="241">
        <v>1</v>
      </c>
      <c r="D5" s="241">
        <f>D4</f>
        <v>0.94</v>
      </c>
      <c r="E5" s="242">
        <f>B5*C5*D5</f>
        <v>19740</v>
      </c>
    </row>
    <row r="6" spans="1:5" hidden="1">
      <c r="A6" s="130" t="str">
        <f>IF(A5="Råvarer","Arbejdsløn","-")</f>
        <v>-</v>
      </c>
      <c r="B6" s="240">
        <v>0</v>
      </c>
      <c r="C6" s="241">
        <v>0</v>
      </c>
      <c r="D6" s="241">
        <f>IF(A6="arbejdsløn",D5,0)</f>
        <v>0</v>
      </c>
      <c r="E6" s="242">
        <f>B6*C6*D6</f>
        <v>0</v>
      </c>
    </row>
    <row r="7" spans="1:5" hidden="1">
      <c r="A7" s="243" t="s">
        <v>131</v>
      </c>
      <c r="B7" s="244">
        <f>B4-B5-B6</f>
        <v>14000</v>
      </c>
      <c r="C7" s="245"/>
      <c r="D7" s="245"/>
      <c r="E7" s="246">
        <f>E4-E6-E5</f>
        <v>14147</v>
      </c>
    </row>
    <row r="8" spans="1:5" hidden="1">
      <c r="A8" s="130" t="s">
        <v>132</v>
      </c>
      <c r="B8" s="240">
        <v>0</v>
      </c>
      <c r="C8" s="241">
        <v>1</v>
      </c>
      <c r="D8" s="241"/>
      <c r="E8" s="242">
        <f>B8*C8</f>
        <v>0</v>
      </c>
    </row>
    <row r="9" spans="1:5">
      <c r="A9" s="243" t="s">
        <v>133</v>
      </c>
      <c r="B9" s="244">
        <f>B7-B8</f>
        <v>14000</v>
      </c>
      <c r="C9" s="245"/>
      <c r="D9" s="245"/>
      <c r="E9" s="246">
        <f>E7-E8</f>
        <v>14147</v>
      </c>
    </row>
    <row r="10" spans="1:5">
      <c r="A10" s="130" t="s">
        <v>134</v>
      </c>
      <c r="B10" s="240">
        <v>1300</v>
      </c>
      <c r="C10" s="241">
        <v>-200</v>
      </c>
      <c r="D10" s="241"/>
      <c r="E10" s="242">
        <f>B10+C10</f>
        <v>1100</v>
      </c>
    </row>
    <row r="11" spans="1:5">
      <c r="A11" s="243" t="s">
        <v>4</v>
      </c>
      <c r="B11" s="244">
        <f>B9-B10</f>
        <v>12700</v>
      </c>
      <c r="C11" s="245"/>
      <c r="D11" s="245"/>
      <c r="E11" s="246">
        <f>E9-E10</f>
        <v>13047</v>
      </c>
    </row>
    <row r="12" spans="1:5">
      <c r="A12" s="130" t="s">
        <v>135</v>
      </c>
      <c r="B12" s="240">
        <v>5000</v>
      </c>
      <c r="C12" s="241">
        <v>1.06</v>
      </c>
      <c r="D12" s="241"/>
      <c r="E12" s="242">
        <f>B12*C12</f>
        <v>5300</v>
      </c>
    </row>
    <row r="13" spans="1:5" hidden="1">
      <c r="A13" s="130" t="s">
        <v>136</v>
      </c>
      <c r="B13" s="240">
        <v>0</v>
      </c>
      <c r="C13" s="241">
        <v>1</v>
      </c>
      <c r="D13" s="241"/>
      <c r="E13" s="242">
        <f>B13*C13</f>
        <v>0</v>
      </c>
    </row>
    <row r="14" spans="1:5" hidden="1">
      <c r="A14" s="130" t="s">
        <v>137</v>
      </c>
      <c r="B14" s="240">
        <v>0</v>
      </c>
      <c r="C14" s="241">
        <v>1</v>
      </c>
      <c r="D14" s="241"/>
      <c r="E14" s="242">
        <f>B14*C14</f>
        <v>0</v>
      </c>
    </row>
    <row r="15" spans="1:5" hidden="1">
      <c r="A15" s="130"/>
      <c r="B15" s="240">
        <v>0</v>
      </c>
      <c r="C15" s="241"/>
      <c r="D15" s="241"/>
      <c r="E15" s="242"/>
    </row>
    <row r="16" spans="1:5" hidden="1">
      <c r="A16" s="130" t="s">
        <v>138</v>
      </c>
      <c r="B16" s="240">
        <v>0</v>
      </c>
      <c r="C16" s="241">
        <v>1</v>
      </c>
      <c r="D16" s="241"/>
      <c r="E16" s="242">
        <f>B16*C16</f>
        <v>0</v>
      </c>
    </row>
    <row r="17" spans="1:5">
      <c r="A17" s="243" t="s">
        <v>139</v>
      </c>
      <c r="B17" s="244">
        <f>B11-SUM(B12:B16)</f>
        <v>7700</v>
      </c>
      <c r="C17" s="244"/>
      <c r="D17" s="244"/>
      <c r="E17" s="244">
        <f>E11-SUM(E12:E16)</f>
        <v>7747</v>
      </c>
    </row>
    <row r="18" spans="1:5">
      <c r="A18" s="130" t="s">
        <v>140</v>
      </c>
      <c r="B18" s="240">
        <v>600</v>
      </c>
      <c r="C18" s="241">
        <f>16/18</f>
        <v>0.88888888888888884</v>
      </c>
      <c r="D18" s="241"/>
      <c r="E18" s="242">
        <v>660</v>
      </c>
    </row>
    <row r="19" spans="1:5">
      <c r="A19" s="243" t="s">
        <v>141</v>
      </c>
      <c r="B19" s="247">
        <f>B17-B18</f>
        <v>7100</v>
      </c>
      <c r="C19" s="248"/>
      <c r="D19" s="248"/>
      <c r="E19" s="249">
        <f>E17-E18</f>
        <v>7087</v>
      </c>
    </row>
    <row r="20" spans="1:5">
      <c r="A20" s="130" t="s">
        <v>142</v>
      </c>
      <c r="B20" s="240">
        <v>520</v>
      </c>
      <c r="C20" s="241">
        <v>3</v>
      </c>
      <c r="D20" s="241"/>
      <c r="E20" s="242">
        <f>B20+C20</f>
        <v>523</v>
      </c>
    </row>
    <row r="21" spans="1:5" hidden="1">
      <c r="A21" s="130" t="s">
        <v>143</v>
      </c>
      <c r="B21" s="240">
        <v>0</v>
      </c>
      <c r="C21" s="241">
        <v>1</v>
      </c>
      <c r="D21" s="241"/>
      <c r="E21" s="242">
        <f>B21*C21</f>
        <v>0</v>
      </c>
    </row>
    <row r="22" spans="1:5" hidden="1">
      <c r="A22" s="243" t="s">
        <v>144</v>
      </c>
      <c r="B22" s="247">
        <f>B19-B20+B21</f>
        <v>6580</v>
      </c>
      <c r="C22" s="248"/>
      <c r="D22" s="248"/>
      <c r="E22" s="249">
        <f>E19-E20+E21</f>
        <v>6564</v>
      </c>
    </row>
    <row r="23" spans="1:5" hidden="1">
      <c r="A23" s="130" t="s">
        <v>145</v>
      </c>
      <c r="B23" s="240">
        <v>0</v>
      </c>
      <c r="C23" s="241">
        <v>0</v>
      </c>
      <c r="D23" s="241"/>
      <c r="E23" s="242">
        <f>B23*C23</f>
        <v>0</v>
      </c>
    </row>
    <row r="24" spans="1:5">
      <c r="A24" s="243" t="s">
        <v>146</v>
      </c>
      <c r="B24" s="247">
        <f>B22-B23</f>
        <v>6580</v>
      </c>
      <c r="C24" s="248"/>
      <c r="D24" s="248"/>
      <c r="E24" s="249">
        <f>E22-E23</f>
        <v>6564</v>
      </c>
    </row>
    <row r="25" spans="1:5">
      <c r="A25" s="130" t="s">
        <v>147</v>
      </c>
      <c r="B25" s="247">
        <v>1800</v>
      </c>
      <c r="C25" s="250"/>
      <c r="D25" s="251">
        <v>0.25</v>
      </c>
      <c r="E25" s="249">
        <f>E24*D25</f>
        <v>1641</v>
      </c>
    </row>
    <row r="26" spans="1:5" ht="13.5" thickBot="1">
      <c r="A26" s="252" t="s">
        <v>148</v>
      </c>
      <c r="B26" s="253">
        <f>B24-B25</f>
        <v>4780</v>
      </c>
      <c r="C26" s="254"/>
      <c r="D26" s="254"/>
      <c r="E26" s="255">
        <f>E24-E25</f>
        <v>4923</v>
      </c>
    </row>
    <row r="27" spans="1:5" ht="13.5" thickTop="1">
      <c r="A27" s="72"/>
      <c r="B27" s="72"/>
      <c r="C27" s="72"/>
      <c r="D27" s="72"/>
      <c r="E27" s="72"/>
    </row>
    <row r="28" spans="1:5">
      <c r="A28" s="256" t="s">
        <v>149</v>
      </c>
      <c r="B28" s="72"/>
      <c r="C28" s="72"/>
      <c r="D28" s="72"/>
      <c r="E28" s="72"/>
    </row>
    <row r="29" spans="1:5">
      <c r="A29" s="72" t="s">
        <v>150</v>
      </c>
      <c r="B29" s="72">
        <v>400</v>
      </c>
      <c r="C29" s="72"/>
      <c r="D29" s="72"/>
      <c r="E29" s="72">
        <v>500</v>
      </c>
    </row>
    <row r="30" spans="1:5">
      <c r="A30" s="256" t="s">
        <v>151</v>
      </c>
      <c r="B30" s="72">
        <v>4380</v>
      </c>
      <c r="C30" s="72"/>
      <c r="D30" s="72"/>
      <c r="E30" s="72">
        <v>4423</v>
      </c>
    </row>
    <row r="31" spans="1:5">
      <c r="A31" s="72"/>
      <c r="B31" s="257">
        <f>SUM(B29:B30)</f>
        <v>4780</v>
      </c>
      <c r="C31" s="72"/>
      <c r="D31" s="72"/>
      <c r="E31" s="258">
        <f>SUM(E29:E30)</f>
        <v>4923</v>
      </c>
    </row>
    <row r="32" spans="1:5">
      <c r="A32" s="175"/>
      <c r="E32" s="73"/>
    </row>
    <row r="33" spans="1:5" hidden="1">
      <c r="A33" s="175"/>
      <c r="E33" s="73"/>
    </row>
    <row r="34" spans="1:5" hidden="1">
      <c r="B34" s="54">
        <f>B3</f>
        <v>2011</v>
      </c>
      <c r="C34" s="425" t="s">
        <v>152</v>
      </c>
      <c r="D34" s="425"/>
      <c r="E34" s="54">
        <f>B34+1</f>
        <v>2012</v>
      </c>
    </row>
    <row r="35" spans="1:5" hidden="1">
      <c r="A35" s="54" t="s">
        <v>153</v>
      </c>
      <c r="B35" s="259">
        <v>0</v>
      </c>
      <c r="C35" s="426">
        <v>0</v>
      </c>
      <c r="D35" s="426"/>
      <c r="E35" s="143">
        <f>B35+C35</f>
        <v>0</v>
      </c>
    </row>
    <row r="36" spans="1:5" hidden="1"/>
    <row r="37" spans="1:5" hidden="1">
      <c r="A37" s="260" t="s">
        <v>154</v>
      </c>
      <c r="B37" s="261" t="str">
        <f>IF(C37&gt;0,"incl. moms","excl. moms")</f>
        <v>excl. moms</v>
      </c>
      <c r="C37" s="427">
        <v>0</v>
      </c>
      <c r="D37" s="418"/>
    </row>
    <row r="38" spans="1:5" hidden="1"/>
    <row r="39" spans="1:5" hidden="1">
      <c r="A39" s="175" t="s">
        <v>155</v>
      </c>
      <c r="C39" s="428">
        <v>0</v>
      </c>
      <c r="D39" s="428"/>
    </row>
    <row r="40" spans="1:5" hidden="1"/>
    <row r="50" spans="4:4">
      <c r="D50" s="54" t="e">
        <f>B50/C50</f>
        <v>#DIV/0!</v>
      </c>
    </row>
  </sheetData>
  <mergeCells count="5">
    <mergeCell ref="A2:E2"/>
    <mergeCell ref="C34:D34"/>
    <mergeCell ref="C35:D35"/>
    <mergeCell ref="C37:D37"/>
    <mergeCell ref="C39:D39"/>
  </mergeCells>
  <pageMargins left="0.59055118110236227" right="0.39370078740157483" top="0.98425196850393704" bottom="0.98425196850393704" header="0" footer="0"/>
  <pageSetup paperSize="9" scale="118"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dimension ref="A1:I52"/>
  <sheetViews>
    <sheetView topLeftCell="A28" zoomScale="120" zoomScaleNormal="120" workbookViewId="0">
      <selection activeCell="A58" sqref="A58"/>
    </sheetView>
  </sheetViews>
  <sheetFormatPr defaultRowHeight="12.75"/>
  <cols>
    <col min="1" max="1" width="22.7109375" style="54" customWidth="1"/>
    <col min="2" max="2" width="11.28515625" style="54" customWidth="1"/>
    <col min="3" max="3" width="10.42578125" style="54" customWidth="1"/>
    <col min="4" max="4" width="9.85546875" style="54" customWidth="1"/>
    <col min="5" max="5" width="11.5703125" style="54" customWidth="1"/>
    <col min="6" max="6" width="21.7109375" style="54" customWidth="1"/>
    <col min="7" max="7" width="14.5703125" style="54" customWidth="1"/>
    <col min="8" max="8" width="9.140625" style="54"/>
    <col min="9" max="9" width="13.140625" style="54" customWidth="1"/>
    <col min="10" max="16384" width="9.140625" style="54"/>
  </cols>
  <sheetData>
    <row r="1" spans="1:9">
      <c r="A1" s="54" t="s">
        <v>156</v>
      </c>
    </row>
    <row r="2" spans="1:9" ht="23.25">
      <c r="A2" s="431" t="s">
        <v>157</v>
      </c>
      <c r="B2" s="418"/>
      <c r="C2" s="418"/>
      <c r="D2" s="418"/>
      <c r="E2" s="418"/>
      <c r="F2" s="418"/>
      <c r="G2" s="418"/>
      <c r="H2" s="418"/>
      <c r="I2" s="418"/>
    </row>
    <row r="3" spans="1:9" ht="13.5" thickBot="1">
      <c r="A3" s="54" t="s">
        <v>158</v>
      </c>
      <c r="B3" s="54" t="str">
        <f>CONCATENATE("31/12-",'4.1 Resultatbudget'!B3)</f>
        <v>31/12-2011</v>
      </c>
      <c r="E3" s="54" t="str">
        <f>CONCATENATE("31/12-",'4.1 Resultatbudget'!B3+1)</f>
        <v>31/12-2012</v>
      </c>
      <c r="F3" s="54" t="s">
        <v>159</v>
      </c>
      <c r="G3" s="54" t="str">
        <f>B3</f>
        <v>31/12-2011</v>
      </c>
      <c r="H3" s="54" t="s">
        <v>152</v>
      </c>
      <c r="I3" s="54" t="str">
        <f>E3</f>
        <v>31/12-2012</v>
      </c>
    </row>
    <row r="4" spans="1:9">
      <c r="A4" s="262" t="s">
        <v>160</v>
      </c>
      <c r="B4" s="263"/>
      <c r="C4" s="263" t="s">
        <v>161</v>
      </c>
      <c r="D4" s="264" t="s">
        <v>162</v>
      </c>
      <c r="E4" s="265"/>
      <c r="F4" s="266" t="s">
        <v>163</v>
      </c>
      <c r="G4" s="267"/>
      <c r="H4" s="267"/>
      <c r="I4" s="268"/>
    </row>
    <row r="5" spans="1:9">
      <c r="A5" s="70" t="s">
        <v>164</v>
      </c>
      <c r="B5" s="240">
        <v>0</v>
      </c>
      <c r="C5" s="240">
        <v>0</v>
      </c>
      <c r="D5" s="240">
        <v>0</v>
      </c>
      <c r="E5" s="269">
        <f>B5+C5-D5</f>
        <v>0</v>
      </c>
      <c r="F5" s="270" t="str">
        <f>IF('4.1 Resultatbudget'!B31&gt;0,"Aktiekapital","Primo")</f>
        <v>Aktiekapital</v>
      </c>
      <c r="G5" s="271">
        <v>2000</v>
      </c>
      <c r="H5" s="271">
        <f>'4.1 Resultatbudget'!C39</f>
        <v>0</v>
      </c>
      <c r="I5" s="272">
        <f>IF(F5="Aktiekapital",G5+H5,G8)</f>
        <v>2000</v>
      </c>
    </row>
    <row r="6" spans="1:9">
      <c r="A6" s="130" t="s">
        <v>165</v>
      </c>
      <c r="B6" s="240">
        <v>3200</v>
      </c>
      <c r="C6" s="240">
        <v>0</v>
      </c>
      <c r="D6" s="240"/>
      <c r="E6" s="269">
        <f>B6+C6</f>
        <v>3200</v>
      </c>
      <c r="F6" s="273" t="str">
        <f>IF('4.1 Resultatbudget'!B31&gt;0,'4.1 Resultatbudget'!A30,"åretsresultat")</f>
        <v>Reserver</v>
      </c>
      <c r="G6" s="269">
        <v>6380</v>
      </c>
      <c r="H6" s="269">
        <f>IF(F5="Aktiekapital",'4.1 Resultatbudget'!E30,0)</f>
        <v>4423</v>
      </c>
      <c r="I6" s="274">
        <f>IF(F5="aktiekapital",G6+H6,'4.1 Resultatbudget'!E26)</f>
        <v>10803</v>
      </c>
    </row>
    <row r="7" spans="1:9">
      <c r="A7" s="130" t="s">
        <v>166</v>
      </c>
      <c r="B7" s="240">
        <v>2400</v>
      </c>
      <c r="C7" s="240">
        <v>1100</v>
      </c>
      <c r="D7" s="240">
        <v>320</v>
      </c>
      <c r="E7" s="269">
        <f>B7+C7-D7</f>
        <v>3180</v>
      </c>
      <c r="F7" s="273" t="str">
        <f>IF(F5="Aktiekapital","-","Privatforbrug")</f>
        <v>-</v>
      </c>
      <c r="G7" s="269"/>
      <c r="H7" s="269"/>
      <c r="I7" s="274">
        <v>0</v>
      </c>
    </row>
    <row r="8" spans="1:9">
      <c r="A8" s="130" t="s">
        <v>167</v>
      </c>
      <c r="B8" s="240">
        <v>1032</v>
      </c>
      <c r="C8" s="240">
        <v>1400</v>
      </c>
      <c r="D8" s="240">
        <v>340</v>
      </c>
      <c r="E8" s="269">
        <f>B8+C8-D8</f>
        <v>2092</v>
      </c>
      <c r="F8" s="275" t="s">
        <v>168</v>
      </c>
      <c r="G8" s="276">
        <f>G5+G6-G7</f>
        <v>8380</v>
      </c>
      <c r="H8" s="276">
        <f>H5+H6-H7</f>
        <v>4423</v>
      </c>
      <c r="I8" s="277">
        <f>I5+I6-I7</f>
        <v>12803</v>
      </c>
    </row>
    <row r="9" spans="1:9" hidden="1">
      <c r="A9" s="130"/>
      <c r="B9" s="240">
        <v>0</v>
      </c>
      <c r="C9" s="240">
        <v>0</v>
      </c>
      <c r="D9" s="240"/>
      <c r="E9" s="269">
        <f t="shared" ref="E9:E13" si="0">B9+C9</f>
        <v>0</v>
      </c>
      <c r="F9" s="278" t="s">
        <v>169</v>
      </c>
      <c r="G9" s="269"/>
      <c r="H9" s="269"/>
      <c r="I9" s="274">
        <f>G9+H9</f>
        <v>0</v>
      </c>
    </row>
    <row r="10" spans="1:9" hidden="1">
      <c r="A10" s="130"/>
      <c r="B10" s="240">
        <v>0</v>
      </c>
      <c r="C10" s="240">
        <v>0</v>
      </c>
      <c r="D10" s="240"/>
      <c r="E10" s="269">
        <f t="shared" si="0"/>
        <v>0</v>
      </c>
      <c r="F10" s="79" t="s">
        <v>170</v>
      </c>
      <c r="G10" s="269"/>
      <c r="H10" s="269"/>
      <c r="I10" s="274">
        <f>G10+H10</f>
        <v>0</v>
      </c>
    </row>
    <row r="11" spans="1:9" hidden="1">
      <c r="A11" s="130"/>
      <c r="B11" s="240">
        <v>0</v>
      </c>
      <c r="C11" s="240">
        <v>0</v>
      </c>
      <c r="D11" s="240"/>
      <c r="E11" s="269">
        <f t="shared" si="0"/>
        <v>0</v>
      </c>
      <c r="F11" s="279" t="s">
        <v>171</v>
      </c>
      <c r="G11" s="269"/>
      <c r="H11" s="269">
        <v>0</v>
      </c>
      <c r="I11" s="274">
        <f>G11+H11</f>
        <v>0</v>
      </c>
    </row>
    <row r="12" spans="1:9">
      <c r="A12" s="130"/>
      <c r="B12" s="240">
        <v>0</v>
      </c>
      <c r="C12" s="240">
        <v>0</v>
      </c>
      <c r="D12" s="240"/>
      <c r="E12" s="269"/>
      <c r="F12" s="279" t="s">
        <v>172</v>
      </c>
      <c r="G12" s="269">
        <v>3552</v>
      </c>
      <c r="H12" s="269">
        <v>-500</v>
      </c>
      <c r="I12" s="274">
        <f>G12+H12</f>
        <v>3052</v>
      </c>
    </row>
    <row r="13" spans="1:9" hidden="1">
      <c r="A13" s="130"/>
      <c r="B13" s="240">
        <v>0</v>
      </c>
      <c r="C13" s="240">
        <v>0</v>
      </c>
      <c r="D13" s="240"/>
      <c r="E13" s="269">
        <f t="shared" si="0"/>
        <v>0</v>
      </c>
      <c r="F13" s="130" t="s">
        <v>173</v>
      </c>
      <c r="G13" s="269"/>
      <c r="H13" s="269"/>
      <c r="I13" s="274">
        <f>G13+H13</f>
        <v>0</v>
      </c>
    </row>
    <row r="14" spans="1:9">
      <c r="A14" s="243" t="s">
        <v>174</v>
      </c>
      <c r="B14" s="244">
        <f>SUM(B5:B13)</f>
        <v>6632</v>
      </c>
      <c r="C14" s="247">
        <f>SUM(C5:C13)</f>
        <v>2500</v>
      </c>
      <c r="D14" s="247">
        <f>SUM(D5:D13)</f>
        <v>660</v>
      </c>
      <c r="E14" s="276">
        <f>B14+C14-D14</f>
        <v>8472</v>
      </c>
      <c r="F14" s="243" t="s">
        <v>175</v>
      </c>
      <c r="G14" s="276">
        <f>SUM(G9:G13)</f>
        <v>3552</v>
      </c>
      <c r="H14" s="276">
        <f>SUM(H9:H13)</f>
        <v>-500</v>
      </c>
      <c r="I14" s="277">
        <f>SUM(I9:I13)</f>
        <v>3052</v>
      </c>
    </row>
    <row r="15" spans="1:9">
      <c r="A15" s="280" t="s">
        <v>176</v>
      </c>
      <c r="B15" s="281"/>
      <c r="C15" s="432" t="s">
        <v>152</v>
      </c>
      <c r="D15" s="433"/>
      <c r="E15" s="269"/>
      <c r="F15" s="279" t="s">
        <v>177</v>
      </c>
      <c r="G15" s="269"/>
      <c r="H15" s="269"/>
      <c r="I15" s="274">
        <f t="shared" ref="I15:I20" si="1">G15+H15</f>
        <v>0</v>
      </c>
    </row>
    <row r="16" spans="1:9">
      <c r="A16" s="282" t="str">
        <f>IF('4.1 Resultatbudget'!A5="Råvarer","Råvererlager","Varelager")</f>
        <v>Varelager</v>
      </c>
      <c r="B16" s="240">
        <v>3500</v>
      </c>
      <c r="C16" s="432"/>
      <c r="D16" s="433"/>
      <c r="E16" s="269">
        <f>I28</f>
        <v>3290</v>
      </c>
      <c r="F16" s="130" t="s">
        <v>178</v>
      </c>
      <c r="G16" s="269">
        <v>3800</v>
      </c>
      <c r="H16" s="269"/>
      <c r="I16" s="274">
        <f>I42</f>
        <v>3255</v>
      </c>
    </row>
    <row r="17" spans="1:9" hidden="1">
      <c r="A17" s="282" t="str">
        <f>IF('4.1 Resultatbudget'!A5="Råvarer","Produktion","-")</f>
        <v>-</v>
      </c>
      <c r="B17" s="283">
        <v>0</v>
      </c>
      <c r="C17" s="429"/>
      <c r="D17" s="430"/>
      <c r="E17" s="269">
        <f>IF(I31="-",0,I31)</f>
        <v>0</v>
      </c>
      <c r="F17" s="130" t="s">
        <v>173</v>
      </c>
      <c r="G17" s="269">
        <v>0</v>
      </c>
      <c r="H17" s="269"/>
      <c r="I17" s="274">
        <f t="shared" si="1"/>
        <v>0</v>
      </c>
    </row>
    <row r="18" spans="1:9" hidden="1">
      <c r="A18" s="282" t="str">
        <f>IF('4.1 Resultatbudget'!A5="Råvarer","Færdigvarer","-")</f>
        <v>-</v>
      </c>
      <c r="B18" s="283">
        <v>0</v>
      </c>
      <c r="C18" s="429"/>
      <c r="D18" s="430"/>
      <c r="E18" s="269">
        <f>IF('4.1 Resultatbudget'!B6=0,0,I35)</f>
        <v>0</v>
      </c>
      <c r="F18" s="130" t="s">
        <v>179</v>
      </c>
      <c r="G18" s="269">
        <v>0</v>
      </c>
      <c r="H18" s="269"/>
      <c r="I18" s="274">
        <f t="shared" si="1"/>
        <v>0</v>
      </c>
    </row>
    <row r="19" spans="1:9">
      <c r="A19" s="282" t="s">
        <v>180</v>
      </c>
      <c r="B19" s="240">
        <v>7000</v>
      </c>
      <c r="C19" s="429"/>
      <c r="D19" s="430"/>
      <c r="E19" s="269">
        <f>I39</f>
        <v>6777.4</v>
      </c>
      <c r="F19" s="130" t="s">
        <v>181</v>
      </c>
      <c r="G19" s="269">
        <v>100</v>
      </c>
      <c r="H19" s="269">
        <v>-100</v>
      </c>
      <c r="I19" s="274">
        <f t="shared" si="1"/>
        <v>0</v>
      </c>
    </row>
    <row r="20" spans="1:9" hidden="1">
      <c r="A20" s="282" t="s">
        <v>182</v>
      </c>
      <c r="B20" s="240">
        <v>0</v>
      </c>
      <c r="C20" s="429">
        <v>0</v>
      </c>
      <c r="D20" s="430"/>
      <c r="E20" s="269">
        <f>B20+C20</f>
        <v>0</v>
      </c>
      <c r="F20" s="130" t="s">
        <v>183</v>
      </c>
      <c r="G20" s="269">
        <v>0</v>
      </c>
      <c r="H20" s="269">
        <v>0</v>
      </c>
      <c r="I20" s="274">
        <f t="shared" si="1"/>
        <v>0</v>
      </c>
    </row>
    <row r="21" spans="1:9">
      <c r="A21" s="282"/>
      <c r="B21" s="240">
        <v>0</v>
      </c>
      <c r="C21" s="429">
        <v>0</v>
      </c>
      <c r="D21" s="430"/>
      <c r="E21" s="269">
        <f>B21+C21</f>
        <v>0</v>
      </c>
      <c r="F21" s="130" t="s">
        <v>184</v>
      </c>
      <c r="G21" s="269">
        <v>1050</v>
      </c>
      <c r="H21" s="269">
        <v>-100</v>
      </c>
      <c r="I21" s="274">
        <f>G21+H21</f>
        <v>950</v>
      </c>
    </row>
    <row r="22" spans="1:9">
      <c r="A22" s="282"/>
      <c r="B22" s="240">
        <v>0</v>
      </c>
      <c r="C22" s="429">
        <v>0</v>
      </c>
      <c r="D22" s="430"/>
      <c r="E22" s="269">
        <f>B22+C22</f>
        <v>0</v>
      </c>
      <c r="F22" s="279" t="str">
        <f>IF('4.1 Resultatbudget'!E29&gt;0,"Udbytte","-")</f>
        <v>Udbytte</v>
      </c>
      <c r="G22" s="269">
        <f>'4.1 Resultatbudget'!B29</f>
        <v>400</v>
      </c>
      <c r="H22" s="269"/>
      <c r="I22" s="274">
        <f>'4.1 Resultatbudget'!E29</f>
        <v>500</v>
      </c>
    </row>
    <row r="23" spans="1:9">
      <c r="A23" s="282" t="s">
        <v>185</v>
      </c>
      <c r="B23" s="240">
        <v>150</v>
      </c>
      <c r="C23" s="429"/>
      <c r="D23" s="430"/>
      <c r="E23" s="269">
        <f>IF('4.2 Likviditetsbudget'!F41&gt;0,'4.2 Likviditetsbudget'!F41,0)</f>
        <v>2020.6000000000004</v>
      </c>
      <c r="F23" s="130" t="str">
        <f>(IF('4.1 Resultatbudget'!B35&gt;0,"Kassekredit","-"))</f>
        <v>-</v>
      </c>
      <c r="G23" s="269">
        <v>0</v>
      </c>
      <c r="H23" s="269">
        <f>IF('4.2 Likviditetsbudget'!F41&lt;0,'4.2 Likviditetsbudget'!F41*-1+'4.1 Resultatbudget'!E35-'4.3 Balance'!G23,0)</f>
        <v>0</v>
      </c>
      <c r="I23" s="274">
        <f>IF('4.2 Likviditetsbudget'!F41&gt;=0,'4.1 Resultatbudget'!E35,'4.2 Likviditetsbudget'!F41*-1+'4.1 Resultatbudget'!E35)</f>
        <v>0</v>
      </c>
    </row>
    <row r="24" spans="1:9">
      <c r="A24" s="270" t="s">
        <v>186</v>
      </c>
      <c r="B24" s="284">
        <f>SUM(B16:B23)</f>
        <v>10650</v>
      </c>
      <c r="C24" s="432"/>
      <c r="D24" s="433"/>
      <c r="E24" s="285">
        <f>SUM(E16:E23)</f>
        <v>12088</v>
      </c>
      <c r="F24" s="286" t="s">
        <v>187</v>
      </c>
      <c r="G24" s="287">
        <f>SUM(G15:G23)</f>
        <v>5350</v>
      </c>
      <c r="H24" s="287">
        <f>SUM(H15:H23)</f>
        <v>-200</v>
      </c>
      <c r="I24" s="288">
        <f>SUM(I15:I23)</f>
        <v>4705</v>
      </c>
    </row>
    <row r="25" spans="1:9" ht="13.5" thickBot="1">
      <c r="A25" s="252" t="s">
        <v>188</v>
      </c>
      <c r="B25" s="289">
        <f>SUM(B14:B23)</f>
        <v>17282</v>
      </c>
      <c r="C25" s="434"/>
      <c r="D25" s="435"/>
      <c r="E25" s="290">
        <f>SUM(E24+E14)</f>
        <v>20560</v>
      </c>
      <c r="F25" s="252" t="s">
        <v>189</v>
      </c>
      <c r="G25" s="291">
        <f>SUM(G24+G14+G8)</f>
        <v>17282</v>
      </c>
      <c r="H25" s="292"/>
      <c r="I25" s="293">
        <f>SUM(I24+I14+I8)</f>
        <v>20560</v>
      </c>
    </row>
    <row r="26" spans="1:9" ht="13.5" thickTop="1">
      <c r="A26" s="80"/>
      <c r="B26" s="294"/>
      <c r="C26" s="295"/>
      <c r="D26" s="295"/>
      <c r="E26" s="294"/>
      <c r="F26" s="80"/>
      <c r="G26" s="296"/>
      <c r="H26" s="297"/>
      <c r="I26" s="296"/>
    </row>
    <row r="27" spans="1:9">
      <c r="A27" s="175" t="s">
        <v>190</v>
      </c>
      <c r="B27" s="436" t="s">
        <v>191</v>
      </c>
      <c r="C27" s="436"/>
      <c r="E27" s="54">
        <f>'4.1 Resultatbudget'!B3</f>
        <v>2011</v>
      </c>
      <c r="H27" s="54">
        <f>E27+1</f>
        <v>2012</v>
      </c>
    </row>
    <row r="28" spans="1:9" ht="13.5" thickBot="1">
      <c r="B28" s="437" t="str">
        <f>'4.1 Resultatbudget'!A5</f>
        <v>Vareforbrug</v>
      </c>
      <c r="C28" s="437"/>
      <c r="E28" s="126">
        <f>'4.1 Resultatbudget'!B5</f>
        <v>21000</v>
      </c>
      <c r="F28" s="298" t="str">
        <f>CONCATENATE("=",ROUND((E28/E29),2),"  ", "gange")</f>
        <v>=6  gange</v>
      </c>
      <c r="H28" s="126">
        <f>'4.1 Resultatbudget'!E5</f>
        <v>19740</v>
      </c>
      <c r="I28" s="299">
        <f>H28/H29</f>
        <v>3290</v>
      </c>
    </row>
    <row r="29" spans="1:9">
      <c r="A29" s="175" t="str">
        <f>A16</f>
        <v>Varelager</v>
      </c>
      <c r="B29" s="418" t="str">
        <f>A29</f>
        <v>Varelager</v>
      </c>
      <c r="C29" s="418"/>
      <c r="E29" s="300">
        <f>B16</f>
        <v>3500</v>
      </c>
      <c r="F29" s="298"/>
      <c r="H29" s="299">
        <f>E28/E29</f>
        <v>6</v>
      </c>
      <c r="I29" s="299"/>
    </row>
    <row r="30" spans="1:9">
      <c r="F30" s="298"/>
      <c r="I30" s="299"/>
    </row>
    <row r="31" spans="1:9" ht="13.5" hidden="1" thickBot="1">
      <c r="A31" s="175" t="str">
        <f>A17</f>
        <v>-</v>
      </c>
      <c r="B31" s="437" t="str">
        <f>IF('4.1 Resultatbudget'!B6=0,"-",B32)</f>
        <v>-</v>
      </c>
      <c r="C31" s="437"/>
      <c r="E31" s="126" t="str">
        <f>IF('4.1 Resultatbudget'!B6=0,"-",E32)</f>
        <v>-</v>
      </c>
      <c r="F31" s="298" t="str">
        <f>IF('4.1 Resultatbudget'!B6=0,"-",F32)</f>
        <v>-</v>
      </c>
      <c r="H31" s="126" t="str">
        <f>IF('4.1 Resultatbudget'!B6=0,"-",'4.1 Resultatbudget'!E5+'4.1 Resultatbudget'!E6)</f>
        <v>-</v>
      </c>
      <c r="I31" s="299" t="str">
        <f>IF('4.1 Resultatbudget'!B6=0,"-",H32/H33)</f>
        <v>-</v>
      </c>
    </row>
    <row r="32" spans="1:9" ht="13.5" hidden="1" thickBot="1">
      <c r="A32" s="54" t="str">
        <f>A17</f>
        <v>-</v>
      </c>
      <c r="B32" s="437" t="str">
        <f>CONCATENATE('4.1 Resultatbudget'!A5,"+",'4.1 Resultatbudget'!A6)</f>
        <v>Vareforbrug+-</v>
      </c>
      <c r="C32" s="437"/>
      <c r="E32" s="126">
        <f>'4.1 Resultatbudget'!B5+'4.1 Resultatbudget'!B6</f>
        <v>21000</v>
      </c>
      <c r="F32" s="298" t="e">
        <f>CONCATENATE("=", ROUND((E32/E33),2), "gange")</f>
        <v>#VALUE!</v>
      </c>
      <c r="H32" s="54">
        <f>'4.1 Resultatbudget'!E5+'4.1 Resultatbudget'!E6</f>
        <v>19740</v>
      </c>
      <c r="I32" s="299" t="e">
        <f>H32/H33</f>
        <v>#VALUE!</v>
      </c>
    </row>
    <row r="33" spans="1:9" hidden="1">
      <c r="B33" s="418" t="str">
        <f>A17</f>
        <v>-</v>
      </c>
      <c r="C33" s="418"/>
      <c r="E33" s="54" t="str">
        <f>IF('4.1 Resultatbudget'!B6=0,"-",B17)</f>
        <v>-</v>
      </c>
      <c r="F33" s="298"/>
      <c r="H33" s="54" t="str">
        <f>IF('4.1 Resultatbudget'!B6=0,"-",E32/E33)</f>
        <v>-</v>
      </c>
      <c r="I33" s="299"/>
    </row>
    <row r="34" spans="1:9" hidden="1">
      <c r="F34" s="298"/>
      <c r="I34" s="299"/>
    </row>
    <row r="35" spans="1:9" ht="13.5" hidden="1" thickBot="1">
      <c r="A35" s="175" t="str">
        <f>A18</f>
        <v>-</v>
      </c>
      <c r="B35" s="437" t="str">
        <f>IF('4.1 Resultatbudget'!B6=0,"-",B36)</f>
        <v>-</v>
      </c>
      <c r="C35" s="437"/>
      <c r="E35" s="126" t="str">
        <f>IF('4.1 Resultatbudget'!B6=0,"-",'4.1 Resultatbudget'!B5+'4.1 Resultatbudget'!B6)</f>
        <v>-</v>
      </c>
      <c r="F35" s="298" t="str">
        <f>IF(E35="-","-",F36)</f>
        <v>-</v>
      </c>
      <c r="H35" s="126" t="str">
        <f>IF('4.1 Resultatbudget'!B6=0,"-",'4.1 Resultatbudget'!E5+'4.1 Resultatbudget'!E6)</f>
        <v>-</v>
      </c>
      <c r="I35" s="299" t="str">
        <f>IF(E37="-","-",H36/H37)</f>
        <v>-</v>
      </c>
    </row>
    <row r="36" spans="1:9" ht="13.5" hidden="1" thickBot="1">
      <c r="A36" s="54" t="str">
        <f>A18</f>
        <v>-</v>
      </c>
      <c r="B36" s="437" t="str">
        <f>CONCATENATE('4.1 Resultatbudget'!A5,"+",'4.1 Resultatbudget'!A6)</f>
        <v>Vareforbrug+-</v>
      </c>
      <c r="C36" s="437"/>
      <c r="E36" s="54">
        <f>E32</f>
        <v>21000</v>
      </c>
      <c r="F36" s="298" t="e">
        <f>CONCATENATE("=", ROUND((E36/E37),2), "gange")</f>
        <v>#VALUE!</v>
      </c>
      <c r="H36" s="54">
        <f>'4.1 Resultatbudget'!E5+'4.1 Resultatbudget'!E6</f>
        <v>19740</v>
      </c>
      <c r="I36" s="299" t="e">
        <f>H36/H37</f>
        <v>#VALUE!</v>
      </c>
    </row>
    <row r="37" spans="1:9" hidden="1">
      <c r="B37" s="418" t="str">
        <f>IF('4.1 Resultatbudget'!B6=0,"-",A36)</f>
        <v>-</v>
      </c>
      <c r="C37" s="418"/>
      <c r="E37" s="54" t="str">
        <f>IF(B18=0,"-",B18)</f>
        <v>-</v>
      </c>
      <c r="H37" s="54" t="str">
        <f>IF(E37="-","-",E36/E37)</f>
        <v>-</v>
      </c>
    </row>
    <row r="38" spans="1:9" hidden="1">
      <c r="B38" s="56"/>
      <c r="C38" s="56"/>
      <c r="D38" s="56"/>
      <c r="E38" s="56"/>
      <c r="H38" s="56"/>
    </row>
    <row r="39" spans="1:9" ht="13.5" thickBot="1">
      <c r="A39" s="175" t="str">
        <f>A19</f>
        <v>Varedebitorer</v>
      </c>
      <c r="B39" s="437" t="str">
        <f>IF('4.1 Resultatbudget'!B37="incl. Moms",CONCATENATE('4.1 Resultatbudget'!A4," * ", (1+'4.1 Resultatbudget'!C37)),CONCATENATE('4.1 Resultatbudget'!A4,"   ",    "excl. moms"))</f>
        <v>Omsætning   excl. moms</v>
      </c>
      <c r="C39" s="437"/>
      <c r="E39" s="126">
        <f>IF('4.1 Resultatbudget'!B37="incl. moms",'4.1 Resultatbudget'!B4*(1+'4.1 Resultatbudget'!C37),'4.1 Resultatbudget'!B4)</f>
        <v>35000</v>
      </c>
      <c r="F39" s="300" t="str">
        <f>CONCATENATE(ROUND((E39/E40),2),"  ","gange")</f>
        <v>5  gange</v>
      </c>
      <c r="H39" s="126">
        <f>IF('4.1 Resultatbudget'!B37="incl. moms",'4.1 Resultatbudget'!E4*1.25,'4.1 Resultatbudget'!E4)</f>
        <v>33887</v>
      </c>
      <c r="I39" s="299">
        <f>H39/H40</f>
        <v>6777.4</v>
      </c>
    </row>
    <row r="40" spans="1:9">
      <c r="B40" s="418" t="str">
        <f>A19</f>
        <v>Varedebitorer</v>
      </c>
      <c r="C40" s="418"/>
      <c r="E40" s="300">
        <f>B19</f>
        <v>7000</v>
      </c>
      <c r="F40" s="300"/>
      <c r="H40" s="299">
        <f>E39/E40</f>
        <v>5</v>
      </c>
      <c r="I40" s="299"/>
    </row>
    <row r="41" spans="1:9">
      <c r="B41" s="56"/>
      <c r="C41" s="56"/>
      <c r="E41" s="56"/>
      <c r="F41" s="300"/>
      <c r="I41" s="299"/>
    </row>
    <row r="42" spans="1:9" ht="13.5" thickBot="1">
      <c r="A42" s="175" t="str">
        <f>F16</f>
        <v>Varekreditorer</v>
      </c>
      <c r="B42" s="437" t="str">
        <f>IF('4.1 Resultatbudget'!B37="excl. moms","Varekøb excl.. moms",CONCATENATE("Varekøb"," * ",(1+'4.1 Resultatbudget'!C37)))</f>
        <v>Varekøb excl.. moms</v>
      </c>
      <c r="C42" s="437"/>
      <c r="E42" s="301">
        <f>IF('4.1 Resultatbudget'!B37="excl. Moms",E46,E46*(1+'4.1 Resultatbudget'!C37))</f>
        <v>22800</v>
      </c>
      <c r="F42" s="300" t="str">
        <f>CONCATENATE(ROUND((E42/E43),2),"  ","gange")</f>
        <v>6  gange</v>
      </c>
      <c r="H42" s="126">
        <f>IF('4.1 Resultatbudget'!B37="excl. Moms",E47,E47*1.25)</f>
        <v>19530</v>
      </c>
      <c r="I42" s="299">
        <f>H42/H43</f>
        <v>3255</v>
      </c>
    </row>
    <row r="43" spans="1:9">
      <c r="B43" s="418" t="str">
        <f>F16</f>
        <v>Varekreditorer</v>
      </c>
      <c r="C43" s="418"/>
      <c r="E43" s="300">
        <f>G16</f>
        <v>3800</v>
      </c>
      <c r="H43" s="302">
        <f>E42/E43</f>
        <v>6</v>
      </c>
    </row>
    <row r="45" spans="1:9">
      <c r="A45" s="303" t="s">
        <v>192</v>
      </c>
      <c r="B45" s="175" t="str">
        <f>'4.1 Resultatbudget'!A5</f>
        <v>Vareforbrug</v>
      </c>
      <c r="C45" s="175" t="str">
        <f>CONCATENATE("+","  ",A16,"  ","ultimo","  "," - ",A16,"  ","primo")</f>
        <v>+  Varelager  ultimo   - Varelager  primo</v>
      </c>
      <c r="D45" s="175"/>
      <c r="E45" s="175"/>
      <c r="F45" s="175"/>
    </row>
    <row r="46" spans="1:9">
      <c r="A46" s="99" t="str">
        <f>CONCATENATE("Varekøb"," ",'4.1 Resultatbudget'!B3)</f>
        <v>Varekøb 2011</v>
      </c>
      <c r="E46" s="300">
        <v>22800</v>
      </c>
      <c r="F46" s="54" t="s">
        <v>193</v>
      </c>
    </row>
    <row r="47" spans="1:9">
      <c r="A47" s="99" t="str">
        <f>CONCATENATE("Varekøb"," ",'4.1 Resultatbudget'!B3+1)</f>
        <v>Varekøb 2012</v>
      </c>
      <c r="B47" s="143">
        <f>'4.1 Resultatbudget'!E5</f>
        <v>19740</v>
      </c>
      <c r="C47" s="54" t="str">
        <f>CONCATENATE("+","  ",E16)</f>
        <v>+  3290</v>
      </c>
      <c r="D47" s="54" t="str">
        <f>CONCATENATE("-","  ",B16)</f>
        <v>-  3500</v>
      </c>
      <c r="E47" s="300">
        <f>B47+E16-B16</f>
        <v>19530</v>
      </c>
    </row>
    <row r="49" spans="1:4">
      <c r="A49" s="54" t="s">
        <v>194</v>
      </c>
    </row>
    <row r="50" spans="1:4">
      <c r="A50" s="54" t="s">
        <v>195</v>
      </c>
      <c r="B50" s="143">
        <f>'4.1 Resultatbudget'!E19</f>
        <v>7087</v>
      </c>
      <c r="C50" s="143">
        <f>E25</f>
        <v>20560</v>
      </c>
      <c r="D50" s="304">
        <f>B50/C50</f>
        <v>0.34469844357976653</v>
      </c>
    </row>
    <row r="51" spans="1:4">
      <c r="A51" s="54" t="s">
        <v>196</v>
      </c>
      <c r="B51" s="143">
        <f>'4.1 Resultatbudget'!E9</f>
        <v>14147</v>
      </c>
      <c r="C51" s="143">
        <f>'4.1 Resultatbudget'!E4</f>
        <v>33887</v>
      </c>
      <c r="D51" s="304">
        <f>B51/C51</f>
        <v>0.41747572815533979</v>
      </c>
    </row>
    <row r="52" spans="1:4">
      <c r="A52" s="54" t="s">
        <v>197</v>
      </c>
      <c r="B52" s="143">
        <f>'4.1 Resultatbudget'!E24</f>
        <v>6564</v>
      </c>
      <c r="C52" s="143">
        <f>G8</f>
        <v>8380</v>
      </c>
      <c r="D52" s="304">
        <f>B52/C52</f>
        <v>0.78329355608591889</v>
      </c>
    </row>
  </sheetData>
  <mergeCells count="25">
    <mergeCell ref="B43:C43"/>
    <mergeCell ref="B35:C35"/>
    <mergeCell ref="B36:C36"/>
    <mergeCell ref="B37:C37"/>
    <mergeCell ref="B39:C39"/>
    <mergeCell ref="B40:C40"/>
    <mergeCell ref="B42:C42"/>
    <mergeCell ref="B33:C33"/>
    <mergeCell ref="C20:D20"/>
    <mergeCell ref="C21:D21"/>
    <mergeCell ref="C22:D22"/>
    <mergeCell ref="C23:D23"/>
    <mergeCell ref="C24:D24"/>
    <mergeCell ref="C25:D25"/>
    <mergeCell ref="B27:C27"/>
    <mergeCell ref="B28:C28"/>
    <mergeCell ref="B29:C29"/>
    <mergeCell ref="B31:C31"/>
    <mergeCell ref="B32:C32"/>
    <mergeCell ref="C19:D19"/>
    <mergeCell ref="A2:I2"/>
    <mergeCell ref="C15:D15"/>
    <mergeCell ref="C16:D16"/>
    <mergeCell ref="C17:D17"/>
    <mergeCell ref="C18:D18"/>
  </mergeCells>
  <pageMargins left="0.78740157480314965" right="0.78740157480314965" top="0.19685039370078741" bottom="0.39370078740157483" header="0" footer="0"/>
  <pageSetup paperSize="9" scale="95" orientation="landscape"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F66"/>
  <sheetViews>
    <sheetView zoomScale="90" zoomScaleNormal="90" workbookViewId="0">
      <selection activeCell="C40" sqref="C40"/>
    </sheetView>
  </sheetViews>
  <sheetFormatPr defaultRowHeight="12.75"/>
  <cols>
    <col min="1" max="1" width="11.85546875" style="54" bestFit="1" customWidth="1"/>
    <col min="2" max="2" width="18.85546875" style="54" customWidth="1"/>
    <col min="3" max="3" width="15.28515625" style="54" customWidth="1"/>
    <col min="4" max="4" width="16" style="54" customWidth="1"/>
    <col min="5" max="5" width="14.42578125" style="54" customWidth="1"/>
    <col min="6" max="6" width="15.7109375" style="54" customWidth="1"/>
    <col min="7" max="16384" width="9.140625" style="54"/>
  </cols>
  <sheetData>
    <row r="1" spans="1:6">
      <c r="A1" s="54" t="s">
        <v>198</v>
      </c>
    </row>
    <row r="2" spans="1:6" ht="23.25">
      <c r="A2" s="431" t="s">
        <v>199</v>
      </c>
      <c r="B2" s="439"/>
      <c r="C2" s="439"/>
      <c r="D2" s="439"/>
      <c r="E2" s="439"/>
      <c r="F2" s="439"/>
    </row>
    <row r="3" spans="1:6" ht="18">
      <c r="A3" s="153" t="s">
        <v>139</v>
      </c>
      <c r="B3" s="153"/>
      <c r="C3" s="153"/>
      <c r="D3" s="153"/>
      <c r="E3" s="153"/>
      <c r="F3" s="305">
        <f>'4.1 Resultatbudget'!E17</f>
        <v>7747</v>
      </c>
    </row>
    <row r="4" spans="1:6" ht="18">
      <c r="A4" s="221" t="s">
        <v>200</v>
      </c>
      <c r="B4" s="221"/>
      <c r="C4" s="221"/>
      <c r="D4" s="306" t="s">
        <v>201</v>
      </c>
      <c r="E4" s="306" t="s">
        <v>202</v>
      </c>
      <c r="F4" s="307"/>
    </row>
    <row r="5" spans="1:6" ht="18">
      <c r="A5" s="438" t="str">
        <f>'4.3 Balance'!A16</f>
        <v>Varelager</v>
      </c>
      <c r="B5" s="438"/>
      <c r="C5" s="221"/>
      <c r="D5" s="307">
        <f>'4.3 Balance'!B16</f>
        <v>3500</v>
      </c>
      <c r="E5" s="307">
        <f>'4.3 Balance'!E16</f>
        <v>3290</v>
      </c>
      <c r="F5" s="307">
        <f t="shared" ref="F5:F11" si="0">D5-E5</f>
        <v>210</v>
      </c>
    </row>
    <row r="6" spans="1:6" ht="18" hidden="1">
      <c r="A6" s="438" t="str">
        <f>'4.3 Balance'!A17</f>
        <v>-</v>
      </c>
      <c r="B6" s="438"/>
      <c r="C6" s="221"/>
      <c r="D6" s="307">
        <f>'4.3 Balance'!B17</f>
        <v>0</v>
      </c>
      <c r="E6" s="307">
        <f>'4.3 Balance'!E17</f>
        <v>0</v>
      </c>
      <c r="F6" s="307">
        <f t="shared" si="0"/>
        <v>0</v>
      </c>
    </row>
    <row r="7" spans="1:6" ht="18" hidden="1">
      <c r="A7" s="438" t="str">
        <f>'4.3 Balance'!A18</f>
        <v>-</v>
      </c>
      <c r="B7" s="438"/>
      <c r="C7" s="221"/>
      <c r="D7" s="307">
        <f>'4.3 Balance'!B18</f>
        <v>0</v>
      </c>
      <c r="E7" s="307">
        <f>'4.3 Balance'!E18</f>
        <v>0</v>
      </c>
      <c r="F7" s="307">
        <f t="shared" si="0"/>
        <v>0</v>
      </c>
    </row>
    <row r="8" spans="1:6" ht="18">
      <c r="A8" s="438" t="str">
        <f>'4.3 Balance'!A19</f>
        <v>Varedebitorer</v>
      </c>
      <c r="B8" s="438"/>
      <c r="C8" s="221"/>
      <c r="D8" s="307">
        <f>'4.3 Balance'!B19</f>
        <v>7000</v>
      </c>
      <c r="E8" s="307">
        <f>'4.3 Balance'!E19</f>
        <v>6777.4</v>
      </c>
      <c r="F8" s="307">
        <f t="shared" si="0"/>
        <v>222.60000000000036</v>
      </c>
    </row>
    <row r="9" spans="1:6" ht="18" hidden="1">
      <c r="A9" s="438" t="str">
        <f>'4.3 Balance'!A20</f>
        <v>Periodeafg.</v>
      </c>
      <c r="B9" s="438"/>
      <c r="C9" s="221"/>
      <c r="D9" s="307">
        <f>'4.3 Balance'!B20</f>
        <v>0</v>
      </c>
      <c r="E9" s="307">
        <f>'4.3 Balance'!E20</f>
        <v>0</v>
      </c>
      <c r="F9" s="307">
        <f t="shared" si="0"/>
        <v>0</v>
      </c>
    </row>
    <row r="10" spans="1:6" ht="18" hidden="1">
      <c r="A10" s="438">
        <f>'4.3 Balance'!A21</f>
        <v>0</v>
      </c>
      <c r="B10" s="438"/>
      <c r="C10" s="221"/>
      <c r="D10" s="307">
        <f>'4.3 Balance'!B21</f>
        <v>0</v>
      </c>
      <c r="E10" s="307">
        <f>'4.3 Balance'!E21</f>
        <v>0</v>
      </c>
      <c r="F10" s="307">
        <f t="shared" si="0"/>
        <v>0</v>
      </c>
    </row>
    <row r="11" spans="1:6" ht="18" hidden="1">
      <c r="A11" s="438">
        <f>'4.3 Balance'!A22</f>
        <v>0</v>
      </c>
      <c r="B11" s="438"/>
      <c r="C11" s="221"/>
      <c r="D11" s="307">
        <f>'4.3 Balance'!B22</f>
        <v>0</v>
      </c>
      <c r="E11" s="307">
        <f>'4.3 Balance'!E22</f>
        <v>0</v>
      </c>
      <c r="F11" s="307">
        <f t="shared" si="0"/>
        <v>0</v>
      </c>
    </row>
    <row r="12" spans="1:6" ht="18">
      <c r="A12" s="221" t="s">
        <v>203</v>
      </c>
      <c r="B12" s="221"/>
      <c r="C12" s="221"/>
      <c r="D12" s="307"/>
      <c r="E12" s="307"/>
      <c r="F12" s="307"/>
    </row>
    <row r="13" spans="1:6" ht="18">
      <c r="A13" s="438" t="str">
        <f>'4.3 Balance'!F16</f>
        <v>Varekreditorer</v>
      </c>
      <c r="B13" s="438"/>
      <c r="C13" s="221"/>
      <c r="D13" s="307">
        <f>'4.3 Balance'!G16</f>
        <v>3800</v>
      </c>
      <c r="E13" s="307">
        <f>'4.3 Balance'!I16</f>
        <v>3255</v>
      </c>
      <c r="F13" s="307">
        <f t="shared" ref="F13:F18" si="1">E13-D13</f>
        <v>-545</v>
      </c>
    </row>
    <row r="14" spans="1:6" ht="18" hidden="1">
      <c r="A14" s="438" t="str">
        <f>'4.3 Balance'!F17</f>
        <v>Realkreditinstitutter</v>
      </c>
      <c r="B14" s="438"/>
      <c r="C14" s="221"/>
      <c r="D14" s="307">
        <f>'4.3 Balance'!G17</f>
        <v>0</v>
      </c>
      <c r="E14" s="307">
        <f>'4.3 Balance'!I17</f>
        <v>0</v>
      </c>
      <c r="F14" s="307">
        <f t="shared" si="1"/>
        <v>0</v>
      </c>
    </row>
    <row r="15" spans="1:6" ht="18" hidden="1">
      <c r="A15" s="438" t="str">
        <f>'4.3 Balance'!F18</f>
        <v>Forudbetalinger</v>
      </c>
      <c r="B15" s="438"/>
      <c r="C15" s="221"/>
      <c r="D15" s="307">
        <f>'4.3 Balance'!G18</f>
        <v>0</v>
      </c>
      <c r="E15" s="307">
        <f>'4.3 Balance'!I18</f>
        <v>0</v>
      </c>
      <c r="F15" s="307">
        <f t="shared" si="1"/>
        <v>0</v>
      </c>
    </row>
    <row r="16" spans="1:6" ht="18">
      <c r="A16" s="438" t="str">
        <f>'4.3 Balance'!F19</f>
        <v>Rest skat</v>
      </c>
      <c r="B16" s="438"/>
      <c r="C16" s="221"/>
      <c r="D16" s="307">
        <f>'4.3 Balance'!G19</f>
        <v>100</v>
      </c>
      <c r="E16" s="307">
        <f>'4.3 Balance'!I19</f>
        <v>0</v>
      </c>
      <c r="F16" s="307">
        <f t="shared" si="1"/>
        <v>-100</v>
      </c>
    </row>
    <row r="17" spans="1:6" ht="18" hidden="1">
      <c r="A17" s="438" t="str">
        <f>'4.3 Balance'!F20</f>
        <v>-</v>
      </c>
      <c r="B17" s="438"/>
      <c r="C17" s="221"/>
      <c r="D17" s="307">
        <f>'4.3 Balance'!G20</f>
        <v>0</v>
      </c>
      <c r="E17" s="307">
        <f>'4.3 Balance'!I20</f>
        <v>0</v>
      </c>
      <c r="F17" s="307">
        <f t="shared" si="1"/>
        <v>0</v>
      </c>
    </row>
    <row r="18" spans="1:6" ht="18">
      <c r="A18" s="438" t="str">
        <f>'4.3 Balance'!F21</f>
        <v>Øvrig kort gæld</v>
      </c>
      <c r="B18" s="438"/>
      <c r="C18" s="221"/>
      <c r="D18" s="307">
        <f>'4.3 Balance'!G21</f>
        <v>1050</v>
      </c>
      <c r="E18" s="307">
        <f>'4.3 Balance'!I21</f>
        <v>950</v>
      </c>
      <c r="F18" s="307">
        <f t="shared" si="1"/>
        <v>-100</v>
      </c>
    </row>
    <row r="19" spans="1:6" ht="18">
      <c r="A19" s="308" t="str">
        <f>'4.1 Resultatbudget'!A20</f>
        <v>Renteomkostninger</v>
      </c>
      <c r="B19" s="308"/>
      <c r="C19" s="221"/>
      <c r="D19" s="307"/>
      <c r="E19" s="307"/>
      <c r="F19" s="307">
        <f>'4.1 Resultatbudget'!E20*-1</f>
        <v>-523</v>
      </c>
    </row>
    <row r="20" spans="1:6" ht="18" hidden="1">
      <c r="A20" s="308" t="str">
        <f>'4.1 Resultatbudget'!A21</f>
        <v>Renteindtægter</v>
      </c>
      <c r="B20" s="308"/>
      <c r="C20" s="221"/>
      <c r="D20" s="307"/>
      <c r="E20" s="307"/>
      <c r="F20" s="307">
        <f>'4.1 Resultatbudget'!E21</f>
        <v>0</v>
      </c>
    </row>
    <row r="21" spans="1:6" ht="18">
      <c r="A21" s="153" t="s">
        <v>204</v>
      </c>
      <c r="B21" s="153"/>
      <c r="C21" s="153"/>
      <c r="D21" s="153"/>
      <c r="E21" s="153"/>
      <c r="F21" s="309">
        <f>SUM(F3:F20)</f>
        <v>6911.6</v>
      </c>
    </row>
    <row r="22" spans="1:6" ht="18">
      <c r="A22" s="221" t="s">
        <v>205</v>
      </c>
      <c r="B22" s="221"/>
      <c r="C22" s="221"/>
      <c r="D22" s="221"/>
      <c r="E22" s="221"/>
      <c r="F22" s="221"/>
    </row>
    <row r="23" spans="1:6" ht="18">
      <c r="A23" s="221" t="s">
        <v>206</v>
      </c>
      <c r="B23" s="221"/>
      <c r="C23" s="221"/>
      <c r="D23" s="221"/>
      <c r="E23" s="221"/>
      <c r="F23" s="221">
        <f>'4.3 Balance'!C14*-1</f>
        <v>-2500</v>
      </c>
    </row>
    <row r="24" spans="1:6" ht="18" hidden="1">
      <c r="A24" s="153" t="s">
        <v>207</v>
      </c>
      <c r="B24" s="221"/>
      <c r="C24" s="221"/>
      <c r="D24" s="221"/>
      <c r="E24" s="221"/>
      <c r="F24" s="221"/>
    </row>
    <row r="25" spans="1:6" ht="18" hidden="1">
      <c r="A25" s="221" t="str">
        <f>'4.3 Balance'!F11</f>
        <v>Nyt lån til investeringer</v>
      </c>
      <c r="B25" s="221"/>
      <c r="C25" s="221"/>
      <c r="D25" s="221"/>
      <c r="E25" s="221"/>
      <c r="F25" s="221">
        <f>'4.3 Balance'!H11</f>
        <v>0</v>
      </c>
    </row>
    <row r="26" spans="1:6" ht="18" hidden="1">
      <c r="A26" s="221" t="str">
        <f>'4.1 Resultatbudget'!A39</f>
        <v>Aktie emmision</v>
      </c>
      <c r="B26" s="221"/>
      <c r="C26" s="221"/>
      <c r="D26" s="221"/>
      <c r="E26" s="221"/>
      <c r="F26" s="221">
        <f>'4.1 Resultatbudget'!C39</f>
        <v>0</v>
      </c>
    </row>
    <row r="27" spans="1:6" ht="18">
      <c r="A27" s="153" t="s">
        <v>208</v>
      </c>
      <c r="B27" s="221"/>
      <c r="C27" s="221"/>
      <c r="D27" s="221"/>
      <c r="E27" s="221"/>
      <c r="F27" s="221"/>
    </row>
    <row r="28" spans="1:6" ht="18">
      <c r="A28" s="438" t="str">
        <f>'4.3 Balance'!F12</f>
        <v>Finanslån</v>
      </c>
      <c r="B28" s="438"/>
      <c r="C28" s="221"/>
      <c r="D28" s="221"/>
      <c r="E28" s="221"/>
      <c r="F28" s="221">
        <f>'4.3 Balance'!H12</f>
        <v>-500</v>
      </c>
    </row>
    <row r="29" spans="1:6" ht="18" hidden="1">
      <c r="A29" s="438" t="str">
        <f>'4.3 Balance'!F13</f>
        <v>Realkreditinstitutter</v>
      </c>
      <c r="B29" s="438"/>
      <c r="C29" s="221"/>
      <c r="D29" s="221"/>
      <c r="E29" s="221"/>
      <c r="F29" s="221">
        <f>'4.3 Balance'!H13</f>
        <v>0</v>
      </c>
    </row>
    <row r="30" spans="1:6" ht="18" hidden="1">
      <c r="A30" s="221" t="str">
        <f>'4.3 Balance'!F7</f>
        <v>-</v>
      </c>
      <c r="B30" s="221"/>
      <c r="C30" s="221"/>
      <c r="D30" s="221"/>
      <c r="E30" s="221"/>
      <c r="F30" s="221">
        <f>('4.3 Balance'!I7)*-1</f>
        <v>0</v>
      </c>
    </row>
    <row r="31" spans="1:6" ht="18">
      <c r="A31" s="221" t="str">
        <f>IF('4.1 Resultatbudget'!B29&gt;0,A48,"-")</f>
        <v>Udbytte udbetales 100% fra år;"2011</v>
      </c>
      <c r="B31" s="221"/>
      <c r="C31" s="221"/>
      <c r="D31" s="221"/>
      <c r="E31" s="221"/>
      <c r="F31" s="221">
        <f>'4.3 Balance'!G22*-1</f>
        <v>-400</v>
      </c>
    </row>
    <row r="32" spans="1:6" ht="18">
      <c r="A32" s="221" t="str">
        <f>'4.1 Resultatbudget'!A25</f>
        <v>Skat</v>
      </c>
      <c r="B32" s="221"/>
      <c r="C32" s="221"/>
      <c r="D32" s="221"/>
      <c r="E32" s="221"/>
      <c r="F32" s="310">
        <f>'4.1 Resultatbudget'!E25*-1</f>
        <v>-1641</v>
      </c>
    </row>
    <row r="33" spans="1:6" ht="18" hidden="1">
      <c r="A33" s="221" t="str">
        <f>IF('4.1 Resultatbudget'!C35&gt;0,"Ændring af kassekredit max.","-")</f>
        <v>-</v>
      </c>
      <c r="B33" s="221"/>
      <c r="C33" s="221"/>
      <c r="D33" s="221"/>
      <c r="E33" s="221"/>
      <c r="F33" s="311">
        <f>'4.1 Resultatbudget'!C35</f>
        <v>0</v>
      </c>
    </row>
    <row r="34" spans="1:6" ht="18">
      <c r="A34" s="153" t="s">
        <v>209</v>
      </c>
      <c r="B34" s="153"/>
      <c r="C34" s="153"/>
      <c r="D34" s="153"/>
      <c r="E34" s="153"/>
      <c r="F34" s="312">
        <f>SUM(F21:F33)</f>
        <v>1870.6000000000004</v>
      </c>
    </row>
    <row r="35" spans="1:6" ht="18">
      <c r="A35" s="221" t="s">
        <v>210</v>
      </c>
      <c r="B35" s="221"/>
      <c r="C35" s="221"/>
      <c r="D35" s="221"/>
      <c r="E35" s="221"/>
      <c r="F35" s="221"/>
    </row>
    <row r="36" spans="1:6" ht="18" hidden="1">
      <c r="A36" s="221" t="s">
        <v>153</v>
      </c>
      <c r="B36" s="221"/>
      <c r="C36" s="221">
        <v>2000</v>
      </c>
      <c r="D36" s="221"/>
      <c r="E36" s="221"/>
      <c r="F36" s="221"/>
    </row>
    <row r="37" spans="1:6" ht="18" hidden="1">
      <c r="A37" s="221" t="s">
        <v>211</v>
      </c>
      <c r="B37" s="221"/>
      <c r="C37" s="221">
        <v>1500</v>
      </c>
      <c r="D37" s="221"/>
      <c r="E37" s="221"/>
      <c r="F37" s="221"/>
    </row>
    <row r="38" spans="1:6" ht="18" hidden="1">
      <c r="A38" s="221"/>
      <c r="B38" s="221"/>
      <c r="C38" s="221" t="str">
        <f>IF('4.1 Resultatbudget'!$B$35&gt;0,"Gæld Primo","")</f>
        <v/>
      </c>
      <c r="D38" s="221" t="str">
        <f>IF('4.1 Resultatbudget'!$B$35&gt;0,"Max. Primo","")</f>
        <v/>
      </c>
      <c r="E38" s="221"/>
      <c r="F38" s="221"/>
    </row>
    <row r="39" spans="1:6" ht="18" hidden="1">
      <c r="A39" s="221" t="str">
        <f>IF('4.1 Resultatbudget'!B35&gt;0,"Kassekredit disponibel","-")</f>
        <v>-</v>
      </c>
      <c r="B39" s="221"/>
      <c r="C39" s="221" t="str">
        <f>IF('4.1 Resultatbudget'!B35&gt;0,'4.1 Resultatbudget'!B35,"")</f>
        <v/>
      </c>
      <c r="D39" s="221" t="str">
        <f>IF('4.1 Resultatbudget'!B35&gt;0,'4.3 Balance'!G23,"")</f>
        <v/>
      </c>
      <c r="E39" s="221"/>
      <c r="F39" s="221">
        <f>IF('4.1 Resultatbudget'!B35&gt;0,C39-D39,0)</f>
        <v>0</v>
      </c>
    </row>
    <row r="40" spans="1:6" ht="18">
      <c r="A40" s="313" t="s">
        <v>212</v>
      </c>
      <c r="B40" s="221"/>
      <c r="C40" s="221"/>
      <c r="D40" s="221"/>
      <c r="E40" s="221"/>
      <c r="F40" s="221">
        <f>'4.3 Balance'!B23</f>
        <v>150</v>
      </c>
    </row>
    <row r="41" spans="1:6" ht="18.75" thickBot="1">
      <c r="A41" s="153" t="s">
        <v>213</v>
      </c>
      <c r="B41" s="153"/>
      <c r="C41" s="153"/>
      <c r="D41" s="153"/>
      <c r="E41" s="153"/>
      <c r="F41" s="314">
        <f>SUM(F34:F40)</f>
        <v>2020.6000000000004</v>
      </c>
    </row>
    <row r="42" spans="1:6" ht="18.75" thickTop="1">
      <c r="A42" s="221"/>
      <c r="B42" s="221"/>
      <c r="C42" s="221"/>
      <c r="D42" s="221"/>
      <c r="E42" s="221"/>
      <c r="F42" s="221"/>
    </row>
    <row r="48" spans="1:6" ht="18" hidden="1">
      <c r="A48" s="221" t="str">
        <f>(CONCATENATE("Udbytte udbetales 100% fra år;""",'4.1 Resultatbudget'!B3))</f>
        <v>Udbytte udbetales 100% fra år;"2011</v>
      </c>
    </row>
    <row r="50" spans="1:4">
      <c r="A50" s="56"/>
      <c r="B50" s="56"/>
      <c r="C50" s="56"/>
      <c r="D50" s="56"/>
    </row>
    <row r="51" spans="1:4">
      <c r="A51" s="56"/>
      <c r="B51" s="56"/>
      <c r="C51" s="56"/>
      <c r="D51" s="56"/>
    </row>
    <row r="52" spans="1:4">
      <c r="A52" s="56"/>
      <c r="B52" s="56"/>
      <c r="C52" s="56"/>
      <c r="D52" s="56"/>
    </row>
    <row r="53" spans="1:4" ht="18">
      <c r="A53" s="315"/>
      <c r="B53" s="315"/>
      <c r="C53" s="315"/>
      <c r="D53" s="56"/>
    </row>
    <row r="54" spans="1:4" ht="18">
      <c r="A54" s="316"/>
      <c r="B54" s="315"/>
      <c r="C54" s="317"/>
      <c r="D54" s="56"/>
    </row>
    <row r="55" spans="1:4" ht="18">
      <c r="A55" s="316"/>
      <c r="B55" s="315"/>
      <c r="C55" s="317"/>
      <c r="D55" s="56"/>
    </row>
    <row r="56" spans="1:4" ht="18">
      <c r="A56" s="316"/>
      <c r="B56" s="315"/>
      <c r="C56" s="317"/>
      <c r="D56" s="56"/>
    </row>
    <row r="57" spans="1:4" ht="18">
      <c r="A57" s="316"/>
      <c r="B57" s="315"/>
      <c r="C57" s="317"/>
      <c r="D57" s="56"/>
    </row>
    <row r="58" spans="1:4" ht="18">
      <c r="A58" s="315"/>
      <c r="B58" s="315"/>
      <c r="C58" s="317"/>
      <c r="D58" s="56"/>
    </row>
    <row r="59" spans="1:4">
      <c r="A59" s="56"/>
      <c r="B59" s="56"/>
      <c r="C59" s="56"/>
      <c r="D59" s="56"/>
    </row>
    <row r="60" spans="1:4">
      <c r="A60" s="56"/>
      <c r="B60" s="56"/>
      <c r="C60" s="56"/>
      <c r="D60" s="56"/>
    </row>
    <row r="61" spans="1:4">
      <c r="A61" s="56"/>
      <c r="B61" s="56"/>
      <c r="C61" s="56"/>
      <c r="D61" s="56"/>
    </row>
    <row r="62" spans="1:4">
      <c r="A62" s="56"/>
      <c r="B62" s="56"/>
      <c r="C62" s="56"/>
      <c r="D62" s="56"/>
    </row>
    <row r="63" spans="1:4">
      <c r="A63" s="56"/>
      <c r="B63" s="56"/>
      <c r="C63" s="56"/>
      <c r="D63" s="56"/>
    </row>
    <row r="64" spans="1:4">
      <c r="A64" s="56"/>
      <c r="B64" s="56"/>
      <c r="C64" s="56"/>
      <c r="D64" s="56"/>
    </row>
    <row r="65" spans="1:4">
      <c r="A65" s="56"/>
      <c r="B65" s="56"/>
      <c r="C65" s="56"/>
      <c r="D65" s="56"/>
    </row>
    <row r="66" spans="1:4">
      <c r="A66" s="56"/>
      <c r="B66" s="56"/>
      <c r="C66" s="56"/>
      <c r="D66" s="56"/>
    </row>
  </sheetData>
  <mergeCells count="16">
    <mergeCell ref="A17:B17"/>
    <mergeCell ref="A18:B18"/>
    <mergeCell ref="A28:B28"/>
    <mergeCell ref="A29:B29"/>
    <mergeCell ref="A10:B10"/>
    <mergeCell ref="A11:B11"/>
    <mergeCell ref="A13:B13"/>
    <mergeCell ref="A14:B14"/>
    <mergeCell ref="A15:B15"/>
    <mergeCell ref="A16:B16"/>
    <mergeCell ref="A9:B9"/>
    <mergeCell ref="A2:F2"/>
    <mergeCell ref="A5:B5"/>
    <mergeCell ref="A6:B6"/>
    <mergeCell ref="A7:B7"/>
    <mergeCell ref="A8:B8"/>
  </mergeCells>
  <pageMargins left="0.59055118110236227" right="0.59055118110236227" top="0.59055118110236227" bottom="0.39370078740157483"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dimension ref="A1:V137"/>
  <sheetViews>
    <sheetView zoomScale="90" zoomScaleNormal="100" workbookViewId="0">
      <selection activeCell="I24" sqref="I24"/>
    </sheetView>
  </sheetViews>
  <sheetFormatPr defaultRowHeight="12.75"/>
  <cols>
    <col min="1" max="1" width="13" style="441" customWidth="1"/>
    <col min="2" max="2" width="3.140625" style="441" customWidth="1"/>
    <col min="3" max="3" width="3.28515625" style="441" customWidth="1"/>
    <col min="4" max="4" width="10.140625" style="441" customWidth="1"/>
    <col min="5" max="5" width="13" style="441" customWidth="1"/>
    <col min="6" max="6" width="3" style="441" customWidth="1"/>
    <col min="7" max="7" width="1.85546875" style="441" customWidth="1"/>
    <col min="8" max="8" width="2.7109375" style="441" customWidth="1"/>
    <col min="9" max="9" width="14" style="441" bestFit="1" customWidth="1"/>
    <col min="10" max="10" width="4.28515625" style="441" customWidth="1"/>
    <col min="11" max="11" width="8.140625" style="441" customWidth="1"/>
    <col min="12" max="12" width="3" style="441" customWidth="1"/>
    <col min="13" max="13" width="15.140625" style="441" bestFit="1" customWidth="1"/>
    <col min="14" max="14" width="8.42578125" style="441" customWidth="1"/>
    <col min="15" max="15" width="3.28515625" style="441" customWidth="1"/>
    <col min="16" max="16" width="2.140625" style="441" customWidth="1"/>
    <col min="17" max="17" width="3.85546875" style="441" customWidth="1"/>
    <col min="18" max="18" width="7.7109375" style="441" customWidth="1"/>
    <col min="19" max="19" width="3.140625" style="441" customWidth="1"/>
    <col min="20" max="20" width="2.42578125" style="441" customWidth="1"/>
    <col min="21" max="21" width="11.28515625" style="441" bestFit="1" customWidth="1"/>
    <col min="22" max="22" width="11.28515625" style="441" customWidth="1"/>
    <col min="23" max="256" width="9.140625" style="441"/>
    <col min="257" max="257" width="13" style="441" customWidth="1"/>
    <col min="258" max="258" width="3.140625" style="441" customWidth="1"/>
    <col min="259" max="259" width="3.28515625" style="441" customWidth="1"/>
    <col min="260" max="260" width="10.140625" style="441" customWidth="1"/>
    <col min="261" max="261" width="13" style="441" customWidth="1"/>
    <col min="262" max="262" width="3" style="441" customWidth="1"/>
    <col min="263" max="263" width="1.85546875" style="441" customWidth="1"/>
    <col min="264" max="264" width="2.7109375" style="441" customWidth="1"/>
    <col min="265" max="265" width="14" style="441" bestFit="1" customWidth="1"/>
    <col min="266" max="266" width="4.28515625" style="441" customWidth="1"/>
    <col min="267" max="267" width="8.140625" style="441" customWidth="1"/>
    <col min="268" max="268" width="3" style="441" customWidth="1"/>
    <col min="269" max="269" width="15.140625" style="441" bestFit="1" customWidth="1"/>
    <col min="270" max="270" width="8.42578125" style="441" customWidth="1"/>
    <col min="271" max="271" width="3.28515625" style="441" customWidth="1"/>
    <col min="272" max="272" width="2.140625" style="441" customWidth="1"/>
    <col min="273" max="273" width="3.85546875" style="441" customWidth="1"/>
    <col min="274" max="274" width="7.7109375" style="441" customWidth="1"/>
    <col min="275" max="275" width="3.140625" style="441" customWidth="1"/>
    <col min="276" max="276" width="2.42578125" style="441" customWidth="1"/>
    <col min="277" max="277" width="11.28515625" style="441" bestFit="1" customWidth="1"/>
    <col min="278" max="278" width="11.28515625" style="441" customWidth="1"/>
    <col min="279" max="512" width="9.140625" style="441"/>
    <col min="513" max="513" width="13" style="441" customWidth="1"/>
    <col min="514" max="514" width="3.140625" style="441" customWidth="1"/>
    <col min="515" max="515" width="3.28515625" style="441" customWidth="1"/>
    <col min="516" max="516" width="10.140625" style="441" customWidth="1"/>
    <col min="517" max="517" width="13" style="441" customWidth="1"/>
    <col min="518" max="518" width="3" style="441" customWidth="1"/>
    <col min="519" max="519" width="1.85546875" style="441" customWidth="1"/>
    <col min="520" max="520" width="2.7109375" style="441" customWidth="1"/>
    <col min="521" max="521" width="14" style="441" bestFit="1" customWidth="1"/>
    <col min="522" max="522" width="4.28515625" style="441" customWidth="1"/>
    <col min="523" max="523" width="8.140625" style="441" customWidth="1"/>
    <col min="524" max="524" width="3" style="441" customWidth="1"/>
    <col min="525" max="525" width="15.140625" style="441" bestFit="1" customWidth="1"/>
    <col min="526" max="526" width="8.42578125" style="441" customWidth="1"/>
    <col min="527" max="527" width="3.28515625" style="441" customWidth="1"/>
    <col min="528" max="528" width="2.140625" style="441" customWidth="1"/>
    <col min="529" max="529" width="3.85546875" style="441" customWidth="1"/>
    <col min="530" max="530" width="7.7109375" style="441" customWidth="1"/>
    <col min="531" max="531" width="3.140625" style="441" customWidth="1"/>
    <col min="532" max="532" width="2.42578125" style="441" customWidth="1"/>
    <col min="533" max="533" width="11.28515625" style="441" bestFit="1" customWidth="1"/>
    <col min="534" max="534" width="11.28515625" style="441" customWidth="1"/>
    <col min="535" max="768" width="9.140625" style="441"/>
    <col min="769" max="769" width="13" style="441" customWidth="1"/>
    <col min="770" max="770" width="3.140625" style="441" customWidth="1"/>
    <col min="771" max="771" width="3.28515625" style="441" customWidth="1"/>
    <col min="772" max="772" width="10.140625" style="441" customWidth="1"/>
    <col min="773" max="773" width="13" style="441" customWidth="1"/>
    <col min="774" max="774" width="3" style="441" customWidth="1"/>
    <col min="775" max="775" width="1.85546875" style="441" customWidth="1"/>
    <col min="776" max="776" width="2.7109375" style="441" customWidth="1"/>
    <col min="777" max="777" width="14" style="441" bestFit="1" customWidth="1"/>
    <col min="778" max="778" width="4.28515625" style="441" customWidth="1"/>
    <col min="779" max="779" width="8.140625" style="441" customWidth="1"/>
    <col min="780" max="780" width="3" style="441" customWidth="1"/>
    <col min="781" max="781" width="15.140625" style="441" bestFit="1" customWidth="1"/>
    <col min="782" max="782" width="8.42578125" style="441" customWidth="1"/>
    <col min="783" max="783" width="3.28515625" style="441" customWidth="1"/>
    <col min="784" max="784" width="2.140625" style="441" customWidth="1"/>
    <col min="785" max="785" width="3.85546875" style="441" customWidth="1"/>
    <col min="786" max="786" width="7.7109375" style="441" customWidth="1"/>
    <col min="787" max="787" width="3.140625" style="441" customWidth="1"/>
    <col min="788" max="788" width="2.42578125" style="441" customWidth="1"/>
    <col min="789" max="789" width="11.28515625" style="441" bestFit="1" customWidth="1"/>
    <col min="790" max="790" width="11.28515625" style="441" customWidth="1"/>
    <col min="791" max="1024" width="9.140625" style="441"/>
    <col min="1025" max="1025" width="13" style="441" customWidth="1"/>
    <col min="1026" max="1026" width="3.140625" style="441" customWidth="1"/>
    <col min="1027" max="1027" width="3.28515625" style="441" customWidth="1"/>
    <col min="1028" max="1028" width="10.140625" style="441" customWidth="1"/>
    <col min="1029" max="1029" width="13" style="441" customWidth="1"/>
    <col min="1030" max="1030" width="3" style="441" customWidth="1"/>
    <col min="1031" max="1031" width="1.85546875" style="441" customWidth="1"/>
    <col min="1032" max="1032" width="2.7109375" style="441" customWidth="1"/>
    <col min="1033" max="1033" width="14" style="441" bestFit="1" customWidth="1"/>
    <col min="1034" max="1034" width="4.28515625" style="441" customWidth="1"/>
    <col min="1035" max="1035" width="8.140625" style="441" customWidth="1"/>
    <col min="1036" max="1036" width="3" style="441" customWidth="1"/>
    <col min="1037" max="1037" width="15.140625" style="441" bestFit="1" customWidth="1"/>
    <col min="1038" max="1038" width="8.42578125" style="441" customWidth="1"/>
    <col min="1039" max="1039" width="3.28515625" style="441" customWidth="1"/>
    <col min="1040" max="1040" width="2.140625" style="441" customWidth="1"/>
    <col min="1041" max="1041" width="3.85546875" style="441" customWidth="1"/>
    <col min="1042" max="1042" width="7.7109375" style="441" customWidth="1"/>
    <col min="1043" max="1043" width="3.140625" style="441" customWidth="1"/>
    <col min="1044" max="1044" width="2.42578125" style="441" customWidth="1"/>
    <col min="1045" max="1045" width="11.28515625" style="441" bestFit="1" customWidth="1"/>
    <col min="1046" max="1046" width="11.28515625" style="441" customWidth="1"/>
    <col min="1047" max="1280" width="9.140625" style="441"/>
    <col min="1281" max="1281" width="13" style="441" customWidth="1"/>
    <col min="1282" max="1282" width="3.140625" style="441" customWidth="1"/>
    <col min="1283" max="1283" width="3.28515625" style="441" customWidth="1"/>
    <col min="1284" max="1284" width="10.140625" style="441" customWidth="1"/>
    <col min="1285" max="1285" width="13" style="441" customWidth="1"/>
    <col min="1286" max="1286" width="3" style="441" customWidth="1"/>
    <col min="1287" max="1287" width="1.85546875" style="441" customWidth="1"/>
    <col min="1288" max="1288" width="2.7109375" style="441" customWidth="1"/>
    <col min="1289" max="1289" width="14" style="441" bestFit="1" customWidth="1"/>
    <col min="1290" max="1290" width="4.28515625" style="441" customWidth="1"/>
    <col min="1291" max="1291" width="8.140625" style="441" customWidth="1"/>
    <col min="1292" max="1292" width="3" style="441" customWidth="1"/>
    <col min="1293" max="1293" width="15.140625" style="441" bestFit="1" customWidth="1"/>
    <col min="1294" max="1294" width="8.42578125" style="441" customWidth="1"/>
    <col min="1295" max="1295" width="3.28515625" style="441" customWidth="1"/>
    <col min="1296" max="1296" width="2.140625" style="441" customWidth="1"/>
    <col min="1297" max="1297" width="3.85546875" style="441" customWidth="1"/>
    <col min="1298" max="1298" width="7.7109375" style="441" customWidth="1"/>
    <col min="1299" max="1299" width="3.140625" style="441" customWidth="1"/>
    <col min="1300" max="1300" width="2.42578125" style="441" customWidth="1"/>
    <col min="1301" max="1301" width="11.28515625" style="441" bestFit="1" customWidth="1"/>
    <col min="1302" max="1302" width="11.28515625" style="441" customWidth="1"/>
    <col min="1303" max="1536" width="9.140625" style="441"/>
    <col min="1537" max="1537" width="13" style="441" customWidth="1"/>
    <col min="1538" max="1538" width="3.140625" style="441" customWidth="1"/>
    <col min="1539" max="1539" width="3.28515625" style="441" customWidth="1"/>
    <col min="1540" max="1540" width="10.140625" style="441" customWidth="1"/>
    <col min="1541" max="1541" width="13" style="441" customWidth="1"/>
    <col min="1542" max="1542" width="3" style="441" customWidth="1"/>
    <col min="1543" max="1543" width="1.85546875" style="441" customWidth="1"/>
    <col min="1544" max="1544" width="2.7109375" style="441" customWidth="1"/>
    <col min="1545" max="1545" width="14" style="441" bestFit="1" customWidth="1"/>
    <col min="1546" max="1546" width="4.28515625" style="441" customWidth="1"/>
    <col min="1547" max="1547" width="8.140625" style="441" customWidth="1"/>
    <col min="1548" max="1548" width="3" style="441" customWidth="1"/>
    <col min="1549" max="1549" width="15.140625" style="441" bestFit="1" customWidth="1"/>
    <col min="1550" max="1550" width="8.42578125" style="441" customWidth="1"/>
    <col min="1551" max="1551" width="3.28515625" style="441" customWidth="1"/>
    <col min="1552" max="1552" width="2.140625" style="441" customWidth="1"/>
    <col min="1553" max="1553" width="3.85546875" style="441" customWidth="1"/>
    <col min="1554" max="1554" width="7.7109375" style="441" customWidth="1"/>
    <col min="1555" max="1555" width="3.140625" style="441" customWidth="1"/>
    <col min="1556" max="1556" width="2.42578125" style="441" customWidth="1"/>
    <col min="1557" max="1557" width="11.28515625" style="441" bestFit="1" customWidth="1"/>
    <col min="1558" max="1558" width="11.28515625" style="441" customWidth="1"/>
    <col min="1559" max="1792" width="9.140625" style="441"/>
    <col min="1793" max="1793" width="13" style="441" customWidth="1"/>
    <col min="1794" max="1794" width="3.140625" style="441" customWidth="1"/>
    <col min="1795" max="1795" width="3.28515625" style="441" customWidth="1"/>
    <col min="1796" max="1796" width="10.140625" style="441" customWidth="1"/>
    <col min="1797" max="1797" width="13" style="441" customWidth="1"/>
    <col min="1798" max="1798" width="3" style="441" customWidth="1"/>
    <col min="1799" max="1799" width="1.85546875" style="441" customWidth="1"/>
    <col min="1800" max="1800" width="2.7109375" style="441" customWidth="1"/>
    <col min="1801" max="1801" width="14" style="441" bestFit="1" customWidth="1"/>
    <col min="1802" max="1802" width="4.28515625" style="441" customWidth="1"/>
    <col min="1803" max="1803" width="8.140625" style="441" customWidth="1"/>
    <col min="1804" max="1804" width="3" style="441" customWidth="1"/>
    <col min="1805" max="1805" width="15.140625" style="441" bestFit="1" customWidth="1"/>
    <col min="1806" max="1806" width="8.42578125" style="441" customWidth="1"/>
    <col min="1807" max="1807" width="3.28515625" style="441" customWidth="1"/>
    <col min="1808" max="1808" width="2.140625" style="441" customWidth="1"/>
    <col min="1809" max="1809" width="3.85546875" style="441" customWidth="1"/>
    <col min="1810" max="1810" width="7.7109375" style="441" customWidth="1"/>
    <col min="1811" max="1811" width="3.140625" style="441" customWidth="1"/>
    <col min="1812" max="1812" width="2.42578125" style="441" customWidth="1"/>
    <col min="1813" max="1813" width="11.28515625" style="441" bestFit="1" customWidth="1"/>
    <col min="1814" max="1814" width="11.28515625" style="441" customWidth="1"/>
    <col min="1815" max="2048" width="9.140625" style="441"/>
    <col min="2049" max="2049" width="13" style="441" customWidth="1"/>
    <col min="2050" max="2050" width="3.140625" style="441" customWidth="1"/>
    <col min="2051" max="2051" width="3.28515625" style="441" customWidth="1"/>
    <col min="2052" max="2052" width="10.140625" style="441" customWidth="1"/>
    <col min="2053" max="2053" width="13" style="441" customWidth="1"/>
    <col min="2054" max="2054" width="3" style="441" customWidth="1"/>
    <col min="2055" max="2055" width="1.85546875" style="441" customWidth="1"/>
    <col min="2056" max="2056" width="2.7109375" style="441" customWidth="1"/>
    <col min="2057" max="2057" width="14" style="441" bestFit="1" customWidth="1"/>
    <col min="2058" max="2058" width="4.28515625" style="441" customWidth="1"/>
    <col min="2059" max="2059" width="8.140625" style="441" customWidth="1"/>
    <col min="2060" max="2060" width="3" style="441" customWidth="1"/>
    <col min="2061" max="2061" width="15.140625" style="441" bestFit="1" customWidth="1"/>
    <col min="2062" max="2062" width="8.42578125" style="441" customWidth="1"/>
    <col min="2063" max="2063" width="3.28515625" style="441" customWidth="1"/>
    <col min="2064" max="2064" width="2.140625" style="441" customWidth="1"/>
    <col min="2065" max="2065" width="3.85546875" style="441" customWidth="1"/>
    <col min="2066" max="2066" width="7.7109375" style="441" customWidth="1"/>
    <col min="2067" max="2067" width="3.140625" style="441" customWidth="1"/>
    <col min="2068" max="2068" width="2.42578125" style="441" customWidth="1"/>
    <col min="2069" max="2069" width="11.28515625" style="441" bestFit="1" customWidth="1"/>
    <col min="2070" max="2070" width="11.28515625" style="441" customWidth="1"/>
    <col min="2071" max="2304" width="9.140625" style="441"/>
    <col min="2305" max="2305" width="13" style="441" customWidth="1"/>
    <col min="2306" max="2306" width="3.140625" style="441" customWidth="1"/>
    <col min="2307" max="2307" width="3.28515625" style="441" customWidth="1"/>
    <col min="2308" max="2308" width="10.140625" style="441" customWidth="1"/>
    <col min="2309" max="2309" width="13" style="441" customWidth="1"/>
    <col min="2310" max="2310" width="3" style="441" customWidth="1"/>
    <col min="2311" max="2311" width="1.85546875" style="441" customWidth="1"/>
    <col min="2312" max="2312" width="2.7109375" style="441" customWidth="1"/>
    <col min="2313" max="2313" width="14" style="441" bestFit="1" customWidth="1"/>
    <col min="2314" max="2314" width="4.28515625" style="441" customWidth="1"/>
    <col min="2315" max="2315" width="8.140625" style="441" customWidth="1"/>
    <col min="2316" max="2316" width="3" style="441" customWidth="1"/>
    <col min="2317" max="2317" width="15.140625" style="441" bestFit="1" customWidth="1"/>
    <col min="2318" max="2318" width="8.42578125" style="441" customWidth="1"/>
    <col min="2319" max="2319" width="3.28515625" style="441" customWidth="1"/>
    <col min="2320" max="2320" width="2.140625" style="441" customWidth="1"/>
    <col min="2321" max="2321" width="3.85546875" style="441" customWidth="1"/>
    <col min="2322" max="2322" width="7.7109375" style="441" customWidth="1"/>
    <col min="2323" max="2323" width="3.140625" style="441" customWidth="1"/>
    <col min="2324" max="2324" width="2.42578125" style="441" customWidth="1"/>
    <col min="2325" max="2325" width="11.28515625" style="441" bestFit="1" customWidth="1"/>
    <col min="2326" max="2326" width="11.28515625" style="441" customWidth="1"/>
    <col min="2327" max="2560" width="9.140625" style="441"/>
    <col min="2561" max="2561" width="13" style="441" customWidth="1"/>
    <col min="2562" max="2562" width="3.140625" style="441" customWidth="1"/>
    <col min="2563" max="2563" width="3.28515625" style="441" customWidth="1"/>
    <col min="2564" max="2564" width="10.140625" style="441" customWidth="1"/>
    <col min="2565" max="2565" width="13" style="441" customWidth="1"/>
    <col min="2566" max="2566" width="3" style="441" customWidth="1"/>
    <col min="2567" max="2567" width="1.85546875" style="441" customWidth="1"/>
    <col min="2568" max="2568" width="2.7109375" style="441" customWidth="1"/>
    <col min="2569" max="2569" width="14" style="441" bestFit="1" customWidth="1"/>
    <col min="2570" max="2570" width="4.28515625" style="441" customWidth="1"/>
    <col min="2571" max="2571" width="8.140625" style="441" customWidth="1"/>
    <col min="2572" max="2572" width="3" style="441" customWidth="1"/>
    <col min="2573" max="2573" width="15.140625" style="441" bestFit="1" customWidth="1"/>
    <col min="2574" max="2574" width="8.42578125" style="441" customWidth="1"/>
    <col min="2575" max="2575" width="3.28515625" style="441" customWidth="1"/>
    <col min="2576" max="2576" width="2.140625" style="441" customWidth="1"/>
    <col min="2577" max="2577" width="3.85546875" style="441" customWidth="1"/>
    <col min="2578" max="2578" width="7.7109375" style="441" customWidth="1"/>
    <col min="2579" max="2579" width="3.140625" style="441" customWidth="1"/>
    <col min="2580" max="2580" width="2.42578125" style="441" customWidth="1"/>
    <col min="2581" max="2581" width="11.28515625" style="441" bestFit="1" customWidth="1"/>
    <col min="2582" max="2582" width="11.28515625" style="441" customWidth="1"/>
    <col min="2583" max="2816" width="9.140625" style="441"/>
    <col min="2817" max="2817" width="13" style="441" customWidth="1"/>
    <col min="2818" max="2818" width="3.140625" style="441" customWidth="1"/>
    <col min="2819" max="2819" width="3.28515625" style="441" customWidth="1"/>
    <col min="2820" max="2820" width="10.140625" style="441" customWidth="1"/>
    <col min="2821" max="2821" width="13" style="441" customWidth="1"/>
    <col min="2822" max="2822" width="3" style="441" customWidth="1"/>
    <col min="2823" max="2823" width="1.85546875" style="441" customWidth="1"/>
    <col min="2824" max="2824" width="2.7109375" style="441" customWidth="1"/>
    <col min="2825" max="2825" width="14" style="441" bestFit="1" customWidth="1"/>
    <col min="2826" max="2826" width="4.28515625" style="441" customWidth="1"/>
    <col min="2827" max="2827" width="8.140625" style="441" customWidth="1"/>
    <col min="2828" max="2828" width="3" style="441" customWidth="1"/>
    <col min="2829" max="2829" width="15.140625" style="441" bestFit="1" customWidth="1"/>
    <col min="2830" max="2830" width="8.42578125" style="441" customWidth="1"/>
    <col min="2831" max="2831" width="3.28515625" style="441" customWidth="1"/>
    <col min="2832" max="2832" width="2.140625" style="441" customWidth="1"/>
    <col min="2833" max="2833" width="3.85546875" style="441" customWidth="1"/>
    <col min="2834" max="2834" width="7.7109375" style="441" customWidth="1"/>
    <col min="2835" max="2835" width="3.140625" style="441" customWidth="1"/>
    <col min="2836" max="2836" width="2.42578125" style="441" customWidth="1"/>
    <col min="2837" max="2837" width="11.28515625" style="441" bestFit="1" customWidth="1"/>
    <col min="2838" max="2838" width="11.28515625" style="441" customWidth="1"/>
    <col min="2839" max="3072" width="9.140625" style="441"/>
    <col min="3073" max="3073" width="13" style="441" customWidth="1"/>
    <col min="3074" max="3074" width="3.140625" style="441" customWidth="1"/>
    <col min="3075" max="3075" width="3.28515625" style="441" customWidth="1"/>
    <col min="3076" max="3076" width="10.140625" style="441" customWidth="1"/>
    <col min="3077" max="3077" width="13" style="441" customWidth="1"/>
    <col min="3078" max="3078" width="3" style="441" customWidth="1"/>
    <col min="3079" max="3079" width="1.85546875" style="441" customWidth="1"/>
    <col min="3080" max="3080" width="2.7109375" style="441" customWidth="1"/>
    <col min="3081" max="3081" width="14" style="441" bestFit="1" customWidth="1"/>
    <col min="3082" max="3082" width="4.28515625" style="441" customWidth="1"/>
    <col min="3083" max="3083" width="8.140625" style="441" customWidth="1"/>
    <col min="3084" max="3084" width="3" style="441" customWidth="1"/>
    <col min="3085" max="3085" width="15.140625" style="441" bestFit="1" customWidth="1"/>
    <col min="3086" max="3086" width="8.42578125" style="441" customWidth="1"/>
    <col min="3087" max="3087" width="3.28515625" style="441" customWidth="1"/>
    <col min="3088" max="3088" width="2.140625" style="441" customWidth="1"/>
    <col min="3089" max="3089" width="3.85546875" style="441" customWidth="1"/>
    <col min="3090" max="3090" width="7.7109375" style="441" customWidth="1"/>
    <col min="3091" max="3091" width="3.140625" style="441" customWidth="1"/>
    <col min="3092" max="3092" width="2.42578125" style="441" customWidth="1"/>
    <col min="3093" max="3093" width="11.28515625" style="441" bestFit="1" customWidth="1"/>
    <col min="3094" max="3094" width="11.28515625" style="441" customWidth="1"/>
    <col min="3095" max="3328" width="9.140625" style="441"/>
    <col min="3329" max="3329" width="13" style="441" customWidth="1"/>
    <col min="3330" max="3330" width="3.140625" style="441" customWidth="1"/>
    <col min="3331" max="3331" width="3.28515625" style="441" customWidth="1"/>
    <col min="3332" max="3332" width="10.140625" style="441" customWidth="1"/>
    <col min="3333" max="3333" width="13" style="441" customWidth="1"/>
    <col min="3334" max="3334" width="3" style="441" customWidth="1"/>
    <col min="3335" max="3335" width="1.85546875" style="441" customWidth="1"/>
    <col min="3336" max="3336" width="2.7109375" style="441" customWidth="1"/>
    <col min="3337" max="3337" width="14" style="441" bestFit="1" customWidth="1"/>
    <col min="3338" max="3338" width="4.28515625" style="441" customWidth="1"/>
    <col min="3339" max="3339" width="8.140625" style="441" customWidth="1"/>
    <col min="3340" max="3340" width="3" style="441" customWidth="1"/>
    <col min="3341" max="3341" width="15.140625" style="441" bestFit="1" customWidth="1"/>
    <col min="3342" max="3342" width="8.42578125" style="441" customWidth="1"/>
    <col min="3343" max="3343" width="3.28515625" style="441" customWidth="1"/>
    <col min="3344" max="3344" width="2.140625" style="441" customWidth="1"/>
    <col min="3345" max="3345" width="3.85546875" style="441" customWidth="1"/>
    <col min="3346" max="3346" width="7.7109375" style="441" customWidth="1"/>
    <col min="3347" max="3347" width="3.140625" style="441" customWidth="1"/>
    <col min="3348" max="3348" width="2.42578125" style="441" customWidth="1"/>
    <col min="3349" max="3349" width="11.28515625" style="441" bestFit="1" customWidth="1"/>
    <col min="3350" max="3350" width="11.28515625" style="441" customWidth="1"/>
    <col min="3351" max="3584" width="9.140625" style="441"/>
    <col min="3585" max="3585" width="13" style="441" customWidth="1"/>
    <col min="3586" max="3586" width="3.140625" style="441" customWidth="1"/>
    <col min="3587" max="3587" width="3.28515625" style="441" customWidth="1"/>
    <col min="3588" max="3588" width="10.140625" style="441" customWidth="1"/>
    <col min="3589" max="3589" width="13" style="441" customWidth="1"/>
    <col min="3590" max="3590" width="3" style="441" customWidth="1"/>
    <col min="3591" max="3591" width="1.85546875" style="441" customWidth="1"/>
    <col min="3592" max="3592" width="2.7109375" style="441" customWidth="1"/>
    <col min="3593" max="3593" width="14" style="441" bestFit="1" customWidth="1"/>
    <col min="3594" max="3594" width="4.28515625" style="441" customWidth="1"/>
    <col min="3595" max="3595" width="8.140625" style="441" customWidth="1"/>
    <col min="3596" max="3596" width="3" style="441" customWidth="1"/>
    <col min="3597" max="3597" width="15.140625" style="441" bestFit="1" customWidth="1"/>
    <col min="3598" max="3598" width="8.42578125" style="441" customWidth="1"/>
    <col min="3599" max="3599" width="3.28515625" style="441" customWidth="1"/>
    <col min="3600" max="3600" width="2.140625" style="441" customWidth="1"/>
    <col min="3601" max="3601" width="3.85546875" style="441" customWidth="1"/>
    <col min="3602" max="3602" width="7.7109375" style="441" customWidth="1"/>
    <col min="3603" max="3603" width="3.140625" style="441" customWidth="1"/>
    <col min="3604" max="3604" width="2.42578125" style="441" customWidth="1"/>
    <col min="3605" max="3605" width="11.28515625" style="441" bestFit="1" customWidth="1"/>
    <col min="3606" max="3606" width="11.28515625" style="441" customWidth="1"/>
    <col min="3607" max="3840" width="9.140625" style="441"/>
    <col min="3841" max="3841" width="13" style="441" customWidth="1"/>
    <col min="3842" max="3842" width="3.140625" style="441" customWidth="1"/>
    <col min="3843" max="3843" width="3.28515625" style="441" customWidth="1"/>
    <col min="3844" max="3844" width="10.140625" style="441" customWidth="1"/>
    <col min="3845" max="3845" width="13" style="441" customWidth="1"/>
    <col min="3846" max="3846" width="3" style="441" customWidth="1"/>
    <col min="3847" max="3847" width="1.85546875" style="441" customWidth="1"/>
    <col min="3848" max="3848" width="2.7109375" style="441" customWidth="1"/>
    <col min="3849" max="3849" width="14" style="441" bestFit="1" customWidth="1"/>
    <col min="3850" max="3850" width="4.28515625" style="441" customWidth="1"/>
    <col min="3851" max="3851" width="8.140625" style="441" customWidth="1"/>
    <col min="3852" max="3852" width="3" style="441" customWidth="1"/>
    <col min="3853" max="3853" width="15.140625" style="441" bestFit="1" customWidth="1"/>
    <col min="3854" max="3854" width="8.42578125" style="441" customWidth="1"/>
    <col min="3855" max="3855" width="3.28515625" style="441" customWidth="1"/>
    <col min="3856" max="3856" width="2.140625" style="441" customWidth="1"/>
    <col min="3857" max="3857" width="3.85546875" style="441" customWidth="1"/>
    <col min="3858" max="3858" width="7.7109375" style="441" customWidth="1"/>
    <col min="3859" max="3859" width="3.140625" style="441" customWidth="1"/>
    <col min="3860" max="3860" width="2.42578125" style="441" customWidth="1"/>
    <col min="3861" max="3861" width="11.28515625" style="441" bestFit="1" customWidth="1"/>
    <col min="3862" max="3862" width="11.28515625" style="441" customWidth="1"/>
    <col min="3863" max="4096" width="9.140625" style="441"/>
    <col min="4097" max="4097" width="13" style="441" customWidth="1"/>
    <col min="4098" max="4098" width="3.140625" style="441" customWidth="1"/>
    <col min="4099" max="4099" width="3.28515625" style="441" customWidth="1"/>
    <col min="4100" max="4100" width="10.140625" style="441" customWidth="1"/>
    <col min="4101" max="4101" width="13" style="441" customWidth="1"/>
    <col min="4102" max="4102" width="3" style="441" customWidth="1"/>
    <col min="4103" max="4103" width="1.85546875" style="441" customWidth="1"/>
    <col min="4104" max="4104" width="2.7109375" style="441" customWidth="1"/>
    <col min="4105" max="4105" width="14" style="441" bestFit="1" customWidth="1"/>
    <col min="4106" max="4106" width="4.28515625" style="441" customWidth="1"/>
    <col min="4107" max="4107" width="8.140625" style="441" customWidth="1"/>
    <col min="4108" max="4108" width="3" style="441" customWidth="1"/>
    <col min="4109" max="4109" width="15.140625" style="441" bestFit="1" customWidth="1"/>
    <col min="4110" max="4110" width="8.42578125" style="441" customWidth="1"/>
    <col min="4111" max="4111" width="3.28515625" style="441" customWidth="1"/>
    <col min="4112" max="4112" width="2.140625" style="441" customWidth="1"/>
    <col min="4113" max="4113" width="3.85546875" style="441" customWidth="1"/>
    <col min="4114" max="4114" width="7.7109375" style="441" customWidth="1"/>
    <col min="4115" max="4115" width="3.140625" style="441" customWidth="1"/>
    <col min="4116" max="4116" width="2.42578125" style="441" customWidth="1"/>
    <col min="4117" max="4117" width="11.28515625" style="441" bestFit="1" customWidth="1"/>
    <col min="4118" max="4118" width="11.28515625" style="441" customWidth="1"/>
    <col min="4119" max="4352" width="9.140625" style="441"/>
    <col min="4353" max="4353" width="13" style="441" customWidth="1"/>
    <col min="4354" max="4354" width="3.140625" style="441" customWidth="1"/>
    <col min="4355" max="4355" width="3.28515625" style="441" customWidth="1"/>
    <col min="4356" max="4356" width="10.140625" style="441" customWidth="1"/>
    <col min="4357" max="4357" width="13" style="441" customWidth="1"/>
    <col min="4358" max="4358" width="3" style="441" customWidth="1"/>
    <col min="4359" max="4359" width="1.85546875" style="441" customWidth="1"/>
    <col min="4360" max="4360" width="2.7109375" style="441" customWidth="1"/>
    <col min="4361" max="4361" width="14" style="441" bestFit="1" customWidth="1"/>
    <col min="4362" max="4362" width="4.28515625" style="441" customWidth="1"/>
    <col min="4363" max="4363" width="8.140625" style="441" customWidth="1"/>
    <col min="4364" max="4364" width="3" style="441" customWidth="1"/>
    <col min="4365" max="4365" width="15.140625" style="441" bestFit="1" customWidth="1"/>
    <col min="4366" max="4366" width="8.42578125" style="441" customWidth="1"/>
    <col min="4367" max="4367" width="3.28515625" style="441" customWidth="1"/>
    <col min="4368" max="4368" width="2.140625" style="441" customWidth="1"/>
    <col min="4369" max="4369" width="3.85546875" style="441" customWidth="1"/>
    <col min="4370" max="4370" width="7.7109375" style="441" customWidth="1"/>
    <col min="4371" max="4371" width="3.140625" style="441" customWidth="1"/>
    <col min="4372" max="4372" width="2.42578125" style="441" customWidth="1"/>
    <col min="4373" max="4373" width="11.28515625" style="441" bestFit="1" customWidth="1"/>
    <col min="4374" max="4374" width="11.28515625" style="441" customWidth="1"/>
    <col min="4375" max="4608" width="9.140625" style="441"/>
    <col min="4609" max="4609" width="13" style="441" customWidth="1"/>
    <col min="4610" max="4610" width="3.140625" style="441" customWidth="1"/>
    <col min="4611" max="4611" width="3.28515625" style="441" customWidth="1"/>
    <col min="4612" max="4612" width="10.140625" style="441" customWidth="1"/>
    <col min="4613" max="4613" width="13" style="441" customWidth="1"/>
    <col min="4614" max="4614" width="3" style="441" customWidth="1"/>
    <col min="4615" max="4615" width="1.85546875" style="441" customWidth="1"/>
    <col min="4616" max="4616" width="2.7109375" style="441" customWidth="1"/>
    <col min="4617" max="4617" width="14" style="441" bestFit="1" customWidth="1"/>
    <col min="4618" max="4618" width="4.28515625" style="441" customWidth="1"/>
    <col min="4619" max="4619" width="8.140625" style="441" customWidth="1"/>
    <col min="4620" max="4620" width="3" style="441" customWidth="1"/>
    <col min="4621" max="4621" width="15.140625" style="441" bestFit="1" customWidth="1"/>
    <col min="4622" max="4622" width="8.42578125" style="441" customWidth="1"/>
    <col min="4623" max="4623" width="3.28515625" style="441" customWidth="1"/>
    <col min="4624" max="4624" width="2.140625" style="441" customWidth="1"/>
    <col min="4625" max="4625" width="3.85546875" style="441" customWidth="1"/>
    <col min="4626" max="4626" width="7.7109375" style="441" customWidth="1"/>
    <col min="4627" max="4627" width="3.140625" style="441" customWidth="1"/>
    <col min="4628" max="4628" width="2.42578125" style="441" customWidth="1"/>
    <col min="4629" max="4629" width="11.28515625" style="441" bestFit="1" customWidth="1"/>
    <col min="4630" max="4630" width="11.28515625" style="441" customWidth="1"/>
    <col min="4631" max="4864" width="9.140625" style="441"/>
    <col min="4865" max="4865" width="13" style="441" customWidth="1"/>
    <col min="4866" max="4866" width="3.140625" style="441" customWidth="1"/>
    <col min="4867" max="4867" width="3.28515625" style="441" customWidth="1"/>
    <col min="4868" max="4868" width="10.140625" style="441" customWidth="1"/>
    <col min="4869" max="4869" width="13" style="441" customWidth="1"/>
    <col min="4870" max="4870" width="3" style="441" customWidth="1"/>
    <col min="4871" max="4871" width="1.85546875" style="441" customWidth="1"/>
    <col min="4872" max="4872" width="2.7109375" style="441" customWidth="1"/>
    <col min="4873" max="4873" width="14" style="441" bestFit="1" customWidth="1"/>
    <col min="4874" max="4874" width="4.28515625" style="441" customWidth="1"/>
    <col min="4875" max="4875" width="8.140625" style="441" customWidth="1"/>
    <col min="4876" max="4876" width="3" style="441" customWidth="1"/>
    <col min="4877" max="4877" width="15.140625" style="441" bestFit="1" customWidth="1"/>
    <col min="4878" max="4878" width="8.42578125" style="441" customWidth="1"/>
    <col min="4879" max="4879" width="3.28515625" style="441" customWidth="1"/>
    <col min="4880" max="4880" width="2.140625" style="441" customWidth="1"/>
    <col min="4881" max="4881" width="3.85546875" style="441" customWidth="1"/>
    <col min="4882" max="4882" width="7.7109375" style="441" customWidth="1"/>
    <col min="4883" max="4883" width="3.140625" style="441" customWidth="1"/>
    <col min="4884" max="4884" width="2.42578125" style="441" customWidth="1"/>
    <col min="4885" max="4885" width="11.28515625" style="441" bestFit="1" customWidth="1"/>
    <col min="4886" max="4886" width="11.28515625" style="441" customWidth="1"/>
    <col min="4887" max="5120" width="9.140625" style="441"/>
    <col min="5121" max="5121" width="13" style="441" customWidth="1"/>
    <col min="5122" max="5122" width="3.140625" style="441" customWidth="1"/>
    <col min="5123" max="5123" width="3.28515625" style="441" customWidth="1"/>
    <col min="5124" max="5124" width="10.140625" style="441" customWidth="1"/>
    <col min="5125" max="5125" width="13" style="441" customWidth="1"/>
    <col min="5126" max="5126" width="3" style="441" customWidth="1"/>
    <col min="5127" max="5127" width="1.85546875" style="441" customWidth="1"/>
    <col min="5128" max="5128" width="2.7109375" style="441" customWidth="1"/>
    <col min="5129" max="5129" width="14" style="441" bestFit="1" customWidth="1"/>
    <col min="5130" max="5130" width="4.28515625" style="441" customWidth="1"/>
    <col min="5131" max="5131" width="8.140625" style="441" customWidth="1"/>
    <col min="5132" max="5132" width="3" style="441" customWidth="1"/>
    <col min="5133" max="5133" width="15.140625" style="441" bestFit="1" customWidth="1"/>
    <col min="5134" max="5134" width="8.42578125" style="441" customWidth="1"/>
    <col min="5135" max="5135" width="3.28515625" style="441" customWidth="1"/>
    <col min="5136" max="5136" width="2.140625" style="441" customWidth="1"/>
    <col min="5137" max="5137" width="3.85546875" style="441" customWidth="1"/>
    <col min="5138" max="5138" width="7.7109375" style="441" customWidth="1"/>
    <col min="5139" max="5139" width="3.140625" style="441" customWidth="1"/>
    <col min="5140" max="5140" width="2.42578125" style="441" customWidth="1"/>
    <col min="5141" max="5141" width="11.28515625" style="441" bestFit="1" customWidth="1"/>
    <col min="5142" max="5142" width="11.28515625" style="441" customWidth="1"/>
    <col min="5143" max="5376" width="9.140625" style="441"/>
    <col min="5377" max="5377" width="13" style="441" customWidth="1"/>
    <col min="5378" max="5378" width="3.140625" style="441" customWidth="1"/>
    <col min="5379" max="5379" width="3.28515625" style="441" customWidth="1"/>
    <col min="5380" max="5380" width="10.140625" style="441" customWidth="1"/>
    <col min="5381" max="5381" width="13" style="441" customWidth="1"/>
    <col min="5382" max="5382" width="3" style="441" customWidth="1"/>
    <col min="5383" max="5383" width="1.85546875" style="441" customWidth="1"/>
    <col min="5384" max="5384" width="2.7109375" style="441" customWidth="1"/>
    <col min="5385" max="5385" width="14" style="441" bestFit="1" customWidth="1"/>
    <col min="5386" max="5386" width="4.28515625" style="441" customWidth="1"/>
    <col min="5387" max="5387" width="8.140625" style="441" customWidth="1"/>
    <col min="5388" max="5388" width="3" style="441" customWidth="1"/>
    <col min="5389" max="5389" width="15.140625" style="441" bestFit="1" customWidth="1"/>
    <col min="5390" max="5390" width="8.42578125" style="441" customWidth="1"/>
    <col min="5391" max="5391" width="3.28515625" style="441" customWidth="1"/>
    <col min="5392" max="5392" width="2.140625" style="441" customWidth="1"/>
    <col min="5393" max="5393" width="3.85546875" style="441" customWidth="1"/>
    <col min="5394" max="5394" width="7.7109375" style="441" customWidth="1"/>
    <col min="5395" max="5395" width="3.140625" style="441" customWidth="1"/>
    <col min="5396" max="5396" width="2.42578125" style="441" customWidth="1"/>
    <col min="5397" max="5397" width="11.28515625" style="441" bestFit="1" customWidth="1"/>
    <col min="5398" max="5398" width="11.28515625" style="441" customWidth="1"/>
    <col min="5399" max="5632" width="9.140625" style="441"/>
    <col min="5633" max="5633" width="13" style="441" customWidth="1"/>
    <col min="5634" max="5634" width="3.140625" style="441" customWidth="1"/>
    <col min="5635" max="5635" width="3.28515625" style="441" customWidth="1"/>
    <col min="5636" max="5636" width="10.140625" style="441" customWidth="1"/>
    <col min="5637" max="5637" width="13" style="441" customWidth="1"/>
    <col min="5638" max="5638" width="3" style="441" customWidth="1"/>
    <col min="5639" max="5639" width="1.85546875" style="441" customWidth="1"/>
    <col min="5640" max="5640" width="2.7109375" style="441" customWidth="1"/>
    <col min="5641" max="5641" width="14" style="441" bestFit="1" customWidth="1"/>
    <col min="5642" max="5642" width="4.28515625" style="441" customWidth="1"/>
    <col min="5643" max="5643" width="8.140625" style="441" customWidth="1"/>
    <col min="5644" max="5644" width="3" style="441" customWidth="1"/>
    <col min="5645" max="5645" width="15.140625" style="441" bestFit="1" customWidth="1"/>
    <col min="5646" max="5646" width="8.42578125" style="441" customWidth="1"/>
    <col min="5647" max="5647" width="3.28515625" style="441" customWidth="1"/>
    <col min="5648" max="5648" width="2.140625" style="441" customWidth="1"/>
    <col min="5649" max="5649" width="3.85546875" style="441" customWidth="1"/>
    <col min="5650" max="5650" width="7.7109375" style="441" customWidth="1"/>
    <col min="5651" max="5651" width="3.140625" style="441" customWidth="1"/>
    <col min="5652" max="5652" width="2.42578125" style="441" customWidth="1"/>
    <col min="5653" max="5653" width="11.28515625" style="441" bestFit="1" customWidth="1"/>
    <col min="5654" max="5654" width="11.28515625" style="441" customWidth="1"/>
    <col min="5655" max="5888" width="9.140625" style="441"/>
    <col min="5889" max="5889" width="13" style="441" customWidth="1"/>
    <col min="5890" max="5890" width="3.140625" style="441" customWidth="1"/>
    <col min="5891" max="5891" width="3.28515625" style="441" customWidth="1"/>
    <col min="5892" max="5892" width="10.140625" style="441" customWidth="1"/>
    <col min="5893" max="5893" width="13" style="441" customWidth="1"/>
    <col min="5894" max="5894" width="3" style="441" customWidth="1"/>
    <col min="5895" max="5895" width="1.85546875" style="441" customWidth="1"/>
    <col min="5896" max="5896" width="2.7109375" style="441" customWidth="1"/>
    <col min="5897" max="5897" width="14" style="441" bestFit="1" customWidth="1"/>
    <col min="5898" max="5898" width="4.28515625" style="441" customWidth="1"/>
    <col min="5899" max="5899" width="8.140625" style="441" customWidth="1"/>
    <col min="5900" max="5900" width="3" style="441" customWidth="1"/>
    <col min="5901" max="5901" width="15.140625" style="441" bestFit="1" customWidth="1"/>
    <col min="5902" max="5902" width="8.42578125" style="441" customWidth="1"/>
    <col min="5903" max="5903" width="3.28515625" style="441" customWidth="1"/>
    <col min="5904" max="5904" width="2.140625" style="441" customWidth="1"/>
    <col min="5905" max="5905" width="3.85546875" style="441" customWidth="1"/>
    <col min="5906" max="5906" width="7.7109375" style="441" customWidth="1"/>
    <col min="5907" max="5907" width="3.140625" style="441" customWidth="1"/>
    <col min="5908" max="5908" width="2.42578125" style="441" customWidth="1"/>
    <col min="5909" max="5909" width="11.28515625" style="441" bestFit="1" customWidth="1"/>
    <col min="5910" max="5910" width="11.28515625" style="441" customWidth="1"/>
    <col min="5911" max="6144" width="9.140625" style="441"/>
    <col min="6145" max="6145" width="13" style="441" customWidth="1"/>
    <col min="6146" max="6146" width="3.140625" style="441" customWidth="1"/>
    <col min="6147" max="6147" width="3.28515625" style="441" customWidth="1"/>
    <col min="6148" max="6148" width="10.140625" style="441" customWidth="1"/>
    <col min="6149" max="6149" width="13" style="441" customWidth="1"/>
    <col min="6150" max="6150" width="3" style="441" customWidth="1"/>
    <col min="6151" max="6151" width="1.85546875" style="441" customWidth="1"/>
    <col min="6152" max="6152" width="2.7109375" style="441" customWidth="1"/>
    <col min="6153" max="6153" width="14" style="441" bestFit="1" customWidth="1"/>
    <col min="6154" max="6154" width="4.28515625" style="441" customWidth="1"/>
    <col min="6155" max="6155" width="8.140625" style="441" customWidth="1"/>
    <col min="6156" max="6156" width="3" style="441" customWidth="1"/>
    <col min="6157" max="6157" width="15.140625" style="441" bestFit="1" customWidth="1"/>
    <col min="6158" max="6158" width="8.42578125" style="441" customWidth="1"/>
    <col min="6159" max="6159" width="3.28515625" style="441" customWidth="1"/>
    <col min="6160" max="6160" width="2.140625" style="441" customWidth="1"/>
    <col min="6161" max="6161" width="3.85546875" style="441" customWidth="1"/>
    <col min="6162" max="6162" width="7.7109375" style="441" customWidth="1"/>
    <col min="6163" max="6163" width="3.140625" style="441" customWidth="1"/>
    <col min="6164" max="6164" width="2.42578125" style="441" customWidth="1"/>
    <col min="6165" max="6165" width="11.28515625" style="441" bestFit="1" customWidth="1"/>
    <col min="6166" max="6166" width="11.28515625" style="441" customWidth="1"/>
    <col min="6167" max="6400" width="9.140625" style="441"/>
    <col min="6401" max="6401" width="13" style="441" customWidth="1"/>
    <col min="6402" max="6402" width="3.140625" style="441" customWidth="1"/>
    <col min="6403" max="6403" width="3.28515625" style="441" customWidth="1"/>
    <col min="6404" max="6404" width="10.140625" style="441" customWidth="1"/>
    <col min="6405" max="6405" width="13" style="441" customWidth="1"/>
    <col min="6406" max="6406" width="3" style="441" customWidth="1"/>
    <col min="6407" max="6407" width="1.85546875" style="441" customWidth="1"/>
    <col min="6408" max="6408" width="2.7109375" style="441" customWidth="1"/>
    <col min="6409" max="6409" width="14" style="441" bestFit="1" customWidth="1"/>
    <col min="6410" max="6410" width="4.28515625" style="441" customWidth="1"/>
    <col min="6411" max="6411" width="8.140625" style="441" customWidth="1"/>
    <col min="6412" max="6412" width="3" style="441" customWidth="1"/>
    <col min="6413" max="6413" width="15.140625" style="441" bestFit="1" customWidth="1"/>
    <col min="6414" max="6414" width="8.42578125" style="441" customWidth="1"/>
    <col min="6415" max="6415" width="3.28515625" style="441" customWidth="1"/>
    <col min="6416" max="6416" width="2.140625" style="441" customWidth="1"/>
    <col min="6417" max="6417" width="3.85546875" style="441" customWidth="1"/>
    <col min="6418" max="6418" width="7.7109375" style="441" customWidth="1"/>
    <col min="6419" max="6419" width="3.140625" style="441" customWidth="1"/>
    <col min="6420" max="6420" width="2.42578125" style="441" customWidth="1"/>
    <col min="6421" max="6421" width="11.28515625" style="441" bestFit="1" customWidth="1"/>
    <col min="6422" max="6422" width="11.28515625" style="441" customWidth="1"/>
    <col min="6423" max="6656" width="9.140625" style="441"/>
    <col min="6657" max="6657" width="13" style="441" customWidth="1"/>
    <col min="6658" max="6658" width="3.140625" style="441" customWidth="1"/>
    <col min="6659" max="6659" width="3.28515625" style="441" customWidth="1"/>
    <col min="6660" max="6660" width="10.140625" style="441" customWidth="1"/>
    <col min="6661" max="6661" width="13" style="441" customWidth="1"/>
    <col min="6662" max="6662" width="3" style="441" customWidth="1"/>
    <col min="6663" max="6663" width="1.85546875" style="441" customWidth="1"/>
    <col min="6664" max="6664" width="2.7109375" style="441" customWidth="1"/>
    <col min="6665" max="6665" width="14" style="441" bestFit="1" customWidth="1"/>
    <col min="6666" max="6666" width="4.28515625" style="441" customWidth="1"/>
    <col min="6667" max="6667" width="8.140625" style="441" customWidth="1"/>
    <col min="6668" max="6668" width="3" style="441" customWidth="1"/>
    <col min="6669" max="6669" width="15.140625" style="441" bestFit="1" customWidth="1"/>
    <col min="6670" max="6670" width="8.42578125" style="441" customWidth="1"/>
    <col min="6671" max="6671" width="3.28515625" style="441" customWidth="1"/>
    <col min="6672" max="6672" width="2.140625" style="441" customWidth="1"/>
    <col min="6673" max="6673" width="3.85546875" style="441" customWidth="1"/>
    <col min="6674" max="6674" width="7.7109375" style="441" customWidth="1"/>
    <col min="6675" max="6675" width="3.140625" style="441" customWidth="1"/>
    <col min="6676" max="6676" width="2.42578125" style="441" customWidth="1"/>
    <col min="6677" max="6677" width="11.28515625" style="441" bestFit="1" customWidth="1"/>
    <col min="6678" max="6678" width="11.28515625" style="441" customWidth="1"/>
    <col min="6679" max="6912" width="9.140625" style="441"/>
    <col min="6913" max="6913" width="13" style="441" customWidth="1"/>
    <col min="6914" max="6914" width="3.140625" style="441" customWidth="1"/>
    <col min="6915" max="6915" width="3.28515625" style="441" customWidth="1"/>
    <col min="6916" max="6916" width="10.140625" style="441" customWidth="1"/>
    <col min="6917" max="6917" width="13" style="441" customWidth="1"/>
    <col min="6918" max="6918" width="3" style="441" customWidth="1"/>
    <col min="6919" max="6919" width="1.85546875" style="441" customWidth="1"/>
    <col min="6920" max="6920" width="2.7109375" style="441" customWidth="1"/>
    <col min="6921" max="6921" width="14" style="441" bestFit="1" customWidth="1"/>
    <col min="6922" max="6922" width="4.28515625" style="441" customWidth="1"/>
    <col min="6923" max="6923" width="8.140625" style="441" customWidth="1"/>
    <col min="6924" max="6924" width="3" style="441" customWidth="1"/>
    <col min="6925" max="6925" width="15.140625" style="441" bestFit="1" customWidth="1"/>
    <col min="6926" max="6926" width="8.42578125" style="441" customWidth="1"/>
    <col min="6927" max="6927" width="3.28515625" style="441" customWidth="1"/>
    <col min="6928" max="6928" width="2.140625" style="441" customWidth="1"/>
    <col min="6929" max="6929" width="3.85546875" style="441" customWidth="1"/>
    <col min="6930" max="6930" width="7.7109375" style="441" customWidth="1"/>
    <col min="6931" max="6931" width="3.140625" style="441" customWidth="1"/>
    <col min="6932" max="6932" width="2.42578125" style="441" customWidth="1"/>
    <col min="6933" max="6933" width="11.28515625" style="441" bestFit="1" customWidth="1"/>
    <col min="6934" max="6934" width="11.28515625" style="441" customWidth="1"/>
    <col min="6935" max="7168" width="9.140625" style="441"/>
    <col min="7169" max="7169" width="13" style="441" customWidth="1"/>
    <col min="7170" max="7170" width="3.140625" style="441" customWidth="1"/>
    <col min="7171" max="7171" width="3.28515625" style="441" customWidth="1"/>
    <col min="7172" max="7172" width="10.140625" style="441" customWidth="1"/>
    <col min="7173" max="7173" width="13" style="441" customWidth="1"/>
    <col min="7174" max="7174" width="3" style="441" customWidth="1"/>
    <col min="7175" max="7175" width="1.85546875" style="441" customWidth="1"/>
    <col min="7176" max="7176" width="2.7109375" style="441" customWidth="1"/>
    <col min="7177" max="7177" width="14" style="441" bestFit="1" customWidth="1"/>
    <col min="7178" max="7178" width="4.28515625" style="441" customWidth="1"/>
    <col min="7179" max="7179" width="8.140625" style="441" customWidth="1"/>
    <col min="7180" max="7180" width="3" style="441" customWidth="1"/>
    <col min="7181" max="7181" width="15.140625" style="441" bestFit="1" customWidth="1"/>
    <col min="7182" max="7182" width="8.42578125" style="441" customWidth="1"/>
    <col min="7183" max="7183" width="3.28515625" style="441" customWidth="1"/>
    <col min="7184" max="7184" width="2.140625" style="441" customWidth="1"/>
    <col min="7185" max="7185" width="3.85546875" style="441" customWidth="1"/>
    <col min="7186" max="7186" width="7.7109375" style="441" customWidth="1"/>
    <col min="7187" max="7187" width="3.140625" style="441" customWidth="1"/>
    <col min="7188" max="7188" width="2.42578125" style="441" customWidth="1"/>
    <col min="7189" max="7189" width="11.28515625" style="441" bestFit="1" customWidth="1"/>
    <col min="7190" max="7190" width="11.28515625" style="441" customWidth="1"/>
    <col min="7191" max="7424" width="9.140625" style="441"/>
    <col min="7425" max="7425" width="13" style="441" customWidth="1"/>
    <col min="7426" max="7426" width="3.140625" style="441" customWidth="1"/>
    <col min="7427" max="7427" width="3.28515625" style="441" customWidth="1"/>
    <col min="7428" max="7428" width="10.140625" style="441" customWidth="1"/>
    <col min="7429" max="7429" width="13" style="441" customWidth="1"/>
    <col min="7430" max="7430" width="3" style="441" customWidth="1"/>
    <col min="7431" max="7431" width="1.85546875" style="441" customWidth="1"/>
    <col min="7432" max="7432" width="2.7109375" style="441" customWidth="1"/>
    <col min="7433" max="7433" width="14" style="441" bestFit="1" customWidth="1"/>
    <col min="7434" max="7434" width="4.28515625" style="441" customWidth="1"/>
    <col min="7435" max="7435" width="8.140625" style="441" customWidth="1"/>
    <col min="7436" max="7436" width="3" style="441" customWidth="1"/>
    <col min="7437" max="7437" width="15.140625" style="441" bestFit="1" customWidth="1"/>
    <col min="7438" max="7438" width="8.42578125" style="441" customWidth="1"/>
    <col min="7439" max="7439" width="3.28515625" style="441" customWidth="1"/>
    <col min="7440" max="7440" width="2.140625" style="441" customWidth="1"/>
    <col min="7441" max="7441" width="3.85546875" style="441" customWidth="1"/>
    <col min="7442" max="7442" width="7.7109375" style="441" customWidth="1"/>
    <col min="7443" max="7443" width="3.140625" style="441" customWidth="1"/>
    <col min="7444" max="7444" width="2.42578125" style="441" customWidth="1"/>
    <col min="7445" max="7445" width="11.28515625" style="441" bestFit="1" customWidth="1"/>
    <col min="7446" max="7446" width="11.28515625" style="441" customWidth="1"/>
    <col min="7447" max="7680" width="9.140625" style="441"/>
    <col min="7681" max="7681" width="13" style="441" customWidth="1"/>
    <col min="7682" max="7682" width="3.140625" style="441" customWidth="1"/>
    <col min="7683" max="7683" width="3.28515625" style="441" customWidth="1"/>
    <col min="7684" max="7684" width="10.140625" style="441" customWidth="1"/>
    <col min="7685" max="7685" width="13" style="441" customWidth="1"/>
    <col min="7686" max="7686" width="3" style="441" customWidth="1"/>
    <col min="7687" max="7687" width="1.85546875" style="441" customWidth="1"/>
    <col min="7688" max="7688" width="2.7109375" style="441" customWidth="1"/>
    <col min="7689" max="7689" width="14" style="441" bestFit="1" customWidth="1"/>
    <col min="7690" max="7690" width="4.28515625" style="441" customWidth="1"/>
    <col min="7691" max="7691" width="8.140625" style="441" customWidth="1"/>
    <col min="7692" max="7692" width="3" style="441" customWidth="1"/>
    <col min="7693" max="7693" width="15.140625" style="441" bestFit="1" customWidth="1"/>
    <col min="7694" max="7694" width="8.42578125" style="441" customWidth="1"/>
    <col min="7695" max="7695" width="3.28515625" style="441" customWidth="1"/>
    <col min="7696" max="7696" width="2.140625" style="441" customWidth="1"/>
    <col min="7697" max="7697" width="3.85546875" style="441" customWidth="1"/>
    <col min="7698" max="7698" width="7.7109375" style="441" customWidth="1"/>
    <col min="7699" max="7699" width="3.140625" style="441" customWidth="1"/>
    <col min="7700" max="7700" width="2.42578125" style="441" customWidth="1"/>
    <col min="7701" max="7701" width="11.28515625" style="441" bestFit="1" customWidth="1"/>
    <col min="7702" max="7702" width="11.28515625" style="441" customWidth="1"/>
    <col min="7703" max="7936" width="9.140625" style="441"/>
    <col min="7937" max="7937" width="13" style="441" customWidth="1"/>
    <col min="7938" max="7938" width="3.140625" style="441" customWidth="1"/>
    <col min="7939" max="7939" width="3.28515625" style="441" customWidth="1"/>
    <col min="7940" max="7940" width="10.140625" style="441" customWidth="1"/>
    <col min="7941" max="7941" width="13" style="441" customWidth="1"/>
    <col min="7942" max="7942" width="3" style="441" customWidth="1"/>
    <col min="7943" max="7943" width="1.85546875" style="441" customWidth="1"/>
    <col min="7944" max="7944" width="2.7109375" style="441" customWidth="1"/>
    <col min="7945" max="7945" width="14" style="441" bestFit="1" customWidth="1"/>
    <col min="7946" max="7946" width="4.28515625" style="441" customWidth="1"/>
    <col min="7947" max="7947" width="8.140625" style="441" customWidth="1"/>
    <col min="7948" max="7948" width="3" style="441" customWidth="1"/>
    <col min="7949" max="7949" width="15.140625" style="441" bestFit="1" customWidth="1"/>
    <col min="7950" max="7950" width="8.42578125" style="441" customWidth="1"/>
    <col min="7951" max="7951" width="3.28515625" style="441" customWidth="1"/>
    <col min="7952" max="7952" width="2.140625" style="441" customWidth="1"/>
    <col min="7953" max="7953" width="3.85546875" style="441" customWidth="1"/>
    <col min="7954" max="7954" width="7.7109375" style="441" customWidth="1"/>
    <col min="7955" max="7955" width="3.140625" style="441" customWidth="1"/>
    <col min="7956" max="7956" width="2.42578125" style="441" customWidth="1"/>
    <col min="7957" max="7957" width="11.28515625" style="441" bestFit="1" customWidth="1"/>
    <col min="7958" max="7958" width="11.28515625" style="441" customWidth="1"/>
    <col min="7959" max="8192" width="9.140625" style="441"/>
    <col min="8193" max="8193" width="13" style="441" customWidth="1"/>
    <col min="8194" max="8194" width="3.140625" style="441" customWidth="1"/>
    <col min="8195" max="8195" width="3.28515625" style="441" customWidth="1"/>
    <col min="8196" max="8196" width="10.140625" style="441" customWidth="1"/>
    <col min="8197" max="8197" width="13" style="441" customWidth="1"/>
    <col min="8198" max="8198" width="3" style="441" customWidth="1"/>
    <col min="8199" max="8199" width="1.85546875" style="441" customWidth="1"/>
    <col min="8200" max="8200" width="2.7109375" style="441" customWidth="1"/>
    <col min="8201" max="8201" width="14" style="441" bestFit="1" customWidth="1"/>
    <col min="8202" max="8202" width="4.28515625" style="441" customWidth="1"/>
    <col min="8203" max="8203" width="8.140625" style="441" customWidth="1"/>
    <col min="8204" max="8204" width="3" style="441" customWidth="1"/>
    <col min="8205" max="8205" width="15.140625" style="441" bestFit="1" customWidth="1"/>
    <col min="8206" max="8206" width="8.42578125" style="441" customWidth="1"/>
    <col min="8207" max="8207" width="3.28515625" style="441" customWidth="1"/>
    <col min="8208" max="8208" width="2.140625" style="441" customWidth="1"/>
    <col min="8209" max="8209" width="3.85546875" style="441" customWidth="1"/>
    <col min="8210" max="8210" width="7.7109375" style="441" customWidth="1"/>
    <col min="8211" max="8211" width="3.140625" style="441" customWidth="1"/>
    <col min="8212" max="8212" width="2.42578125" style="441" customWidth="1"/>
    <col min="8213" max="8213" width="11.28515625" style="441" bestFit="1" customWidth="1"/>
    <col min="8214" max="8214" width="11.28515625" style="441" customWidth="1"/>
    <col min="8215" max="8448" width="9.140625" style="441"/>
    <col min="8449" max="8449" width="13" style="441" customWidth="1"/>
    <col min="8450" max="8450" width="3.140625" style="441" customWidth="1"/>
    <col min="8451" max="8451" width="3.28515625" style="441" customWidth="1"/>
    <col min="8452" max="8452" width="10.140625" style="441" customWidth="1"/>
    <col min="8453" max="8453" width="13" style="441" customWidth="1"/>
    <col min="8454" max="8454" width="3" style="441" customWidth="1"/>
    <col min="8455" max="8455" width="1.85546875" style="441" customWidth="1"/>
    <col min="8456" max="8456" width="2.7109375" style="441" customWidth="1"/>
    <col min="8457" max="8457" width="14" style="441" bestFit="1" customWidth="1"/>
    <col min="8458" max="8458" width="4.28515625" style="441" customWidth="1"/>
    <col min="8459" max="8459" width="8.140625" style="441" customWidth="1"/>
    <col min="8460" max="8460" width="3" style="441" customWidth="1"/>
    <col min="8461" max="8461" width="15.140625" style="441" bestFit="1" customWidth="1"/>
    <col min="8462" max="8462" width="8.42578125" style="441" customWidth="1"/>
    <col min="8463" max="8463" width="3.28515625" style="441" customWidth="1"/>
    <col min="8464" max="8464" width="2.140625" style="441" customWidth="1"/>
    <col min="8465" max="8465" width="3.85546875" style="441" customWidth="1"/>
    <col min="8466" max="8466" width="7.7109375" style="441" customWidth="1"/>
    <col min="8467" max="8467" width="3.140625" style="441" customWidth="1"/>
    <col min="8468" max="8468" width="2.42578125" style="441" customWidth="1"/>
    <col min="8469" max="8469" width="11.28515625" style="441" bestFit="1" customWidth="1"/>
    <col min="8470" max="8470" width="11.28515625" style="441" customWidth="1"/>
    <col min="8471" max="8704" width="9.140625" style="441"/>
    <col min="8705" max="8705" width="13" style="441" customWidth="1"/>
    <col min="8706" max="8706" width="3.140625" style="441" customWidth="1"/>
    <col min="8707" max="8707" width="3.28515625" style="441" customWidth="1"/>
    <col min="8708" max="8708" width="10.140625" style="441" customWidth="1"/>
    <col min="8709" max="8709" width="13" style="441" customWidth="1"/>
    <col min="8710" max="8710" width="3" style="441" customWidth="1"/>
    <col min="8711" max="8711" width="1.85546875" style="441" customWidth="1"/>
    <col min="8712" max="8712" width="2.7109375" style="441" customWidth="1"/>
    <col min="8713" max="8713" width="14" style="441" bestFit="1" customWidth="1"/>
    <col min="8714" max="8714" width="4.28515625" style="441" customWidth="1"/>
    <col min="8715" max="8715" width="8.140625" style="441" customWidth="1"/>
    <col min="8716" max="8716" width="3" style="441" customWidth="1"/>
    <col min="8717" max="8717" width="15.140625" style="441" bestFit="1" customWidth="1"/>
    <col min="8718" max="8718" width="8.42578125" style="441" customWidth="1"/>
    <col min="8719" max="8719" width="3.28515625" style="441" customWidth="1"/>
    <col min="8720" max="8720" width="2.140625" style="441" customWidth="1"/>
    <col min="8721" max="8721" width="3.85546875" style="441" customWidth="1"/>
    <col min="8722" max="8722" width="7.7109375" style="441" customWidth="1"/>
    <col min="8723" max="8723" width="3.140625" style="441" customWidth="1"/>
    <col min="8724" max="8724" width="2.42578125" style="441" customWidth="1"/>
    <col min="8725" max="8725" width="11.28515625" style="441" bestFit="1" customWidth="1"/>
    <col min="8726" max="8726" width="11.28515625" style="441" customWidth="1"/>
    <col min="8727" max="8960" width="9.140625" style="441"/>
    <col min="8961" max="8961" width="13" style="441" customWidth="1"/>
    <col min="8962" max="8962" width="3.140625" style="441" customWidth="1"/>
    <col min="8963" max="8963" width="3.28515625" style="441" customWidth="1"/>
    <col min="8964" max="8964" width="10.140625" style="441" customWidth="1"/>
    <col min="8965" max="8965" width="13" style="441" customWidth="1"/>
    <col min="8966" max="8966" width="3" style="441" customWidth="1"/>
    <col min="8967" max="8967" width="1.85546875" style="441" customWidth="1"/>
    <col min="8968" max="8968" width="2.7109375" style="441" customWidth="1"/>
    <col min="8969" max="8969" width="14" style="441" bestFit="1" customWidth="1"/>
    <col min="8970" max="8970" width="4.28515625" style="441" customWidth="1"/>
    <col min="8971" max="8971" width="8.140625" style="441" customWidth="1"/>
    <col min="8972" max="8972" width="3" style="441" customWidth="1"/>
    <col min="8973" max="8973" width="15.140625" style="441" bestFit="1" customWidth="1"/>
    <col min="8974" max="8974" width="8.42578125" style="441" customWidth="1"/>
    <col min="8975" max="8975" width="3.28515625" style="441" customWidth="1"/>
    <col min="8976" max="8976" width="2.140625" style="441" customWidth="1"/>
    <col min="8977" max="8977" width="3.85546875" style="441" customWidth="1"/>
    <col min="8978" max="8978" width="7.7109375" style="441" customWidth="1"/>
    <col min="8979" max="8979" width="3.140625" style="441" customWidth="1"/>
    <col min="8980" max="8980" width="2.42578125" style="441" customWidth="1"/>
    <col min="8981" max="8981" width="11.28515625" style="441" bestFit="1" customWidth="1"/>
    <col min="8982" max="8982" width="11.28515625" style="441" customWidth="1"/>
    <col min="8983" max="9216" width="9.140625" style="441"/>
    <col min="9217" max="9217" width="13" style="441" customWidth="1"/>
    <col min="9218" max="9218" width="3.140625" style="441" customWidth="1"/>
    <col min="9219" max="9219" width="3.28515625" style="441" customWidth="1"/>
    <col min="9220" max="9220" width="10.140625" style="441" customWidth="1"/>
    <col min="9221" max="9221" width="13" style="441" customWidth="1"/>
    <col min="9222" max="9222" width="3" style="441" customWidth="1"/>
    <col min="9223" max="9223" width="1.85546875" style="441" customWidth="1"/>
    <col min="9224" max="9224" width="2.7109375" style="441" customWidth="1"/>
    <col min="9225" max="9225" width="14" style="441" bestFit="1" customWidth="1"/>
    <col min="9226" max="9226" width="4.28515625" style="441" customWidth="1"/>
    <col min="9227" max="9227" width="8.140625" style="441" customWidth="1"/>
    <col min="9228" max="9228" width="3" style="441" customWidth="1"/>
    <col min="9229" max="9229" width="15.140625" style="441" bestFit="1" customWidth="1"/>
    <col min="9230" max="9230" width="8.42578125" style="441" customWidth="1"/>
    <col min="9231" max="9231" width="3.28515625" style="441" customWidth="1"/>
    <col min="9232" max="9232" width="2.140625" style="441" customWidth="1"/>
    <col min="9233" max="9233" width="3.85546875" style="441" customWidth="1"/>
    <col min="9234" max="9234" width="7.7109375" style="441" customWidth="1"/>
    <col min="9235" max="9235" width="3.140625" style="441" customWidth="1"/>
    <col min="9236" max="9236" width="2.42578125" style="441" customWidth="1"/>
    <col min="9237" max="9237" width="11.28515625" style="441" bestFit="1" customWidth="1"/>
    <col min="9238" max="9238" width="11.28515625" style="441" customWidth="1"/>
    <col min="9239" max="9472" width="9.140625" style="441"/>
    <col min="9473" max="9473" width="13" style="441" customWidth="1"/>
    <col min="9474" max="9474" width="3.140625" style="441" customWidth="1"/>
    <col min="9475" max="9475" width="3.28515625" style="441" customWidth="1"/>
    <col min="9476" max="9476" width="10.140625" style="441" customWidth="1"/>
    <col min="9477" max="9477" width="13" style="441" customWidth="1"/>
    <col min="9478" max="9478" width="3" style="441" customWidth="1"/>
    <col min="9479" max="9479" width="1.85546875" style="441" customWidth="1"/>
    <col min="9480" max="9480" width="2.7109375" style="441" customWidth="1"/>
    <col min="9481" max="9481" width="14" style="441" bestFit="1" customWidth="1"/>
    <col min="9482" max="9482" width="4.28515625" style="441" customWidth="1"/>
    <col min="9483" max="9483" width="8.140625" style="441" customWidth="1"/>
    <col min="9484" max="9484" width="3" style="441" customWidth="1"/>
    <col min="9485" max="9485" width="15.140625" style="441" bestFit="1" customWidth="1"/>
    <col min="9486" max="9486" width="8.42578125" style="441" customWidth="1"/>
    <col min="9487" max="9487" width="3.28515625" style="441" customWidth="1"/>
    <col min="9488" max="9488" width="2.140625" style="441" customWidth="1"/>
    <col min="9489" max="9489" width="3.85546875" style="441" customWidth="1"/>
    <col min="9490" max="9490" width="7.7109375" style="441" customWidth="1"/>
    <col min="9491" max="9491" width="3.140625" style="441" customWidth="1"/>
    <col min="9492" max="9492" width="2.42578125" style="441" customWidth="1"/>
    <col min="9493" max="9493" width="11.28515625" style="441" bestFit="1" customWidth="1"/>
    <col min="9494" max="9494" width="11.28515625" style="441" customWidth="1"/>
    <col min="9495" max="9728" width="9.140625" style="441"/>
    <col min="9729" max="9729" width="13" style="441" customWidth="1"/>
    <col min="9730" max="9730" width="3.140625" style="441" customWidth="1"/>
    <col min="9731" max="9731" width="3.28515625" style="441" customWidth="1"/>
    <col min="9732" max="9732" width="10.140625" style="441" customWidth="1"/>
    <col min="9733" max="9733" width="13" style="441" customWidth="1"/>
    <col min="9734" max="9734" width="3" style="441" customWidth="1"/>
    <col min="9735" max="9735" width="1.85546875" style="441" customWidth="1"/>
    <col min="9736" max="9736" width="2.7109375" style="441" customWidth="1"/>
    <col min="9737" max="9737" width="14" style="441" bestFit="1" customWidth="1"/>
    <col min="9738" max="9738" width="4.28515625" style="441" customWidth="1"/>
    <col min="9739" max="9739" width="8.140625" style="441" customWidth="1"/>
    <col min="9740" max="9740" width="3" style="441" customWidth="1"/>
    <col min="9741" max="9741" width="15.140625" style="441" bestFit="1" customWidth="1"/>
    <col min="9742" max="9742" width="8.42578125" style="441" customWidth="1"/>
    <col min="9743" max="9743" width="3.28515625" style="441" customWidth="1"/>
    <col min="9744" max="9744" width="2.140625" style="441" customWidth="1"/>
    <col min="9745" max="9745" width="3.85546875" style="441" customWidth="1"/>
    <col min="9746" max="9746" width="7.7109375" style="441" customWidth="1"/>
    <col min="9747" max="9747" width="3.140625" style="441" customWidth="1"/>
    <col min="9748" max="9748" width="2.42578125" style="441" customWidth="1"/>
    <col min="9749" max="9749" width="11.28515625" style="441" bestFit="1" customWidth="1"/>
    <col min="9750" max="9750" width="11.28515625" style="441" customWidth="1"/>
    <col min="9751" max="9984" width="9.140625" style="441"/>
    <col min="9985" max="9985" width="13" style="441" customWidth="1"/>
    <col min="9986" max="9986" width="3.140625" style="441" customWidth="1"/>
    <col min="9987" max="9987" width="3.28515625" style="441" customWidth="1"/>
    <col min="9988" max="9988" width="10.140625" style="441" customWidth="1"/>
    <col min="9989" max="9989" width="13" style="441" customWidth="1"/>
    <col min="9990" max="9990" width="3" style="441" customWidth="1"/>
    <col min="9991" max="9991" width="1.85546875" style="441" customWidth="1"/>
    <col min="9992" max="9992" width="2.7109375" style="441" customWidth="1"/>
    <col min="9993" max="9993" width="14" style="441" bestFit="1" customWidth="1"/>
    <col min="9994" max="9994" width="4.28515625" style="441" customWidth="1"/>
    <col min="9995" max="9995" width="8.140625" style="441" customWidth="1"/>
    <col min="9996" max="9996" width="3" style="441" customWidth="1"/>
    <col min="9997" max="9997" width="15.140625" style="441" bestFit="1" customWidth="1"/>
    <col min="9998" max="9998" width="8.42578125" style="441" customWidth="1"/>
    <col min="9999" max="9999" width="3.28515625" style="441" customWidth="1"/>
    <col min="10000" max="10000" width="2.140625" style="441" customWidth="1"/>
    <col min="10001" max="10001" width="3.85546875" style="441" customWidth="1"/>
    <col min="10002" max="10002" width="7.7109375" style="441" customWidth="1"/>
    <col min="10003" max="10003" width="3.140625" style="441" customWidth="1"/>
    <col min="10004" max="10004" width="2.42578125" style="441" customWidth="1"/>
    <col min="10005" max="10005" width="11.28515625" style="441" bestFit="1" customWidth="1"/>
    <col min="10006" max="10006" width="11.28515625" style="441" customWidth="1"/>
    <col min="10007" max="10240" width="9.140625" style="441"/>
    <col min="10241" max="10241" width="13" style="441" customWidth="1"/>
    <col min="10242" max="10242" width="3.140625" style="441" customWidth="1"/>
    <col min="10243" max="10243" width="3.28515625" style="441" customWidth="1"/>
    <col min="10244" max="10244" width="10.140625" style="441" customWidth="1"/>
    <col min="10245" max="10245" width="13" style="441" customWidth="1"/>
    <col min="10246" max="10246" width="3" style="441" customWidth="1"/>
    <col min="10247" max="10247" width="1.85546875" style="441" customWidth="1"/>
    <col min="10248" max="10248" width="2.7109375" style="441" customWidth="1"/>
    <col min="10249" max="10249" width="14" style="441" bestFit="1" customWidth="1"/>
    <col min="10250" max="10250" width="4.28515625" style="441" customWidth="1"/>
    <col min="10251" max="10251" width="8.140625" style="441" customWidth="1"/>
    <col min="10252" max="10252" width="3" style="441" customWidth="1"/>
    <col min="10253" max="10253" width="15.140625" style="441" bestFit="1" customWidth="1"/>
    <col min="10254" max="10254" width="8.42578125" style="441" customWidth="1"/>
    <col min="10255" max="10255" width="3.28515625" style="441" customWidth="1"/>
    <col min="10256" max="10256" width="2.140625" style="441" customWidth="1"/>
    <col min="10257" max="10257" width="3.85546875" style="441" customWidth="1"/>
    <col min="10258" max="10258" width="7.7109375" style="441" customWidth="1"/>
    <col min="10259" max="10259" width="3.140625" style="441" customWidth="1"/>
    <col min="10260" max="10260" width="2.42578125" style="441" customWidth="1"/>
    <col min="10261" max="10261" width="11.28515625" style="441" bestFit="1" customWidth="1"/>
    <col min="10262" max="10262" width="11.28515625" style="441" customWidth="1"/>
    <col min="10263" max="10496" width="9.140625" style="441"/>
    <col min="10497" max="10497" width="13" style="441" customWidth="1"/>
    <col min="10498" max="10498" width="3.140625" style="441" customWidth="1"/>
    <col min="10499" max="10499" width="3.28515625" style="441" customWidth="1"/>
    <col min="10500" max="10500" width="10.140625" style="441" customWidth="1"/>
    <col min="10501" max="10501" width="13" style="441" customWidth="1"/>
    <col min="10502" max="10502" width="3" style="441" customWidth="1"/>
    <col min="10503" max="10503" width="1.85546875" style="441" customWidth="1"/>
    <col min="10504" max="10504" width="2.7109375" style="441" customWidth="1"/>
    <col min="10505" max="10505" width="14" style="441" bestFit="1" customWidth="1"/>
    <col min="10506" max="10506" width="4.28515625" style="441" customWidth="1"/>
    <col min="10507" max="10507" width="8.140625" style="441" customWidth="1"/>
    <col min="10508" max="10508" width="3" style="441" customWidth="1"/>
    <col min="10509" max="10509" width="15.140625" style="441" bestFit="1" customWidth="1"/>
    <col min="10510" max="10510" width="8.42578125" style="441" customWidth="1"/>
    <col min="10511" max="10511" width="3.28515625" style="441" customWidth="1"/>
    <col min="10512" max="10512" width="2.140625" style="441" customWidth="1"/>
    <col min="10513" max="10513" width="3.85546875" style="441" customWidth="1"/>
    <col min="10514" max="10514" width="7.7109375" style="441" customWidth="1"/>
    <col min="10515" max="10515" width="3.140625" style="441" customWidth="1"/>
    <col min="10516" max="10516" width="2.42578125" style="441" customWidth="1"/>
    <col min="10517" max="10517" width="11.28515625" style="441" bestFit="1" customWidth="1"/>
    <col min="10518" max="10518" width="11.28515625" style="441" customWidth="1"/>
    <col min="10519" max="10752" width="9.140625" style="441"/>
    <col min="10753" max="10753" width="13" style="441" customWidth="1"/>
    <col min="10754" max="10754" width="3.140625" style="441" customWidth="1"/>
    <col min="10755" max="10755" width="3.28515625" style="441" customWidth="1"/>
    <col min="10756" max="10756" width="10.140625" style="441" customWidth="1"/>
    <col min="10757" max="10757" width="13" style="441" customWidth="1"/>
    <col min="10758" max="10758" width="3" style="441" customWidth="1"/>
    <col min="10759" max="10759" width="1.85546875" style="441" customWidth="1"/>
    <col min="10760" max="10760" width="2.7109375" style="441" customWidth="1"/>
    <col min="10761" max="10761" width="14" style="441" bestFit="1" customWidth="1"/>
    <col min="10762" max="10762" width="4.28515625" style="441" customWidth="1"/>
    <col min="10763" max="10763" width="8.140625" style="441" customWidth="1"/>
    <col min="10764" max="10764" width="3" style="441" customWidth="1"/>
    <col min="10765" max="10765" width="15.140625" style="441" bestFit="1" customWidth="1"/>
    <col min="10766" max="10766" width="8.42578125" style="441" customWidth="1"/>
    <col min="10767" max="10767" width="3.28515625" style="441" customWidth="1"/>
    <col min="10768" max="10768" width="2.140625" style="441" customWidth="1"/>
    <col min="10769" max="10769" width="3.85546875" style="441" customWidth="1"/>
    <col min="10770" max="10770" width="7.7109375" style="441" customWidth="1"/>
    <col min="10771" max="10771" width="3.140625" style="441" customWidth="1"/>
    <col min="10772" max="10772" width="2.42578125" style="441" customWidth="1"/>
    <col min="10773" max="10773" width="11.28515625" style="441" bestFit="1" customWidth="1"/>
    <col min="10774" max="10774" width="11.28515625" style="441" customWidth="1"/>
    <col min="10775" max="11008" width="9.140625" style="441"/>
    <col min="11009" max="11009" width="13" style="441" customWidth="1"/>
    <col min="11010" max="11010" width="3.140625" style="441" customWidth="1"/>
    <col min="11011" max="11011" width="3.28515625" style="441" customWidth="1"/>
    <col min="11012" max="11012" width="10.140625" style="441" customWidth="1"/>
    <col min="11013" max="11013" width="13" style="441" customWidth="1"/>
    <col min="11014" max="11014" width="3" style="441" customWidth="1"/>
    <col min="11015" max="11015" width="1.85546875" style="441" customWidth="1"/>
    <col min="11016" max="11016" width="2.7109375" style="441" customWidth="1"/>
    <col min="11017" max="11017" width="14" style="441" bestFit="1" customWidth="1"/>
    <col min="11018" max="11018" width="4.28515625" style="441" customWidth="1"/>
    <col min="11019" max="11019" width="8.140625" style="441" customWidth="1"/>
    <col min="11020" max="11020" width="3" style="441" customWidth="1"/>
    <col min="11021" max="11021" width="15.140625" style="441" bestFit="1" customWidth="1"/>
    <col min="11022" max="11022" width="8.42578125" style="441" customWidth="1"/>
    <col min="11023" max="11023" width="3.28515625" style="441" customWidth="1"/>
    <col min="11024" max="11024" width="2.140625" style="441" customWidth="1"/>
    <col min="11025" max="11025" width="3.85546875" style="441" customWidth="1"/>
    <col min="11026" max="11026" width="7.7109375" style="441" customWidth="1"/>
    <col min="11027" max="11027" width="3.140625" style="441" customWidth="1"/>
    <col min="11028" max="11028" width="2.42578125" style="441" customWidth="1"/>
    <col min="11029" max="11029" width="11.28515625" style="441" bestFit="1" customWidth="1"/>
    <col min="11030" max="11030" width="11.28515625" style="441" customWidth="1"/>
    <col min="11031" max="11264" width="9.140625" style="441"/>
    <col min="11265" max="11265" width="13" style="441" customWidth="1"/>
    <col min="11266" max="11266" width="3.140625" style="441" customWidth="1"/>
    <col min="11267" max="11267" width="3.28515625" style="441" customWidth="1"/>
    <col min="11268" max="11268" width="10.140625" style="441" customWidth="1"/>
    <col min="11269" max="11269" width="13" style="441" customWidth="1"/>
    <col min="11270" max="11270" width="3" style="441" customWidth="1"/>
    <col min="11271" max="11271" width="1.85546875" style="441" customWidth="1"/>
    <col min="11272" max="11272" width="2.7109375" style="441" customWidth="1"/>
    <col min="11273" max="11273" width="14" style="441" bestFit="1" customWidth="1"/>
    <col min="11274" max="11274" width="4.28515625" style="441" customWidth="1"/>
    <col min="11275" max="11275" width="8.140625" style="441" customWidth="1"/>
    <col min="11276" max="11276" width="3" style="441" customWidth="1"/>
    <col min="11277" max="11277" width="15.140625" style="441" bestFit="1" customWidth="1"/>
    <col min="11278" max="11278" width="8.42578125" style="441" customWidth="1"/>
    <col min="11279" max="11279" width="3.28515625" style="441" customWidth="1"/>
    <col min="11280" max="11280" width="2.140625" style="441" customWidth="1"/>
    <col min="11281" max="11281" width="3.85546875" style="441" customWidth="1"/>
    <col min="11282" max="11282" width="7.7109375" style="441" customWidth="1"/>
    <col min="11283" max="11283" width="3.140625" style="441" customWidth="1"/>
    <col min="11284" max="11284" width="2.42578125" style="441" customWidth="1"/>
    <col min="11285" max="11285" width="11.28515625" style="441" bestFit="1" customWidth="1"/>
    <col min="11286" max="11286" width="11.28515625" style="441" customWidth="1"/>
    <col min="11287" max="11520" width="9.140625" style="441"/>
    <col min="11521" max="11521" width="13" style="441" customWidth="1"/>
    <col min="11522" max="11522" width="3.140625" style="441" customWidth="1"/>
    <col min="11523" max="11523" width="3.28515625" style="441" customWidth="1"/>
    <col min="11524" max="11524" width="10.140625" style="441" customWidth="1"/>
    <col min="11525" max="11525" width="13" style="441" customWidth="1"/>
    <col min="11526" max="11526" width="3" style="441" customWidth="1"/>
    <col min="11527" max="11527" width="1.85546875" style="441" customWidth="1"/>
    <col min="11528" max="11528" width="2.7109375" style="441" customWidth="1"/>
    <col min="11529" max="11529" width="14" style="441" bestFit="1" customWidth="1"/>
    <col min="11530" max="11530" width="4.28515625" style="441" customWidth="1"/>
    <col min="11531" max="11531" width="8.140625" style="441" customWidth="1"/>
    <col min="11532" max="11532" width="3" style="441" customWidth="1"/>
    <col min="11533" max="11533" width="15.140625" style="441" bestFit="1" customWidth="1"/>
    <col min="11534" max="11534" width="8.42578125" style="441" customWidth="1"/>
    <col min="11535" max="11535" width="3.28515625" style="441" customWidth="1"/>
    <col min="11536" max="11536" width="2.140625" style="441" customWidth="1"/>
    <col min="11537" max="11537" width="3.85546875" style="441" customWidth="1"/>
    <col min="11538" max="11538" width="7.7109375" style="441" customWidth="1"/>
    <col min="11539" max="11539" width="3.140625" style="441" customWidth="1"/>
    <col min="11540" max="11540" width="2.42578125" style="441" customWidth="1"/>
    <col min="11541" max="11541" width="11.28515625" style="441" bestFit="1" customWidth="1"/>
    <col min="11542" max="11542" width="11.28515625" style="441" customWidth="1"/>
    <col min="11543" max="11776" width="9.140625" style="441"/>
    <col min="11777" max="11777" width="13" style="441" customWidth="1"/>
    <col min="11778" max="11778" width="3.140625" style="441" customWidth="1"/>
    <col min="11779" max="11779" width="3.28515625" style="441" customWidth="1"/>
    <col min="11780" max="11780" width="10.140625" style="441" customWidth="1"/>
    <col min="11781" max="11781" width="13" style="441" customWidth="1"/>
    <col min="11782" max="11782" width="3" style="441" customWidth="1"/>
    <col min="11783" max="11783" width="1.85546875" style="441" customWidth="1"/>
    <col min="11784" max="11784" width="2.7109375" style="441" customWidth="1"/>
    <col min="11785" max="11785" width="14" style="441" bestFit="1" customWidth="1"/>
    <col min="11786" max="11786" width="4.28515625" style="441" customWidth="1"/>
    <col min="11787" max="11787" width="8.140625" style="441" customWidth="1"/>
    <col min="11788" max="11788" width="3" style="441" customWidth="1"/>
    <col min="11789" max="11789" width="15.140625" style="441" bestFit="1" customWidth="1"/>
    <col min="11790" max="11790" width="8.42578125" style="441" customWidth="1"/>
    <col min="11791" max="11791" width="3.28515625" style="441" customWidth="1"/>
    <col min="11792" max="11792" width="2.140625" style="441" customWidth="1"/>
    <col min="11793" max="11793" width="3.85546875" style="441" customWidth="1"/>
    <col min="11794" max="11794" width="7.7109375" style="441" customWidth="1"/>
    <col min="11795" max="11795" width="3.140625" style="441" customWidth="1"/>
    <col min="11796" max="11796" width="2.42578125" style="441" customWidth="1"/>
    <col min="11797" max="11797" width="11.28515625" style="441" bestFit="1" customWidth="1"/>
    <col min="11798" max="11798" width="11.28515625" style="441" customWidth="1"/>
    <col min="11799" max="12032" width="9.140625" style="441"/>
    <col min="12033" max="12033" width="13" style="441" customWidth="1"/>
    <col min="12034" max="12034" width="3.140625" style="441" customWidth="1"/>
    <col min="12035" max="12035" width="3.28515625" style="441" customWidth="1"/>
    <col min="12036" max="12036" width="10.140625" style="441" customWidth="1"/>
    <col min="12037" max="12037" width="13" style="441" customWidth="1"/>
    <col min="12038" max="12038" width="3" style="441" customWidth="1"/>
    <col min="12039" max="12039" width="1.85546875" style="441" customWidth="1"/>
    <col min="12040" max="12040" width="2.7109375" style="441" customWidth="1"/>
    <col min="12041" max="12041" width="14" style="441" bestFit="1" customWidth="1"/>
    <col min="12042" max="12042" width="4.28515625" style="441" customWidth="1"/>
    <col min="12043" max="12043" width="8.140625" style="441" customWidth="1"/>
    <col min="12044" max="12044" width="3" style="441" customWidth="1"/>
    <col min="12045" max="12045" width="15.140625" style="441" bestFit="1" customWidth="1"/>
    <col min="12046" max="12046" width="8.42578125" style="441" customWidth="1"/>
    <col min="12047" max="12047" width="3.28515625" style="441" customWidth="1"/>
    <col min="12048" max="12048" width="2.140625" style="441" customWidth="1"/>
    <col min="12049" max="12049" width="3.85546875" style="441" customWidth="1"/>
    <col min="12050" max="12050" width="7.7109375" style="441" customWidth="1"/>
    <col min="12051" max="12051" width="3.140625" style="441" customWidth="1"/>
    <col min="12052" max="12052" width="2.42578125" style="441" customWidth="1"/>
    <col min="12053" max="12053" width="11.28515625" style="441" bestFit="1" customWidth="1"/>
    <col min="12054" max="12054" width="11.28515625" style="441" customWidth="1"/>
    <col min="12055" max="12288" width="9.140625" style="441"/>
    <col min="12289" max="12289" width="13" style="441" customWidth="1"/>
    <col min="12290" max="12290" width="3.140625" style="441" customWidth="1"/>
    <col min="12291" max="12291" width="3.28515625" style="441" customWidth="1"/>
    <col min="12292" max="12292" width="10.140625" style="441" customWidth="1"/>
    <col min="12293" max="12293" width="13" style="441" customWidth="1"/>
    <col min="12294" max="12294" width="3" style="441" customWidth="1"/>
    <col min="12295" max="12295" width="1.85546875" style="441" customWidth="1"/>
    <col min="12296" max="12296" width="2.7109375" style="441" customWidth="1"/>
    <col min="12297" max="12297" width="14" style="441" bestFit="1" customWidth="1"/>
    <col min="12298" max="12298" width="4.28515625" style="441" customWidth="1"/>
    <col min="12299" max="12299" width="8.140625" style="441" customWidth="1"/>
    <col min="12300" max="12300" width="3" style="441" customWidth="1"/>
    <col min="12301" max="12301" width="15.140625" style="441" bestFit="1" customWidth="1"/>
    <col min="12302" max="12302" width="8.42578125" style="441" customWidth="1"/>
    <col min="12303" max="12303" width="3.28515625" style="441" customWidth="1"/>
    <col min="12304" max="12304" width="2.140625" style="441" customWidth="1"/>
    <col min="12305" max="12305" width="3.85546875" style="441" customWidth="1"/>
    <col min="12306" max="12306" width="7.7109375" style="441" customWidth="1"/>
    <col min="12307" max="12307" width="3.140625" style="441" customWidth="1"/>
    <col min="12308" max="12308" width="2.42578125" style="441" customWidth="1"/>
    <col min="12309" max="12309" width="11.28515625" style="441" bestFit="1" customWidth="1"/>
    <col min="12310" max="12310" width="11.28515625" style="441" customWidth="1"/>
    <col min="12311" max="12544" width="9.140625" style="441"/>
    <col min="12545" max="12545" width="13" style="441" customWidth="1"/>
    <col min="12546" max="12546" width="3.140625" style="441" customWidth="1"/>
    <col min="12547" max="12547" width="3.28515625" style="441" customWidth="1"/>
    <col min="12548" max="12548" width="10.140625" style="441" customWidth="1"/>
    <col min="12549" max="12549" width="13" style="441" customWidth="1"/>
    <col min="12550" max="12550" width="3" style="441" customWidth="1"/>
    <col min="12551" max="12551" width="1.85546875" style="441" customWidth="1"/>
    <col min="12552" max="12552" width="2.7109375" style="441" customWidth="1"/>
    <col min="12553" max="12553" width="14" style="441" bestFit="1" customWidth="1"/>
    <col min="12554" max="12554" width="4.28515625" style="441" customWidth="1"/>
    <col min="12555" max="12555" width="8.140625" style="441" customWidth="1"/>
    <col min="12556" max="12556" width="3" style="441" customWidth="1"/>
    <col min="12557" max="12557" width="15.140625" style="441" bestFit="1" customWidth="1"/>
    <col min="12558" max="12558" width="8.42578125" style="441" customWidth="1"/>
    <col min="12559" max="12559" width="3.28515625" style="441" customWidth="1"/>
    <col min="12560" max="12560" width="2.140625" style="441" customWidth="1"/>
    <col min="12561" max="12561" width="3.85546875" style="441" customWidth="1"/>
    <col min="12562" max="12562" width="7.7109375" style="441" customWidth="1"/>
    <col min="12563" max="12563" width="3.140625" style="441" customWidth="1"/>
    <col min="12564" max="12564" width="2.42578125" style="441" customWidth="1"/>
    <col min="12565" max="12565" width="11.28515625" style="441" bestFit="1" customWidth="1"/>
    <col min="12566" max="12566" width="11.28515625" style="441" customWidth="1"/>
    <col min="12567" max="12800" width="9.140625" style="441"/>
    <col min="12801" max="12801" width="13" style="441" customWidth="1"/>
    <col min="12802" max="12802" width="3.140625" style="441" customWidth="1"/>
    <col min="12803" max="12803" width="3.28515625" style="441" customWidth="1"/>
    <col min="12804" max="12804" width="10.140625" style="441" customWidth="1"/>
    <col min="12805" max="12805" width="13" style="441" customWidth="1"/>
    <col min="12806" max="12806" width="3" style="441" customWidth="1"/>
    <col min="12807" max="12807" width="1.85546875" style="441" customWidth="1"/>
    <col min="12808" max="12808" width="2.7109375" style="441" customWidth="1"/>
    <col min="12809" max="12809" width="14" style="441" bestFit="1" customWidth="1"/>
    <col min="12810" max="12810" width="4.28515625" style="441" customWidth="1"/>
    <col min="12811" max="12811" width="8.140625" style="441" customWidth="1"/>
    <col min="12812" max="12812" width="3" style="441" customWidth="1"/>
    <col min="12813" max="12813" width="15.140625" style="441" bestFit="1" customWidth="1"/>
    <col min="12814" max="12814" width="8.42578125" style="441" customWidth="1"/>
    <col min="12815" max="12815" width="3.28515625" style="441" customWidth="1"/>
    <col min="12816" max="12816" width="2.140625" style="441" customWidth="1"/>
    <col min="12817" max="12817" width="3.85546875" style="441" customWidth="1"/>
    <col min="12818" max="12818" width="7.7109375" style="441" customWidth="1"/>
    <col min="12819" max="12819" width="3.140625" style="441" customWidth="1"/>
    <col min="12820" max="12820" width="2.42578125" style="441" customWidth="1"/>
    <col min="12821" max="12821" width="11.28515625" style="441" bestFit="1" customWidth="1"/>
    <col min="12822" max="12822" width="11.28515625" style="441" customWidth="1"/>
    <col min="12823" max="13056" width="9.140625" style="441"/>
    <col min="13057" max="13057" width="13" style="441" customWidth="1"/>
    <col min="13058" max="13058" width="3.140625" style="441" customWidth="1"/>
    <col min="13059" max="13059" width="3.28515625" style="441" customWidth="1"/>
    <col min="13060" max="13060" width="10.140625" style="441" customWidth="1"/>
    <col min="13061" max="13061" width="13" style="441" customWidth="1"/>
    <col min="13062" max="13062" width="3" style="441" customWidth="1"/>
    <col min="13063" max="13063" width="1.85546875" style="441" customWidth="1"/>
    <col min="13064" max="13064" width="2.7109375" style="441" customWidth="1"/>
    <col min="13065" max="13065" width="14" style="441" bestFit="1" customWidth="1"/>
    <col min="13066" max="13066" width="4.28515625" style="441" customWidth="1"/>
    <col min="13067" max="13067" width="8.140625" style="441" customWidth="1"/>
    <col min="13068" max="13068" width="3" style="441" customWidth="1"/>
    <col min="13069" max="13069" width="15.140625" style="441" bestFit="1" customWidth="1"/>
    <col min="13070" max="13070" width="8.42578125" style="441" customWidth="1"/>
    <col min="13071" max="13071" width="3.28515625" style="441" customWidth="1"/>
    <col min="13072" max="13072" width="2.140625" style="441" customWidth="1"/>
    <col min="13073" max="13073" width="3.85546875" style="441" customWidth="1"/>
    <col min="13074" max="13074" width="7.7109375" style="441" customWidth="1"/>
    <col min="13075" max="13075" width="3.140625" style="441" customWidth="1"/>
    <col min="13076" max="13076" width="2.42578125" style="441" customWidth="1"/>
    <col min="13077" max="13077" width="11.28515625" style="441" bestFit="1" customWidth="1"/>
    <col min="13078" max="13078" width="11.28515625" style="441" customWidth="1"/>
    <col min="13079" max="13312" width="9.140625" style="441"/>
    <col min="13313" max="13313" width="13" style="441" customWidth="1"/>
    <col min="13314" max="13314" width="3.140625" style="441" customWidth="1"/>
    <col min="13315" max="13315" width="3.28515625" style="441" customWidth="1"/>
    <col min="13316" max="13316" width="10.140625" style="441" customWidth="1"/>
    <col min="13317" max="13317" width="13" style="441" customWidth="1"/>
    <col min="13318" max="13318" width="3" style="441" customWidth="1"/>
    <col min="13319" max="13319" width="1.85546875" style="441" customWidth="1"/>
    <col min="13320" max="13320" width="2.7109375" style="441" customWidth="1"/>
    <col min="13321" max="13321" width="14" style="441" bestFit="1" customWidth="1"/>
    <col min="13322" max="13322" width="4.28515625" style="441" customWidth="1"/>
    <col min="13323" max="13323" width="8.140625" style="441" customWidth="1"/>
    <col min="13324" max="13324" width="3" style="441" customWidth="1"/>
    <col min="13325" max="13325" width="15.140625" style="441" bestFit="1" customWidth="1"/>
    <col min="13326" max="13326" width="8.42578125" style="441" customWidth="1"/>
    <col min="13327" max="13327" width="3.28515625" style="441" customWidth="1"/>
    <col min="13328" max="13328" width="2.140625" style="441" customWidth="1"/>
    <col min="13329" max="13329" width="3.85546875" style="441" customWidth="1"/>
    <col min="13330" max="13330" width="7.7109375" style="441" customWidth="1"/>
    <col min="13331" max="13331" width="3.140625" style="441" customWidth="1"/>
    <col min="13332" max="13332" width="2.42578125" style="441" customWidth="1"/>
    <col min="13333" max="13333" width="11.28515625" style="441" bestFit="1" customWidth="1"/>
    <col min="13334" max="13334" width="11.28515625" style="441" customWidth="1"/>
    <col min="13335" max="13568" width="9.140625" style="441"/>
    <col min="13569" max="13569" width="13" style="441" customWidth="1"/>
    <col min="13570" max="13570" width="3.140625" style="441" customWidth="1"/>
    <col min="13571" max="13571" width="3.28515625" style="441" customWidth="1"/>
    <col min="13572" max="13572" width="10.140625" style="441" customWidth="1"/>
    <col min="13573" max="13573" width="13" style="441" customWidth="1"/>
    <col min="13574" max="13574" width="3" style="441" customWidth="1"/>
    <col min="13575" max="13575" width="1.85546875" style="441" customWidth="1"/>
    <col min="13576" max="13576" width="2.7109375" style="441" customWidth="1"/>
    <col min="13577" max="13577" width="14" style="441" bestFit="1" customWidth="1"/>
    <col min="13578" max="13578" width="4.28515625" style="441" customWidth="1"/>
    <col min="13579" max="13579" width="8.140625" style="441" customWidth="1"/>
    <col min="13580" max="13580" width="3" style="441" customWidth="1"/>
    <col min="13581" max="13581" width="15.140625" style="441" bestFit="1" customWidth="1"/>
    <col min="13582" max="13582" width="8.42578125" style="441" customWidth="1"/>
    <col min="13583" max="13583" width="3.28515625" style="441" customWidth="1"/>
    <col min="13584" max="13584" width="2.140625" style="441" customWidth="1"/>
    <col min="13585" max="13585" width="3.85546875" style="441" customWidth="1"/>
    <col min="13586" max="13586" width="7.7109375" style="441" customWidth="1"/>
    <col min="13587" max="13587" width="3.140625" style="441" customWidth="1"/>
    <col min="13588" max="13588" width="2.42578125" style="441" customWidth="1"/>
    <col min="13589" max="13589" width="11.28515625" style="441" bestFit="1" customWidth="1"/>
    <col min="13590" max="13590" width="11.28515625" style="441" customWidth="1"/>
    <col min="13591" max="13824" width="9.140625" style="441"/>
    <col min="13825" max="13825" width="13" style="441" customWidth="1"/>
    <col min="13826" max="13826" width="3.140625" style="441" customWidth="1"/>
    <col min="13827" max="13827" width="3.28515625" style="441" customWidth="1"/>
    <col min="13828" max="13828" width="10.140625" style="441" customWidth="1"/>
    <col min="13829" max="13829" width="13" style="441" customWidth="1"/>
    <col min="13830" max="13830" width="3" style="441" customWidth="1"/>
    <col min="13831" max="13831" width="1.85546875" style="441" customWidth="1"/>
    <col min="13832" max="13832" width="2.7109375" style="441" customWidth="1"/>
    <col min="13833" max="13833" width="14" style="441" bestFit="1" customWidth="1"/>
    <col min="13834" max="13834" width="4.28515625" style="441" customWidth="1"/>
    <col min="13835" max="13835" width="8.140625" style="441" customWidth="1"/>
    <col min="13836" max="13836" width="3" style="441" customWidth="1"/>
    <col min="13837" max="13837" width="15.140625" style="441" bestFit="1" customWidth="1"/>
    <col min="13838" max="13838" width="8.42578125" style="441" customWidth="1"/>
    <col min="13839" max="13839" width="3.28515625" style="441" customWidth="1"/>
    <col min="13840" max="13840" width="2.140625" style="441" customWidth="1"/>
    <col min="13841" max="13841" width="3.85546875" style="441" customWidth="1"/>
    <col min="13842" max="13842" width="7.7109375" style="441" customWidth="1"/>
    <col min="13843" max="13843" width="3.140625" style="441" customWidth="1"/>
    <col min="13844" max="13844" width="2.42578125" style="441" customWidth="1"/>
    <col min="13845" max="13845" width="11.28515625" style="441" bestFit="1" customWidth="1"/>
    <col min="13846" max="13846" width="11.28515625" style="441" customWidth="1"/>
    <col min="13847" max="14080" width="9.140625" style="441"/>
    <col min="14081" max="14081" width="13" style="441" customWidth="1"/>
    <col min="14082" max="14082" width="3.140625" style="441" customWidth="1"/>
    <col min="14083" max="14083" width="3.28515625" style="441" customWidth="1"/>
    <col min="14084" max="14084" width="10.140625" style="441" customWidth="1"/>
    <col min="14085" max="14085" width="13" style="441" customWidth="1"/>
    <col min="14086" max="14086" width="3" style="441" customWidth="1"/>
    <col min="14087" max="14087" width="1.85546875" style="441" customWidth="1"/>
    <col min="14088" max="14088" width="2.7109375" style="441" customWidth="1"/>
    <col min="14089" max="14089" width="14" style="441" bestFit="1" customWidth="1"/>
    <col min="14090" max="14090" width="4.28515625" style="441" customWidth="1"/>
    <col min="14091" max="14091" width="8.140625" style="441" customWidth="1"/>
    <col min="14092" max="14092" width="3" style="441" customWidth="1"/>
    <col min="14093" max="14093" width="15.140625" style="441" bestFit="1" customWidth="1"/>
    <col min="14094" max="14094" width="8.42578125" style="441" customWidth="1"/>
    <col min="14095" max="14095" width="3.28515625" style="441" customWidth="1"/>
    <col min="14096" max="14096" width="2.140625" style="441" customWidth="1"/>
    <col min="14097" max="14097" width="3.85546875" style="441" customWidth="1"/>
    <col min="14098" max="14098" width="7.7109375" style="441" customWidth="1"/>
    <col min="14099" max="14099" width="3.140625" style="441" customWidth="1"/>
    <col min="14100" max="14100" width="2.42578125" style="441" customWidth="1"/>
    <col min="14101" max="14101" width="11.28515625" style="441" bestFit="1" customWidth="1"/>
    <col min="14102" max="14102" width="11.28515625" style="441" customWidth="1"/>
    <col min="14103" max="14336" width="9.140625" style="441"/>
    <col min="14337" max="14337" width="13" style="441" customWidth="1"/>
    <col min="14338" max="14338" width="3.140625" style="441" customWidth="1"/>
    <col min="14339" max="14339" width="3.28515625" style="441" customWidth="1"/>
    <col min="14340" max="14340" width="10.140625" style="441" customWidth="1"/>
    <col min="14341" max="14341" width="13" style="441" customWidth="1"/>
    <col min="14342" max="14342" width="3" style="441" customWidth="1"/>
    <col min="14343" max="14343" width="1.85546875" style="441" customWidth="1"/>
    <col min="14344" max="14344" width="2.7109375" style="441" customWidth="1"/>
    <col min="14345" max="14345" width="14" style="441" bestFit="1" customWidth="1"/>
    <col min="14346" max="14346" width="4.28515625" style="441" customWidth="1"/>
    <col min="14347" max="14347" width="8.140625" style="441" customWidth="1"/>
    <col min="14348" max="14348" width="3" style="441" customWidth="1"/>
    <col min="14349" max="14349" width="15.140625" style="441" bestFit="1" customWidth="1"/>
    <col min="14350" max="14350" width="8.42578125" style="441" customWidth="1"/>
    <col min="14351" max="14351" width="3.28515625" style="441" customWidth="1"/>
    <col min="14352" max="14352" width="2.140625" style="441" customWidth="1"/>
    <col min="14353" max="14353" width="3.85546875" style="441" customWidth="1"/>
    <col min="14354" max="14354" width="7.7109375" style="441" customWidth="1"/>
    <col min="14355" max="14355" width="3.140625" style="441" customWidth="1"/>
    <col min="14356" max="14356" width="2.42578125" style="441" customWidth="1"/>
    <col min="14357" max="14357" width="11.28515625" style="441" bestFit="1" customWidth="1"/>
    <col min="14358" max="14358" width="11.28515625" style="441" customWidth="1"/>
    <col min="14359" max="14592" width="9.140625" style="441"/>
    <col min="14593" max="14593" width="13" style="441" customWidth="1"/>
    <col min="14594" max="14594" width="3.140625" style="441" customWidth="1"/>
    <col min="14595" max="14595" width="3.28515625" style="441" customWidth="1"/>
    <col min="14596" max="14596" width="10.140625" style="441" customWidth="1"/>
    <col min="14597" max="14597" width="13" style="441" customWidth="1"/>
    <col min="14598" max="14598" width="3" style="441" customWidth="1"/>
    <col min="14599" max="14599" width="1.85546875" style="441" customWidth="1"/>
    <col min="14600" max="14600" width="2.7109375" style="441" customWidth="1"/>
    <col min="14601" max="14601" width="14" style="441" bestFit="1" customWidth="1"/>
    <col min="14602" max="14602" width="4.28515625" style="441" customWidth="1"/>
    <col min="14603" max="14603" width="8.140625" style="441" customWidth="1"/>
    <col min="14604" max="14604" width="3" style="441" customWidth="1"/>
    <col min="14605" max="14605" width="15.140625" style="441" bestFit="1" customWidth="1"/>
    <col min="14606" max="14606" width="8.42578125" style="441" customWidth="1"/>
    <col min="14607" max="14607" width="3.28515625" style="441" customWidth="1"/>
    <col min="14608" max="14608" width="2.140625" style="441" customWidth="1"/>
    <col min="14609" max="14609" width="3.85546875" style="441" customWidth="1"/>
    <col min="14610" max="14610" width="7.7109375" style="441" customWidth="1"/>
    <col min="14611" max="14611" width="3.140625" style="441" customWidth="1"/>
    <col min="14612" max="14612" width="2.42578125" style="441" customWidth="1"/>
    <col min="14613" max="14613" width="11.28515625" style="441" bestFit="1" customWidth="1"/>
    <col min="14614" max="14614" width="11.28515625" style="441" customWidth="1"/>
    <col min="14615" max="14848" width="9.140625" style="441"/>
    <col min="14849" max="14849" width="13" style="441" customWidth="1"/>
    <col min="14850" max="14850" width="3.140625" style="441" customWidth="1"/>
    <col min="14851" max="14851" width="3.28515625" style="441" customWidth="1"/>
    <col min="14852" max="14852" width="10.140625" style="441" customWidth="1"/>
    <col min="14853" max="14853" width="13" style="441" customWidth="1"/>
    <col min="14854" max="14854" width="3" style="441" customWidth="1"/>
    <col min="14855" max="14855" width="1.85546875" style="441" customWidth="1"/>
    <col min="14856" max="14856" width="2.7109375" style="441" customWidth="1"/>
    <col min="14857" max="14857" width="14" style="441" bestFit="1" customWidth="1"/>
    <col min="14858" max="14858" width="4.28515625" style="441" customWidth="1"/>
    <col min="14859" max="14859" width="8.140625" style="441" customWidth="1"/>
    <col min="14860" max="14860" width="3" style="441" customWidth="1"/>
    <col min="14861" max="14861" width="15.140625" style="441" bestFit="1" customWidth="1"/>
    <col min="14862" max="14862" width="8.42578125" style="441" customWidth="1"/>
    <col min="14863" max="14863" width="3.28515625" style="441" customWidth="1"/>
    <col min="14864" max="14864" width="2.140625" style="441" customWidth="1"/>
    <col min="14865" max="14865" width="3.85546875" style="441" customWidth="1"/>
    <col min="14866" max="14866" width="7.7109375" style="441" customWidth="1"/>
    <col min="14867" max="14867" width="3.140625" style="441" customWidth="1"/>
    <col min="14868" max="14868" width="2.42578125" style="441" customWidth="1"/>
    <col min="14869" max="14869" width="11.28515625" style="441" bestFit="1" customWidth="1"/>
    <col min="14870" max="14870" width="11.28515625" style="441" customWidth="1"/>
    <col min="14871" max="15104" width="9.140625" style="441"/>
    <col min="15105" max="15105" width="13" style="441" customWidth="1"/>
    <col min="15106" max="15106" width="3.140625" style="441" customWidth="1"/>
    <col min="15107" max="15107" width="3.28515625" style="441" customWidth="1"/>
    <col min="15108" max="15108" width="10.140625" style="441" customWidth="1"/>
    <col min="15109" max="15109" width="13" style="441" customWidth="1"/>
    <col min="15110" max="15110" width="3" style="441" customWidth="1"/>
    <col min="15111" max="15111" width="1.85546875" style="441" customWidth="1"/>
    <col min="15112" max="15112" width="2.7109375" style="441" customWidth="1"/>
    <col min="15113" max="15113" width="14" style="441" bestFit="1" customWidth="1"/>
    <col min="15114" max="15114" width="4.28515625" style="441" customWidth="1"/>
    <col min="15115" max="15115" width="8.140625" style="441" customWidth="1"/>
    <col min="15116" max="15116" width="3" style="441" customWidth="1"/>
    <col min="15117" max="15117" width="15.140625" style="441" bestFit="1" customWidth="1"/>
    <col min="15118" max="15118" width="8.42578125" style="441" customWidth="1"/>
    <col min="15119" max="15119" width="3.28515625" style="441" customWidth="1"/>
    <col min="15120" max="15120" width="2.140625" style="441" customWidth="1"/>
    <col min="15121" max="15121" width="3.85546875" style="441" customWidth="1"/>
    <col min="15122" max="15122" width="7.7109375" style="441" customWidth="1"/>
    <col min="15123" max="15123" width="3.140625" style="441" customWidth="1"/>
    <col min="15124" max="15124" width="2.42578125" style="441" customWidth="1"/>
    <col min="15125" max="15125" width="11.28515625" style="441" bestFit="1" customWidth="1"/>
    <col min="15126" max="15126" width="11.28515625" style="441" customWidth="1"/>
    <col min="15127" max="15360" width="9.140625" style="441"/>
    <col min="15361" max="15361" width="13" style="441" customWidth="1"/>
    <col min="15362" max="15362" width="3.140625" style="441" customWidth="1"/>
    <col min="15363" max="15363" width="3.28515625" style="441" customWidth="1"/>
    <col min="15364" max="15364" width="10.140625" style="441" customWidth="1"/>
    <col min="15365" max="15365" width="13" style="441" customWidth="1"/>
    <col min="15366" max="15366" width="3" style="441" customWidth="1"/>
    <col min="15367" max="15367" width="1.85546875" style="441" customWidth="1"/>
    <col min="15368" max="15368" width="2.7109375" style="441" customWidth="1"/>
    <col min="15369" max="15369" width="14" style="441" bestFit="1" customWidth="1"/>
    <col min="15370" max="15370" width="4.28515625" style="441" customWidth="1"/>
    <col min="15371" max="15371" width="8.140625" style="441" customWidth="1"/>
    <col min="15372" max="15372" width="3" style="441" customWidth="1"/>
    <col min="15373" max="15373" width="15.140625" style="441" bestFit="1" customWidth="1"/>
    <col min="15374" max="15374" width="8.42578125" style="441" customWidth="1"/>
    <col min="15375" max="15375" width="3.28515625" style="441" customWidth="1"/>
    <col min="15376" max="15376" width="2.140625" style="441" customWidth="1"/>
    <col min="15377" max="15377" width="3.85546875" style="441" customWidth="1"/>
    <col min="15378" max="15378" width="7.7109375" style="441" customWidth="1"/>
    <col min="15379" max="15379" width="3.140625" style="441" customWidth="1"/>
    <col min="15380" max="15380" width="2.42578125" style="441" customWidth="1"/>
    <col min="15381" max="15381" width="11.28515625" style="441" bestFit="1" customWidth="1"/>
    <col min="15382" max="15382" width="11.28515625" style="441" customWidth="1"/>
    <col min="15383" max="15616" width="9.140625" style="441"/>
    <col min="15617" max="15617" width="13" style="441" customWidth="1"/>
    <col min="15618" max="15618" width="3.140625" style="441" customWidth="1"/>
    <col min="15619" max="15619" width="3.28515625" style="441" customWidth="1"/>
    <col min="15620" max="15620" width="10.140625" style="441" customWidth="1"/>
    <col min="15621" max="15621" width="13" style="441" customWidth="1"/>
    <col min="15622" max="15622" width="3" style="441" customWidth="1"/>
    <col min="15623" max="15623" width="1.85546875" style="441" customWidth="1"/>
    <col min="15624" max="15624" width="2.7109375" style="441" customWidth="1"/>
    <col min="15625" max="15625" width="14" style="441" bestFit="1" customWidth="1"/>
    <col min="15626" max="15626" width="4.28515625" style="441" customWidth="1"/>
    <col min="15627" max="15627" width="8.140625" style="441" customWidth="1"/>
    <col min="15628" max="15628" width="3" style="441" customWidth="1"/>
    <col min="15629" max="15629" width="15.140625" style="441" bestFit="1" customWidth="1"/>
    <col min="15630" max="15630" width="8.42578125" style="441" customWidth="1"/>
    <col min="15631" max="15631" width="3.28515625" style="441" customWidth="1"/>
    <col min="15632" max="15632" width="2.140625" style="441" customWidth="1"/>
    <col min="15633" max="15633" width="3.85546875" style="441" customWidth="1"/>
    <col min="15634" max="15634" width="7.7109375" style="441" customWidth="1"/>
    <col min="15635" max="15635" width="3.140625" style="441" customWidth="1"/>
    <col min="15636" max="15636" width="2.42578125" style="441" customWidth="1"/>
    <col min="15637" max="15637" width="11.28515625" style="441" bestFit="1" customWidth="1"/>
    <col min="15638" max="15638" width="11.28515625" style="441" customWidth="1"/>
    <col min="15639" max="15872" width="9.140625" style="441"/>
    <col min="15873" max="15873" width="13" style="441" customWidth="1"/>
    <col min="15874" max="15874" width="3.140625" style="441" customWidth="1"/>
    <col min="15875" max="15875" width="3.28515625" style="441" customWidth="1"/>
    <col min="15876" max="15876" width="10.140625" style="441" customWidth="1"/>
    <col min="15877" max="15877" width="13" style="441" customWidth="1"/>
    <col min="15878" max="15878" width="3" style="441" customWidth="1"/>
    <col min="15879" max="15879" width="1.85546875" style="441" customWidth="1"/>
    <col min="15880" max="15880" width="2.7109375" style="441" customWidth="1"/>
    <col min="15881" max="15881" width="14" style="441" bestFit="1" customWidth="1"/>
    <col min="15882" max="15882" width="4.28515625" style="441" customWidth="1"/>
    <col min="15883" max="15883" width="8.140625" style="441" customWidth="1"/>
    <col min="15884" max="15884" width="3" style="441" customWidth="1"/>
    <col min="15885" max="15885" width="15.140625" style="441" bestFit="1" customWidth="1"/>
    <col min="15886" max="15886" width="8.42578125" style="441" customWidth="1"/>
    <col min="15887" max="15887" width="3.28515625" style="441" customWidth="1"/>
    <col min="15888" max="15888" width="2.140625" style="441" customWidth="1"/>
    <col min="15889" max="15889" width="3.85546875" style="441" customWidth="1"/>
    <col min="15890" max="15890" width="7.7109375" style="441" customWidth="1"/>
    <col min="15891" max="15891" width="3.140625" style="441" customWidth="1"/>
    <col min="15892" max="15892" width="2.42578125" style="441" customWidth="1"/>
    <col min="15893" max="15893" width="11.28515625" style="441" bestFit="1" customWidth="1"/>
    <col min="15894" max="15894" width="11.28515625" style="441" customWidth="1"/>
    <col min="15895" max="16128" width="9.140625" style="441"/>
    <col min="16129" max="16129" width="13" style="441" customWidth="1"/>
    <col min="16130" max="16130" width="3.140625" style="441" customWidth="1"/>
    <col min="16131" max="16131" width="3.28515625" style="441" customWidth="1"/>
    <col min="16132" max="16132" width="10.140625" style="441" customWidth="1"/>
    <col min="16133" max="16133" width="13" style="441" customWidth="1"/>
    <col min="16134" max="16134" width="3" style="441" customWidth="1"/>
    <col min="16135" max="16135" width="1.85546875" style="441" customWidth="1"/>
    <col min="16136" max="16136" width="2.7109375" style="441" customWidth="1"/>
    <col min="16137" max="16137" width="14" style="441" bestFit="1" customWidth="1"/>
    <col min="16138" max="16138" width="4.28515625" style="441" customWidth="1"/>
    <col min="16139" max="16139" width="8.140625" style="441" customWidth="1"/>
    <col min="16140" max="16140" width="3" style="441" customWidth="1"/>
    <col min="16141" max="16141" width="15.140625" style="441" bestFit="1" customWidth="1"/>
    <col min="16142" max="16142" width="8.42578125" style="441" customWidth="1"/>
    <col min="16143" max="16143" width="3.28515625" style="441" customWidth="1"/>
    <col min="16144" max="16144" width="2.140625" style="441" customWidth="1"/>
    <col min="16145" max="16145" width="3.85546875" style="441" customWidth="1"/>
    <col min="16146" max="16146" width="7.7109375" style="441" customWidth="1"/>
    <col min="16147" max="16147" width="3.140625" style="441" customWidth="1"/>
    <col min="16148" max="16148" width="2.42578125" style="441" customWidth="1"/>
    <col min="16149" max="16149" width="11.28515625" style="441" bestFit="1" customWidth="1"/>
    <col min="16150" max="16150" width="11.28515625" style="441" customWidth="1"/>
    <col min="16151" max="16384" width="9.140625" style="441"/>
  </cols>
  <sheetData>
    <row r="1" spans="1:21" ht="27" thickBot="1">
      <c r="A1" s="440" t="s">
        <v>214</v>
      </c>
      <c r="H1" s="442" t="s">
        <v>215</v>
      </c>
      <c r="I1" s="443"/>
    </row>
    <row r="2" spans="1:21">
      <c r="A2" s="444" t="s">
        <v>216</v>
      </c>
      <c r="B2" s="445"/>
      <c r="C2" s="445"/>
      <c r="D2" s="445"/>
      <c r="E2" s="445"/>
      <c r="F2" s="445"/>
      <c r="G2" s="445"/>
      <c r="H2" s="445"/>
      <c r="I2" s="445"/>
      <c r="J2" s="446"/>
      <c r="K2" s="444" t="s">
        <v>217</v>
      </c>
      <c r="L2" s="447"/>
      <c r="M2" s="445"/>
      <c r="N2" s="445"/>
      <c r="O2" s="445"/>
      <c r="P2" s="445"/>
      <c r="Q2" s="445"/>
      <c r="R2" s="445"/>
      <c r="S2" s="445"/>
      <c r="T2" s="445"/>
      <c r="U2" s="448"/>
    </row>
    <row r="3" spans="1:21" ht="13.5" thickBot="1">
      <c r="A3" s="449" t="s">
        <v>218</v>
      </c>
      <c r="B3" s="450" t="s">
        <v>219</v>
      </c>
      <c r="C3" s="451" t="s">
        <v>56</v>
      </c>
      <c r="D3" s="451"/>
      <c r="E3" s="452">
        <v>-3</v>
      </c>
      <c r="F3" s="453" t="s">
        <v>220</v>
      </c>
      <c r="G3" s="454"/>
      <c r="H3" s="453" t="s">
        <v>91</v>
      </c>
      <c r="I3" s="455">
        <v>3900</v>
      </c>
      <c r="J3" s="456"/>
      <c r="K3" s="449" t="s">
        <v>221</v>
      </c>
      <c r="L3" s="457" t="s">
        <v>56</v>
      </c>
      <c r="M3" s="458">
        <v>0</v>
      </c>
      <c r="N3" s="458"/>
      <c r="O3" s="459"/>
      <c r="P3" s="459"/>
      <c r="Q3" s="459"/>
      <c r="R3" s="459"/>
      <c r="S3" s="459"/>
      <c r="T3" s="459"/>
      <c r="U3" s="460"/>
    </row>
    <row r="4" spans="1:21">
      <c r="A4" s="449"/>
      <c r="B4" s="450"/>
      <c r="C4" s="451"/>
      <c r="D4" s="451"/>
      <c r="E4" s="461">
        <v>8</v>
      </c>
      <c r="F4" s="453"/>
      <c r="G4" s="454"/>
      <c r="H4" s="453"/>
      <c r="I4" s="455"/>
      <c r="J4" s="456"/>
      <c r="K4" s="449"/>
      <c r="L4" s="457"/>
      <c r="M4" s="458"/>
      <c r="N4" s="458"/>
      <c r="O4" s="462"/>
      <c r="P4" s="462"/>
      <c r="Q4" s="463"/>
      <c r="R4" s="462"/>
      <c r="S4" s="462"/>
      <c r="T4" s="462"/>
      <c r="U4" s="464"/>
    </row>
    <row r="5" spans="1:21" ht="14.25" customHeight="1">
      <c r="A5" s="465"/>
      <c r="B5" s="466"/>
      <c r="C5" s="466"/>
      <c r="D5" s="466"/>
      <c r="E5" s="466"/>
      <c r="F5" s="466"/>
      <c r="G5" s="466"/>
      <c r="H5" s="466"/>
      <c r="I5" s="466"/>
      <c r="J5" s="466"/>
      <c r="K5" s="449" t="s">
        <v>222</v>
      </c>
      <c r="L5" s="457" t="s">
        <v>56</v>
      </c>
      <c r="M5" s="457"/>
      <c r="N5" s="467">
        <v>0</v>
      </c>
      <c r="O5" s="468" t="str">
        <f>F3</f>
        <v>X</v>
      </c>
      <c r="P5" s="469">
        <v>2</v>
      </c>
      <c r="Q5" s="468" t="s">
        <v>91</v>
      </c>
      <c r="R5" s="470">
        <v>1650</v>
      </c>
      <c r="S5" s="468" t="str">
        <f>O5</f>
        <v>X</v>
      </c>
      <c r="T5" s="462"/>
      <c r="U5" s="464"/>
    </row>
    <row r="6" spans="1:21" ht="13.5" customHeight="1" thickBot="1">
      <c r="A6" s="449" t="s">
        <v>129</v>
      </c>
      <c r="B6" s="471"/>
      <c r="C6" s="472" t="s">
        <v>56</v>
      </c>
      <c r="D6" s="472"/>
      <c r="E6" s="473">
        <f>E3</f>
        <v>-3</v>
      </c>
      <c r="F6" s="474" t="str">
        <f>F3</f>
        <v>X</v>
      </c>
      <c r="G6" s="475">
        <v>2</v>
      </c>
      <c r="H6" s="474" t="s">
        <v>91</v>
      </c>
      <c r="I6" s="450">
        <f>I3</f>
        <v>3900</v>
      </c>
      <c r="J6" s="476" t="str">
        <f>F3</f>
        <v>X</v>
      </c>
      <c r="K6" s="449"/>
      <c r="L6" s="457"/>
      <c r="M6" s="457"/>
      <c r="N6" s="477">
        <v>1</v>
      </c>
      <c r="O6" s="468"/>
      <c r="P6" s="469"/>
      <c r="Q6" s="468"/>
      <c r="R6" s="478"/>
      <c r="S6" s="468"/>
      <c r="T6" s="462"/>
      <c r="U6" s="464"/>
    </row>
    <row r="7" spans="1:21" ht="20.25">
      <c r="A7" s="449"/>
      <c r="B7" s="471"/>
      <c r="C7" s="472"/>
      <c r="D7" s="472"/>
      <c r="E7" s="479">
        <f>E4</f>
        <v>8</v>
      </c>
      <c r="F7" s="474"/>
      <c r="G7" s="475"/>
      <c r="H7" s="474"/>
      <c r="I7" s="450"/>
      <c r="J7" s="476"/>
      <c r="K7" s="480"/>
      <c r="L7" s="462"/>
      <c r="M7" s="462"/>
      <c r="N7" s="462"/>
      <c r="O7" s="462"/>
      <c r="P7" s="481"/>
      <c r="Q7" s="482"/>
      <c r="R7" s="462"/>
      <c r="S7" s="462"/>
      <c r="T7" s="462"/>
      <c r="U7" s="464"/>
    </row>
    <row r="8" spans="1:21" ht="20.25">
      <c r="A8" s="483"/>
      <c r="B8" s="484"/>
      <c r="C8" s="485"/>
      <c r="D8" s="485"/>
      <c r="E8" s="479"/>
      <c r="F8" s="486"/>
      <c r="G8" s="487"/>
      <c r="H8" s="486"/>
      <c r="I8" s="488"/>
      <c r="J8" s="489"/>
      <c r="K8" s="449" t="s">
        <v>223</v>
      </c>
      <c r="L8" s="457" t="s">
        <v>56</v>
      </c>
      <c r="M8" s="457"/>
      <c r="N8" s="490">
        <f t="shared" ref="N8:S8" si="0">N5</f>
        <v>0</v>
      </c>
      <c r="O8" s="474" t="str">
        <f t="shared" si="0"/>
        <v>X</v>
      </c>
      <c r="P8" s="491">
        <f t="shared" si="0"/>
        <v>2</v>
      </c>
      <c r="Q8" s="474" t="str">
        <f t="shared" si="0"/>
        <v>+</v>
      </c>
      <c r="R8" s="450">
        <f t="shared" si="0"/>
        <v>1650</v>
      </c>
      <c r="S8" s="474" t="str">
        <f t="shared" si="0"/>
        <v>X</v>
      </c>
      <c r="T8" s="474" t="s">
        <v>91</v>
      </c>
      <c r="U8" s="492">
        <f>M3</f>
        <v>0</v>
      </c>
    </row>
    <row r="9" spans="1:21" ht="20.25">
      <c r="A9" s="493"/>
      <c r="B9" s="494"/>
      <c r="C9" s="490"/>
      <c r="D9" s="490"/>
      <c r="E9" s="495"/>
      <c r="F9" s="496"/>
      <c r="G9" s="497"/>
      <c r="H9" s="498"/>
      <c r="I9" s="462"/>
      <c r="J9" s="462"/>
      <c r="K9" s="449"/>
      <c r="L9" s="457"/>
      <c r="M9" s="457"/>
      <c r="N9" s="490">
        <f>N6</f>
        <v>1</v>
      </c>
      <c r="O9" s="474"/>
      <c r="P9" s="491"/>
      <c r="Q9" s="474"/>
      <c r="R9" s="450"/>
      <c r="S9" s="474"/>
      <c r="T9" s="474"/>
      <c r="U9" s="492"/>
    </row>
    <row r="10" spans="1:21" ht="21">
      <c r="A10" s="493"/>
      <c r="B10" s="494"/>
      <c r="C10" s="490"/>
      <c r="D10" s="490"/>
      <c r="E10" s="495"/>
      <c r="F10" s="496"/>
      <c r="G10" s="497"/>
      <c r="H10" s="498"/>
      <c r="I10" s="462"/>
      <c r="J10" s="462"/>
      <c r="K10" s="499"/>
      <c r="L10" s="500"/>
      <c r="M10" s="462"/>
      <c r="N10" s="462"/>
      <c r="O10" s="486"/>
      <c r="P10" s="501"/>
      <c r="Q10" s="482"/>
      <c r="R10" s="462"/>
      <c r="S10" s="502"/>
      <c r="T10" s="463"/>
      <c r="U10" s="503"/>
    </row>
    <row r="11" spans="1:21" ht="13.5" thickBot="1">
      <c r="A11" s="449" t="s">
        <v>224</v>
      </c>
      <c r="B11" s="471"/>
      <c r="C11" s="472" t="s">
        <v>56</v>
      </c>
      <c r="D11" s="472"/>
      <c r="E11" s="473">
        <f>E6*2</f>
        <v>-6</v>
      </c>
      <c r="F11" s="474" t="str">
        <f>F6</f>
        <v>X</v>
      </c>
      <c r="G11" s="462"/>
      <c r="H11" s="474" t="s">
        <v>91</v>
      </c>
      <c r="I11" s="450">
        <f>I6</f>
        <v>3900</v>
      </c>
      <c r="J11" s="450"/>
      <c r="K11" s="449" t="s">
        <v>225</v>
      </c>
      <c r="L11" s="457" t="s">
        <v>56</v>
      </c>
      <c r="M11" s="457"/>
      <c r="N11" s="490">
        <f>N5*P8</f>
        <v>0</v>
      </c>
      <c r="O11" s="474" t="str">
        <f>O8</f>
        <v>X</v>
      </c>
      <c r="P11" s="462"/>
      <c r="Q11" s="474" t="str">
        <f>Q8</f>
        <v>+</v>
      </c>
      <c r="R11" s="504">
        <f>R5</f>
        <v>1650</v>
      </c>
      <c r="S11" s="462"/>
      <c r="T11" s="462"/>
      <c r="U11" s="464"/>
    </row>
    <row r="12" spans="1:21" ht="13.5" thickBot="1">
      <c r="A12" s="505"/>
      <c r="B12" s="506"/>
      <c r="C12" s="507"/>
      <c r="D12" s="507"/>
      <c r="E12" s="508">
        <f>E4</f>
        <v>8</v>
      </c>
      <c r="F12" s="509"/>
      <c r="G12" s="510"/>
      <c r="H12" s="509"/>
      <c r="I12" s="511"/>
      <c r="J12" s="511"/>
      <c r="K12" s="449"/>
      <c r="L12" s="457"/>
      <c r="M12" s="457"/>
      <c r="N12" s="490">
        <f>N9</f>
        <v>1</v>
      </c>
      <c r="O12" s="474"/>
      <c r="P12" s="462"/>
      <c r="Q12" s="474"/>
      <c r="R12" s="504"/>
      <c r="S12" s="462"/>
      <c r="T12" s="462"/>
      <c r="U12" s="464"/>
    </row>
    <row r="13" spans="1:21" ht="21.75" customHeight="1" thickBot="1">
      <c r="A13" s="484"/>
      <c r="B13" s="484"/>
      <c r="C13" s="485"/>
      <c r="D13" s="485"/>
      <c r="E13" s="479"/>
      <c r="F13" s="486"/>
      <c r="G13" s="462"/>
      <c r="H13" s="486"/>
      <c r="I13" s="488"/>
      <c r="J13" s="488"/>
      <c r="K13" s="512" t="s">
        <v>226</v>
      </c>
      <c r="L13" s="513" t="s">
        <v>56</v>
      </c>
      <c r="M13" s="513"/>
      <c r="N13" s="514">
        <v>2500</v>
      </c>
      <c r="O13" s="514"/>
      <c r="P13" s="514"/>
      <c r="Q13" s="515" t="str">
        <f>O11</f>
        <v>X</v>
      </c>
      <c r="R13" s="516"/>
      <c r="S13" s="510"/>
      <c r="T13" s="510"/>
      <c r="U13" s="517"/>
    </row>
    <row r="14" spans="1:21" ht="14.25" customHeight="1">
      <c r="A14" s="484"/>
      <c r="B14" s="484"/>
      <c r="C14" s="485"/>
      <c r="D14" s="485"/>
      <c r="E14" s="479"/>
      <c r="F14" s="486"/>
      <c r="G14" s="462"/>
      <c r="H14" s="486"/>
      <c r="I14" s="488"/>
      <c r="J14" s="488"/>
      <c r="K14" s="518" t="s">
        <v>227</v>
      </c>
      <c r="L14" s="519" t="s">
        <v>56</v>
      </c>
      <c r="M14" s="519"/>
      <c r="N14" s="520">
        <f>N16*0.5</f>
        <v>0</v>
      </c>
      <c r="O14" s="521" t="str">
        <f>O16</f>
        <v>X</v>
      </c>
      <c r="P14" s="522">
        <f>P5</f>
        <v>2</v>
      </c>
      <c r="Q14" s="523" t="s">
        <v>91</v>
      </c>
      <c r="R14" s="524">
        <f>R16</f>
        <v>1740</v>
      </c>
      <c r="S14" s="525" t="str">
        <f>O14</f>
        <v>X</v>
      </c>
      <c r="T14" s="462"/>
      <c r="U14" s="464"/>
    </row>
    <row r="15" spans="1:21" ht="14.25" customHeight="1" thickBot="1">
      <c r="A15" s="484"/>
      <c r="B15" s="484"/>
      <c r="C15" s="485"/>
      <c r="D15" s="485"/>
      <c r="E15" s="479"/>
      <c r="F15" s="486"/>
      <c r="G15" s="462"/>
      <c r="H15" s="486"/>
      <c r="I15" s="488"/>
      <c r="J15" s="488"/>
      <c r="K15" s="505"/>
      <c r="L15" s="513"/>
      <c r="M15" s="513"/>
      <c r="N15" s="526">
        <f>N17</f>
        <v>1</v>
      </c>
      <c r="O15" s="527"/>
      <c r="P15" s="528"/>
      <c r="Q15" s="509"/>
      <c r="R15" s="529"/>
      <c r="S15" s="507"/>
      <c r="T15" s="462"/>
      <c r="U15" s="464"/>
    </row>
    <row r="16" spans="1:21" ht="13.5" customHeight="1">
      <c r="A16" s="484"/>
      <c r="B16" s="484"/>
      <c r="C16" s="485"/>
      <c r="D16" s="485"/>
      <c r="E16" s="479"/>
      <c r="F16" s="486"/>
      <c r="G16" s="462"/>
      <c r="H16" s="486"/>
      <c r="I16" s="488"/>
      <c r="J16" s="488"/>
      <c r="K16" s="518" t="s">
        <v>228</v>
      </c>
      <c r="L16" s="519" t="str">
        <f>L13</f>
        <v>=</v>
      </c>
      <c r="M16" s="519"/>
      <c r="N16" s="530">
        <v>0</v>
      </c>
      <c r="O16" s="523" t="str">
        <f>O11</f>
        <v>X</v>
      </c>
      <c r="P16" s="531"/>
      <c r="Q16" s="523" t="str">
        <f>Q11</f>
        <v>+</v>
      </c>
      <c r="R16" s="532">
        <v>1740</v>
      </c>
      <c r="S16" s="446"/>
      <c r="T16" s="446"/>
      <c r="U16" s="533"/>
    </row>
    <row r="17" spans="1:21" ht="14.25" customHeight="1">
      <c r="A17" s="484"/>
      <c r="B17" s="484"/>
      <c r="C17" s="485"/>
      <c r="D17" s="485"/>
      <c r="E17" s="479"/>
      <c r="F17" s="486"/>
      <c r="G17" s="462"/>
      <c r="H17" s="486"/>
      <c r="I17" s="488"/>
      <c r="J17" s="488"/>
      <c r="K17" s="449"/>
      <c r="L17" s="534"/>
      <c r="M17" s="534"/>
      <c r="N17" s="477">
        <v>1</v>
      </c>
      <c r="O17" s="474"/>
      <c r="P17" s="456"/>
      <c r="Q17" s="474"/>
      <c r="R17" s="535"/>
      <c r="S17" s="462"/>
      <c r="T17" s="462"/>
      <c r="U17" s="464"/>
    </row>
    <row r="18" spans="1:21" ht="21.75" customHeight="1" thickBot="1">
      <c r="A18" s="484"/>
      <c r="B18" s="484"/>
      <c r="C18" s="485"/>
      <c r="D18" s="485"/>
      <c r="E18" s="479"/>
      <c r="F18" s="486"/>
      <c r="G18" s="462"/>
      <c r="H18" s="486"/>
      <c r="I18" s="488"/>
      <c r="J18" s="488"/>
      <c r="K18" s="512" t="s">
        <v>226</v>
      </c>
      <c r="L18" s="513" t="str">
        <f>L16</f>
        <v>=</v>
      </c>
      <c r="M18" s="536"/>
      <c r="N18" s="514">
        <v>4000</v>
      </c>
      <c r="O18" s="514"/>
      <c r="P18" s="514"/>
      <c r="Q18" s="515" t="str">
        <f>Q13</f>
        <v>X</v>
      </c>
      <c r="R18" s="516"/>
      <c r="S18" s="510"/>
      <c r="T18" s="510"/>
      <c r="U18" s="517"/>
    </row>
    <row r="19" spans="1:21" ht="15" customHeight="1">
      <c r="A19" s="484"/>
      <c r="B19" s="484"/>
      <c r="C19" s="485"/>
      <c r="D19" s="485"/>
      <c r="E19" s="479"/>
      <c r="F19" s="486"/>
      <c r="G19" s="462"/>
      <c r="H19" s="486"/>
      <c r="I19" s="488"/>
      <c r="J19" s="488"/>
      <c r="K19" s="518" t="s">
        <v>229</v>
      </c>
      <c r="L19" s="519" t="s">
        <v>56</v>
      </c>
      <c r="M19" s="519"/>
      <c r="N19" s="520">
        <f>N21*0.5</f>
        <v>0</v>
      </c>
      <c r="O19" s="521" t="str">
        <f>O16</f>
        <v>X</v>
      </c>
      <c r="P19" s="522">
        <f>P14</f>
        <v>2</v>
      </c>
      <c r="Q19" s="523" t="s">
        <v>91</v>
      </c>
      <c r="R19" s="524">
        <f>R21</f>
        <v>0</v>
      </c>
      <c r="S19" s="525" t="str">
        <f>S14</f>
        <v>X</v>
      </c>
      <c r="T19" s="462"/>
      <c r="U19" s="464"/>
    </row>
    <row r="20" spans="1:21" ht="14.25" customHeight="1" thickBot="1">
      <c r="A20" s="484"/>
      <c r="B20" s="484"/>
      <c r="C20" s="485"/>
      <c r="D20" s="485"/>
      <c r="E20" s="479"/>
      <c r="F20" s="486"/>
      <c r="G20" s="462"/>
      <c r="H20" s="486"/>
      <c r="I20" s="488"/>
      <c r="J20" s="488"/>
      <c r="K20" s="505"/>
      <c r="L20" s="513"/>
      <c r="M20" s="513"/>
      <c r="N20" s="537">
        <f>N22</f>
        <v>1</v>
      </c>
      <c r="O20" s="527"/>
      <c r="P20" s="528"/>
      <c r="Q20" s="509"/>
      <c r="R20" s="529"/>
      <c r="S20" s="507"/>
      <c r="T20" s="462"/>
      <c r="U20" s="464"/>
    </row>
    <row r="21" spans="1:21" ht="15.75" customHeight="1">
      <c r="A21" s="484"/>
      <c r="B21" s="484"/>
      <c r="C21" s="485"/>
      <c r="D21" s="485"/>
      <c r="E21" s="479"/>
      <c r="F21" s="486"/>
      <c r="G21" s="462"/>
      <c r="H21" s="486"/>
      <c r="I21" s="488"/>
      <c r="J21" s="488"/>
      <c r="K21" s="518" t="s">
        <v>230</v>
      </c>
      <c r="L21" s="519" t="str">
        <f>L16</f>
        <v>=</v>
      </c>
      <c r="M21" s="538"/>
      <c r="N21" s="530">
        <v>0</v>
      </c>
      <c r="O21" s="523" t="str">
        <f>O16</f>
        <v>X</v>
      </c>
      <c r="P21" s="446"/>
      <c r="Q21" s="523" t="str">
        <f>Q16</f>
        <v>+</v>
      </c>
      <c r="R21" s="532">
        <v>0</v>
      </c>
      <c r="S21" s="446"/>
      <c r="T21" s="446"/>
      <c r="U21" s="533"/>
    </row>
    <row r="22" spans="1:21" ht="14.25" customHeight="1">
      <c r="A22" s="484"/>
      <c r="B22" s="484"/>
      <c r="C22" s="485"/>
      <c r="D22" s="485"/>
      <c r="E22" s="479"/>
      <c r="F22" s="486"/>
      <c r="G22" s="462"/>
      <c r="H22" s="486"/>
      <c r="I22" s="488"/>
      <c r="J22" s="488"/>
      <c r="K22" s="449"/>
      <c r="L22" s="457"/>
      <c r="M22" s="457"/>
      <c r="N22" s="477">
        <v>1</v>
      </c>
      <c r="O22" s="474"/>
      <c r="P22" s="462"/>
      <c r="Q22" s="474"/>
      <c r="R22" s="535"/>
      <c r="S22" s="462"/>
      <c r="T22" s="462"/>
      <c r="U22" s="464"/>
    </row>
    <row r="23" spans="1:21" ht="19.5" customHeight="1" thickBot="1">
      <c r="A23" s="539" t="s">
        <v>231</v>
      </c>
      <c r="B23" s="459"/>
      <c r="C23" s="462" t="str">
        <f>C6</f>
        <v>=</v>
      </c>
      <c r="D23" s="540">
        <v>4000</v>
      </c>
      <c r="E23" s="495"/>
      <c r="F23" s="496"/>
      <c r="G23" s="462"/>
      <c r="H23" s="541"/>
      <c r="I23" s="462"/>
      <c r="J23" s="462"/>
      <c r="K23" s="542" t="s">
        <v>226</v>
      </c>
      <c r="L23" s="543" t="str">
        <f>L21</f>
        <v>=</v>
      </c>
      <c r="M23" s="544"/>
      <c r="N23" s="514">
        <v>0</v>
      </c>
      <c r="O23" s="514"/>
      <c r="P23" s="514"/>
      <c r="Q23" s="545" t="str">
        <f>Q18</f>
        <v>X</v>
      </c>
      <c r="R23" s="510"/>
      <c r="S23" s="510"/>
      <c r="T23" s="510"/>
      <c r="U23" s="517"/>
    </row>
    <row r="24" spans="1:21" ht="19.5" customHeight="1">
      <c r="A24" s="539"/>
      <c r="B24" s="459"/>
      <c r="C24" s="462"/>
      <c r="D24" s="546"/>
      <c r="E24" s="495"/>
      <c r="F24" s="496"/>
      <c r="G24" s="462"/>
      <c r="H24" s="541"/>
      <c r="I24" s="462"/>
      <c r="J24" s="462"/>
      <c r="K24" s="500"/>
      <c r="L24" s="547"/>
      <c r="M24" s="494"/>
      <c r="N24" s="548"/>
      <c r="O24" s="548"/>
      <c r="P24" s="548"/>
      <c r="Q24" s="549"/>
      <c r="R24" s="462"/>
      <c r="S24" s="462"/>
      <c r="T24" s="462"/>
      <c r="U24" s="462"/>
    </row>
    <row r="25" spans="1:21" ht="19.5" customHeight="1">
      <c r="A25" s="539"/>
      <c r="B25" s="459"/>
      <c r="C25" s="462"/>
      <c r="D25" s="546"/>
      <c r="E25" s="495"/>
      <c r="F25" s="496"/>
      <c r="G25" s="462"/>
      <c r="H25" s="541"/>
      <c r="I25" s="462"/>
      <c r="J25" s="462"/>
      <c r="K25" s="500"/>
      <c r="L25" s="547"/>
      <c r="M25" s="494"/>
      <c r="N25" s="548"/>
      <c r="O25" s="548"/>
      <c r="P25" s="548"/>
      <c r="Q25" s="549"/>
      <c r="R25" s="462"/>
      <c r="S25" s="462"/>
      <c r="T25" s="462"/>
      <c r="U25" s="462"/>
    </row>
    <row r="26" spans="1:21" ht="19.5" customHeight="1">
      <c r="A26" s="539"/>
      <c r="B26" s="459"/>
      <c r="C26" s="462"/>
      <c r="D26" s="546"/>
      <c r="E26" s="495"/>
      <c r="F26" s="496"/>
      <c r="G26" s="462"/>
      <c r="H26" s="541"/>
      <c r="I26" s="462"/>
      <c r="J26" s="462"/>
      <c r="K26" s="500"/>
      <c r="L26" s="547"/>
      <c r="M26" s="494"/>
      <c r="N26" s="548"/>
      <c r="O26" s="548"/>
      <c r="P26" s="548"/>
      <c r="Q26" s="549"/>
      <c r="R26" s="462"/>
      <c r="S26" s="462"/>
      <c r="T26" s="462"/>
      <c r="U26" s="462"/>
    </row>
    <row r="27" spans="1:21" ht="19.5" customHeight="1">
      <c r="A27" s="539"/>
      <c r="B27" s="459"/>
      <c r="C27" s="462"/>
      <c r="D27" s="546"/>
      <c r="E27" s="495"/>
      <c r="F27" s="496"/>
      <c r="G27" s="462"/>
      <c r="H27" s="541"/>
      <c r="I27" s="462"/>
      <c r="J27" s="462"/>
      <c r="K27" s="500"/>
      <c r="L27" s="547"/>
      <c r="M27" s="494"/>
      <c r="N27" s="548"/>
      <c r="O27" s="548"/>
      <c r="P27" s="548"/>
      <c r="Q27" s="549"/>
      <c r="R27" s="462"/>
      <c r="S27" s="462"/>
      <c r="T27" s="462"/>
      <c r="U27" s="462"/>
    </row>
    <row r="28" spans="1:21" ht="19.5" customHeight="1">
      <c r="A28" s="539"/>
      <c r="B28" s="459"/>
      <c r="C28" s="462"/>
      <c r="D28" s="546"/>
      <c r="E28" s="495"/>
      <c r="F28" s="496"/>
      <c r="G28" s="462"/>
      <c r="H28" s="541"/>
      <c r="I28" s="462"/>
      <c r="J28" s="462"/>
      <c r="K28" s="500"/>
      <c r="L28" s="547"/>
      <c r="M28" s="494"/>
      <c r="N28" s="548"/>
      <c r="O28" s="548"/>
      <c r="P28" s="548"/>
      <c r="Q28" s="549"/>
      <c r="R28" s="462"/>
      <c r="S28" s="462"/>
      <c r="T28" s="462"/>
      <c r="U28" s="462"/>
    </row>
    <row r="29" spans="1:21" ht="19.5" customHeight="1">
      <c r="A29" s="539"/>
      <c r="B29" s="459"/>
      <c r="C29" s="462"/>
      <c r="D29" s="546"/>
      <c r="E29" s="495"/>
      <c r="F29" s="496"/>
      <c r="G29" s="462"/>
      <c r="H29" s="541"/>
      <c r="I29" s="462"/>
      <c r="J29" s="462"/>
      <c r="K29" s="500"/>
      <c r="L29" s="547"/>
      <c r="M29" s="494"/>
      <c r="N29" s="548"/>
      <c r="O29" s="548"/>
      <c r="P29" s="548"/>
      <c r="Q29" s="549"/>
      <c r="R29" s="462"/>
      <c r="S29" s="462"/>
      <c r="T29" s="462"/>
      <c r="U29" s="462"/>
    </row>
    <row r="30" spans="1:21" ht="19.5" customHeight="1">
      <c r="A30" s="539"/>
      <c r="B30" s="459"/>
      <c r="C30" s="462"/>
      <c r="D30" s="546"/>
      <c r="E30" s="495"/>
      <c r="F30" s="496"/>
      <c r="G30" s="462"/>
      <c r="H30" s="541"/>
      <c r="I30" s="462"/>
      <c r="J30" s="462"/>
      <c r="K30" s="500"/>
      <c r="L30" s="547"/>
      <c r="M30" s="494"/>
      <c r="N30" s="548"/>
      <c r="O30" s="548"/>
      <c r="P30" s="548"/>
      <c r="Q30" s="549"/>
      <c r="R30" s="462"/>
      <c r="S30" s="462"/>
      <c r="T30" s="462"/>
      <c r="U30" s="462"/>
    </row>
    <row r="31" spans="1:21" ht="19.5" customHeight="1">
      <c r="A31" s="539"/>
      <c r="B31" s="459"/>
      <c r="C31" s="462"/>
      <c r="D31" s="546"/>
      <c r="E31" s="495"/>
      <c r="F31" s="496"/>
      <c r="G31" s="462"/>
      <c r="H31" s="541"/>
      <c r="I31" s="462"/>
      <c r="J31" s="462"/>
      <c r="K31" s="500"/>
      <c r="L31" s="547"/>
      <c r="M31" s="494"/>
      <c r="N31" s="548"/>
      <c r="O31" s="548"/>
      <c r="P31" s="548"/>
      <c r="Q31" s="549"/>
      <c r="R31" s="462"/>
      <c r="S31" s="462"/>
      <c r="T31" s="462"/>
      <c r="U31" s="462"/>
    </row>
    <row r="32" spans="1:21" ht="19.5" customHeight="1">
      <c r="A32" s="539"/>
      <c r="B32" s="459"/>
      <c r="C32" s="462"/>
      <c r="D32" s="546"/>
      <c r="E32" s="495"/>
      <c r="F32" s="496"/>
      <c r="G32" s="462"/>
      <c r="H32" s="541"/>
      <c r="I32" s="462"/>
      <c r="J32" s="462"/>
      <c r="K32" s="500"/>
      <c r="L32" s="547"/>
      <c r="M32" s="494"/>
      <c r="N32" s="548"/>
      <c r="O32" s="548"/>
      <c r="P32" s="548"/>
      <c r="Q32" s="549"/>
      <c r="R32" s="462"/>
      <c r="S32" s="462"/>
      <c r="T32" s="462"/>
      <c r="U32" s="462"/>
    </row>
    <row r="33" spans="1:21" ht="19.5" customHeight="1">
      <c r="A33" s="539"/>
      <c r="B33" s="459"/>
      <c r="C33" s="462"/>
      <c r="D33" s="546"/>
      <c r="E33" s="495"/>
      <c r="F33" s="496"/>
      <c r="G33" s="462"/>
      <c r="H33" s="541"/>
      <c r="I33" s="462"/>
      <c r="J33" s="462"/>
      <c r="K33" s="500"/>
      <c r="L33" s="547"/>
      <c r="M33" s="494"/>
      <c r="N33" s="548"/>
      <c r="O33" s="548"/>
      <c r="P33" s="548"/>
      <c r="Q33" s="549"/>
      <c r="R33" s="462"/>
      <c r="S33" s="462"/>
      <c r="T33" s="462"/>
      <c r="U33" s="462"/>
    </row>
    <row r="34" spans="1:21" ht="19.5" customHeight="1" thickBot="1">
      <c r="A34" s="550"/>
      <c r="B34" s="548"/>
      <c r="C34" s="551"/>
      <c r="D34" s="546"/>
      <c r="E34" s="552"/>
      <c r="F34" s="553"/>
      <c r="G34" s="551"/>
      <c r="H34" s="554"/>
      <c r="I34" s="551"/>
      <c r="J34" s="551"/>
      <c r="K34" s="555"/>
      <c r="L34" s="556"/>
      <c r="M34" s="557"/>
      <c r="N34" s="548"/>
      <c r="O34" s="548"/>
      <c r="P34" s="548"/>
      <c r="Q34" s="549"/>
      <c r="R34" s="462"/>
      <c r="S34" s="462"/>
      <c r="T34" s="462"/>
      <c r="U34" s="462"/>
    </row>
    <row r="35" spans="1:21" ht="19.5" customHeight="1" thickBot="1">
      <c r="A35" s="550" t="s">
        <v>232</v>
      </c>
      <c r="B35" s="548"/>
      <c r="C35" s="551"/>
      <c r="D35" s="546"/>
      <c r="E35" s="558" t="str">
        <f>IF(E47=E48,"Ja","Nej")</f>
        <v>Nej</v>
      </c>
      <c r="F35" s="559"/>
      <c r="G35" s="559"/>
      <c r="H35" s="559"/>
      <c r="I35" s="558" t="str">
        <f>IF(I47=I48,"Ja","Nej")</f>
        <v>Ja</v>
      </c>
      <c r="J35" s="559"/>
      <c r="K35" s="559"/>
      <c r="L35" s="559"/>
      <c r="M35" s="558" t="str">
        <f>IF(M47=M48,"Ja","Nej")</f>
        <v>Nej</v>
      </c>
      <c r="N35" s="548"/>
      <c r="O35" s="548"/>
      <c r="P35" s="548"/>
      <c r="Q35" s="549"/>
      <c r="R35" s="462"/>
      <c r="S35" s="462"/>
      <c r="T35" s="462"/>
      <c r="U35" s="462"/>
    </row>
    <row r="36" spans="1:21" ht="19.5" customHeight="1">
      <c r="A36" s="550" t="s">
        <v>233</v>
      </c>
      <c r="B36" s="548"/>
      <c r="C36" s="551"/>
      <c r="D36" s="546"/>
      <c r="E36" s="560" t="str">
        <f>CONCATENATE("MR=",K11)</f>
        <v>MR=MC(1)</v>
      </c>
      <c r="F36" s="555"/>
      <c r="G36" s="555"/>
      <c r="H36" s="555"/>
      <c r="I36" s="560" t="str">
        <f>CONCATENATE("MR=",K16)</f>
        <v>MR=MC(2)</v>
      </c>
      <c r="J36" s="555"/>
      <c r="K36" s="555"/>
      <c r="L36" s="555"/>
      <c r="M36" s="560" t="str">
        <f>CONCATENATE("MR=",K21)</f>
        <v>MR=MC(3)</v>
      </c>
      <c r="N36" s="548"/>
      <c r="O36" s="548"/>
      <c r="P36" s="548"/>
      <c r="Q36" s="549"/>
      <c r="R36" s="462"/>
      <c r="S36" s="462"/>
      <c r="T36" s="462"/>
      <c r="U36" s="462"/>
    </row>
    <row r="37" spans="1:21" ht="19.5" customHeight="1">
      <c r="A37" s="561" t="s">
        <v>234</v>
      </c>
      <c r="B37" s="561"/>
      <c r="C37" s="561"/>
      <c r="D37" s="561"/>
      <c r="E37" s="562">
        <f>IF($E$3=0,(IF(N5=0,N13,($I$11-R$11)/(($E$11/$E$12*-1)+(N$11/N$12)))),($I$11-R11)/(($E$11/$E$12*-1)+(N$11/N$12)))</f>
        <v>3000</v>
      </c>
      <c r="F37" s="563"/>
      <c r="G37" s="552"/>
      <c r="H37" s="564"/>
      <c r="I37" s="562">
        <f>IF($E$3=0,(IF($N$16=0,$N$18,($I$11-$R16)/(($E$11/$E$12*-1)+($N16/$N17)))),($I$11-$R16)/(($E$11/$E$12*-1)+($N16/$N17)))</f>
        <v>2880</v>
      </c>
      <c r="J37" s="563"/>
      <c r="K37" s="552"/>
      <c r="L37" s="564"/>
      <c r="M37" s="562">
        <f>IF($E$3=0,(IF($N$21=0,$N$23,($I$11-$R21)/(($E$11/$E$12*-1)+($N21/$N22)))),($I$11-$R21)/(($E$11/$E$12*-1)+($N21/$N22)))</f>
        <v>5200</v>
      </c>
      <c r="N37" s="548"/>
      <c r="O37" s="548"/>
      <c r="P37" s="548"/>
      <c r="Q37" s="549"/>
      <c r="R37" s="462"/>
      <c r="S37" s="462"/>
      <c r="T37" s="462"/>
      <c r="U37" s="462"/>
    </row>
    <row r="38" spans="1:21" ht="19.5" customHeight="1">
      <c r="A38" s="550" t="s">
        <v>235</v>
      </c>
      <c r="B38" s="548"/>
      <c r="C38" s="551"/>
      <c r="D38" s="546"/>
      <c r="E38" s="562">
        <f>N13</f>
        <v>2500</v>
      </c>
      <c r="F38" s="553"/>
      <c r="G38" s="551"/>
      <c r="H38" s="554"/>
      <c r="I38" s="562">
        <f>N18</f>
        <v>4000</v>
      </c>
      <c r="J38" s="552"/>
      <c r="K38" s="552"/>
      <c r="L38" s="552"/>
      <c r="M38" s="562">
        <f>N23</f>
        <v>0</v>
      </c>
      <c r="N38" s="548"/>
      <c r="O38" s="548"/>
      <c r="P38" s="548"/>
      <c r="Q38" s="549"/>
      <c r="R38" s="462"/>
      <c r="S38" s="462"/>
      <c r="T38" s="462"/>
      <c r="U38" s="462"/>
    </row>
    <row r="39" spans="1:21" ht="19.5" customHeight="1">
      <c r="A39" s="550" t="s">
        <v>236</v>
      </c>
      <c r="B39" s="548"/>
      <c r="C39" s="551"/>
      <c r="D39" s="546"/>
      <c r="E39" s="562">
        <v>0</v>
      </c>
      <c r="F39" s="553"/>
      <c r="G39" s="551"/>
      <c r="H39" s="554"/>
      <c r="I39" s="562">
        <f>N13</f>
        <v>2500</v>
      </c>
      <c r="J39" s="552"/>
      <c r="K39" s="552"/>
      <c r="L39" s="552"/>
      <c r="M39" s="562">
        <f>N18</f>
        <v>4000</v>
      </c>
      <c r="N39" s="548"/>
      <c r="O39" s="548"/>
      <c r="P39" s="548"/>
      <c r="Q39" s="549"/>
      <c r="R39" s="462"/>
      <c r="S39" s="462"/>
      <c r="T39" s="462"/>
      <c r="U39" s="462"/>
    </row>
    <row r="40" spans="1:21" ht="19.5" customHeight="1">
      <c r="A40" s="550" t="s">
        <v>237</v>
      </c>
      <c r="B40" s="548"/>
      <c r="C40" s="551"/>
      <c r="D40" s="546"/>
      <c r="E40" s="562">
        <f>D23</f>
        <v>4000</v>
      </c>
      <c r="F40" s="553"/>
      <c r="G40" s="551"/>
      <c r="H40" s="554"/>
      <c r="I40" s="562">
        <f>D23</f>
        <v>4000</v>
      </c>
      <c r="J40" s="552"/>
      <c r="K40" s="552"/>
      <c r="L40" s="552"/>
      <c r="M40" s="562">
        <f>D23</f>
        <v>4000</v>
      </c>
      <c r="N40" s="548"/>
      <c r="O40" s="548"/>
      <c r="P40" s="548"/>
      <c r="Q40" s="549"/>
      <c r="R40" s="462"/>
      <c r="S40" s="462"/>
      <c r="T40" s="462"/>
      <c r="U40" s="462"/>
    </row>
    <row r="41" spans="1:21" ht="19.5" customHeight="1">
      <c r="A41" s="550" t="s">
        <v>238</v>
      </c>
      <c r="B41" s="548"/>
      <c r="C41" s="551"/>
      <c r="D41" s="546"/>
      <c r="E41" s="562">
        <f>IF(IF(E37&lt;E38,IF(E40&gt;E37&gt;E39,E37),IF(E37&lt;E39,0,MIN(E38,E40)))&gt;E40,E40,IF(E37&lt;E38,IF(E40&gt;E37&gt;E39,E37),IF(E37&lt;E39,0,MIN(E38,E40))))</f>
        <v>2500</v>
      </c>
      <c r="F41" s="563"/>
      <c r="G41" s="552"/>
      <c r="H41" s="564"/>
      <c r="I41" s="562">
        <f>IF(IF(I37&lt;I38,IF(I40&gt;I37&gt;I39,I37),IF(I37&lt;I39,0,MIN(I38,I40)))&gt;I40,I40,IF(I37&lt;I38,IF(I40&gt;I37&gt;I39,I37),IF(I37&lt;I39,0,MIN(I38,I40))))</f>
        <v>2880</v>
      </c>
      <c r="J41" s="563"/>
      <c r="K41" s="552"/>
      <c r="L41" s="564"/>
      <c r="M41" s="562">
        <f>IF(IF(IF(M37&lt;M38,IF(M40&gt;M37&gt;M39,M37),IF(M37&lt;M39,0,MIN(M38,M40)))&lt;M39,M39,IF(M37&lt;M38,IF(M40&gt;M37&gt;M39,M37),IF(M37&lt;M39,0,MIN(M38,M40))))&gt;M40,M40,IF(IF(M37&lt;M38,IF(M40&gt;M37&gt;M39,M37),IF(M37&lt;M39,0,MIN(M38,M40)))&lt;M39,M39,IF(M37&lt;M38,IF(M40&gt;M37&gt;M39,M37),IF(M37&lt;M39,0,MIN(M38,M40)))))</f>
        <v>4000</v>
      </c>
      <c r="N41" s="548"/>
      <c r="O41" s="548"/>
      <c r="P41" s="548"/>
      <c r="Q41" s="549"/>
      <c r="R41" s="462"/>
      <c r="S41" s="462"/>
      <c r="T41" s="462"/>
      <c r="U41" s="462"/>
    </row>
    <row r="42" spans="1:21" ht="19.5" customHeight="1">
      <c r="A42" s="550" t="s">
        <v>239</v>
      </c>
      <c r="B42" s="548"/>
      <c r="C42" s="551"/>
      <c r="D42" s="546"/>
      <c r="E42" s="562">
        <f>E41*($E$3/$E$4)+$I$3</f>
        <v>2962.5</v>
      </c>
      <c r="F42" s="553"/>
      <c r="G42" s="551"/>
      <c r="H42" s="554"/>
      <c r="I42" s="562">
        <f>I41*($E$3/$E$4)+$I$3</f>
        <v>2820</v>
      </c>
      <c r="J42" s="552"/>
      <c r="K42" s="552"/>
      <c r="L42" s="552"/>
      <c r="M42" s="562">
        <f>IF(M41=0,0,M41*($E$3/$E$4)+$I$3)</f>
        <v>2400</v>
      </c>
      <c r="N42" s="548"/>
      <c r="O42" s="548"/>
      <c r="P42" s="548"/>
      <c r="Q42" s="549"/>
      <c r="R42" s="462"/>
      <c r="S42" s="462"/>
      <c r="T42" s="462"/>
      <c r="U42" s="462"/>
    </row>
    <row r="43" spans="1:21" ht="19.5" customHeight="1">
      <c r="A43" s="550" t="s">
        <v>240</v>
      </c>
      <c r="B43" s="548"/>
      <c r="C43" s="551"/>
      <c r="D43" s="546"/>
      <c r="E43" s="565">
        <f>E41*E42</f>
        <v>7406250</v>
      </c>
      <c r="F43" s="566"/>
      <c r="G43" s="566"/>
      <c r="H43" s="566"/>
      <c r="I43" s="565">
        <f>I41*I42</f>
        <v>8121600</v>
      </c>
      <c r="J43" s="567"/>
      <c r="K43" s="567"/>
      <c r="L43" s="567"/>
      <c r="M43" s="565">
        <f>M41*M42</f>
        <v>9600000</v>
      </c>
      <c r="N43" s="548"/>
      <c r="O43" s="548"/>
      <c r="P43" s="548"/>
      <c r="Q43" s="549"/>
      <c r="R43" s="462"/>
      <c r="S43" s="462"/>
      <c r="T43" s="462"/>
      <c r="U43" s="462"/>
    </row>
    <row r="44" spans="1:21" ht="19.5" customHeight="1">
      <c r="A44" s="550" t="s">
        <v>241</v>
      </c>
      <c r="B44" s="548"/>
      <c r="C44" s="551"/>
      <c r="D44" s="546"/>
      <c r="E44" s="568">
        <f>POWER(E41,$P$5)*$N$5/$N$6+($R$5*E41)</f>
        <v>4125000</v>
      </c>
      <c r="F44" s="553"/>
      <c r="G44" s="551"/>
      <c r="H44" s="554"/>
      <c r="I44" s="568">
        <f>IF(D23&gt;N13,POWER($N$13,$P$5)*$N$5/$N$6+($R$5*$N$13),POWER(D23,$P$5)*$N$5/$N$6+($R$5*D23))</f>
        <v>4125000</v>
      </c>
      <c r="J44" s="551"/>
      <c r="K44" s="555"/>
      <c r="L44" s="556"/>
      <c r="M44" s="568">
        <f>IF(N18=0,0,POWER($N$13,$P$5)*$N$5/$N$6+($R$5*$N$13))</f>
        <v>4125000</v>
      </c>
      <c r="N44" s="548"/>
      <c r="O44" s="548"/>
      <c r="P44" s="548"/>
      <c r="Q44" s="549"/>
      <c r="R44" s="462"/>
      <c r="S44" s="462"/>
      <c r="T44" s="462"/>
      <c r="U44" s="462"/>
    </row>
    <row r="45" spans="1:21" ht="19.5" customHeight="1">
      <c r="A45" s="550" t="s">
        <v>242</v>
      </c>
      <c r="B45" s="548"/>
      <c r="C45" s="551"/>
      <c r="D45" s="546"/>
      <c r="E45" s="568"/>
      <c r="F45" s="553"/>
      <c r="G45" s="551"/>
      <c r="H45" s="554"/>
      <c r="I45" s="568">
        <f>IF(((POWER($I$41,$P$14)*($N$14/$N$15)+($R$14*$I$41)))-((POWER(($N$13),$P$14)*$N$14)/$N$15+($R$14*($N$13)))&lt;0,0,((POWER($I$41,$P$14)*($N$14/$N$15)+($R$14*$I$41)))-((POWER(($N$13),$P$14)*$N$14)/$N$15+($R$14*($N$13))))</f>
        <v>661200</v>
      </c>
      <c r="J45" s="551"/>
      <c r="K45" s="555"/>
      <c r="L45" s="556"/>
      <c r="M45" s="568">
        <f>IF(((POWER(N18,$P$14)*($N$14/$N$15)+($R$14*N18)))-((POWER(($N$13),$P$14)*$N$14)/$N$15+($R$14*($N$13)))&lt;0,0,((POWER(N18,$P$14)*($N$14/$N$15)+($R$14*N18)))-((POWER(($N$13),$P$14)*$N$14)/$N$15+($R$14*($N$13))))</f>
        <v>2610000</v>
      </c>
      <c r="N45" s="548"/>
      <c r="O45" s="548"/>
      <c r="P45" s="548"/>
      <c r="Q45" s="549"/>
      <c r="R45" s="462"/>
      <c r="S45" s="462"/>
      <c r="T45" s="462"/>
      <c r="U45" s="462"/>
    </row>
    <row r="46" spans="1:21" ht="19.5" customHeight="1" thickBot="1">
      <c r="A46" s="550" t="s">
        <v>243</v>
      </c>
      <c r="B46" s="548"/>
      <c r="C46" s="551"/>
      <c r="D46" s="546"/>
      <c r="E46" s="568"/>
      <c r="F46" s="553"/>
      <c r="G46" s="551"/>
      <c r="H46" s="554"/>
      <c r="I46" s="569"/>
      <c r="J46" s="551"/>
      <c r="K46" s="555"/>
      <c r="L46" s="556"/>
      <c r="M46" s="568">
        <f>(POWER(M41,$P$19)*($N$19/$N$20)+($R$19*M41)-(POWER(($N$18),$P$19)*($N$19/$N$20)+($R$19*($N$18))))</f>
        <v>0</v>
      </c>
      <c r="N46" s="548"/>
      <c r="O46" s="548"/>
      <c r="P46" s="548"/>
      <c r="Q46" s="549"/>
      <c r="R46" s="462"/>
      <c r="S46" s="462"/>
      <c r="T46" s="462"/>
      <c r="U46" s="462"/>
    </row>
    <row r="47" spans="1:21" ht="19.5" customHeight="1" thickBot="1">
      <c r="A47" s="550" t="s">
        <v>2</v>
      </c>
      <c r="B47" s="548"/>
      <c r="C47" s="551"/>
      <c r="D47" s="546"/>
      <c r="E47" s="570">
        <f>E43-E44-E45-E46</f>
        <v>3281250</v>
      </c>
      <c r="F47" s="567"/>
      <c r="G47" s="567"/>
      <c r="H47" s="567"/>
      <c r="I47" s="570">
        <f>I43-I44-I45-I46</f>
        <v>3335400</v>
      </c>
      <c r="J47" s="567"/>
      <c r="K47" s="567"/>
      <c r="L47" s="567"/>
      <c r="M47" s="570">
        <f>M43-M44-M45-M46</f>
        <v>2865000</v>
      </c>
      <c r="N47" s="548"/>
      <c r="O47" s="548"/>
      <c r="P47" s="548"/>
      <c r="Q47" s="549"/>
      <c r="R47" s="462"/>
      <c r="S47" s="462"/>
      <c r="T47" s="462"/>
      <c r="U47" s="462"/>
    </row>
    <row r="48" spans="1:21" ht="19.5" hidden="1" customHeight="1">
      <c r="A48" s="550" t="s">
        <v>244</v>
      </c>
      <c r="B48" s="548"/>
      <c r="C48" s="551"/>
      <c r="D48" s="546"/>
      <c r="E48" s="562">
        <f>MAX($E$47,$I$47,$M$47)</f>
        <v>3335400</v>
      </c>
      <c r="F48" s="552"/>
      <c r="G48" s="552"/>
      <c r="H48" s="552"/>
      <c r="I48" s="562">
        <f>MAX($E$47,$I$47,$M$47)</f>
        <v>3335400</v>
      </c>
      <c r="J48" s="552"/>
      <c r="K48" s="552"/>
      <c r="L48" s="552"/>
      <c r="M48" s="562">
        <f>MAX($E$47,$I$47,$M$47)</f>
        <v>3335400</v>
      </c>
      <c r="N48" s="548"/>
      <c r="O48" s="548"/>
      <c r="P48" s="548"/>
      <c r="Q48" s="549"/>
      <c r="R48" s="462"/>
      <c r="S48" s="462"/>
      <c r="T48" s="462"/>
      <c r="U48" s="462"/>
    </row>
    <row r="49" spans="1:21" ht="19.5" customHeight="1">
      <c r="A49" s="550" t="s">
        <v>245</v>
      </c>
      <c r="B49" s="548"/>
      <c r="C49" s="551"/>
      <c r="D49" s="546"/>
      <c r="E49" s="562">
        <f>$M$3</f>
        <v>0</v>
      </c>
      <c r="F49" s="552"/>
      <c r="G49" s="552"/>
      <c r="H49" s="552"/>
      <c r="I49" s="562">
        <f>$M$3</f>
        <v>0</v>
      </c>
      <c r="J49" s="552"/>
      <c r="K49" s="552"/>
      <c r="L49" s="552"/>
      <c r="M49" s="562">
        <f>$M$3</f>
        <v>0</v>
      </c>
      <c r="N49" s="548"/>
      <c r="O49" s="548"/>
      <c r="P49" s="548"/>
      <c r="Q49" s="549"/>
      <c r="R49" s="462"/>
      <c r="S49" s="462"/>
      <c r="T49" s="462"/>
      <c r="U49" s="462"/>
    </row>
    <row r="50" spans="1:21" ht="19.5" customHeight="1" thickBot="1">
      <c r="A50" s="550" t="s">
        <v>246</v>
      </c>
      <c r="B50" s="548"/>
      <c r="C50" s="551"/>
      <c r="D50" s="546"/>
      <c r="E50" s="571">
        <f>E47-E49</f>
        <v>3281250</v>
      </c>
      <c r="F50" s="552"/>
      <c r="G50" s="552"/>
      <c r="H50" s="552"/>
      <c r="I50" s="571">
        <f>I47-I49</f>
        <v>3335400</v>
      </c>
      <c r="J50" s="552"/>
      <c r="K50" s="552"/>
      <c r="L50" s="552"/>
      <c r="M50" s="571">
        <f>M47-M49</f>
        <v>2865000</v>
      </c>
      <c r="N50" s="548"/>
      <c r="O50" s="548"/>
      <c r="P50" s="548"/>
      <c r="Q50" s="549"/>
      <c r="R50" s="462"/>
      <c r="S50" s="462"/>
      <c r="T50" s="462"/>
      <c r="U50" s="462"/>
    </row>
    <row r="51" spans="1:21">
      <c r="H51" s="572"/>
      <c r="Q51" s="573"/>
    </row>
    <row r="52" spans="1:21">
      <c r="H52" s="572"/>
      <c r="Q52" s="573"/>
    </row>
    <row r="53" spans="1:21">
      <c r="H53" s="572"/>
      <c r="Q53" s="573"/>
    </row>
    <row r="54" spans="1:21">
      <c r="H54" s="572"/>
      <c r="Q54" s="573"/>
    </row>
    <row r="55" spans="1:21">
      <c r="H55" s="572"/>
      <c r="Q55" s="573"/>
    </row>
    <row r="56" spans="1:21">
      <c r="H56" s="572"/>
      <c r="Q56" s="573"/>
    </row>
    <row r="57" spans="1:21">
      <c r="H57" s="572"/>
      <c r="Q57" s="573"/>
    </row>
    <row r="58" spans="1:21">
      <c r="H58" s="572"/>
      <c r="Q58" s="573"/>
    </row>
    <row r="59" spans="1:21">
      <c r="H59" s="572"/>
      <c r="Q59" s="573"/>
    </row>
    <row r="60" spans="1:21">
      <c r="H60" s="572"/>
      <c r="Q60" s="573"/>
    </row>
    <row r="61" spans="1:21">
      <c r="H61" s="572"/>
      <c r="Q61" s="573"/>
    </row>
    <row r="62" spans="1:21">
      <c r="H62" s="572"/>
      <c r="Q62" s="573"/>
    </row>
    <row r="63" spans="1:21">
      <c r="H63" s="572"/>
      <c r="Q63" s="573"/>
    </row>
    <row r="64" spans="1:21">
      <c r="H64" s="572"/>
      <c r="Q64" s="573"/>
    </row>
    <row r="65" spans="1:18">
      <c r="H65" s="572"/>
      <c r="Q65" s="573"/>
    </row>
    <row r="66" spans="1:18">
      <c r="H66" s="572"/>
      <c r="Q66" s="573"/>
    </row>
    <row r="67" spans="1:18">
      <c r="H67" s="572"/>
      <c r="Q67" s="573"/>
    </row>
    <row r="68" spans="1:18">
      <c r="H68" s="572"/>
      <c r="Q68" s="573"/>
    </row>
    <row r="69" spans="1:18">
      <c r="H69" s="572"/>
      <c r="Q69" s="573"/>
    </row>
    <row r="70" spans="1:18">
      <c r="H70" s="572"/>
      <c r="Q70" s="573"/>
    </row>
    <row r="71" spans="1:18">
      <c r="H71" s="572"/>
      <c r="Q71" s="573"/>
    </row>
    <row r="72" spans="1:18">
      <c r="H72" s="572"/>
      <c r="Q72" s="573"/>
    </row>
    <row r="73" spans="1:18">
      <c r="A73" s="441" t="s">
        <v>247</v>
      </c>
      <c r="H73" s="572"/>
      <c r="Q73" s="573"/>
    </row>
    <row r="74" spans="1:18">
      <c r="H74" s="572"/>
      <c r="Q74" s="573"/>
    </row>
    <row r="75" spans="1:18" ht="18">
      <c r="H75" s="572"/>
      <c r="I75" s="574" t="s">
        <v>224</v>
      </c>
      <c r="J75" s="575" t="s">
        <v>56</v>
      </c>
      <c r="K75" s="576" t="str">
        <f>IF($E$48=$E$47,"MC(1)",IF($I$48=$I$47,"MC(2)",IF($M$48=$M$47,"MC(3)")))</f>
        <v>MC(2)</v>
      </c>
      <c r="L75" s="576"/>
      <c r="Q75" s="573"/>
    </row>
    <row r="76" spans="1:18" ht="18" customHeight="1" thickBot="1">
      <c r="D76" s="577"/>
      <c r="E76" s="473">
        <f>E11</f>
        <v>-6</v>
      </c>
      <c r="F76" s="578" t="str">
        <f>F11</f>
        <v>X</v>
      </c>
      <c r="G76" s="579"/>
      <c r="H76" s="580" t="str">
        <f>H11</f>
        <v>+</v>
      </c>
      <c r="I76" s="581">
        <f>I11</f>
        <v>3900</v>
      </c>
      <c r="J76" s="578" t="str">
        <f>J75</f>
        <v>=</v>
      </c>
      <c r="K76" s="582"/>
      <c r="L76" s="582"/>
      <c r="M76" s="510">
        <f>IF($K$75=$K$11,N11,IF($K$75=$K$16,N16,IF($K$75=$K$21,N21)))</f>
        <v>0</v>
      </c>
      <c r="N76" s="583" t="str">
        <f>O11</f>
        <v>X</v>
      </c>
      <c r="O76" s="578" t="str">
        <f>Q11</f>
        <v>+</v>
      </c>
      <c r="P76" s="581">
        <f>IF(K75=K11,R11,IF(K16=K75,R16,IF(K21=K75,R21)))</f>
        <v>1740</v>
      </c>
      <c r="Q76" s="581"/>
      <c r="R76" s="581"/>
    </row>
    <row r="77" spans="1:18" ht="18" customHeight="1">
      <c r="E77" s="584">
        <f>E12</f>
        <v>8</v>
      </c>
      <c r="F77" s="578"/>
      <c r="G77" s="579"/>
      <c r="H77" s="580"/>
      <c r="I77" s="581"/>
      <c r="J77" s="578"/>
      <c r="K77" s="582"/>
      <c r="L77" s="582"/>
      <c r="M77" s="462">
        <f>IF($K$75=$K$11,N12,IF($K$75=$K$16,N17,IF($K$75=$K$21,N22)))</f>
        <v>1</v>
      </c>
      <c r="N77" s="583"/>
      <c r="O77" s="578"/>
      <c r="P77" s="581"/>
      <c r="Q77" s="581"/>
      <c r="R77" s="581"/>
    </row>
    <row r="78" spans="1:18">
      <c r="H78" s="572"/>
      <c r="J78" s="577"/>
      <c r="Q78" s="573"/>
    </row>
    <row r="79" spans="1:18" ht="20.25">
      <c r="H79" s="572"/>
      <c r="I79" s="577">
        <f>I76-P76</f>
        <v>2160</v>
      </c>
      <c r="J79" s="585" t="str">
        <f>J76</f>
        <v>=</v>
      </c>
      <c r="M79" s="441">
        <f>-1*(E76/E77)+(M76/M77)</f>
        <v>0.75</v>
      </c>
      <c r="N79" s="586" t="str">
        <f>N76</f>
        <v>X</v>
      </c>
      <c r="Q79" s="573"/>
    </row>
    <row r="80" spans="1:18">
      <c r="H80" s="572"/>
    </row>
    <row r="81" spans="1:17" ht="20.25">
      <c r="A81" s="587" t="str">
        <f>IF(I81&gt;I82,"Da løsningen overstiger max. mængde er den ugyldig"," ")</f>
        <v xml:space="preserve"> </v>
      </c>
      <c r="B81" s="587"/>
      <c r="C81" s="587"/>
      <c r="D81" s="587"/>
      <c r="E81" s="587"/>
      <c r="F81" s="587"/>
      <c r="G81" s="587"/>
      <c r="H81" s="587"/>
      <c r="I81" s="441">
        <f>IF(M79=0,"Kan ikke løses",I79/M79)</f>
        <v>2880</v>
      </c>
      <c r="J81" s="549" t="str">
        <f>J79</f>
        <v>=</v>
      </c>
      <c r="K81" s="588" t="str">
        <f>O5</f>
        <v>X</v>
      </c>
      <c r="L81" s="500"/>
      <c r="N81" s="500"/>
      <c r="O81" s="500"/>
      <c r="Q81" s="573"/>
    </row>
    <row r="82" spans="1:17" ht="21" thickBot="1">
      <c r="H82" s="572"/>
      <c r="I82" s="589">
        <f>IF($E$48=$E$47,$E$41,IF($I$48=$I$47,$I$41,IF($M$48=$M$47,$M$41)))</f>
        <v>2880</v>
      </c>
      <c r="J82" s="590" t="str">
        <f>J81</f>
        <v>=</v>
      </c>
      <c r="K82" s="590" t="str">
        <f>O8</f>
        <v>X</v>
      </c>
      <c r="L82" s="589"/>
      <c r="Q82" s="573"/>
    </row>
    <row r="83" spans="1:17" ht="13.5" thickTop="1">
      <c r="H83" s="572"/>
      <c r="I83" s="500"/>
      <c r="J83" s="494"/>
      <c r="K83" s="494"/>
      <c r="L83" s="500"/>
      <c r="Q83" s="573"/>
    </row>
    <row r="84" spans="1:17" ht="20.25">
      <c r="A84" s="441">
        <f>I82</f>
        <v>2880</v>
      </c>
      <c r="B84" s="586" t="str">
        <f>J81</f>
        <v>=</v>
      </c>
      <c r="C84" s="586" t="str">
        <f>K81</f>
        <v>X</v>
      </c>
      <c r="D84" s="441" t="s">
        <v>248</v>
      </c>
      <c r="H84" s="572"/>
    </row>
    <row r="85" spans="1:17" ht="12.75" customHeight="1">
      <c r="B85" s="586"/>
      <c r="C85" s="586"/>
      <c r="H85" s="572"/>
    </row>
    <row r="86" spans="1:17" ht="21" thickBot="1">
      <c r="B86" s="591"/>
      <c r="C86" s="578" t="str">
        <f>B3</f>
        <v>P</v>
      </c>
      <c r="D86" s="578" t="str">
        <f>C3</f>
        <v>=</v>
      </c>
      <c r="E86" s="473">
        <f>E3</f>
        <v>-3</v>
      </c>
      <c r="F86" s="578" t="str">
        <f>F3</f>
        <v>X</v>
      </c>
      <c r="G86" s="592"/>
      <c r="H86" s="578" t="str">
        <f>H3</f>
        <v>+</v>
      </c>
      <c r="I86" s="581">
        <f>I3</f>
        <v>3900</v>
      </c>
    </row>
    <row r="87" spans="1:17" ht="17.25" customHeight="1">
      <c r="B87" s="591"/>
      <c r="C87" s="578"/>
      <c r="D87" s="578"/>
      <c r="E87" s="584">
        <f>E4</f>
        <v>8</v>
      </c>
      <c r="F87" s="578"/>
      <c r="G87" s="592"/>
      <c r="H87" s="578"/>
      <c r="I87" s="581"/>
    </row>
    <row r="88" spans="1:17" ht="20.25">
      <c r="C88" s="586" t="str">
        <f>C86</f>
        <v>P</v>
      </c>
      <c r="D88" s="585" t="str">
        <f>D86</f>
        <v>=</v>
      </c>
      <c r="E88" s="593">
        <f>I82*(E86/E87)</f>
        <v>-1080</v>
      </c>
      <c r="H88" s="594" t="str">
        <f>H86</f>
        <v>+</v>
      </c>
      <c r="I88" s="577">
        <f>I86</f>
        <v>3900</v>
      </c>
    </row>
    <row r="89" spans="1:17" ht="21" thickBot="1">
      <c r="C89" s="595" t="str">
        <f>C88</f>
        <v>P</v>
      </c>
      <c r="D89" s="596" t="str">
        <f>D88</f>
        <v>=</v>
      </c>
      <c r="E89" s="589">
        <f>I88+E88</f>
        <v>2820</v>
      </c>
    </row>
    <row r="90" spans="1:17" ht="13.5" thickTop="1"/>
    <row r="91" spans="1:17" ht="20.25">
      <c r="A91" s="591" t="s">
        <v>249</v>
      </c>
      <c r="B91" s="591"/>
      <c r="C91" s="591"/>
      <c r="D91" s="591"/>
      <c r="E91" s="591"/>
      <c r="F91" s="591"/>
      <c r="G91" s="591"/>
      <c r="H91" s="591"/>
      <c r="I91" s="591"/>
      <c r="J91" s="591"/>
      <c r="K91" s="591"/>
      <c r="L91" s="591"/>
      <c r="M91" s="591"/>
    </row>
    <row r="92" spans="1:17" ht="20.25">
      <c r="A92" s="597" t="s">
        <v>129</v>
      </c>
      <c r="B92" s="597"/>
      <c r="C92" s="597"/>
      <c r="D92" s="597"/>
      <c r="E92" s="441">
        <f>E89</f>
        <v>2820</v>
      </c>
      <c r="G92" s="598" t="s">
        <v>59</v>
      </c>
      <c r="I92" s="441">
        <f>I82</f>
        <v>2880</v>
      </c>
      <c r="M92" s="599">
        <f>E92*I92</f>
        <v>8121600</v>
      </c>
    </row>
    <row r="93" spans="1:17" ht="18">
      <c r="A93" s="600" t="s">
        <v>250</v>
      </c>
      <c r="B93" s="597"/>
      <c r="C93" s="597"/>
      <c r="D93" s="597"/>
      <c r="M93" s="601">
        <f>IF($E$48=$E$47,E44,IF($I$48=$I$47,(I44+I45),IF($M$48=$M$47,(M44+M45+M46))))</f>
        <v>4786200</v>
      </c>
      <c r="N93" s="602"/>
    </row>
    <row r="94" spans="1:17" ht="18">
      <c r="A94" s="603" t="s">
        <v>2</v>
      </c>
      <c r="B94" s="603"/>
      <c r="C94" s="603"/>
      <c r="D94" s="603"/>
      <c r="E94" s="604"/>
      <c r="F94" s="604"/>
      <c r="G94" s="604"/>
      <c r="H94" s="604"/>
      <c r="I94" s="604"/>
      <c r="J94" s="604"/>
      <c r="K94" s="604"/>
      <c r="L94" s="604"/>
      <c r="M94" s="605">
        <f>M92-M93</f>
        <v>3335400</v>
      </c>
    </row>
    <row r="95" spans="1:17" ht="18">
      <c r="A95" s="597" t="s">
        <v>245</v>
      </c>
      <c r="B95" s="597"/>
      <c r="C95" s="597"/>
      <c r="D95" s="597"/>
      <c r="M95" s="599">
        <f>M3</f>
        <v>0</v>
      </c>
    </row>
    <row r="96" spans="1:17" ht="18.75" thickBot="1">
      <c r="A96" s="597" t="s">
        <v>246</v>
      </c>
      <c r="B96" s="597"/>
      <c r="C96" s="597"/>
      <c r="D96" s="597"/>
      <c r="M96" s="606">
        <f>M94-M95</f>
        <v>3335400</v>
      </c>
    </row>
    <row r="97" spans="1:22" ht="13.5" thickTop="1"/>
    <row r="98" spans="1:22" ht="15">
      <c r="A98" s="607" t="s">
        <v>251</v>
      </c>
      <c r="B98" s="607"/>
      <c r="C98" s="607"/>
      <c r="D98" s="607"/>
      <c r="E98" s="607"/>
    </row>
    <row r="99" spans="1:22" ht="15">
      <c r="A99" s="607" t="s">
        <v>252</v>
      </c>
      <c r="B99" s="607"/>
      <c r="C99" s="607"/>
      <c r="D99" s="607"/>
      <c r="E99" s="607"/>
      <c r="I99" s="441">
        <f>E89</f>
        <v>2820</v>
      </c>
      <c r="J99" s="441" t="s">
        <v>253</v>
      </c>
      <c r="K99" s="608">
        <f>I3-E89</f>
        <v>1080</v>
      </c>
      <c r="M99" s="609">
        <f>I99/K99*-1</f>
        <v>-2.6111111111111112</v>
      </c>
    </row>
    <row r="100" spans="1:22" ht="15">
      <c r="A100" s="607" t="str">
        <f>IF(M99&gt;-1,"Uelastisk","Elastisk")</f>
        <v>Elastisk</v>
      </c>
      <c r="B100" s="607"/>
      <c r="C100" s="607"/>
      <c r="D100" s="607"/>
      <c r="E100" s="607"/>
    </row>
    <row r="103" spans="1:22">
      <c r="A103" s="610"/>
      <c r="B103" s="610"/>
      <c r="C103" s="610"/>
      <c r="D103" s="610"/>
    </row>
    <row r="104" spans="1:22">
      <c r="A104" s="610"/>
      <c r="B104" s="610"/>
      <c r="C104" s="610"/>
      <c r="D104" s="610"/>
      <c r="V104" s="604"/>
    </row>
    <row r="114" spans="1:22">
      <c r="A114" s="610"/>
      <c r="B114" s="610"/>
      <c r="C114" s="610"/>
      <c r="D114" s="610"/>
      <c r="F114" s="610"/>
      <c r="G114" s="610"/>
      <c r="H114" s="610"/>
      <c r="I114" s="610"/>
      <c r="J114" s="610"/>
      <c r="K114" s="610"/>
      <c r="L114" s="611"/>
      <c r="N114" s="610"/>
      <c r="O114" s="610"/>
      <c r="P114" s="610"/>
      <c r="Q114" s="610"/>
      <c r="R114" s="610"/>
      <c r="S114" s="610"/>
      <c r="T114" s="610"/>
    </row>
    <row r="115" spans="1:22">
      <c r="A115" s="610"/>
      <c r="B115" s="610"/>
      <c r="C115" s="610"/>
      <c r="D115" s="610"/>
      <c r="F115" s="610"/>
      <c r="G115" s="610"/>
      <c r="H115" s="610"/>
      <c r="I115" s="610"/>
      <c r="J115" s="611"/>
      <c r="K115" s="611"/>
      <c r="L115" s="611"/>
      <c r="N115" s="610"/>
      <c r="O115" s="610"/>
      <c r="P115" s="610"/>
      <c r="Q115" s="610"/>
      <c r="R115" s="610"/>
      <c r="S115" s="610"/>
      <c r="T115" s="610"/>
    </row>
    <row r="116" spans="1:22" ht="27" thickBot="1">
      <c r="A116" s="610"/>
      <c r="B116" s="610"/>
      <c r="C116" s="610"/>
      <c r="D116" s="610"/>
      <c r="F116" s="442" t="s">
        <v>254</v>
      </c>
      <c r="G116" s="611"/>
      <c r="H116" s="611"/>
      <c r="I116" s="611"/>
      <c r="J116" s="612"/>
      <c r="K116" s="612"/>
      <c r="L116" s="612"/>
      <c r="N116" s="612"/>
      <c r="O116" s="612"/>
      <c r="P116" s="612"/>
      <c r="Q116" s="612"/>
      <c r="R116" s="610"/>
      <c r="S116" s="610"/>
      <c r="T116" s="610"/>
    </row>
    <row r="117" spans="1:22" ht="13.5" thickBot="1">
      <c r="A117" s="613" t="s">
        <v>255</v>
      </c>
      <c r="B117" s="614"/>
      <c r="C117" s="614" t="s">
        <v>239</v>
      </c>
      <c r="D117" s="614"/>
      <c r="E117" s="615" t="s">
        <v>240</v>
      </c>
      <c r="F117" s="614" t="s">
        <v>256</v>
      </c>
      <c r="G117" s="614"/>
      <c r="H117" s="614"/>
      <c r="I117" s="614"/>
      <c r="J117" s="616" t="s">
        <v>2</v>
      </c>
      <c r="K117" s="617"/>
      <c r="L117" s="618"/>
      <c r="M117" s="615" t="s">
        <v>257</v>
      </c>
      <c r="N117" s="614" t="s">
        <v>246</v>
      </c>
      <c r="O117" s="614"/>
      <c r="P117" s="614"/>
      <c r="Q117" s="614"/>
      <c r="R117" s="614" t="s">
        <v>224</v>
      </c>
      <c r="S117" s="614"/>
      <c r="T117" s="614"/>
      <c r="U117" s="615" t="s">
        <v>258</v>
      </c>
      <c r="V117" s="619" t="s">
        <v>259</v>
      </c>
    </row>
    <row r="118" spans="1:22" ht="14.25">
      <c r="A118" s="620">
        <f>$A$121*-60%+$A$121</f>
        <v>1152</v>
      </c>
      <c r="B118" s="621"/>
      <c r="C118" s="622">
        <f t="shared" ref="C118:C125" si="1">A118*($E$86/$E$87)+$I$86</f>
        <v>3468</v>
      </c>
      <c r="D118" s="622"/>
      <c r="E118" s="623">
        <f t="shared" ref="E118:E125" si="2">C118*A118</f>
        <v>3995136</v>
      </c>
      <c r="F118" s="624">
        <f t="shared" ref="F118:F125" si="3">(POWER(A118,$P$5))*($N$5/$N$6)+($R$5*A118)</f>
        <v>1900800</v>
      </c>
      <c r="G118" s="621"/>
      <c r="H118" s="621"/>
      <c r="I118" s="621"/>
      <c r="J118" s="625">
        <f t="shared" ref="J118:J125" si="4">E118-F118</f>
        <v>2094336</v>
      </c>
      <c r="K118" s="626"/>
      <c r="L118" s="627"/>
      <c r="M118" s="628">
        <f t="shared" ref="M118:M125" si="5">$M$3</f>
        <v>0</v>
      </c>
      <c r="N118" s="624">
        <f t="shared" ref="N118:N125" si="6">J118-M118</f>
        <v>2094336</v>
      </c>
      <c r="O118" s="621"/>
      <c r="P118" s="621"/>
      <c r="Q118" s="621"/>
      <c r="R118" s="622">
        <f t="shared" ref="R118:R125" si="7">$I$11+($E$11/$E$12)*A118</f>
        <v>3036</v>
      </c>
      <c r="S118" s="622"/>
      <c r="T118" s="622"/>
      <c r="U118" s="629">
        <f t="shared" ref="U118:U125" si="8">$R$11+($N$11/$N$12)*A118</f>
        <v>1650</v>
      </c>
      <c r="V118" s="630">
        <f t="shared" ref="V118:V125" si="9">R118-U118</f>
        <v>1386</v>
      </c>
    </row>
    <row r="119" spans="1:22" ht="14.25">
      <c r="A119" s="631">
        <f>$A$121*-40%+$A$121</f>
        <v>1728</v>
      </c>
      <c r="B119" s="632"/>
      <c r="C119" s="633">
        <f t="shared" si="1"/>
        <v>3252</v>
      </c>
      <c r="D119" s="633"/>
      <c r="E119" s="634">
        <f t="shared" si="2"/>
        <v>5619456</v>
      </c>
      <c r="F119" s="635">
        <f t="shared" si="3"/>
        <v>2851200</v>
      </c>
      <c r="G119" s="632"/>
      <c r="H119" s="632"/>
      <c r="I119" s="632"/>
      <c r="J119" s="636">
        <f t="shared" si="4"/>
        <v>2768256</v>
      </c>
      <c r="K119" s="637"/>
      <c r="L119" s="638"/>
      <c r="M119" s="639">
        <f t="shared" si="5"/>
        <v>0</v>
      </c>
      <c r="N119" s="635">
        <f t="shared" si="6"/>
        <v>2768256</v>
      </c>
      <c r="O119" s="632"/>
      <c r="P119" s="632"/>
      <c r="Q119" s="632"/>
      <c r="R119" s="633">
        <f t="shared" si="7"/>
        <v>2604</v>
      </c>
      <c r="S119" s="633"/>
      <c r="T119" s="633"/>
      <c r="U119" s="640">
        <f t="shared" si="8"/>
        <v>1650</v>
      </c>
      <c r="V119" s="641">
        <f t="shared" si="9"/>
        <v>954</v>
      </c>
    </row>
    <row r="120" spans="1:22" ht="14.25">
      <c r="A120" s="631">
        <f>$A$121*-20%+$A$121</f>
        <v>2304</v>
      </c>
      <c r="B120" s="632"/>
      <c r="C120" s="633">
        <f t="shared" si="1"/>
        <v>3036</v>
      </c>
      <c r="D120" s="633"/>
      <c r="E120" s="634">
        <f t="shared" si="2"/>
        <v>6994944</v>
      </c>
      <c r="F120" s="635">
        <f t="shared" si="3"/>
        <v>3801600</v>
      </c>
      <c r="G120" s="632"/>
      <c r="H120" s="632"/>
      <c r="I120" s="632"/>
      <c r="J120" s="636">
        <f t="shared" si="4"/>
        <v>3193344</v>
      </c>
      <c r="K120" s="637"/>
      <c r="L120" s="638"/>
      <c r="M120" s="639">
        <f t="shared" si="5"/>
        <v>0</v>
      </c>
      <c r="N120" s="635">
        <f t="shared" si="6"/>
        <v>3193344</v>
      </c>
      <c r="O120" s="632"/>
      <c r="P120" s="632"/>
      <c r="Q120" s="632"/>
      <c r="R120" s="633">
        <f t="shared" si="7"/>
        <v>2172</v>
      </c>
      <c r="S120" s="633"/>
      <c r="T120" s="633"/>
      <c r="U120" s="640">
        <f t="shared" si="8"/>
        <v>1650</v>
      </c>
      <c r="V120" s="641">
        <f t="shared" si="9"/>
        <v>522</v>
      </c>
    </row>
    <row r="121" spans="1:22" ht="14.25">
      <c r="A121" s="631">
        <f>I82</f>
        <v>2880</v>
      </c>
      <c r="B121" s="642"/>
      <c r="C121" s="643">
        <f t="shared" si="1"/>
        <v>2820</v>
      </c>
      <c r="D121" s="643"/>
      <c r="E121" s="644">
        <f t="shared" si="2"/>
        <v>8121600</v>
      </c>
      <c r="F121" s="645">
        <f t="shared" si="3"/>
        <v>4752000</v>
      </c>
      <c r="G121" s="642"/>
      <c r="H121" s="642"/>
      <c r="I121" s="642"/>
      <c r="J121" s="646">
        <f t="shared" si="4"/>
        <v>3369600</v>
      </c>
      <c r="K121" s="647"/>
      <c r="L121" s="638"/>
      <c r="M121" s="648">
        <f t="shared" si="5"/>
        <v>0</v>
      </c>
      <c r="N121" s="645">
        <f t="shared" si="6"/>
        <v>3369600</v>
      </c>
      <c r="O121" s="642"/>
      <c r="P121" s="642"/>
      <c r="Q121" s="642"/>
      <c r="R121" s="643">
        <f t="shared" si="7"/>
        <v>1740</v>
      </c>
      <c r="S121" s="643"/>
      <c r="T121" s="643"/>
      <c r="U121" s="649">
        <f t="shared" si="8"/>
        <v>1650</v>
      </c>
      <c r="V121" s="650">
        <f t="shared" si="9"/>
        <v>90</v>
      </c>
    </row>
    <row r="122" spans="1:22" ht="14.25">
      <c r="A122" s="631">
        <f>$A$121*20%+$A$121</f>
        <v>3456</v>
      </c>
      <c r="B122" s="632"/>
      <c r="C122" s="633">
        <f t="shared" si="1"/>
        <v>2604</v>
      </c>
      <c r="D122" s="633"/>
      <c r="E122" s="634">
        <f t="shared" si="2"/>
        <v>8999424</v>
      </c>
      <c r="F122" s="635">
        <f t="shared" si="3"/>
        <v>5702400</v>
      </c>
      <c r="G122" s="632"/>
      <c r="H122" s="632"/>
      <c r="I122" s="632"/>
      <c r="J122" s="636">
        <f t="shared" si="4"/>
        <v>3297024</v>
      </c>
      <c r="K122" s="637"/>
      <c r="L122" s="638"/>
      <c r="M122" s="639">
        <f t="shared" si="5"/>
        <v>0</v>
      </c>
      <c r="N122" s="635">
        <f t="shared" si="6"/>
        <v>3297024</v>
      </c>
      <c r="O122" s="632"/>
      <c r="P122" s="632"/>
      <c r="Q122" s="632"/>
      <c r="R122" s="633">
        <f t="shared" si="7"/>
        <v>1308</v>
      </c>
      <c r="S122" s="633"/>
      <c r="T122" s="633"/>
      <c r="U122" s="640">
        <f t="shared" si="8"/>
        <v>1650</v>
      </c>
      <c r="V122" s="641">
        <f t="shared" si="9"/>
        <v>-342</v>
      </c>
    </row>
    <row r="123" spans="1:22" ht="14.25">
      <c r="A123" s="631">
        <f>$A$121*40%+$A$121</f>
        <v>4032</v>
      </c>
      <c r="B123" s="632"/>
      <c r="C123" s="633">
        <f t="shared" si="1"/>
        <v>2388</v>
      </c>
      <c r="D123" s="633"/>
      <c r="E123" s="634">
        <f t="shared" si="2"/>
        <v>9628416</v>
      </c>
      <c r="F123" s="635">
        <f t="shared" si="3"/>
        <v>6652800</v>
      </c>
      <c r="G123" s="632"/>
      <c r="H123" s="632"/>
      <c r="I123" s="632"/>
      <c r="J123" s="636">
        <f t="shared" si="4"/>
        <v>2975616</v>
      </c>
      <c r="K123" s="637"/>
      <c r="L123" s="638"/>
      <c r="M123" s="639">
        <f t="shared" si="5"/>
        <v>0</v>
      </c>
      <c r="N123" s="635">
        <f t="shared" si="6"/>
        <v>2975616</v>
      </c>
      <c r="O123" s="632"/>
      <c r="P123" s="632"/>
      <c r="Q123" s="632"/>
      <c r="R123" s="633">
        <f t="shared" si="7"/>
        <v>876</v>
      </c>
      <c r="S123" s="633"/>
      <c r="T123" s="633"/>
      <c r="U123" s="640">
        <f t="shared" si="8"/>
        <v>1650</v>
      </c>
      <c r="V123" s="641">
        <f t="shared" si="9"/>
        <v>-774</v>
      </c>
    </row>
    <row r="124" spans="1:22" ht="14.25">
      <c r="A124" s="631">
        <f>$A$121*60%+$A$121</f>
        <v>4608</v>
      </c>
      <c r="B124" s="632"/>
      <c r="C124" s="633">
        <f t="shared" si="1"/>
        <v>2172</v>
      </c>
      <c r="D124" s="633"/>
      <c r="E124" s="634">
        <f t="shared" si="2"/>
        <v>10008576</v>
      </c>
      <c r="F124" s="635">
        <f t="shared" si="3"/>
        <v>7603200</v>
      </c>
      <c r="G124" s="632"/>
      <c r="H124" s="632"/>
      <c r="I124" s="632"/>
      <c r="J124" s="636">
        <f t="shared" si="4"/>
        <v>2405376</v>
      </c>
      <c r="K124" s="637"/>
      <c r="L124" s="638"/>
      <c r="M124" s="639">
        <f t="shared" si="5"/>
        <v>0</v>
      </c>
      <c r="N124" s="635">
        <f t="shared" si="6"/>
        <v>2405376</v>
      </c>
      <c r="O124" s="632"/>
      <c r="P124" s="632"/>
      <c r="Q124" s="632"/>
      <c r="R124" s="633">
        <f t="shared" si="7"/>
        <v>444</v>
      </c>
      <c r="S124" s="633"/>
      <c r="T124" s="633"/>
      <c r="U124" s="640">
        <f t="shared" si="8"/>
        <v>1650</v>
      </c>
      <c r="V124" s="641">
        <f t="shared" si="9"/>
        <v>-1206</v>
      </c>
    </row>
    <row r="125" spans="1:22" ht="15" thickBot="1">
      <c r="A125" s="651">
        <f>$A$121*80%+$A$121</f>
        <v>5184</v>
      </c>
      <c r="B125" s="652"/>
      <c r="C125" s="653">
        <f t="shared" si="1"/>
        <v>1956</v>
      </c>
      <c r="D125" s="653"/>
      <c r="E125" s="654">
        <f t="shared" si="2"/>
        <v>10139904</v>
      </c>
      <c r="F125" s="655">
        <f t="shared" si="3"/>
        <v>8553600</v>
      </c>
      <c r="G125" s="652"/>
      <c r="H125" s="652"/>
      <c r="I125" s="652"/>
      <c r="J125" s="656">
        <f t="shared" si="4"/>
        <v>1586304</v>
      </c>
      <c r="K125" s="657"/>
      <c r="L125" s="658"/>
      <c r="M125" s="659">
        <f t="shared" si="5"/>
        <v>0</v>
      </c>
      <c r="N125" s="655">
        <f t="shared" si="6"/>
        <v>1586304</v>
      </c>
      <c r="O125" s="652"/>
      <c r="P125" s="652"/>
      <c r="Q125" s="652"/>
      <c r="R125" s="653">
        <f t="shared" si="7"/>
        <v>12</v>
      </c>
      <c r="S125" s="653"/>
      <c r="T125" s="653"/>
      <c r="U125" s="660">
        <f t="shared" si="8"/>
        <v>1650</v>
      </c>
      <c r="V125" s="661">
        <f t="shared" si="9"/>
        <v>-1638</v>
      </c>
    </row>
    <row r="126" spans="1:22">
      <c r="A126" s="610"/>
      <c r="B126" s="610"/>
      <c r="C126" s="610"/>
      <c r="D126" s="610"/>
      <c r="F126" s="610"/>
      <c r="G126" s="610"/>
      <c r="H126" s="610"/>
      <c r="I126" s="610"/>
      <c r="J126" s="582"/>
      <c r="K126" s="582"/>
      <c r="L126" s="582"/>
      <c r="N126" s="610"/>
      <c r="O126" s="610"/>
      <c r="P126" s="610"/>
      <c r="Q126" s="610"/>
      <c r="R126" s="610"/>
      <c r="S126" s="610"/>
      <c r="T126" s="610"/>
    </row>
    <row r="127" spans="1:22">
      <c r="A127" s="610"/>
      <c r="B127" s="610"/>
      <c r="C127" s="610"/>
      <c r="D127" s="610"/>
      <c r="F127" s="610"/>
      <c r="G127" s="610"/>
      <c r="H127" s="610"/>
      <c r="I127" s="610"/>
      <c r="J127" s="582"/>
      <c r="K127" s="582"/>
      <c r="L127" s="582"/>
      <c r="N127" s="610"/>
      <c r="O127" s="610"/>
      <c r="P127" s="610"/>
      <c r="Q127" s="610"/>
      <c r="R127" s="610"/>
      <c r="S127" s="610"/>
      <c r="T127" s="610"/>
    </row>
    <row r="128" spans="1:22">
      <c r="A128" s="610"/>
      <c r="B128" s="610"/>
      <c r="C128" s="610"/>
      <c r="D128" s="610"/>
      <c r="F128" s="610"/>
      <c r="G128" s="610"/>
      <c r="H128" s="610"/>
      <c r="I128" s="610"/>
      <c r="J128" s="582"/>
      <c r="K128" s="582"/>
      <c r="L128" s="582"/>
      <c r="N128" s="610"/>
      <c r="O128" s="610"/>
      <c r="P128" s="610"/>
      <c r="Q128" s="610"/>
      <c r="R128" s="610"/>
      <c r="S128" s="610"/>
      <c r="T128" s="610"/>
    </row>
    <row r="129" spans="1:20">
      <c r="A129" s="610"/>
      <c r="B129" s="610"/>
      <c r="C129" s="610"/>
      <c r="D129" s="610"/>
      <c r="F129" s="610"/>
      <c r="G129" s="610"/>
      <c r="H129" s="610"/>
      <c r="I129" s="610"/>
      <c r="J129" s="582"/>
      <c r="K129" s="582"/>
      <c r="L129" s="582"/>
      <c r="N129" s="610"/>
      <c r="O129" s="610"/>
      <c r="P129" s="610"/>
      <c r="Q129" s="610"/>
      <c r="R129" s="610"/>
      <c r="S129" s="610"/>
      <c r="T129" s="610"/>
    </row>
    <row r="130" spans="1:20">
      <c r="A130" s="610"/>
      <c r="B130" s="610"/>
      <c r="C130" s="610"/>
      <c r="D130" s="610"/>
      <c r="F130" s="610"/>
      <c r="G130" s="610"/>
      <c r="H130" s="610"/>
      <c r="I130" s="610"/>
      <c r="J130" s="610"/>
      <c r="K130" s="610"/>
      <c r="L130" s="611"/>
      <c r="N130" s="610"/>
      <c r="O130" s="610"/>
      <c r="P130" s="610"/>
      <c r="Q130" s="610"/>
      <c r="R130" s="610"/>
      <c r="S130" s="610"/>
      <c r="T130" s="610"/>
    </row>
    <row r="131" spans="1:20">
      <c r="A131" s="610"/>
      <c r="B131" s="610"/>
      <c r="C131" s="610"/>
      <c r="D131" s="610"/>
      <c r="F131" s="610"/>
      <c r="G131" s="610"/>
      <c r="H131" s="610"/>
      <c r="I131" s="610"/>
      <c r="J131" s="610"/>
      <c r="K131" s="610"/>
      <c r="L131" s="611"/>
      <c r="N131" s="610"/>
      <c r="O131" s="610"/>
      <c r="P131" s="610"/>
      <c r="Q131" s="610"/>
      <c r="R131" s="610"/>
      <c r="S131" s="610"/>
      <c r="T131" s="610"/>
    </row>
    <row r="132" spans="1:20">
      <c r="A132" s="610"/>
      <c r="B132" s="610"/>
      <c r="C132" s="610"/>
      <c r="D132" s="610"/>
      <c r="F132" s="610"/>
      <c r="G132" s="610"/>
      <c r="H132" s="610"/>
      <c r="I132" s="610"/>
      <c r="J132" s="610"/>
      <c r="K132" s="610"/>
      <c r="L132" s="611"/>
      <c r="N132" s="610"/>
      <c r="O132" s="610"/>
      <c r="P132" s="610"/>
      <c r="Q132" s="610"/>
      <c r="R132" s="610"/>
      <c r="S132" s="610"/>
      <c r="T132" s="610"/>
    </row>
    <row r="133" spans="1:20">
      <c r="A133" s="610"/>
      <c r="B133" s="610"/>
      <c r="C133" s="610"/>
      <c r="D133" s="610"/>
      <c r="F133" s="610"/>
      <c r="G133" s="610"/>
      <c r="H133" s="610"/>
      <c r="I133" s="610"/>
      <c r="J133" s="610"/>
      <c r="K133" s="610"/>
      <c r="L133" s="611"/>
      <c r="N133" s="610"/>
      <c r="O133" s="610"/>
      <c r="P133" s="610"/>
      <c r="Q133" s="610"/>
      <c r="R133" s="610"/>
      <c r="S133" s="610"/>
      <c r="T133" s="610"/>
    </row>
    <row r="134" spans="1:20">
      <c r="A134" s="610"/>
      <c r="B134" s="610"/>
      <c r="C134" s="610"/>
      <c r="D134" s="610"/>
      <c r="F134" s="610"/>
      <c r="G134" s="610"/>
      <c r="H134" s="610"/>
      <c r="I134" s="610"/>
      <c r="J134" s="610"/>
      <c r="K134" s="610"/>
      <c r="L134" s="611"/>
      <c r="N134" s="610"/>
      <c r="O134" s="610"/>
      <c r="P134" s="610"/>
      <c r="Q134" s="610"/>
      <c r="R134" s="610"/>
      <c r="S134" s="610"/>
      <c r="T134" s="610"/>
    </row>
    <row r="135" spans="1:20">
      <c r="A135" s="610"/>
      <c r="B135" s="610"/>
      <c r="C135" s="610"/>
      <c r="D135" s="610"/>
      <c r="F135" s="610"/>
      <c r="G135" s="610"/>
      <c r="H135" s="610"/>
      <c r="I135" s="610"/>
      <c r="J135" s="610"/>
      <c r="K135" s="610"/>
      <c r="L135" s="611"/>
      <c r="N135" s="610"/>
      <c r="O135" s="610"/>
      <c r="P135" s="610"/>
      <c r="Q135" s="610"/>
      <c r="R135" s="610"/>
      <c r="S135" s="610"/>
      <c r="T135" s="610"/>
    </row>
    <row r="136" spans="1:20">
      <c r="A136" s="610"/>
      <c r="B136" s="610"/>
      <c r="C136" s="610"/>
      <c r="D136" s="610"/>
      <c r="F136" s="610"/>
      <c r="G136" s="610"/>
      <c r="H136" s="610"/>
      <c r="I136" s="610"/>
      <c r="J136" s="610"/>
      <c r="K136" s="610"/>
      <c r="L136" s="611"/>
      <c r="N136" s="610"/>
      <c r="O136" s="610"/>
      <c r="P136" s="610"/>
      <c r="Q136" s="610"/>
      <c r="R136" s="610"/>
      <c r="S136" s="610"/>
      <c r="T136" s="610"/>
    </row>
    <row r="137" spans="1:20">
      <c r="A137" s="610"/>
      <c r="B137" s="610"/>
      <c r="C137" s="610"/>
      <c r="D137" s="610"/>
      <c r="F137" s="610"/>
      <c r="G137" s="610"/>
      <c r="H137" s="610"/>
      <c r="I137" s="610"/>
      <c r="J137" s="610"/>
      <c r="K137" s="610"/>
      <c r="L137" s="611"/>
      <c r="N137" s="610"/>
      <c r="O137" s="610"/>
      <c r="P137" s="610"/>
      <c r="Q137" s="610"/>
      <c r="R137" s="610"/>
      <c r="S137" s="610"/>
      <c r="T137" s="610"/>
    </row>
  </sheetData>
  <mergeCells count="237">
    <mergeCell ref="A137:B137"/>
    <mergeCell ref="C137:D137"/>
    <mergeCell ref="F137:I137"/>
    <mergeCell ref="J137:K137"/>
    <mergeCell ref="N137:Q137"/>
    <mergeCell ref="R137:T137"/>
    <mergeCell ref="A136:B136"/>
    <mergeCell ref="C136:D136"/>
    <mergeCell ref="F136:I136"/>
    <mergeCell ref="J136:K136"/>
    <mergeCell ref="N136:Q136"/>
    <mergeCell ref="R136:T136"/>
    <mergeCell ref="A135:B135"/>
    <mergeCell ref="C135:D135"/>
    <mergeCell ref="F135:I135"/>
    <mergeCell ref="J135:K135"/>
    <mergeCell ref="N135:Q135"/>
    <mergeCell ref="R135:T135"/>
    <mergeCell ref="A134:B134"/>
    <mergeCell ref="C134:D134"/>
    <mergeCell ref="F134:I134"/>
    <mergeCell ref="J134:K134"/>
    <mergeCell ref="N134:Q134"/>
    <mergeCell ref="R134:T134"/>
    <mergeCell ref="A133:B133"/>
    <mergeCell ref="C133:D133"/>
    <mergeCell ref="F133:I133"/>
    <mergeCell ref="J133:K133"/>
    <mergeCell ref="N133:Q133"/>
    <mergeCell ref="R133:T133"/>
    <mergeCell ref="A132:B132"/>
    <mergeCell ref="C132:D132"/>
    <mergeCell ref="F132:I132"/>
    <mergeCell ref="J132:K132"/>
    <mergeCell ref="N132:Q132"/>
    <mergeCell ref="R132:T132"/>
    <mergeCell ref="A131:B131"/>
    <mergeCell ref="C131:D131"/>
    <mergeCell ref="F131:I131"/>
    <mergeCell ref="J131:K131"/>
    <mergeCell ref="N131:Q131"/>
    <mergeCell ref="R131:T131"/>
    <mergeCell ref="A130:B130"/>
    <mergeCell ref="C130:D130"/>
    <mergeCell ref="F130:I130"/>
    <mergeCell ref="J130:K130"/>
    <mergeCell ref="N130:Q130"/>
    <mergeCell ref="R130:T130"/>
    <mergeCell ref="A129:B129"/>
    <mergeCell ref="C129:D129"/>
    <mergeCell ref="F129:I129"/>
    <mergeCell ref="J129:L129"/>
    <mergeCell ref="N129:Q129"/>
    <mergeCell ref="R129:T129"/>
    <mergeCell ref="A128:B128"/>
    <mergeCell ref="C128:D128"/>
    <mergeCell ref="F128:I128"/>
    <mergeCell ref="J128:L128"/>
    <mergeCell ref="N128:Q128"/>
    <mergeCell ref="R128:T128"/>
    <mergeCell ref="A127:B127"/>
    <mergeCell ref="C127:D127"/>
    <mergeCell ref="F127:I127"/>
    <mergeCell ref="J127:L127"/>
    <mergeCell ref="N127:Q127"/>
    <mergeCell ref="R127:T127"/>
    <mergeCell ref="A126:B126"/>
    <mergeCell ref="C126:D126"/>
    <mergeCell ref="F126:I126"/>
    <mergeCell ref="J126:L126"/>
    <mergeCell ref="N126:Q126"/>
    <mergeCell ref="R126:T126"/>
    <mergeCell ref="A125:B125"/>
    <mergeCell ref="C125:D125"/>
    <mergeCell ref="F125:I125"/>
    <mergeCell ref="J125:L125"/>
    <mergeCell ref="N125:Q125"/>
    <mergeCell ref="R125:T125"/>
    <mergeCell ref="A124:B124"/>
    <mergeCell ref="C124:D124"/>
    <mergeCell ref="F124:I124"/>
    <mergeCell ref="J124:L124"/>
    <mergeCell ref="N124:Q124"/>
    <mergeCell ref="R124:T124"/>
    <mergeCell ref="A123:B123"/>
    <mergeCell ref="C123:D123"/>
    <mergeCell ref="F123:I123"/>
    <mergeCell ref="J123:L123"/>
    <mergeCell ref="N123:Q123"/>
    <mergeCell ref="R123:T123"/>
    <mergeCell ref="A122:B122"/>
    <mergeCell ref="C122:D122"/>
    <mergeCell ref="F122:I122"/>
    <mergeCell ref="J122:L122"/>
    <mergeCell ref="N122:Q122"/>
    <mergeCell ref="R122:T122"/>
    <mergeCell ref="A121:B121"/>
    <mergeCell ref="C121:D121"/>
    <mergeCell ref="F121:I121"/>
    <mergeCell ref="J121:L121"/>
    <mergeCell ref="N121:Q121"/>
    <mergeCell ref="R121:T121"/>
    <mergeCell ref="A120:B120"/>
    <mergeCell ref="C120:D120"/>
    <mergeCell ref="F120:I120"/>
    <mergeCell ref="J120:L120"/>
    <mergeCell ref="N120:Q120"/>
    <mergeCell ref="R120:T120"/>
    <mergeCell ref="A119:B119"/>
    <mergeCell ref="C119:D119"/>
    <mergeCell ref="F119:I119"/>
    <mergeCell ref="J119:L119"/>
    <mergeCell ref="N119:Q119"/>
    <mergeCell ref="R119:T119"/>
    <mergeCell ref="A118:B118"/>
    <mergeCell ref="C118:D118"/>
    <mergeCell ref="F118:I118"/>
    <mergeCell ref="J118:L118"/>
    <mergeCell ref="N118:Q118"/>
    <mergeCell ref="R118:T118"/>
    <mergeCell ref="A117:B117"/>
    <mergeCell ref="C117:D117"/>
    <mergeCell ref="F117:I117"/>
    <mergeCell ref="J117:L117"/>
    <mergeCell ref="N117:Q117"/>
    <mergeCell ref="R117:T117"/>
    <mergeCell ref="A115:B115"/>
    <mergeCell ref="C115:D115"/>
    <mergeCell ref="F115:I115"/>
    <mergeCell ref="N115:Q115"/>
    <mergeCell ref="R115:T115"/>
    <mergeCell ref="A116:B116"/>
    <mergeCell ref="C116:D116"/>
    <mergeCell ref="R116:T116"/>
    <mergeCell ref="A114:B114"/>
    <mergeCell ref="C114:D114"/>
    <mergeCell ref="F114:I114"/>
    <mergeCell ref="J114:K114"/>
    <mergeCell ref="N114:Q114"/>
    <mergeCell ref="R114:T114"/>
    <mergeCell ref="I86:I87"/>
    <mergeCell ref="A91:M91"/>
    <mergeCell ref="A103:B103"/>
    <mergeCell ref="C103:D103"/>
    <mergeCell ref="A104:B104"/>
    <mergeCell ref="C104:D104"/>
    <mergeCell ref="N76:N77"/>
    <mergeCell ref="O76:O77"/>
    <mergeCell ref="P76:R77"/>
    <mergeCell ref="K77:L77"/>
    <mergeCell ref="A81:H81"/>
    <mergeCell ref="B86:B87"/>
    <mergeCell ref="C86:C87"/>
    <mergeCell ref="D86:D87"/>
    <mergeCell ref="F86:F87"/>
    <mergeCell ref="H86:H87"/>
    <mergeCell ref="L23:M23"/>
    <mergeCell ref="A37:D37"/>
    <mergeCell ref="K75:L75"/>
    <mergeCell ref="F76:F77"/>
    <mergeCell ref="H76:H77"/>
    <mergeCell ref="I76:I77"/>
    <mergeCell ref="J76:J77"/>
    <mergeCell ref="K76:L76"/>
    <mergeCell ref="R19:R20"/>
    <mergeCell ref="S19:S20"/>
    <mergeCell ref="K21:K22"/>
    <mergeCell ref="L21:M22"/>
    <mergeCell ref="O21:O22"/>
    <mergeCell ref="Q21:Q22"/>
    <mergeCell ref="R21:R22"/>
    <mergeCell ref="L18:M18"/>
    <mergeCell ref="K19:K20"/>
    <mergeCell ref="L19:M20"/>
    <mergeCell ref="O19:O20"/>
    <mergeCell ref="P19:P20"/>
    <mergeCell ref="Q19:Q20"/>
    <mergeCell ref="S14:S15"/>
    <mergeCell ref="K16:K17"/>
    <mergeCell ref="L16:M17"/>
    <mergeCell ref="O16:O17"/>
    <mergeCell ref="P16:P17"/>
    <mergeCell ref="Q16:Q17"/>
    <mergeCell ref="R16:R17"/>
    <mergeCell ref="O11:O12"/>
    <mergeCell ref="Q11:Q12"/>
    <mergeCell ref="R11:R12"/>
    <mergeCell ref="L13:M13"/>
    <mergeCell ref="K14:K15"/>
    <mergeCell ref="L14:M15"/>
    <mergeCell ref="O14:O15"/>
    <mergeCell ref="P14:P15"/>
    <mergeCell ref="Q14:Q15"/>
    <mergeCell ref="R14:R15"/>
    <mergeCell ref="S8:S9"/>
    <mergeCell ref="T8:T9"/>
    <mergeCell ref="U8:U9"/>
    <mergeCell ref="A11:B12"/>
    <mergeCell ref="C11:D12"/>
    <mergeCell ref="F11:F12"/>
    <mergeCell ref="H11:H12"/>
    <mergeCell ref="I11:J12"/>
    <mergeCell ref="K11:K12"/>
    <mergeCell ref="L11:M12"/>
    <mergeCell ref="K8:K9"/>
    <mergeCell ref="L8:M9"/>
    <mergeCell ref="O8:O9"/>
    <mergeCell ref="P8:P9"/>
    <mergeCell ref="Q8:Q9"/>
    <mergeCell ref="R8:R9"/>
    <mergeCell ref="O5:O6"/>
    <mergeCell ref="P5:P6"/>
    <mergeCell ref="Q5:Q6"/>
    <mergeCell ref="S5:S6"/>
    <mergeCell ref="A6:B7"/>
    <mergeCell ref="C6:D7"/>
    <mergeCell ref="F6:F7"/>
    <mergeCell ref="G6:G7"/>
    <mergeCell ref="H6:H7"/>
    <mergeCell ref="I6:I7"/>
    <mergeCell ref="K3:K4"/>
    <mergeCell ref="L3:L4"/>
    <mergeCell ref="M3:N4"/>
    <mergeCell ref="A5:J5"/>
    <mergeCell ref="K5:K6"/>
    <mergeCell ref="L5:M6"/>
    <mergeCell ref="J6:J7"/>
    <mergeCell ref="A2:I2"/>
    <mergeCell ref="K2:U2"/>
    <mergeCell ref="A3:A4"/>
    <mergeCell ref="B3:B4"/>
    <mergeCell ref="C3:D4"/>
    <mergeCell ref="F3:F4"/>
    <mergeCell ref="G3:G4"/>
    <mergeCell ref="H3:H4"/>
    <mergeCell ref="I3:I4"/>
    <mergeCell ref="J3:J4"/>
  </mergeCells>
  <pageMargins left="0.39370078740157483" right="0.39370078740157483" top="0.39370078740157483" bottom="0.39370078740157483" header="0" footer="0"/>
  <pageSetup paperSize="9" scale="95"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L68"/>
  <sheetViews>
    <sheetView tabSelected="1" zoomScale="115" zoomScaleNormal="115" workbookViewId="0">
      <selection activeCell="I6" sqref="I6"/>
    </sheetView>
  </sheetViews>
  <sheetFormatPr defaultRowHeight="15"/>
  <cols>
    <col min="1" max="1" width="20.28515625" style="868" customWidth="1"/>
    <col min="2" max="2" width="11.28515625" style="868" bestFit="1" customWidth="1"/>
    <col min="3" max="3" width="11.85546875" style="868" customWidth="1"/>
    <col min="4" max="4" width="11.85546875" style="868" hidden="1" customWidth="1"/>
    <col min="5" max="5" width="12.28515625" style="868" customWidth="1"/>
    <col min="6" max="6" width="11.7109375" style="868" customWidth="1"/>
    <col min="7" max="7" width="14.28515625" style="868" bestFit="1" customWidth="1"/>
    <col min="8" max="8" width="14.28515625" style="868" hidden="1" customWidth="1"/>
    <col min="9" max="9" width="14.28515625" style="868" customWidth="1"/>
    <col min="10" max="10" width="14" style="868" bestFit="1" customWidth="1"/>
    <col min="11" max="11" width="14" style="868" customWidth="1"/>
    <col min="12" max="12" width="22.28515625" style="868" customWidth="1"/>
    <col min="13" max="16384" width="9.140625" style="868"/>
  </cols>
  <sheetData>
    <row r="1" spans="1:12">
      <c r="A1" s="868" t="s">
        <v>265</v>
      </c>
      <c r="B1" s="869">
        <v>2200</v>
      </c>
      <c r="C1" s="868" t="s">
        <v>266</v>
      </c>
    </row>
    <row r="2" spans="1:12">
      <c r="A2" s="868" t="s">
        <v>267</v>
      </c>
      <c r="B2" s="869">
        <f>B1*25%</f>
        <v>550</v>
      </c>
      <c r="C2" s="868" t="s">
        <v>266</v>
      </c>
    </row>
    <row r="3" spans="1:12">
      <c r="A3" s="868" t="s">
        <v>268</v>
      </c>
      <c r="B3" s="869">
        <v>200</v>
      </c>
      <c r="C3" s="868" t="s">
        <v>269</v>
      </c>
    </row>
    <row r="4" spans="1:12">
      <c r="A4" s="870"/>
      <c r="B4" s="871"/>
      <c r="L4" s="872"/>
    </row>
    <row r="5" spans="1:12">
      <c r="A5" s="873" t="s">
        <v>270</v>
      </c>
      <c r="B5" s="874" t="s">
        <v>271</v>
      </c>
      <c r="E5" s="875" t="s">
        <v>272</v>
      </c>
      <c r="G5" s="875" t="s">
        <v>299</v>
      </c>
      <c r="H5" s="875"/>
    </row>
    <row r="6" spans="1:12">
      <c r="A6" s="868" t="s">
        <v>273</v>
      </c>
      <c r="B6" s="869">
        <v>450</v>
      </c>
      <c r="C6" s="868" t="s">
        <v>269</v>
      </c>
      <c r="E6" s="869">
        <v>250</v>
      </c>
      <c r="F6" s="868" t="str">
        <f>C6</f>
        <v>kr.</v>
      </c>
      <c r="G6" s="869">
        <v>500</v>
      </c>
      <c r="H6" s="869"/>
      <c r="I6" s="868" t="str">
        <f>F6</f>
        <v>kr.</v>
      </c>
    </row>
    <row r="7" spans="1:12">
      <c r="A7" s="868" t="s">
        <v>274</v>
      </c>
      <c r="B7" s="869">
        <v>0</v>
      </c>
      <c r="C7" s="868" t="s">
        <v>269</v>
      </c>
      <c r="E7" s="869">
        <v>0</v>
      </c>
      <c r="F7" s="868" t="str">
        <f>C7</f>
        <v>kr.</v>
      </c>
      <c r="G7" s="869">
        <v>0</v>
      </c>
      <c r="H7" s="869"/>
      <c r="I7" s="868" t="str">
        <f>F7</f>
        <v>kr.</v>
      </c>
    </row>
    <row r="8" spans="1:12">
      <c r="A8" s="868" t="s">
        <v>275</v>
      </c>
      <c r="B8" s="869">
        <v>45</v>
      </c>
      <c r="C8" s="868" t="s">
        <v>276</v>
      </c>
      <c r="E8" s="869">
        <v>75</v>
      </c>
      <c r="F8" s="868" t="str">
        <f>C8</f>
        <v>min.</v>
      </c>
      <c r="G8" s="869">
        <v>45</v>
      </c>
      <c r="H8" s="869"/>
      <c r="I8" s="868" t="str">
        <f>F8</f>
        <v>min.</v>
      </c>
    </row>
    <row r="9" spans="1:12" ht="15.75" thickBot="1">
      <c r="A9" s="870"/>
      <c r="B9" s="870"/>
      <c r="C9" s="870"/>
      <c r="D9" s="870"/>
      <c r="E9" s="871"/>
      <c r="F9" s="870"/>
      <c r="G9" s="871"/>
      <c r="H9" s="871"/>
    </row>
    <row r="10" spans="1:12" ht="30.75" thickBot="1">
      <c r="A10" s="876" t="s">
        <v>277</v>
      </c>
      <c r="B10" s="877" t="s">
        <v>278</v>
      </c>
      <c r="C10" s="877" t="s">
        <v>218</v>
      </c>
      <c r="D10" s="877"/>
      <c r="E10" s="877" t="s">
        <v>129</v>
      </c>
      <c r="F10" s="877" t="s">
        <v>279</v>
      </c>
      <c r="G10" s="878" t="s">
        <v>280</v>
      </c>
      <c r="H10" s="878"/>
      <c r="I10" s="878" t="s">
        <v>274</v>
      </c>
      <c r="J10" s="878" t="s">
        <v>281</v>
      </c>
      <c r="K10" s="878" t="s">
        <v>266</v>
      </c>
      <c r="L10" s="879" t="s">
        <v>282</v>
      </c>
    </row>
    <row r="11" spans="1:12">
      <c r="A11" s="880" t="str">
        <f>IF(B11=0," ",CONCATENATE($B$5," 1"))</f>
        <v>HA 1</v>
      </c>
      <c r="B11" s="881">
        <v>1400</v>
      </c>
      <c r="C11" s="882">
        <v>1200</v>
      </c>
      <c r="D11" s="882"/>
      <c r="E11" s="883">
        <f>B11*C11</f>
        <v>1680000</v>
      </c>
      <c r="F11" s="884">
        <f>IF(B11=0,0,$B$6)</f>
        <v>450</v>
      </c>
      <c r="G11" s="883">
        <f>F11*C11</f>
        <v>540000</v>
      </c>
      <c r="H11" s="883"/>
      <c r="I11" s="884">
        <f>IF(B11=0,0,$B$7)</f>
        <v>0</v>
      </c>
      <c r="J11" s="885">
        <f>E11-G11-I11</f>
        <v>1140000</v>
      </c>
      <c r="K11" s="885">
        <f t="shared" ref="K11:K16" si="0">C11*$B$8/60</f>
        <v>900</v>
      </c>
      <c r="L11" s="886">
        <f>IF(B11=0,0,J11/K11)</f>
        <v>1266.6666666666667</v>
      </c>
    </row>
    <row r="12" spans="1:12">
      <c r="A12" s="887" t="str">
        <f>IF(B12=0," ",CONCATENATE($B$5," 2"))</f>
        <v>HA 2</v>
      </c>
      <c r="B12" s="888">
        <f>B11-50</f>
        <v>1350</v>
      </c>
      <c r="C12" s="888">
        <f>C11+100</f>
        <v>1300</v>
      </c>
      <c r="D12" s="888"/>
      <c r="E12" s="889">
        <f t="shared" ref="E12:E16" si="1">B12*C12</f>
        <v>1755000</v>
      </c>
      <c r="F12" s="889">
        <f t="shared" ref="F12:F16" si="2">IF(B12=0,0,$B$6)</f>
        <v>450</v>
      </c>
      <c r="G12" s="889">
        <f t="shared" ref="G12:G16" si="3">F12*C12</f>
        <v>585000</v>
      </c>
      <c r="H12" s="889"/>
      <c r="I12" s="889">
        <f t="shared" ref="I12:I16" si="4">IF(B12=0,0,$B$7)</f>
        <v>0</v>
      </c>
      <c r="J12" s="890">
        <f t="shared" ref="J12:J16" si="5">E12-G12-I12</f>
        <v>1170000</v>
      </c>
      <c r="K12" s="890">
        <f t="shared" si="0"/>
        <v>975</v>
      </c>
      <c r="L12" s="891">
        <f>IF(B12=0,0,(J12-J11)/(K12-K11))</f>
        <v>400</v>
      </c>
    </row>
    <row r="13" spans="1:12">
      <c r="A13" s="887" t="str">
        <f>IF(B13=0," ",CONCATENATE($B$5," 3"))</f>
        <v>HA 3</v>
      </c>
      <c r="B13" s="888">
        <f t="shared" ref="B13:B16" si="6">B12-50</f>
        <v>1300</v>
      </c>
      <c r="C13" s="888">
        <f t="shared" ref="C13:C16" si="7">C12+100</f>
        <v>1400</v>
      </c>
      <c r="D13" s="888"/>
      <c r="E13" s="889">
        <f t="shared" si="1"/>
        <v>1820000</v>
      </c>
      <c r="F13" s="889">
        <f t="shared" si="2"/>
        <v>450</v>
      </c>
      <c r="G13" s="889">
        <f t="shared" si="3"/>
        <v>630000</v>
      </c>
      <c r="H13" s="889"/>
      <c r="I13" s="889">
        <f t="shared" si="4"/>
        <v>0</v>
      </c>
      <c r="J13" s="890">
        <f t="shared" si="5"/>
        <v>1190000</v>
      </c>
      <c r="K13" s="890">
        <f t="shared" si="0"/>
        <v>1050</v>
      </c>
      <c r="L13" s="891">
        <f t="shared" ref="L13:L16" si="8">IF(B13=0,0,(J13-J12)/(K13-K12))</f>
        <v>266.66666666666669</v>
      </c>
    </row>
    <row r="14" spans="1:12">
      <c r="A14" s="887" t="str">
        <f>IF(B14=0," ",CONCATENATE($B$5," 4"))</f>
        <v>HA 4</v>
      </c>
      <c r="B14" s="888">
        <f t="shared" si="6"/>
        <v>1250</v>
      </c>
      <c r="C14" s="888">
        <f t="shared" si="7"/>
        <v>1500</v>
      </c>
      <c r="D14" s="888"/>
      <c r="E14" s="889">
        <f t="shared" si="1"/>
        <v>1875000</v>
      </c>
      <c r="F14" s="889">
        <f t="shared" si="2"/>
        <v>450</v>
      </c>
      <c r="G14" s="889">
        <f t="shared" si="3"/>
        <v>675000</v>
      </c>
      <c r="H14" s="889"/>
      <c r="I14" s="889">
        <f t="shared" si="4"/>
        <v>0</v>
      </c>
      <c r="J14" s="890">
        <f t="shared" si="5"/>
        <v>1200000</v>
      </c>
      <c r="K14" s="890">
        <f t="shared" si="0"/>
        <v>1125</v>
      </c>
      <c r="L14" s="891">
        <f t="shared" si="8"/>
        <v>133.33333333333334</v>
      </c>
    </row>
    <row r="15" spans="1:12">
      <c r="A15" s="887" t="str">
        <f>IF(B15=0," ",CONCATENATE($B$5," 5"))</f>
        <v>HA 5</v>
      </c>
      <c r="B15" s="888">
        <f t="shared" si="6"/>
        <v>1200</v>
      </c>
      <c r="C15" s="888">
        <f t="shared" si="7"/>
        <v>1600</v>
      </c>
      <c r="D15" s="888"/>
      <c r="E15" s="889">
        <f t="shared" si="1"/>
        <v>1920000</v>
      </c>
      <c r="F15" s="889">
        <f t="shared" si="2"/>
        <v>450</v>
      </c>
      <c r="G15" s="889">
        <f t="shared" si="3"/>
        <v>720000</v>
      </c>
      <c r="H15" s="889"/>
      <c r="I15" s="889">
        <f t="shared" si="4"/>
        <v>0</v>
      </c>
      <c r="J15" s="890">
        <f t="shared" si="5"/>
        <v>1200000</v>
      </c>
      <c r="K15" s="890">
        <f t="shared" si="0"/>
        <v>1200</v>
      </c>
      <c r="L15" s="891">
        <f t="shared" si="8"/>
        <v>0</v>
      </c>
    </row>
    <row r="16" spans="1:12" ht="15.75" thickBot="1">
      <c r="A16" s="892" t="str">
        <f>IF(B16=0," ",CONCATENATE($B$5," 6"))</f>
        <v>HA 6</v>
      </c>
      <c r="B16" s="888">
        <f t="shared" si="6"/>
        <v>1150</v>
      </c>
      <c r="C16" s="888">
        <f t="shared" si="7"/>
        <v>1700</v>
      </c>
      <c r="D16" s="893"/>
      <c r="E16" s="894">
        <f t="shared" si="1"/>
        <v>1955000</v>
      </c>
      <c r="F16" s="894">
        <f t="shared" si="2"/>
        <v>450</v>
      </c>
      <c r="G16" s="894">
        <f t="shared" si="3"/>
        <v>765000</v>
      </c>
      <c r="H16" s="894"/>
      <c r="I16" s="894">
        <f t="shared" si="4"/>
        <v>0</v>
      </c>
      <c r="J16" s="895">
        <f t="shared" si="5"/>
        <v>1190000</v>
      </c>
      <c r="K16" s="896">
        <f t="shared" si="0"/>
        <v>1275</v>
      </c>
      <c r="L16" s="897">
        <f t="shared" si="8"/>
        <v>-133.33333333333334</v>
      </c>
    </row>
    <row r="17" spans="1:12">
      <c r="A17" s="880" t="str">
        <f>IF(B17=0," ",CONCATENATE($E$5," 1"))</f>
        <v>AK 1</v>
      </c>
      <c r="B17" s="881">
        <v>900</v>
      </c>
      <c r="C17" s="882">
        <v>1000</v>
      </c>
      <c r="D17" s="882"/>
      <c r="E17" s="883">
        <f>B17*C17</f>
        <v>900000</v>
      </c>
      <c r="F17" s="884">
        <f>IF(B17=0,0,$E$6)</f>
        <v>250</v>
      </c>
      <c r="G17" s="883">
        <f>F17*C17</f>
        <v>250000</v>
      </c>
      <c r="H17" s="883"/>
      <c r="I17" s="884">
        <f>IF(B17=0,0,$E$7)</f>
        <v>0</v>
      </c>
      <c r="J17" s="885">
        <f>E17-G17-I17</f>
        <v>650000</v>
      </c>
      <c r="K17" s="885">
        <f>C17*$E$8/60</f>
        <v>1250</v>
      </c>
      <c r="L17" s="886">
        <f>IF(B17=0,0,J17/K17)</f>
        <v>520</v>
      </c>
    </row>
    <row r="18" spans="1:12">
      <c r="A18" s="887" t="str">
        <f>IF(B18=0," ",CONCATENATE($E$5," 2"))</f>
        <v>AK 2</v>
      </c>
      <c r="B18" s="888">
        <f>B17-30</f>
        <v>870</v>
      </c>
      <c r="C18" s="888">
        <f>C17+100</f>
        <v>1100</v>
      </c>
      <c r="D18" s="888"/>
      <c r="E18" s="889">
        <f t="shared" ref="E18:E22" si="9">B18*C18</f>
        <v>957000</v>
      </c>
      <c r="F18" s="889">
        <f t="shared" ref="F18:F22" si="10">IF(B18=0,0,$E$6)</f>
        <v>250</v>
      </c>
      <c r="G18" s="889">
        <f t="shared" ref="G18:G22" si="11">F18*C18</f>
        <v>275000</v>
      </c>
      <c r="H18" s="889"/>
      <c r="I18" s="889">
        <f t="shared" ref="I18:I22" si="12">IF(B18=0,0,$E$7)</f>
        <v>0</v>
      </c>
      <c r="J18" s="890">
        <f t="shared" ref="J18:J22" si="13">E18-G18-I18</f>
        <v>682000</v>
      </c>
      <c r="K18" s="890">
        <f t="shared" ref="K18:K22" si="14">C18*$E$8/60</f>
        <v>1375</v>
      </c>
      <c r="L18" s="891">
        <f>IF(B18=0,0,(J18-J17)/(K18-K17))</f>
        <v>256</v>
      </c>
    </row>
    <row r="19" spans="1:12">
      <c r="A19" s="887" t="str">
        <f>IF(B19=0," ",CONCATENATE($E$5," 3"))</f>
        <v>AK 3</v>
      </c>
      <c r="B19" s="888">
        <f t="shared" ref="B19:B21" si="15">B18-30</f>
        <v>840</v>
      </c>
      <c r="C19" s="888">
        <f t="shared" ref="C19:C21" si="16">C18+100</f>
        <v>1200</v>
      </c>
      <c r="D19" s="888"/>
      <c r="E19" s="889">
        <f t="shared" si="9"/>
        <v>1008000</v>
      </c>
      <c r="F19" s="889">
        <f t="shared" si="10"/>
        <v>250</v>
      </c>
      <c r="G19" s="889">
        <f t="shared" si="11"/>
        <v>300000</v>
      </c>
      <c r="H19" s="889"/>
      <c r="I19" s="889">
        <f t="shared" si="12"/>
        <v>0</v>
      </c>
      <c r="J19" s="890">
        <f t="shared" si="13"/>
        <v>708000</v>
      </c>
      <c r="K19" s="890">
        <f t="shared" si="14"/>
        <v>1500</v>
      </c>
      <c r="L19" s="891">
        <f>IF(B19=0,0,(J19-J18)/(K19-K18))</f>
        <v>208</v>
      </c>
    </row>
    <row r="20" spans="1:12">
      <c r="A20" s="887" t="str">
        <f>IF(B20=0," ",CONCATENATE($E$5," 4"))</f>
        <v>AK 4</v>
      </c>
      <c r="B20" s="888">
        <f t="shared" si="15"/>
        <v>810</v>
      </c>
      <c r="C20" s="888">
        <f t="shared" si="16"/>
        <v>1300</v>
      </c>
      <c r="D20" s="888"/>
      <c r="E20" s="889">
        <f t="shared" si="9"/>
        <v>1053000</v>
      </c>
      <c r="F20" s="889">
        <f t="shared" si="10"/>
        <v>250</v>
      </c>
      <c r="G20" s="889">
        <f t="shared" si="11"/>
        <v>325000</v>
      </c>
      <c r="H20" s="889"/>
      <c r="I20" s="889">
        <f t="shared" si="12"/>
        <v>0</v>
      </c>
      <c r="J20" s="890">
        <f t="shared" si="13"/>
        <v>728000</v>
      </c>
      <c r="K20" s="890">
        <f t="shared" si="14"/>
        <v>1625</v>
      </c>
      <c r="L20" s="891">
        <f>IF(B20=0,0,(J20-J19)/(K20-K19))</f>
        <v>160</v>
      </c>
    </row>
    <row r="21" spans="1:12">
      <c r="A21" s="887" t="str">
        <f>IF(B21=0," ",CONCATENATE($E$5," 5"))</f>
        <v>AK 5</v>
      </c>
      <c r="B21" s="888">
        <f t="shared" si="15"/>
        <v>780</v>
      </c>
      <c r="C21" s="888">
        <f t="shared" si="16"/>
        <v>1400</v>
      </c>
      <c r="D21" s="888"/>
      <c r="E21" s="889">
        <f t="shared" si="9"/>
        <v>1092000</v>
      </c>
      <c r="F21" s="889">
        <f t="shared" si="10"/>
        <v>250</v>
      </c>
      <c r="G21" s="889">
        <f t="shared" si="11"/>
        <v>350000</v>
      </c>
      <c r="H21" s="889"/>
      <c r="I21" s="889">
        <f t="shared" si="12"/>
        <v>0</v>
      </c>
      <c r="J21" s="890">
        <f t="shared" si="13"/>
        <v>742000</v>
      </c>
      <c r="K21" s="890">
        <f t="shared" si="14"/>
        <v>1750</v>
      </c>
      <c r="L21" s="891">
        <f>IF(B21=0,0,(J21-J20)/(K21-K20))</f>
        <v>112</v>
      </c>
    </row>
    <row r="22" spans="1:12" ht="15.75" thickBot="1">
      <c r="A22" s="892" t="str">
        <f>IF(B22=0," ",CONCATENATE($E$5," 6"))</f>
        <v xml:space="preserve"> </v>
      </c>
      <c r="B22" s="893">
        <v>0</v>
      </c>
      <c r="C22" s="893">
        <v>0</v>
      </c>
      <c r="D22" s="893"/>
      <c r="E22" s="894">
        <f t="shared" si="9"/>
        <v>0</v>
      </c>
      <c r="F22" s="894">
        <f t="shared" si="10"/>
        <v>0</v>
      </c>
      <c r="G22" s="894">
        <f t="shared" si="11"/>
        <v>0</v>
      </c>
      <c r="H22" s="894"/>
      <c r="I22" s="894">
        <f t="shared" si="12"/>
        <v>0</v>
      </c>
      <c r="J22" s="895">
        <f t="shared" si="13"/>
        <v>0</v>
      </c>
      <c r="K22" s="896">
        <f t="shared" si="14"/>
        <v>0</v>
      </c>
      <c r="L22" s="897">
        <f t="shared" ref="L22" si="17">IF(B22=0,0,(J22-J21)/(K22-K21))</f>
        <v>0</v>
      </c>
    </row>
    <row r="23" spans="1:12">
      <c r="A23" s="880" t="str">
        <f>IF(B23=0," ",CONCATENATE($G$5," 1"))</f>
        <v>HA eng 1</v>
      </c>
      <c r="B23" s="881">
        <v>1100</v>
      </c>
      <c r="C23" s="882">
        <v>400</v>
      </c>
      <c r="D23" s="882"/>
      <c r="E23" s="883">
        <f>B23*C23</f>
        <v>440000</v>
      </c>
      <c r="F23" s="884">
        <f>IF(B23=0,0,$G$6)</f>
        <v>500</v>
      </c>
      <c r="G23" s="883">
        <f>F23*C23</f>
        <v>200000</v>
      </c>
      <c r="H23" s="883"/>
      <c r="I23" s="884">
        <f>IF(B23=0,0,$G$7)</f>
        <v>0</v>
      </c>
      <c r="J23" s="885">
        <f>E23-G23-I23</f>
        <v>240000</v>
      </c>
      <c r="K23" s="885">
        <f>C23*$G$8/60</f>
        <v>300</v>
      </c>
      <c r="L23" s="886">
        <f>IF(B23=0,0,J23/K23)</f>
        <v>800</v>
      </c>
    </row>
    <row r="24" spans="1:12" hidden="1">
      <c r="A24" s="887" t="str">
        <f>IF(B24=0," ",CONCATENATE($G$5," 2"))</f>
        <v xml:space="preserve"> </v>
      </c>
      <c r="B24" s="888">
        <v>0</v>
      </c>
      <c r="C24" s="888">
        <v>0</v>
      </c>
      <c r="D24" s="888"/>
      <c r="E24" s="889">
        <f t="shared" ref="E24:E28" si="18">B24*C24</f>
        <v>0</v>
      </c>
      <c r="F24" s="889">
        <f t="shared" ref="F24:F28" si="19">IF(B24=0,0,$G$6)</f>
        <v>0</v>
      </c>
      <c r="G24" s="898">
        <f t="shared" ref="G24:G28" si="20">F24*C24</f>
        <v>0</v>
      </c>
      <c r="H24" s="898"/>
      <c r="I24" s="889">
        <f t="shared" ref="I24:I28" si="21">IF(B24=0,0,$G$7)</f>
        <v>0</v>
      </c>
      <c r="J24" s="890">
        <f t="shared" ref="J24:J28" si="22">E24-G24-I24</f>
        <v>0</v>
      </c>
      <c r="K24" s="890">
        <f t="shared" ref="K24:K28" si="23">C24*$G$8/60</f>
        <v>0</v>
      </c>
      <c r="L24" s="891">
        <f>IF(B24=0,0,(J24-J23)/(K24-K23))</f>
        <v>0</v>
      </c>
    </row>
    <row r="25" spans="1:12" hidden="1">
      <c r="A25" s="887" t="str">
        <f>IF(B25=0," ",CONCATENATE($G$5," 3"))</f>
        <v xml:space="preserve"> </v>
      </c>
      <c r="B25" s="888">
        <v>0</v>
      </c>
      <c r="C25" s="888">
        <v>0</v>
      </c>
      <c r="D25" s="888"/>
      <c r="E25" s="889">
        <f t="shared" si="18"/>
        <v>0</v>
      </c>
      <c r="F25" s="889">
        <f t="shared" si="19"/>
        <v>0</v>
      </c>
      <c r="G25" s="898">
        <f t="shared" si="20"/>
        <v>0</v>
      </c>
      <c r="H25" s="898"/>
      <c r="I25" s="889">
        <f t="shared" si="21"/>
        <v>0</v>
      </c>
      <c r="J25" s="890">
        <f t="shared" si="22"/>
        <v>0</v>
      </c>
      <c r="K25" s="890">
        <f t="shared" si="23"/>
        <v>0</v>
      </c>
      <c r="L25" s="891">
        <f>IF(B25=0,0,(J25-J24)/(K25-K24))</f>
        <v>0</v>
      </c>
    </row>
    <row r="26" spans="1:12" hidden="1">
      <c r="A26" s="887" t="str">
        <f>IF(B26=0," ",CONCATENATE($G$5," 4"))</f>
        <v xml:space="preserve"> </v>
      </c>
      <c r="B26" s="888">
        <v>0</v>
      </c>
      <c r="C26" s="888">
        <v>0</v>
      </c>
      <c r="D26" s="888"/>
      <c r="E26" s="889">
        <f t="shared" si="18"/>
        <v>0</v>
      </c>
      <c r="F26" s="889">
        <f t="shared" si="19"/>
        <v>0</v>
      </c>
      <c r="G26" s="898">
        <f t="shared" si="20"/>
        <v>0</v>
      </c>
      <c r="H26" s="898"/>
      <c r="I26" s="889">
        <f t="shared" si="21"/>
        <v>0</v>
      </c>
      <c r="J26" s="890">
        <f t="shared" si="22"/>
        <v>0</v>
      </c>
      <c r="K26" s="890">
        <f t="shared" si="23"/>
        <v>0</v>
      </c>
      <c r="L26" s="891">
        <f>IF(B26=0,0,(J26-J25)/(K26-K25))</f>
        <v>0</v>
      </c>
    </row>
    <row r="27" spans="1:12" hidden="1">
      <c r="A27" s="887" t="str">
        <f>IF(B27=0," ",CONCATENATE($G$5," 5"))</f>
        <v xml:space="preserve"> </v>
      </c>
      <c r="B27" s="888">
        <v>0</v>
      </c>
      <c r="C27" s="888">
        <v>0</v>
      </c>
      <c r="D27" s="888"/>
      <c r="E27" s="889">
        <f t="shared" si="18"/>
        <v>0</v>
      </c>
      <c r="F27" s="889">
        <f t="shared" si="19"/>
        <v>0</v>
      </c>
      <c r="G27" s="898">
        <f t="shared" si="20"/>
        <v>0</v>
      </c>
      <c r="H27" s="898"/>
      <c r="I27" s="889">
        <f t="shared" si="21"/>
        <v>0</v>
      </c>
      <c r="J27" s="890">
        <f t="shared" si="22"/>
        <v>0</v>
      </c>
      <c r="K27" s="890">
        <f t="shared" si="23"/>
        <v>0</v>
      </c>
      <c r="L27" s="891">
        <f>IF(B27=0,0,(J27-J26)/(K27-K26))</f>
        <v>0</v>
      </c>
    </row>
    <row r="28" spans="1:12" ht="15.75" hidden="1" thickBot="1">
      <c r="A28" s="892" t="str">
        <f>IF(B28=0," ",CONCATENATE($G$5," 6"))</f>
        <v xml:space="preserve"> </v>
      </c>
      <c r="B28" s="893">
        <v>0</v>
      </c>
      <c r="C28" s="893">
        <v>0</v>
      </c>
      <c r="D28" s="893"/>
      <c r="E28" s="894">
        <f t="shared" si="18"/>
        <v>0</v>
      </c>
      <c r="F28" s="894">
        <f t="shared" si="19"/>
        <v>0</v>
      </c>
      <c r="G28" s="899">
        <f t="shared" si="20"/>
        <v>0</v>
      </c>
      <c r="H28" s="899"/>
      <c r="I28" s="894">
        <f t="shared" si="21"/>
        <v>0</v>
      </c>
      <c r="J28" s="895">
        <f t="shared" si="22"/>
        <v>0</v>
      </c>
      <c r="K28" s="896">
        <f t="shared" si="23"/>
        <v>0</v>
      </c>
      <c r="L28" s="897">
        <f>IF(B28=0,0,(J28-J27)/(K28-K27))</f>
        <v>0</v>
      </c>
    </row>
    <row r="29" spans="1:12">
      <c r="L29" s="900"/>
    </row>
    <row r="30" spans="1:12">
      <c r="L30" s="900"/>
    </row>
    <row r="31" spans="1:12">
      <c r="L31" s="900"/>
    </row>
    <row r="32" spans="1:12">
      <c r="L32" s="900"/>
    </row>
    <row r="33" spans="1:12">
      <c r="L33" s="900"/>
    </row>
    <row r="34" spans="1:12">
      <c r="L34" s="900"/>
    </row>
    <row r="35" spans="1:12">
      <c r="A35" s="868" t="str">
        <f>A1</f>
        <v>Produktionskapacitet</v>
      </c>
      <c r="B35" s="901">
        <f>B1</f>
        <v>2200</v>
      </c>
    </row>
    <row r="36" spans="1:12">
      <c r="A36" s="868" t="str">
        <f>A2</f>
        <v>Ekstra timer</v>
      </c>
      <c r="B36" s="901">
        <f>B2</f>
        <v>550</v>
      </c>
    </row>
    <row r="37" spans="1:12">
      <c r="A37" s="868" t="s">
        <v>283</v>
      </c>
      <c r="B37" s="901">
        <f>SUM(B35:B36)</f>
        <v>2750</v>
      </c>
    </row>
    <row r="38" spans="1:12">
      <c r="A38" s="868" t="str">
        <f>A3</f>
        <v>tillæg for overarbejde</v>
      </c>
      <c r="B38" s="901">
        <f>B3</f>
        <v>200</v>
      </c>
    </row>
    <row r="39" spans="1:12" ht="15.75" thickBot="1">
      <c r="A39" s="868" t="s">
        <v>284</v>
      </c>
      <c r="B39" s="870"/>
    </row>
    <row r="40" spans="1:12" ht="30">
      <c r="A40" s="880" t="s">
        <v>285</v>
      </c>
      <c r="B40" s="902" t="s">
        <v>286</v>
      </c>
      <c r="C40" s="902" t="s">
        <v>287</v>
      </c>
      <c r="D40" s="903" t="s">
        <v>288</v>
      </c>
      <c r="E40" s="903" t="s">
        <v>288</v>
      </c>
      <c r="F40" s="903" t="s">
        <v>289</v>
      </c>
      <c r="G40" s="903" t="s">
        <v>290</v>
      </c>
      <c r="H40" s="903" t="s">
        <v>291</v>
      </c>
      <c r="I40" s="904" t="s">
        <v>292</v>
      </c>
      <c r="J40" s="905" t="s">
        <v>293</v>
      </c>
    </row>
    <row r="41" spans="1:12" hidden="1">
      <c r="A41" s="887"/>
      <c r="B41" s="906"/>
      <c r="C41" s="907">
        <f>C42</f>
        <v>1266.6666666666667</v>
      </c>
      <c r="D41" s="907"/>
      <c r="E41" s="908"/>
      <c r="F41" s="908"/>
      <c r="G41" s="908"/>
      <c r="H41" s="908"/>
      <c r="I41" s="909"/>
      <c r="J41" s="910">
        <v>0</v>
      </c>
    </row>
    <row r="42" spans="1:12">
      <c r="A42" s="911">
        <v>1</v>
      </c>
      <c r="B42" s="912" t="str">
        <f>IF(C42=$L$11,$A$11,IF(C42=$L$12,$A$12,IF(C42=$L$13,$A$13,IF(C42=$L$14,$A$14,IF(C42=$L$15,$A$15,IF(C42=$L$16,$A$16,IF(C42=$L$17,$A$17,IF(C42=$L$18,$A$18,IF(C42=$L$19,$A$19,IF(C42=$L$20,$A$20,IF(C42=$L$21,$A$21,IF(C42=$L$22,$A$22,IF(C42=$L$23,$A$23,IF(C42=$L$24,$A$24,IF(C42=$L$25,$A$25,IF(C42=$L$26,$A$26,IF(C42=$L$27,$A$27,IF(C42=$L$28,$A$28,))))))))))))))))))</f>
        <v>HA 1</v>
      </c>
      <c r="C42" s="913">
        <f>LARGE($L$11:$L$28,A42)</f>
        <v>1266.6666666666667</v>
      </c>
      <c r="D42" s="912">
        <f t="shared" ref="D42:D54" si="24">IF(C42=$L$11,$K$11,IF(C42=$L$12,$K$12-$K$11,IF(C42=$L$13,$K$13-$K$12,IF(C42=$L$14,$K$14-$K$13,IF(C42=$L$15,$K$15-$K$14,IF(C42=$L$16,$K$16-$K$15,IF(C42=$L$17,$K$17,IF(C42=$L$18,$K$18-$K$17,IF(C42=$L$19,$K$19-$K$18,IF(C42=$L$20,$K$20-$K$19,IF(C42=$L$21,$K$21-$K$20,IF(C42=$L$22,$K$22-$K$21,IF(C42=$L$23,$K$23,IF(C42=$L$24,$K$24-$K$23,IF(C42=$L$25,$K$25-$K$24,IF(C42=$L$26,$K$26-$K$25,IF(C42=$L$27,$K$27-$K$26,IF(C42=$L$28,$K$28-$K$27))))))))))))))))))</f>
        <v>900</v>
      </c>
      <c r="E42" s="912">
        <f>IF(D42&lt;=0,0,D42)</f>
        <v>900</v>
      </c>
      <c r="F42" s="912">
        <f>D42</f>
        <v>900</v>
      </c>
      <c r="G42" s="912" t="str">
        <f>IF(F42&lt;=$B$35,"ja","nej")</f>
        <v>ja</v>
      </c>
      <c r="H42" s="912" t="str">
        <f>IF(C42&lt;=$B$38,"nej","ja")</f>
        <v>ja</v>
      </c>
      <c r="I42" s="914" t="str">
        <f>IF(H42="ja",IF($B$37&lt;F42,"nej","ja"),"nej")</f>
        <v>ja</v>
      </c>
      <c r="J42" s="915" t="b">
        <f>OR(I42="ja",G42="ja")</f>
        <v>1</v>
      </c>
    </row>
    <row r="43" spans="1:12">
      <c r="A43" s="916">
        <v>2</v>
      </c>
      <c r="B43" s="908" t="str">
        <f t="shared" ref="B43:B59" si="25">IF(C43=$L$11,$A$11,IF(C43=$L$12,$A$12,IF(C43=$L$13,$A$13,IF(C43=$L$14,$A$14,IF(C43=$L$15,$A$15,IF(C43=$L$16,$A$16,IF(C43=$L$17,$A$17,IF(C43=$L$18,$A$18,IF(C43=$L$19,$A$19,IF(C43=$L$20,$A$20,IF(C43=$L$21,$A$21,IF(C43=$L$22,$A$22,IF(C43=$L$23,$A$23,IF(C43=$L$24,$A$24,IF(C43=$L$25,$A$25,IF(C43=$L$26,$A$26,IF(C43=$L$27,$A$27,IF(C43=$L$28,$A$28,))))))))))))))))))</f>
        <v>HA eng 1</v>
      </c>
      <c r="C43" s="917">
        <f>LARGE($L$11:$L$28,A43)</f>
        <v>800</v>
      </c>
      <c r="D43" s="908">
        <f t="shared" si="24"/>
        <v>300</v>
      </c>
      <c r="E43" s="906">
        <f t="shared" ref="E43:E59" si="26">IF(D43&lt;=0,0,D43)</f>
        <v>300</v>
      </c>
      <c r="F43" s="908">
        <f>F42+E43</f>
        <v>1200</v>
      </c>
      <c r="G43" s="908" t="str">
        <f t="shared" ref="G43:G59" si="27">IF(F43&lt;=$B$35,"ja","nej")</f>
        <v>ja</v>
      </c>
      <c r="H43" s="912" t="str">
        <f t="shared" ref="H43:H59" si="28">IF(C43&lt;=$B$38,"nej","ja")</f>
        <v>ja</v>
      </c>
      <c r="I43" s="909" t="str">
        <f t="shared" ref="I43:I59" si="29">IF(H43="ja",IF($B$37&lt;F43,"nej","ja"),"nej")</f>
        <v>ja</v>
      </c>
      <c r="J43" s="918" t="b">
        <f t="shared" ref="J43:J59" si="30">OR(I43="ja",G43="ja")</f>
        <v>1</v>
      </c>
    </row>
    <row r="44" spans="1:12">
      <c r="A44" s="911">
        <v>3</v>
      </c>
      <c r="B44" s="912" t="str">
        <f t="shared" si="25"/>
        <v>AK 1</v>
      </c>
      <c r="C44" s="913">
        <f>LARGE($L$11:$L$28,A44)</f>
        <v>520</v>
      </c>
      <c r="D44" s="912">
        <f t="shared" si="24"/>
        <v>1250</v>
      </c>
      <c r="E44" s="912">
        <f t="shared" si="26"/>
        <v>1250</v>
      </c>
      <c r="F44" s="912">
        <f t="shared" ref="F44:F59" si="31">F43+E44</f>
        <v>2450</v>
      </c>
      <c r="G44" s="912" t="str">
        <f t="shared" si="27"/>
        <v>nej</v>
      </c>
      <c r="H44" s="912" t="str">
        <f t="shared" si="28"/>
        <v>ja</v>
      </c>
      <c r="I44" s="914" t="str">
        <f t="shared" si="29"/>
        <v>ja</v>
      </c>
      <c r="J44" s="915" t="b">
        <f t="shared" si="30"/>
        <v>1</v>
      </c>
    </row>
    <row r="45" spans="1:12">
      <c r="A45" s="916">
        <v>4</v>
      </c>
      <c r="B45" s="908" t="str">
        <f t="shared" si="25"/>
        <v>HA 2</v>
      </c>
      <c r="C45" s="917">
        <f t="shared" ref="C45:C59" si="32">LARGE($L$11:$L$28,A45)</f>
        <v>400</v>
      </c>
      <c r="D45" s="908">
        <f t="shared" si="24"/>
        <v>75</v>
      </c>
      <c r="E45" s="906">
        <f t="shared" si="26"/>
        <v>75</v>
      </c>
      <c r="F45" s="908">
        <f t="shared" si="31"/>
        <v>2525</v>
      </c>
      <c r="G45" s="908" t="str">
        <f t="shared" si="27"/>
        <v>nej</v>
      </c>
      <c r="H45" s="912" t="str">
        <f t="shared" si="28"/>
        <v>ja</v>
      </c>
      <c r="I45" s="909" t="str">
        <f t="shared" si="29"/>
        <v>ja</v>
      </c>
      <c r="J45" s="918" t="b">
        <f t="shared" si="30"/>
        <v>1</v>
      </c>
    </row>
    <row r="46" spans="1:12">
      <c r="A46" s="911">
        <v>5</v>
      </c>
      <c r="B46" s="912" t="str">
        <f t="shared" si="25"/>
        <v>HA 3</v>
      </c>
      <c r="C46" s="913">
        <f t="shared" si="32"/>
        <v>266.66666666666669</v>
      </c>
      <c r="D46" s="912">
        <f t="shared" si="24"/>
        <v>75</v>
      </c>
      <c r="E46" s="912">
        <f t="shared" si="26"/>
        <v>75</v>
      </c>
      <c r="F46" s="912">
        <f t="shared" si="31"/>
        <v>2600</v>
      </c>
      <c r="G46" s="912" t="str">
        <f t="shared" si="27"/>
        <v>nej</v>
      </c>
      <c r="H46" s="912" t="str">
        <f t="shared" si="28"/>
        <v>ja</v>
      </c>
      <c r="I46" s="914" t="str">
        <f t="shared" si="29"/>
        <v>ja</v>
      </c>
      <c r="J46" s="915" t="b">
        <f t="shared" si="30"/>
        <v>1</v>
      </c>
    </row>
    <row r="47" spans="1:12">
      <c r="A47" s="916">
        <v>6</v>
      </c>
      <c r="B47" s="908" t="str">
        <f t="shared" si="25"/>
        <v>AK 2</v>
      </c>
      <c r="C47" s="917">
        <f t="shared" si="32"/>
        <v>256</v>
      </c>
      <c r="D47" s="908">
        <f t="shared" si="24"/>
        <v>125</v>
      </c>
      <c r="E47" s="906">
        <f t="shared" si="26"/>
        <v>125</v>
      </c>
      <c r="F47" s="908">
        <f t="shared" si="31"/>
        <v>2725</v>
      </c>
      <c r="G47" s="908" t="str">
        <f t="shared" si="27"/>
        <v>nej</v>
      </c>
      <c r="H47" s="912" t="str">
        <f t="shared" si="28"/>
        <v>ja</v>
      </c>
      <c r="I47" s="909" t="str">
        <f t="shared" si="29"/>
        <v>ja</v>
      </c>
      <c r="J47" s="918" t="b">
        <f t="shared" si="30"/>
        <v>1</v>
      </c>
    </row>
    <row r="48" spans="1:12">
      <c r="A48" s="911">
        <v>7</v>
      </c>
      <c r="B48" s="912" t="str">
        <f t="shared" si="25"/>
        <v>AK 3</v>
      </c>
      <c r="C48" s="913">
        <f t="shared" si="32"/>
        <v>208</v>
      </c>
      <c r="D48" s="912">
        <f t="shared" si="24"/>
        <v>125</v>
      </c>
      <c r="E48" s="912">
        <f t="shared" si="26"/>
        <v>125</v>
      </c>
      <c r="F48" s="912">
        <f t="shared" si="31"/>
        <v>2850</v>
      </c>
      <c r="G48" s="912" t="str">
        <f t="shared" si="27"/>
        <v>nej</v>
      </c>
      <c r="H48" s="912" t="str">
        <f t="shared" si="28"/>
        <v>ja</v>
      </c>
      <c r="I48" s="914" t="str">
        <f t="shared" si="29"/>
        <v>nej</v>
      </c>
      <c r="J48" s="915" t="b">
        <f t="shared" si="30"/>
        <v>0</v>
      </c>
    </row>
    <row r="49" spans="1:12">
      <c r="A49" s="916">
        <v>8</v>
      </c>
      <c r="B49" s="908" t="str">
        <f t="shared" si="25"/>
        <v>AK 4</v>
      </c>
      <c r="C49" s="917">
        <f t="shared" si="32"/>
        <v>160</v>
      </c>
      <c r="D49" s="908">
        <f t="shared" si="24"/>
        <v>125</v>
      </c>
      <c r="E49" s="906">
        <f t="shared" si="26"/>
        <v>125</v>
      </c>
      <c r="F49" s="908">
        <f t="shared" si="31"/>
        <v>2975</v>
      </c>
      <c r="G49" s="908" t="str">
        <f t="shared" si="27"/>
        <v>nej</v>
      </c>
      <c r="H49" s="912" t="str">
        <f t="shared" si="28"/>
        <v>nej</v>
      </c>
      <c r="I49" s="909" t="str">
        <f t="shared" si="29"/>
        <v>nej</v>
      </c>
      <c r="J49" s="918" t="b">
        <f t="shared" si="30"/>
        <v>0</v>
      </c>
    </row>
    <row r="50" spans="1:12">
      <c r="A50" s="911">
        <v>9</v>
      </c>
      <c r="B50" s="912" t="str">
        <f t="shared" si="25"/>
        <v>HA 4</v>
      </c>
      <c r="C50" s="913">
        <f t="shared" si="32"/>
        <v>133.33333333333334</v>
      </c>
      <c r="D50" s="912">
        <f t="shared" si="24"/>
        <v>75</v>
      </c>
      <c r="E50" s="912">
        <f t="shared" si="26"/>
        <v>75</v>
      </c>
      <c r="F50" s="912">
        <f t="shared" si="31"/>
        <v>3050</v>
      </c>
      <c r="G50" s="912" t="str">
        <f t="shared" si="27"/>
        <v>nej</v>
      </c>
      <c r="H50" s="912" t="str">
        <f t="shared" si="28"/>
        <v>nej</v>
      </c>
      <c r="I50" s="914" t="str">
        <f t="shared" si="29"/>
        <v>nej</v>
      </c>
      <c r="J50" s="915" t="b">
        <f t="shared" si="30"/>
        <v>0</v>
      </c>
      <c r="K50" s="919"/>
    </row>
    <row r="51" spans="1:12">
      <c r="A51" s="916">
        <v>10</v>
      </c>
      <c r="B51" s="908" t="str">
        <f t="shared" si="25"/>
        <v>AK 5</v>
      </c>
      <c r="C51" s="917">
        <f t="shared" si="32"/>
        <v>112</v>
      </c>
      <c r="D51" s="908">
        <f t="shared" si="24"/>
        <v>125</v>
      </c>
      <c r="E51" s="906">
        <f t="shared" si="26"/>
        <v>125</v>
      </c>
      <c r="F51" s="908">
        <f t="shared" si="31"/>
        <v>3175</v>
      </c>
      <c r="G51" s="908" t="str">
        <f t="shared" si="27"/>
        <v>nej</v>
      </c>
      <c r="H51" s="912" t="str">
        <f t="shared" si="28"/>
        <v>nej</v>
      </c>
      <c r="I51" s="909" t="str">
        <f t="shared" si="29"/>
        <v>nej</v>
      </c>
      <c r="J51" s="918" t="b">
        <f t="shared" si="30"/>
        <v>0</v>
      </c>
      <c r="K51" s="919"/>
    </row>
    <row r="52" spans="1:12" hidden="1">
      <c r="A52" s="911">
        <v>11</v>
      </c>
      <c r="B52" s="912" t="str">
        <f t="shared" si="25"/>
        <v>HA 5</v>
      </c>
      <c r="C52" s="913">
        <f t="shared" si="32"/>
        <v>0</v>
      </c>
      <c r="D52" s="912">
        <f t="shared" si="24"/>
        <v>75</v>
      </c>
      <c r="E52" s="912">
        <f t="shared" si="26"/>
        <v>75</v>
      </c>
      <c r="F52" s="912">
        <f t="shared" si="31"/>
        <v>3250</v>
      </c>
      <c r="G52" s="912" t="str">
        <f t="shared" si="27"/>
        <v>nej</v>
      </c>
      <c r="H52" s="912" t="str">
        <f t="shared" si="28"/>
        <v>nej</v>
      </c>
      <c r="I52" s="914" t="str">
        <f t="shared" si="29"/>
        <v>nej</v>
      </c>
      <c r="J52" s="915" t="b">
        <f t="shared" si="30"/>
        <v>0</v>
      </c>
      <c r="K52" s="919"/>
    </row>
    <row r="53" spans="1:12" hidden="1">
      <c r="A53" s="916">
        <v>12</v>
      </c>
      <c r="B53" s="908" t="str">
        <f t="shared" si="25"/>
        <v>HA 5</v>
      </c>
      <c r="C53" s="917">
        <f t="shared" si="32"/>
        <v>0</v>
      </c>
      <c r="D53" s="908">
        <f t="shared" si="24"/>
        <v>75</v>
      </c>
      <c r="E53" s="906">
        <f t="shared" si="26"/>
        <v>75</v>
      </c>
      <c r="F53" s="908">
        <f t="shared" si="31"/>
        <v>3325</v>
      </c>
      <c r="G53" s="908" t="str">
        <f t="shared" si="27"/>
        <v>nej</v>
      </c>
      <c r="H53" s="912" t="str">
        <f t="shared" si="28"/>
        <v>nej</v>
      </c>
      <c r="I53" s="909" t="str">
        <f t="shared" si="29"/>
        <v>nej</v>
      </c>
      <c r="J53" s="918" t="b">
        <f t="shared" si="30"/>
        <v>0</v>
      </c>
      <c r="K53" s="919"/>
    </row>
    <row r="54" spans="1:12" hidden="1">
      <c r="A54" s="911">
        <v>13</v>
      </c>
      <c r="B54" s="912" t="str">
        <f t="shared" si="25"/>
        <v>HA 5</v>
      </c>
      <c r="C54" s="913">
        <f t="shared" si="32"/>
        <v>0</v>
      </c>
      <c r="D54" s="912">
        <f t="shared" si="24"/>
        <v>75</v>
      </c>
      <c r="E54" s="912">
        <f t="shared" si="26"/>
        <v>75</v>
      </c>
      <c r="F54" s="912">
        <f t="shared" si="31"/>
        <v>3400</v>
      </c>
      <c r="G54" s="912" t="str">
        <f t="shared" si="27"/>
        <v>nej</v>
      </c>
      <c r="H54" s="912" t="str">
        <f t="shared" si="28"/>
        <v>nej</v>
      </c>
      <c r="I54" s="914" t="str">
        <f t="shared" si="29"/>
        <v>nej</v>
      </c>
      <c r="J54" s="915" t="b">
        <f t="shared" si="30"/>
        <v>0</v>
      </c>
    </row>
    <row r="55" spans="1:12" hidden="1">
      <c r="A55" s="916">
        <v>14</v>
      </c>
      <c r="B55" s="908" t="str">
        <f t="shared" si="25"/>
        <v>HA 5</v>
      </c>
      <c r="C55" s="917">
        <f t="shared" si="32"/>
        <v>0</v>
      </c>
      <c r="D55" s="908">
        <f>IF(C55=$L$11,$K$11,IF(C55=$L$12,$K$12-$K$11,IF(C55=$L$13,$K$13-$K$12,IF(C55=$L$14,$K$14-$K$13,IF(C55=$L$15,$K$15-$K$14,IF(C55=$L$16,$K$16-$K$15,IF(C55=$L$17,$K$17,IF(C55=$L$18,$K$18-$K$17,IF(C55=$L$19,$K$19-$K$18,IF(C55=$L$20,$K$20-$K$19,IF(C55=$L$21,$K$21-$K$20,IF(C55=$L$22,$K$22-$K$21,IF(C55=$L$23,$K$23,IF(C55=$L$24,$K$24-$K$23,IF(C55=$L$25,$K$25-$K$24,IF(C55=$L$26,$K$26-$K$25,IF(C55=$L$27,$K$27-$K$26,IF(C55=$L$28,$K$28-$K$27))))))))))))))))))</f>
        <v>75</v>
      </c>
      <c r="E55" s="906">
        <f t="shared" si="26"/>
        <v>75</v>
      </c>
      <c r="F55" s="908">
        <f t="shared" si="31"/>
        <v>3475</v>
      </c>
      <c r="G55" s="908" t="str">
        <f t="shared" si="27"/>
        <v>nej</v>
      </c>
      <c r="H55" s="912" t="str">
        <f t="shared" si="28"/>
        <v>nej</v>
      </c>
      <c r="I55" s="909" t="str">
        <f t="shared" si="29"/>
        <v>nej</v>
      </c>
      <c r="J55" s="918" t="b">
        <f t="shared" si="30"/>
        <v>0</v>
      </c>
    </row>
    <row r="56" spans="1:12" hidden="1">
      <c r="A56" s="911">
        <v>15</v>
      </c>
      <c r="B56" s="912" t="str">
        <f t="shared" si="25"/>
        <v>HA 5</v>
      </c>
      <c r="C56" s="913">
        <f t="shared" si="32"/>
        <v>0</v>
      </c>
      <c r="D56" s="912">
        <f t="shared" ref="D56:D59" si="33">IF(C56=$L$11,$K$11,IF(C56=$L$12,$K$12-$K$11,IF(C56=$L$13,$K$13-$K$12,IF(C56=$L$14,$K$14-$K$13,IF(C56=$L$15,$K$15-$K$14,IF(C56=$L$16,$K$16-$K$15,IF(C56=$L$17,$K$17,IF(C56=$L$18,$K$18-$K$17,IF(C56=$L$19,$K$19-$K$18,IF(C56=$L$20,$K$20-$K$19,IF(C56=$L$21,$K$21-$K$20,IF(C56=$L$22,$K$22-$K$21,IF(C56=$L$23,$K$23,IF(C56=$L$24,$K$24-$K$23,IF(C56=$L$25,$K$25-$K$24,IF(C56=$L$26,$K$26-$K$25,IF(C56=$L$27,$K$27-$K$26,IF(C56=$L$28,$K$28-$K$27))))))))))))))))))</f>
        <v>75</v>
      </c>
      <c r="E56" s="912">
        <f t="shared" si="26"/>
        <v>75</v>
      </c>
      <c r="F56" s="912">
        <f t="shared" si="31"/>
        <v>3550</v>
      </c>
      <c r="G56" s="912" t="str">
        <f t="shared" si="27"/>
        <v>nej</v>
      </c>
      <c r="H56" s="912" t="str">
        <f t="shared" si="28"/>
        <v>nej</v>
      </c>
      <c r="I56" s="914" t="str">
        <f t="shared" si="29"/>
        <v>nej</v>
      </c>
      <c r="J56" s="915" t="b">
        <f t="shared" si="30"/>
        <v>0</v>
      </c>
    </row>
    <row r="57" spans="1:12" hidden="1">
      <c r="A57" s="916">
        <v>16</v>
      </c>
      <c r="B57" s="908" t="str">
        <f t="shared" si="25"/>
        <v>HA 5</v>
      </c>
      <c r="C57" s="917">
        <f t="shared" si="32"/>
        <v>0</v>
      </c>
      <c r="D57" s="908">
        <f t="shared" si="33"/>
        <v>75</v>
      </c>
      <c r="E57" s="906">
        <f t="shared" si="26"/>
        <v>75</v>
      </c>
      <c r="F57" s="908">
        <f t="shared" si="31"/>
        <v>3625</v>
      </c>
      <c r="G57" s="908" t="str">
        <f t="shared" si="27"/>
        <v>nej</v>
      </c>
      <c r="H57" s="912" t="str">
        <f t="shared" si="28"/>
        <v>nej</v>
      </c>
      <c r="I57" s="909" t="str">
        <f t="shared" si="29"/>
        <v>nej</v>
      </c>
      <c r="J57" s="918" t="b">
        <f t="shared" si="30"/>
        <v>0</v>
      </c>
    </row>
    <row r="58" spans="1:12" hidden="1">
      <c r="A58" s="911">
        <v>17</v>
      </c>
      <c r="B58" s="912" t="str">
        <f t="shared" si="25"/>
        <v>HA 5</v>
      </c>
      <c r="C58" s="913">
        <f t="shared" si="32"/>
        <v>0</v>
      </c>
      <c r="D58" s="912">
        <f t="shared" si="33"/>
        <v>75</v>
      </c>
      <c r="E58" s="912">
        <f t="shared" si="26"/>
        <v>75</v>
      </c>
      <c r="F58" s="912">
        <f t="shared" si="31"/>
        <v>3700</v>
      </c>
      <c r="G58" s="912" t="str">
        <f t="shared" si="27"/>
        <v>nej</v>
      </c>
      <c r="H58" s="912" t="str">
        <f t="shared" si="28"/>
        <v>nej</v>
      </c>
      <c r="I58" s="914" t="str">
        <f t="shared" si="29"/>
        <v>nej</v>
      </c>
      <c r="J58" s="915" t="b">
        <f t="shared" si="30"/>
        <v>0</v>
      </c>
    </row>
    <row r="59" spans="1:12" ht="15.75" hidden="1" thickBot="1">
      <c r="A59" s="920">
        <v>18</v>
      </c>
      <c r="B59" s="921" t="str">
        <f t="shared" si="25"/>
        <v>HA 6</v>
      </c>
      <c r="C59" s="922">
        <f t="shared" si="32"/>
        <v>-133.33333333333334</v>
      </c>
      <c r="D59" s="921">
        <f t="shared" si="33"/>
        <v>75</v>
      </c>
      <c r="E59" s="921">
        <f t="shared" si="26"/>
        <v>75</v>
      </c>
      <c r="F59" s="921">
        <f t="shared" si="31"/>
        <v>3775</v>
      </c>
      <c r="G59" s="921" t="str">
        <f t="shared" si="27"/>
        <v>nej</v>
      </c>
      <c r="H59" s="923" t="str">
        <f t="shared" si="28"/>
        <v>nej</v>
      </c>
      <c r="I59" s="924" t="str">
        <f t="shared" si="29"/>
        <v>nej</v>
      </c>
      <c r="J59" s="925" t="b">
        <f t="shared" si="30"/>
        <v>0</v>
      </c>
    </row>
    <row r="60" spans="1:12">
      <c r="C60" s="870"/>
      <c r="D60" s="870"/>
    </row>
    <row r="61" spans="1:12" ht="15.75" thickBot="1">
      <c r="A61" s="868" t="s">
        <v>294</v>
      </c>
    </row>
    <row r="62" spans="1:12">
      <c r="A62" s="880" t="str">
        <f>A10</f>
        <v>produkt</v>
      </c>
      <c r="B62" s="902" t="str">
        <f>B10</f>
        <v xml:space="preserve">Pris </v>
      </c>
      <c r="C62" s="902" t="str">
        <f t="shared" ref="C62:K62" si="34">C10</f>
        <v>Afsætning</v>
      </c>
      <c r="D62" s="902"/>
      <c r="E62" s="902" t="str">
        <f t="shared" si="34"/>
        <v>Omsætning</v>
      </c>
      <c r="F62" s="902" t="str">
        <f t="shared" si="34"/>
        <v>VE</v>
      </c>
      <c r="G62" s="902" t="str">
        <f t="shared" si="34"/>
        <v>VO
(afsæt*VE)</v>
      </c>
      <c r="H62" s="902"/>
      <c r="I62" s="902" t="str">
        <f t="shared" si="34"/>
        <v>Reklame</v>
      </c>
      <c r="J62" s="902" t="str">
        <f t="shared" si="34"/>
        <v>DB / MFB</v>
      </c>
      <c r="K62" s="926" t="str">
        <f t="shared" si="34"/>
        <v>timer</v>
      </c>
      <c r="L62" s="927"/>
    </row>
    <row r="63" spans="1:12">
      <c r="A63" s="928" t="s">
        <v>295</v>
      </c>
      <c r="B63" s="929">
        <f>IF($A$63=$A$11,B11,IF($A$63=$A$12,B12,IF($A$63=$A$13,B13,IF($A$63=$A$14,B14,IF($A$63=$A$15,B15,IF($A$63=$A$16,B16,IF($A$63=$A$17,B17,IF($A$63=$A$18,B18,IF($A$63=$A$19,B19,IF($A$63=$A$20,B20,IF($A$63=$A$21,B21,IF($A$63=$A$22,B22,IF($A$63=$A$23,B23,IF($A$63=$A$24,B24,IF($A$63=$A$25,B25,IF($A$63=$A$26,B26,IF($A$63=$A$27,B27,IF($A$63=$A$28,B28,))))))))))))))))))</f>
        <v>1300</v>
      </c>
      <c r="C63" s="929">
        <f t="shared" ref="C63:K63" si="35">IF($A$63=$A$11,C11,IF($A$63=$A$12,C12,IF($A$63=$A$13,C13,IF($A$63=$A$14,C14,IF($A$63=$A$15,C15,IF($A$63=$A$16,C16,IF($A$63=$A$17,C17,IF($A$63=$A$18,C18,IF($A$63=$A$19,C19,IF($A$63=$A$20,C20,IF($A$63=$A$21,C21,IF($A$63=$A$22,C22,IF($A$63=$A$23,C23,IF($A$63=$A$24,C24,IF($A$63=$A$25,C25,IF($A$63=$A$26,C26,IF($A$63=$A$27,C27,IF($A$63=$A$28,C28,))))))))))))))))))</f>
        <v>1400</v>
      </c>
      <c r="D63" s="929"/>
      <c r="E63" s="929">
        <f t="shared" si="35"/>
        <v>1820000</v>
      </c>
      <c r="F63" s="929">
        <f t="shared" si="35"/>
        <v>450</v>
      </c>
      <c r="G63" s="929">
        <f t="shared" si="35"/>
        <v>630000</v>
      </c>
      <c r="H63" s="929"/>
      <c r="I63" s="929">
        <f t="shared" si="35"/>
        <v>0</v>
      </c>
      <c r="J63" s="929">
        <f t="shared" si="35"/>
        <v>1190000</v>
      </c>
      <c r="K63" s="930">
        <f t="shared" si="35"/>
        <v>1050</v>
      </c>
      <c r="L63" s="927"/>
    </row>
    <row r="64" spans="1:12">
      <c r="A64" s="928" t="s">
        <v>300</v>
      </c>
      <c r="B64" s="929">
        <f>IF($A$64=$A$11,B11,IF($A$64=$A$12,B12,IF($A$64=$A$13,B13,IF($A$64=$A$14,B14,IF($A$64=$A$15,B15,IF($A$64=$A$16,B16,IF($A$64=$A$17,B17,IF($A$64=$A$18,B18,IF($A$64=$A$19,B19,IF($A$64=$A$20,B20,IF($A$64=$A$21,B21,IF($A$64=$A$22,B22,IF($A$64=$A$23,B23,IF($A$64=$A$24,B24,IF($A$64=$A$25,B25,IF($A$64=$A$26,B26,IF($A$64=$A$27,B27,IF($A$64=$A$28,B28,))))))))))))))))))</f>
        <v>1100</v>
      </c>
      <c r="C64" s="929">
        <f t="shared" ref="C64:K64" si="36">IF($A$64=$A$11,C11,IF($A$64=$A$12,C12,IF($A$64=$A$13,C13,IF($A$64=$A$14,C14,IF($A$64=$A$15,C15,IF($A$64=$A$16,C16,IF($A$64=$A$17,C17,IF($A$64=$A$18,C18,IF($A$64=$A$19,C19,IF($A$64=$A$20,C20,IF($A$64=$A$21,C21,IF($A$64=$A$22,C22,IF($A$64=$A$23,C23,IF($A$64=$A$24,C24,IF($A$64=$A$25,C25,IF($A$64=$A$26,C26,IF($A$64=$A$27,C27,IF($A$64=$A$28,C28,))))))))))))))))))</f>
        <v>400</v>
      </c>
      <c r="D64" s="929"/>
      <c r="E64" s="929">
        <f t="shared" si="36"/>
        <v>440000</v>
      </c>
      <c r="F64" s="929">
        <f t="shared" si="36"/>
        <v>500</v>
      </c>
      <c r="G64" s="929">
        <f t="shared" si="36"/>
        <v>200000</v>
      </c>
      <c r="H64" s="929"/>
      <c r="I64" s="929">
        <f t="shared" si="36"/>
        <v>0</v>
      </c>
      <c r="J64" s="929">
        <f t="shared" si="36"/>
        <v>240000</v>
      </c>
      <c r="K64" s="930">
        <f t="shared" si="36"/>
        <v>300</v>
      </c>
      <c r="L64" s="927"/>
    </row>
    <row r="65" spans="1:12">
      <c r="A65" s="928" t="s">
        <v>301</v>
      </c>
      <c r="B65" s="929">
        <f>IF($A$65=$A$11,B11,IF($A$65=$A$12,B12,IF($A$65=$A$13,B13,IF($A$65=$A$14,B14,IF($A$65=$A$15,B15,IF($A$65=$A$16,B16,IF($A$65=$A$17,B17,IF($A$65=$A$18,B18,IF($A$65=$A$19,B19,IF($A$65=$A$20,B20,IF($A$65=$A$21,B21,IF($A$65=$A$22,B22,IF($A$65=$A$23,B23,IF($A$65=$A$24,B24,IF($A$65=$A$25,B25,IF($A$65=$A$26,B26,IF($A$65=$A$27,B27,IF($A$65=$A$28,B28,))))))))))))))))))</f>
        <v>870</v>
      </c>
      <c r="C65" s="929">
        <f t="shared" ref="C65:K65" si="37">IF($A$65=$A$11,C11,IF($A$65=$A$12,C12,IF($A$65=$A$13,C13,IF($A$65=$A$14,C14,IF($A$65=$A$15,C15,IF($A$65=$A$16,C16,IF($A$65=$A$17,C17,IF($A$65=$A$18,C18,IF($A$65=$A$19,C19,IF($A$65=$A$20,C20,IF($A$65=$A$21,C21,IF($A$65=$A$22,C22,IF($A$65=$A$23,C23,IF($A$65=$A$24,C24,IF($A$65=$A$25,C25,IF($A$65=$A$26,C26,IF($A$65=$A$27,C27,IF($A$65=$A$28,C28,))))))))))))))))))</f>
        <v>1100</v>
      </c>
      <c r="D65" s="929"/>
      <c r="E65" s="929">
        <f t="shared" si="37"/>
        <v>957000</v>
      </c>
      <c r="F65" s="929">
        <f t="shared" si="37"/>
        <v>250</v>
      </c>
      <c r="G65" s="929">
        <f t="shared" si="37"/>
        <v>275000</v>
      </c>
      <c r="H65" s="929"/>
      <c r="I65" s="929">
        <f t="shared" si="37"/>
        <v>0</v>
      </c>
      <c r="J65" s="929">
        <f t="shared" si="37"/>
        <v>682000</v>
      </c>
      <c r="K65" s="930">
        <f t="shared" si="37"/>
        <v>1375</v>
      </c>
      <c r="L65" s="927"/>
    </row>
    <row r="66" spans="1:12">
      <c r="A66" s="916"/>
      <c r="B66" s="929"/>
      <c r="C66" s="929"/>
      <c r="D66" s="929"/>
      <c r="E66" s="929">
        <f>SUM(E63:E65)</f>
        <v>3217000</v>
      </c>
      <c r="F66" s="929"/>
      <c r="G66" s="929">
        <f>SUM(G63:G65)</f>
        <v>1105000</v>
      </c>
      <c r="H66" s="929"/>
      <c r="I66" s="929">
        <f t="shared" ref="I66:K66" si="38">SUM(I63:I65)</f>
        <v>0</v>
      </c>
      <c r="J66" s="929">
        <f t="shared" si="38"/>
        <v>2112000</v>
      </c>
      <c r="K66" s="930">
        <f t="shared" si="38"/>
        <v>2725</v>
      </c>
      <c r="L66" s="927"/>
    </row>
    <row r="67" spans="1:12">
      <c r="A67" s="916" t="s">
        <v>297</v>
      </c>
      <c r="B67" s="929">
        <f>B3</f>
        <v>200</v>
      </c>
      <c r="C67" s="929"/>
      <c r="D67" s="929"/>
      <c r="E67" s="929"/>
      <c r="F67" s="929"/>
      <c r="G67" s="929"/>
      <c r="H67" s="929"/>
      <c r="I67" s="929"/>
      <c r="J67" s="929">
        <f>K67*B67</f>
        <v>105000</v>
      </c>
      <c r="K67" s="930">
        <f>IF(K66&lt;=B1,0,K66-B1)</f>
        <v>525</v>
      </c>
      <c r="L67" s="927"/>
    </row>
    <row r="68" spans="1:12" ht="15.75" thickBot="1">
      <c r="A68" s="920" t="s">
        <v>298</v>
      </c>
      <c r="B68" s="931"/>
      <c r="C68" s="931"/>
      <c r="D68" s="931"/>
      <c r="E68" s="931"/>
      <c r="F68" s="931"/>
      <c r="G68" s="931"/>
      <c r="H68" s="931"/>
      <c r="I68" s="931"/>
      <c r="J68" s="931">
        <f>J66-J67</f>
        <v>2007000</v>
      </c>
      <c r="K68" s="932"/>
      <c r="L68" s="927"/>
    </row>
  </sheetData>
  <pageMargins left="0.23622047244094491" right="0.23622047244094491" top="0.74803149606299213" bottom="0.74803149606299213" header="0.31496062992125984" footer="0.31496062992125984"/>
  <pageSetup paperSize="9" scale="95" orientation="landscape" r:id="rId1"/>
  <legacyDrawing r:id="rId2"/>
</worksheet>
</file>

<file path=xl/worksheets/sheet20.xml><?xml version="1.0" encoding="utf-8"?>
<worksheet xmlns="http://schemas.openxmlformats.org/spreadsheetml/2006/main" xmlns:r="http://schemas.openxmlformats.org/officeDocument/2006/relationships">
  <dimension ref="A1:V137"/>
  <sheetViews>
    <sheetView zoomScale="90" zoomScaleNormal="100" workbookViewId="0">
      <selection activeCell="H1" sqref="H1"/>
    </sheetView>
  </sheetViews>
  <sheetFormatPr defaultRowHeight="12.75"/>
  <cols>
    <col min="1" max="1" width="13" customWidth="1"/>
    <col min="2" max="2" width="3.140625" customWidth="1"/>
    <col min="3" max="3" width="3.28515625" customWidth="1"/>
    <col min="4" max="4" width="10.140625" customWidth="1"/>
    <col min="5" max="5" width="13" customWidth="1"/>
    <col min="6" max="6" width="3" customWidth="1"/>
    <col min="7" max="7" width="1.85546875" customWidth="1"/>
    <col min="8" max="8" width="2.7109375" customWidth="1"/>
    <col min="9" max="9" width="14" bestFit="1" customWidth="1"/>
    <col min="10" max="10" width="4.28515625" customWidth="1"/>
    <col min="11" max="11" width="8.140625" customWidth="1"/>
    <col min="12" max="12" width="3" customWidth="1"/>
    <col min="13" max="13" width="15.140625" bestFit="1" customWidth="1"/>
    <col min="14" max="14" width="8.42578125" customWidth="1"/>
    <col min="15" max="15" width="3.28515625" customWidth="1"/>
    <col min="16" max="16" width="2.140625" customWidth="1"/>
    <col min="17" max="17" width="3.85546875" customWidth="1"/>
    <col min="18" max="18" width="7.7109375" customWidth="1"/>
    <col min="19" max="19" width="3.140625" customWidth="1"/>
    <col min="20" max="20" width="2.42578125" customWidth="1"/>
    <col min="21" max="21" width="11.28515625" bestFit="1" customWidth="1"/>
    <col min="22" max="22" width="11.28515625" customWidth="1"/>
    <col min="257" max="257" width="13" customWidth="1"/>
    <col min="258" max="258" width="3.140625" customWidth="1"/>
    <col min="259" max="259" width="3.28515625" customWidth="1"/>
    <col min="260" max="260" width="10.140625" customWidth="1"/>
    <col min="261" max="261" width="13" customWidth="1"/>
    <col min="262" max="262" width="3" customWidth="1"/>
    <col min="263" max="263" width="1.85546875" customWidth="1"/>
    <col min="264" max="264" width="2.7109375" customWidth="1"/>
    <col min="265" max="265" width="14" bestFit="1" customWidth="1"/>
    <col min="266" max="266" width="4.28515625" customWidth="1"/>
    <col min="267" max="267" width="8.140625" customWidth="1"/>
    <col min="268" max="268" width="3" customWidth="1"/>
    <col min="269" max="269" width="15.140625" bestFit="1" customWidth="1"/>
    <col min="270" max="270" width="8.42578125" customWidth="1"/>
    <col min="271" max="271" width="3.28515625" customWidth="1"/>
    <col min="272" max="272" width="2.140625" customWidth="1"/>
    <col min="273" max="273" width="3.85546875" customWidth="1"/>
    <col min="274" max="274" width="7.7109375" customWidth="1"/>
    <col min="275" max="275" width="3.140625" customWidth="1"/>
    <col min="276" max="276" width="2.42578125" customWidth="1"/>
    <col min="277" max="277" width="11.28515625" bestFit="1" customWidth="1"/>
    <col min="278" max="278" width="11.28515625" customWidth="1"/>
    <col min="513" max="513" width="13" customWidth="1"/>
    <col min="514" max="514" width="3.140625" customWidth="1"/>
    <col min="515" max="515" width="3.28515625" customWidth="1"/>
    <col min="516" max="516" width="10.140625" customWidth="1"/>
    <col min="517" max="517" width="13" customWidth="1"/>
    <col min="518" max="518" width="3" customWidth="1"/>
    <col min="519" max="519" width="1.85546875" customWidth="1"/>
    <col min="520" max="520" width="2.7109375" customWidth="1"/>
    <col min="521" max="521" width="14" bestFit="1" customWidth="1"/>
    <col min="522" max="522" width="4.28515625" customWidth="1"/>
    <col min="523" max="523" width="8.140625" customWidth="1"/>
    <col min="524" max="524" width="3" customWidth="1"/>
    <col min="525" max="525" width="15.140625" bestFit="1" customWidth="1"/>
    <col min="526" max="526" width="8.42578125" customWidth="1"/>
    <col min="527" max="527" width="3.28515625" customWidth="1"/>
    <col min="528" max="528" width="2.140625" customWidth="1"/>
    <col min="529" max="529" width="3.85546875" customWidth="1"/>
    <col min="530" max="530" width="7.7109375" customWidth="1"/>
    <col min="531" max="531" width="3.140625" customWidth="1"/>
    <col min="532" max="532" width="2.42578125" customWidth="1"/>
    <col min="533" max="533" width="11.28515625" bestFit="1" customWidth="1"/>
    <col min="534" max="534" width="11.28515625" customWidth="1"/>
    <col min="769" max="769" width="13" customWidth="1"/>
    <col min="770" max="770" width="3.140625" customWidth="1"/>
    <col min="771" max="771" width="3.28515625" customWidth="1"/>
    <col min="772" max="772" width="10.140625" customWidth="1"/>
    <col min="773" max="773" width="13" customWidth="1"/>
    <col min="774" max="774" width="3" customWidth="1"/>
    <col min="775" max="775" width="1.85546875" customWidth="1"/>
    <col min="776" max="776" width="2.7109375" customWidth="1"/>
    <col min="777" max="777" width="14" bestFit="1" customWidth="1"/>
    <col min="778" max="778" width="4.28515625" customWidth="1"/>
    <col min="779" max="779" width="8.140625" customWidth="1"/>
    <col min="780" max="780" width="3" customWidth="1"/>
    <col min="781" max="781" width="15.140625" bestFit="1" customWidth="1"/>
    <col min="782" max="782" width="8.42578125" customWidth="1"/>
    <col min="783" max="783" width="3.28515625" customWidth="1"/>
    <col min="784" max="784" width="2.140625" customWidth="1"/>
    <col min="785" max="785" width="3.85546875" customWidth="1"/>
    <col min="786" max="786" width="7.7109375" customWidth="1"/>
    <col min="787" max="787" width="3.140625" customWidth="1"/>
    <col min="788" max="788" width="2.42578125" customWidth="1"/>
    <col min="789" max="789" width="11.28515625" bestFit="1" customWidth="1"/>
    <col min="790" max="790" width="11.28515625" customWidth="1"/>
    <col min="1025" max="1025" width="13" customWidth="1"/>
    <col min="1026" max="1026" width="3.140625" customWidth="1"/>
    <col min="1027" max="1027" width="3.28515625" customWidth="1"/>
    <col min="1028" max="1028" width="10.140625" customWidth="1"/>
    <col min="1029" max="1029" width="13" customWidth="1"/>
    <col min="1030" max="1030" width="3" customWidth="1"/>
    <col min="1031" max="1031" width="1.85546875" customWidth="1"/>
    <col min="1032" max="1032" width="2.7109375" customWidth="1"/>
    <col min="1033" max="1033" width="14" bestFit="1" customWidth="1"/>
    <col min="1034" max="1034" width="4.28515625" customWidth="1"/>
    <col min="1035" max="1035" width="8.140625" customWidth="1"/>
    <col min="1036" max="1036" width="3" customWidth="1"/>
    <col min="1037" max="1037" width="15.140625" bestFit="1" customWidth="1"/>
    <col min="1038" max="1038" width="8.42578125" customWidth="1"/>
    <col min="1039" max="1039" width="3.28515625" customWidth="1"/>
    <col min="1040" max="1040" width="2.140625" customWidth="1"/>
    <col min="1041" max="1041" width="3.85546875" customWidth="1"/>
    <col min="1042" max="1042" width="7.7109375" customWidth="1"/>
    <col min="1043" max="1043" width="3.140625" customWidth="1"/>
    <col min="1044" max="1044" width="2.42578125" customWidth="1"/>
    <col min="1045" max="1045" width="11.28515625" bestFit="1" customWidth="1"/>
    <col min="1046" max="1046" width="11.28515625" customWidth="1"/>
    <col min="1281" max="1281" width="13" customWidth="1"/>
    <col min="1282" max="1282" width="3.140625" customWidth="1"/>
    <col min="1283" max="1283" width="3.28515625" customWidth="1"/>
    <col min="1284" max="1284" width="10.140625" customWidth="1"/>
    <col min="1285" max="1285" width="13" customWidth="1"/>
    <col min="1286" max="1286" width="3" customWidth="1"/>
    <col min="1287" max="1287" width="1.85546875" customWidth="1"/>
    <col min="1288" max="1288" width="2.7109375" customWidth="1"/>
    <col min="1289" max="1289" width="14" bestFit="1" customWidth="1"/>
    <col min="1290" max="1290" width="4.28515625" customWidth="1"/>
    <col min="1291" max="1291" width="8.140625" customWidth="1"/>
    <col min="1292" max="1292" width="3" customWidth="1"/>
    <col min="1293" max="1293" width="15.140625" bestFit="1" customWidth="1"/>
    <col min="1294" max="1294" width="8.42578125" customWidth="1"/>
    <col min="1295" max="1295" width="3.28515625" customWidth="1"/>
    <col min="1296" max="1296" width="2.140625" customWidth="1"/>
    <col min="1297" max="1297" width="3.85546875" customWidth="1"/>
    <col min="1298" max="1298" width="7.7109375" customWidth="1"/>
    <col min="1299" max="1299" width="3.140625" customWidth="1"/>
    <col min="1300" max="1300" width="2.42578125" customWidth="1"/>
    <col min="1301" max="1301" width="11.28515625" bestFit="1" customWidth="1"/>
    <col min="1302" max="1302" width="11.28515625" customWidth="1"/>
    <col min="1537" max="1537" width="13" customWidth="1"/>
    <col min="1538" max="1538" width="3.140625" customWidth="1"/>
    <col min="1539" max="1539" width="3.28515625" customWidth="1"/>
    <col min="1540" max="1540" width="10.140625" customWidth="1"/>
    <col min="1541" max="1541" width="13" customWidth="1"/>
    <col min="1542" max="1542" width="3" customWidth="1"/>
    <col min="1543" max="1543" width="1.85546875" customWidth="1"/>
    <col min="1544" max="1544" width="2.7109375" customWidth="1"/>
    <col min="1545" max="1545" width="14" bestFit="1" customWidth="1"/>
    <col min="1546" max="1546" width="4.28515625" customWidth="1"/>
    <col min="1547" max="1547" width="8.140625" customWidth="1"/>
    <col min="1548" max="1548" width="3" customWidth="1"/>
    <col min="1549" max="1549" width="15.140625" bestFit="1" customWidth="1"/>
    <col min="1550" max="1550" width="8.42578125" customWidth="1"/>
    <col min="1551" max="1551" width="3.28515625" customWidth="1"/>
    <col min="1552" max="1552" width="2.140625" customWidth="1"/>
    <col min="1553" max="1553" width="3.85546875" customWidth="1"/>
    <col min="1554" max="1554" width="7.7109375" customWidth="1"/>
    <col min="1555" max="1555" width="3.140625" customWidth="1"/>
    <col min="1556" max="1556" width="2.42578125" customWidth="1"/>
    <col min="1557" max="1557" width="11.28515625" bestFit="1" customWidth="1"/>
    <col min="1558" max="1558" width="11.28515625" customWidth="1"/>
    <col min="1793" max="1793" width="13" customWidth="1"/>
    <col min="1794" max="1794" width="3.140625" customWidth="1"/>
    <col min="1795" max="1795" width="3.28515625" customWidth="1"/>
    <col min="1796" max="1796" width="10.140625" customWidth="1"/>
    <col min="1797" max="1797" width="13" customWidth="1"/>
    <col min="1798" max="1798" width="3" customWidth="1"/>
    <col min="1799" max="1799" width="1.85546875" customWidth="1"/>
    <col min="1800" max="1800" width="2.7109375" customWidth="1"/>
    <col min="1801" max="1801" width="14" bestFit="1" customWidth="1"/>
    <col min="1802" max="1802" width="4.28515625" customWidth="1"/>
    <col min="1803" max="1803" width="8.140625" customWidth="1"/>
    <col min="1804" max="1804" width="3" customWidth="1"/>
    <col min="1805" max="1805" width="15.140625" bestFit="1" customWidth="1"/>
    <col min="1806" max="1806" width="8.42578125" customWidth="1"/>
    <col min="1807" max="1807" width="3.28515625" customWidth="1"/>
    <col min="1808" max="1808" width="2.140625" customWidth="1"/>
    <col min="1809" max="1809" width="3.85546875" customWidth="1"/>
    <col min="1810" max="1810" width="7.7109375" customWidth="1"/>
    <col min="1811" max="1811" width="3.140625" customWidth="1"/>
    <col min="1812" max="1812" width="2.42578125" customWidth="1"/>
    <col min="1813" max="1813" width="11.28515625" bestFit="1" customWidth="1"/>
    <col min="1814" max="1814" width="11.28515625" customWidth="1"/>
    <col min="2049" max="2049" width="13" customWidth="1"/>
    <col min="2050" max="2050" width="3.140625" customWidth="1"/>
    <col min="2051" max="2051" width="3.28515625" customWidth="1"/>
    <col min="2052" max="2052" width="10.140625" customWidth="1"/>
    <col min="2053" max="2053" width="13" customWidth="1"/>
    <col min="2054" max="2054" width="3" customWidth="1"/>
    <col min="2055" max="2055" width="1.85546875" customWidth="1"/>
    <col min="2056" max="2056" width="2.7109375" customWidth="1"/>
    <col min="2057" max="2057" width="14" bestFit="1" customWidth="1"/>
    <col min="2058" max="2058" width="4.28515625" customWidth="1"/>
    <col min="2059" max="2059" width="8.140625" customWidth="1"/>
    <col min="2060" max="2060" width="3" customWidth="1"/>
    <col min="2061" max="2061" width="15.140625" bestFit="1" customWidth="1"/>
    <col min="2062" max="2062" width="8.42578125" customWidth="1"/>
    <col min="2063" max="2063" width="3.28515625" customWidth="1"/>
    <col min="2064" max="2064" width="2.140625" customWidth="1"/>
    <col min="2065" max="2065" width="3.85546875" customWidth="1"/>
    <col min="2066" max="2066" width="7.7109375" customWidth="1"/>
    <col min="2067" max="2067" width="3.140625" customWidth="1"/>
    <col min="2068" max="2068" width="2.42578125" customWidth="1"/>
    <col min="2069" max="2069" width="11.28515625" bestFit="1" customWidth="1"/>
    <col min="2070" max="2070" width="11.28515625" customWidth="1"/>
    <col min="2305" max="2305" width="13" customWidth="1"/>
    <col min="2306" max="2306" width="3.140625" customWidth="1"/>
    <col min="2307" max="2307" width="3.28515625" customWidth="1"/>
    <col min="2308" max="2308" width="10.140625" customWidth="1"/>
    <col min="2309" max="2309" width="13" customWidth="1"/>
    <col min="2310" max="2310" width="3" customWidth="1"/>
    <col min="2311" max="2311" width="1.85546875" customWidth="1"/>
    <col min="2312" max="2312" width="2.7109375" customWidth="1"/>
    <col min="2313" max="2313" width="14" bestFit="1" customWidth="1"/>
    <col min="2314" max="2314" width="4.28515625" customWidth="1"/>
    <col min="2315" max="2315" width="8.140625" customWidth="1"/>
    <col min="2316" max="2316" width="3" customWidth="1"/>
    <col min="2317" max="2317" width="15.140625" bestFit="1" customWidth="1"/>
    <col min="2318" max="2318" width="8.42578125" customWidth="1"/>
    <col min="2319" max="2319" width="3.28515625" customWidth="1"/>
    <col min="2320" max="2320" width="2.140625" customWidth="1"/>
    <col min="2321" max="2321" width="3.85546875" customWidth="1"/>
    <col min="2322" max="2322" width="7.7109375" customWidth="1"/>
    <col min="2323" max="2323" width="3.140625" customWidth="1"/>
    <col min="2324" max="2324" width="2.42578125" customWidth="1"/>
    <col min="2325" max="2325" width="11.28515625" bestFit="1" customWidth="1"/>
    <col min="2326" max="2326" width="11.28515625" customWidth="1"/>
    <col min="2561" max="2561" width="13" customWidth="1"/>
    <col min="2562" max="2562" width="3.140625" customWidth="1"/>
    <col min="2563" max="2563" width="3.28515625" customWidth="1"/>
    <col min="2564" max="2564" width="10.140625" customWidth="1"/>
    <col min="2565" max="2565" width="13" customWidth="1"/>
    <col min="2566" max="2566" width="3" customWidth="1"/>
    <col min="2567" max="2567" width="1.85546875" customWidth="1"/>
    <col min="2568" max="2568" width="2.7109375" customWidth="1"/>
    <col min="2569" max="2569" width="14" bestFit="1" customWidth="1"/>
    <col min="2570" max="2570" width="4.28515625" customWidth="1"/>
    <col min="2571" max="2571" width="8.140625" customWidth="1"/>
    <col min="2572" max="2572" width="3" customWidth="1"/>
    <col min="2573" max="2573" width="15.140625" bestFit="1" customWidth="1"/>
    <col min="2574" max="2574" width="8.42578125" customWidth="1"/>
    <col min="2575" max="2575" width="3.28515625" customWidth="1"/>
    <col min="2576" max="2576" width="2.140625" customWidth="1"/>
    <col min="2577" max="2577" width="3.85546875" customWidth="1"/>
    <col min="2578" max="2578" width="7.7109375" customWidth="1"/>
    <col min="2579" max="2579" width="3.140625" customWidth="1"/>
    <col min="2580" max="2580" width="2.42578125" customWidth="1"/>
    <col min="2581" max="2581" width="11.28515625" bestFit="1" customWidth="1"/>
    <col min="2582" max="2582" width="11.28515625" customWidth="1"/>
    <col min="2817" max="2817" width="13" customWidth="1"/>
    <col min="2818" max="2818" width="3.140625" customWidth="1"/>
    <col min="2819" max="2819" width="3.28515625" customWidth="1"/>
    <col min="2820" max="2820" width="10.140625" customWidth="1"/>
    <col min="2821" max="2821" width="13" customWidth="1"/>
    <col min="2822" max="2822" width="3" customWidth="1"/>
    <col min="2823" max="2823" width="1.85546875" customWidth="1"/>
    <col min="2824" max="2824" width="2.7109375" customWidth="1"/>
    <col min="2825" max="2825" width="14" bestFit="1" customWidth="1"/>
    <col min="2826" max="2826" width="4.28515625" customWidth="1"/>
    <col min="2827" max="2827" width="8.140625" customWidth="1"/>
    <col min="2828" max="2828" width="3" customWidth="1"/>
    <col min="2829" max="2829" width="15.140625" bestFit="1" customWidth="1"/>
    <col min="2830" max="2830" width="8.42578125" customWidth="1"/>
    <col min="2831" max="2831" width="3.28515625" customWidth="1"/>
    <col min="2832" max="2832" width="2.140625" customWidth="1"/>
    <col min="2833" max="2833" width="3.85546875" customWidth="1"/>
    <col min="2834" max="2834" width="7.7109375" customWidth="1"/>
    <col min="2835" max="2835" width="3.140625" customWidth="1"/>
    <col min="2836" max="2836" width="2.42578125" customWidth="1"/>
    <col min="2837" max="2837" width="11.28515625" bestFit="1" customWidth="1"/>
    <col min="2838" max="2838" width="11.28515625" customWidth="1"/>
    <col min="3073" max="3073" width="13" customWidth="1"/>
    <col min="3074" max="3074" width="3.140625" customWidth="1"/>
    <col min="3075" max="3075" width="3.28515625" customWidth="1"/>
    <col min="3076" max="3076" width="10.140625" customWidth="1"/>
    <col min="3077" max="3077" width="13" customWidth="1"/>
    <col min="3078" max="3078" width="3" customWidth="1"/>
    <col min="3079" max="3079" width="1.85546875" customWidth="1"/>
    <col min="3080" max="3080" width="2.7109375" customWidth="1"/>
    <col min="3081" max="3081" width="14" bestFit="1" customWidth="1"/>
    <col min="3082" max="3082" width="4.28515625" customWidth="1"/>
    <col min="3083" max="3083" width="8.140625" customWidth="1"/>
    <col min="3084" max="3084" width="3" customWidth="1"/>
    <col min="3085" max="3085" width="15.140625" bestFit="1" customWidth="1"/>
    <col min="3086" max="3086" width="8.42578125" customWidth="1"/>
    <col min="3087" max="3087" width="3.28515625" customWidth="1"/>
    <col min="3088" max="3088" width="2.140625" customWidth="1"/>
    <col min="3089" max="3089" width="3.85546875" customWidth="1"/>
    <col min="3090" max="3090" width="7.7109375" customWidth="1"/>
    <col min="3091" max="3091" width="3.140625" customWidth="1"/>
    <col min="3092" max="3092" width="2.42578125" customWidth="1"/>
    <col min="3093" max="3093" width="11.28515625" bestFit="1" customWidth="1"/>
    <col min="3094" max="3094" width="11.28515625" customWidth="1"/>
    <col min="3329" max="3329" width="13" customWidth="1"/>
    <col min="3330" max="3330" width="3.140625" customWidth="1"/>
    <col min="3331" max="3331" width="3.28515625" customWidth="1"/>
    <col min="3332" max="3332" width="10.140625" customWidth="1"/>
    <col min="3333" max="3333" width="13" customWidth="1"/>
    <col min="3334" max="3334" width="3" customWidth="1"/>
    <col min="3335" max="3335" width="1.85546875" customWidth="1"/>
    <col min="3336" max="3336" width="2.7109375" customWidth="1"/>
    <col min="3337" max="3337" width="14" bestFit="1" customWidth="1"/>
    <col min="3338" max="3338" width="4.28515625" customWidth="1"/>
    <col min="3339" max="3339" width="8.140625" customWidth="1"/>
    <col min="3340" max="3340" width="3" customWidth="1"/>
    <col min="3341" max="3341" width="15.140625" bestFit="1" customWidth="1"/>
    <col min="3342" max="3342" width="8.42578125" customWidth="1"/>
    <col min="3343" max="3343" width="3.28515625" customWidth="1"/>
    <col min="3344" max="3344" width="2.140625" customWidth="1"/>
    <col min="3345" max="3345" width="3.85546875" customWidth="1"/>
    <col min="3346" max="3346" width="7.7109375" customWidth="1"/>
    <col min="3347" max="3347" width="3.140625" customWidth="1"/>
    <col min="3348" max="3348" width="2.42578125" customWidth="1"/>
    <col min="3349" max="3349" width="11.28515625" bestFit="1" customWidth="1"/>
    <col min="3350" max="3350" width="11.28515625" customWidth="1"/>
    <col min="3585" max="3585" width="13" customWidth="1"/>
    <col min="3586" max="3586" width="3.140625" customWidth="1"/>
    <col min="3587" max="3587" width="3.28515625" customWidth="1"/>
    <col min="3588" max="3588" width="10.140625" customWidth="1"/>
    <col min="3589" max="3589" width="13" customWidth="1"/>
    <col min="3590" max="3590" width="3" customWidth="1"/>
    <col min="3591" max="3591" width="1.85546875" customWidth="1"/>
    <col min="3592" max="3592" width="2.7109375" customWidth="1"/>
    <col min="3593" max="3593" width="14" bestFit="1" customWidth="1"/>
    <col min="3594" max="3594" width="4.28515625" customWidth="1"/>
    <col min="3595" max="3595" width="8.140625" customWidth="1"/>
    <col min="3596" max="3596" width="3" customWidth="1"/>
    <col min="3597" max="3597" width="15.140625" bestFit="1" customWidth="1"/>
    <col min="3598" max="3598" width="8.42578125" customWidth="1"/>
    <col min="3599" max="3599" width="3.28515625" customWidth="1"/>
    <col min="3600" max="3600" width="2.140625" customWidth="1"/>
    <col min="3601" max="3601" width="3.85546875" customWidth="1"/>
    <col min="3602" max="3602" width="7.7109375" customWidth="1"/>
    <col min="3603" max="3603" width="3.140625" customWidth="1"/>
    <col min="3604" max="3604" width="2.42578125" customWidth="1"/>
    <col min="3605" max="3605" width="11.28515625" bestFit="1" customWidth="1"/>
    <col min="3606" max="3606" width="11.28515625" customWidth="1"/>
    <col min="3841" max="3841" width="13" customWidth="1"/>
    <col min="3842" max="3842" width="3.140625" customWidth="1"/>
    <col min="3843" max="3843" width="3.28515625" customWidth="1"/>
    <col min="3844" max="3844" width="10.140625" customWidth="1"/>
    <col min="3845" max="3845" width="13" customWidth="1"/>
    <col min="3846" max="3846" width="3" customWidth="1"/>
    <col min="3847" max="3847" width="1.85546875" customWidth="1"/>
    <col min="3848" max="3848" width="2.7109375" customWidth="1"/>
    <col min="3849" max="3849" width="14" bestFit="1" customWidth="1"/>
    <col min="3850" max="3850" width="4.28515625" customWidth="1"/>
    <col min="3851" max="3851" width="8.140625" customWidth="1"/>
    <col min="3852" max="3852" width="3" customWidth="1"/>
    <col min="3853" max="3853" width="15.140625" bestFit="1" customWidth="1"/>
    <col min="3854" max="3854" width="8.42578125" customWidth="1"/>
    <col min="3855" max="3855" width="3.28515625" customWidth="1"/>
    <col min="3856" max="3856" width="2.140625" customWidth="1"/>
    <col min="3857" max="3857" width="3.85546875" customWidth="1"/>
    <col min="3858" max="3858" width="7.7109375" customWidth="1"/>
    <col min="3859" max="3859" width="3.140625" customWidth="1"/>
    <col min="3860" max="3860" width="2.42578125" customWidth="1"/>
    <col min="3861" max="3861" width="11.28515625" bestFit="1" customWidth="1"/>
    <col min="3862" max="3862" width="11.28515625" customWidth="1"/>
    <col min="4097" max="4097" width="13" customWidth="1"/>
    <col min="4098" max="4098" width="3.140625" customWidth="1"/>
    <col min="4099" max="4099" width="3.28515625" customWidth="1"/>
    <col min="4100" max="4100" width="10.140625" customWidth="1"/>
    <col min="4101" max="4101" width="13" customWidth="1"/>
    <col min="4102" max="4102" width="3" customWidth="1"/>
    <col min="4103" max="4103" width="1.85546875" customWidth="1"/>
    <col min="4104" max="4104" width="2.7109375" customWidth="1"/>
    <col min="4105" max="4105" width="14" bestFit="1" customWidth="1"/>
    <col min="4106" max="4106" width="4.28515625" customWidth="1"/>
    <col min="4107" max="4107" width="8.140625" customWidth="1"/>
    <col min="4108" max="4108" width="3" customWidth="1"/>
    <col min="4109" max="4109" width="15.140625" bestFit="1" customWidth="1"/>
    <col min="4110" max="4110" width="8.42578125" customWidth="1"/>
    <col min="4111" max="4111" width="3.28515625" customWidth="1"/>
    <col min="4112" max="4112" width="2.140625" customWidth="1"/>
    <col min="4113" max="4113" width="3.85546875" customWidth="1"/>
    <col min="4114" max="4114" width="7.7109375" customWidth="1"/>
    <col min="4115" max="4115" width="3.140625" customWidth="1"/>
    <col min="4116" max="4116" width="2.42578125" customWidth="1"/>
    <col min="4117" max="4117" width="11.28515625" bestFit="1" customWidth="1"/>
    <col min="4118" max="4118" width="11.28515625" customWidth="1"/>
    <col min="4353" max="4353" width="13" customWidth="1"/>
    <col min="4354" max="4354" width="3.140625" customWidth="1"/>
    <col min="4355" max="4355" width="3.28515625" customWidth="1"/>
    <col min="4356" max="4356" width="10.140625" customWidth="1"/>
    <col min="4357" max="4357" width="13" customWidth="1"/>
    <col min="4358" max="4358" width="3" customWidth="1"/>
    <col min="4359" max="4359" width="1.85546875" customWidth="1"/>
    <col min="4360" max="4360" width="2.7109375" customWidth="1"/>
    <col min="4361" max="4361" width="14" bestFit="1" customWidth="1"/>
    <col min="4362" max="4362" width="4.28515625" customWidth="1"/>
    <col min="4363" max="4363" width="8.140625" customWidth="1"/>
    <col min="4364" max="4364" width="3" customWidth="1"/>
    <col min="4365" max="4365" width="15.140625" bestFit="1" customWidth="1"/>
    <col min="4366" max="4366" width="8.42578125" customWidth="1"/>
    <col min="4367" max="4367" width="3.28515625" customWidth="1"/>
    <col min="4368" max="4368" width="2.140625" customWidth="1"/>
    <col min="4369" max="4369" width="3.85546875" customWidth="1"/>
    <col min="4370" max="4370" width="7.7109375" customWidth="1"/>
    <col min="4371" max="4371" width="3.140625" customWidth="1"/>
    <col min="4372" max="4372" width="2.42578125" customWidth="1"/>
    <col min="4373" max="4373" width="11.28515625" bestFit="1" customWidth="1"/>
    <col min="4374" max="4374" width="11.28515625" customWidth="1"/>
    <col min="4609" max="4609" width="13" customWidth="1"/>
    <col min="4610" max="4610" width="3.140625" customWidth="1"/>
    <col min="4611" max="4611" width="3.28515625" customWidth="1"/>
    <col min="4612" max="4612" width="10.140625" customWidth="1"/>
    <col min="4613" max="4613" width="13" customWidth="1"/>
    <col min="4614" max="4614" width="3" customWidth="1"/>
    <col min="4615" max="4615" width="1.85546875" customWidth="1"/>
    <col min="4616" max="4616" width="2.7109375" customWidth="1"/>
    <col min="4617" max="4617" width="14" bestFit="1" customWidth="1"/>
    <col min="4618" max="4618" width="4.28515625" customWidth="1"/>
    <col min="4619" max="4619" width="8.140625" customWidth="1"/>
    <col min="4620" max="4620" width="3" customWidth="1"/>
    <col min="4621" max="4621" width="15.140625" bestFit="1" customWidth="1"/>
    <col min="4622" max="4622" width="8.42578125" customWidth="1"/>
    <col min="4623" max="4623" width="3.28515625" customWidth="1"/>
    <col min="4624" max="4624" width="2.140625" customWidth="1"/>
    <col min="4625" max="4625" width="3.85546875" customWidth="1"/>
    <col min="4626" max="4626" width="7.7109375" customWidth="1"/>
    <col min="4627" max="4627" width="3.140625" customWidth="1"/>
    <col min="4628" max="4628" width="2.42578125" customWidth="1"/>
    <col min="4629" max="4629" width="11.28515625" bestFit="1" customWidth="1"/>
    <col min="4630" max="4630" width="11.28515625" customWidth="1"/>
    <col min="4865" max="4865" width="13" customWidth="1"/>
    <col min="4866" max="4866" width="3.140625" customWidth="1"/>
    <col min="4867" max="4867" width="3.28515625" customWidth="1"/>
    <col min="4868" max="4868" width="10.140625" customWidth="1"/>
    <col min="4869" max="4869" width="13" customWidth="1"/>
    <col min="4870" max="4870" width="3" customWidth="1"/>
    <col min="4871" max="4871" width="1.85546875" customWidth="1"/>
    <col min="4872" max="4872" width="2.7109375" customWidth="1"/>
    <col min="4873" max="4873" width="14" bestFit="1" customWidth="1"/>
    <col min="4874" max="4874" width="4.28515625" customWidth="1"/>
    <col min="4875" max="4875" width="8.140625" customWidth="1"/>
    <col min="4876" max="4876" width="3" customWidth="1"/>
    <col min="4877" max="4877" width="15.140625" bestFit="1" customWidth="1"/>
    <col min="4878" max="4878" width="8.42578125" customWidth="1"/>
    <col min="4879" max="4879" width="3.28515625" customWidth="1"/>
    <col min="4880" max="4880" width="2.140625" customWidth="1"/>
    <col min="4881" max="4881" width="3.85546875" customWidth="1"/>
    <col min="4882" max="4882" width="7.7109375" customWidth="1"/>
    <col min="4883" max="4883" width="3.140625" customWidth="1"/>
    <col min="4884" max="4884" width="2.42578125" customWidth="1"/>
    <col min="4885" max="4885" width="11.28515625" bestFit="1" customWidth="1"/>
    <col min="4886" max="4886" width="11.28515625" customWidth="1"/>
    <col min="5121" max="5121" width="13" customWidth="1"/>
    <col min="5122" max="5122" width="3.140625" customWidth="1"/>
    <col min="5123" max="5123" width="3.28515625" customWidth="1"/>
    <col min="5124" max="5124" width="10.140625" customWidth="1"/>
    <col min="5125" max="5125" width="13" customWidth="1"/>
    <col min="5126" max="5126" width="3" customWidth="1"/>
    <col min="5127" max="5127" width="1.85546875" customWidth="1"/>
    <col min="5128" max="5128" width="2.7109375" customWidth="1"/>
    <col min="5129" max="5129" width="14" bestFit="1" customWidth="1"/>
    <col min="5130" max="5130" width="4.28515625" customWidth="1"/>
    <col min="5131" max="5131" width="8.140625" customWidth="1"/>
    <col min="5132" max="5132" width="3" customWidth="1"/>
    <col min="5133" max="5133" width="15.140625" bestFit="1" customWidth="1"/>
    <col min="5134" max="5134" width="8.42578125" customWidth="1"/>
    <col min="5135" max="5135" width="3.28515625" customWidth="1"/>
    <col min="5136" max="5136" width="2.140625" customWidth="1"/>
    <col min="5137" max="5137" width="3.85546875" customWidth="1"/>
    <col min="5138" max="5138" width="7.7109375" customWidth="1"/>
    <col min="5139" max="5139" width="3.140625" customWidth="1"/>
    <col min="5140" max="5140" width="2.42578125" customWidth="1"/>
    <col min="5141" max="5141" width="11.28515625" bestFit="1" customWidth="1"/>
    <col min="5142" max="5142" width="11.28515625" customWidth="1"/>
    <col min="5377" max="5377" width="13" customWidth="1"/>
    <col min="5378" max="5378" width="3.140625" customWidth="1"/>
    <col min="5379" max="5379" width="3.28515625" customWidth="1"/>
    <col min="5380" max="5380" width="10.140625" customWidth="1"/>
    <col min="5381" max="5381" width="13" customWidth="1"/>
    <col min="5382" max="5382" width="3" customWidth="1"/>
    <col min="5383" max="5383" width="1.85546875" customWidth="1"/>
    <col min="5384" max="5384" width="2.7109375" customWidth="1"/>
    <col min="5385" max="5385" width="14" bestFit="1" customWidth="1"/>
    <col min="5386" max="5386" width="4.28515625" customWidth="1"/>
    <col min="5387" max="5387" width="8.140625" customWidth="1"/>
    <col min="5388" max="5388" width="3" customWidth="1"/>
    <col min="5389" max="5389" width="15.140625" bestFit="1" customWidth="1"/>
    <col min="5390" max="5390" width="8.42578125" customWidth="1"/>
    <col min="5391" max="5391" width="3.28515625" customWidth="1"/>
    <col min="5392" max="5392" width="2.140625" customWidth="1"/>
    <col min="5393" max="5393" width="3.85546875" customWidth="1"/>
    <col min="5394" max="5394" width="7.7109375" customWidth="1"/>
    <col min="5395" max="5395" width="3.140625" customWidth="1"/>
    <col min="5396" max="5396" width="2.42578125" customWidth="1"/>
    <col min="5397" max="5397" width="11.28515625" bestFit="1" customWidth="1"/>
    <col min="5398" max="5398" width="11.28515625" customWidth="1"/>
    <col min="5633" max="5633" width="13" customWidth="1"/>
    <col min="5634" max="5634" width="3.140625" customWidth="1"/>
    <col min="5635" max="5635" width="3.28515625" customWidth="1"/>
    <col min="5636" max="5636" width="10.140625" customWidth="1"/>
    <col min="5637" max="5637" width="13" customWidth="1"/>
    <col min="5638" max="5638" width="3" customWidth="1"/>
    <col min="5639" max="5639" width="1.85546875" customWidth="1"/>
    <col min="5640" max="5640" width="2.7109375" customWidth="1"/>
    <col min="5641" max="5641" width="14" bestFit="1" customWidth="1"/>
    <col min="5642" max="5642" width="4.28515625" customWidth="1"/>
    <col min="5643" max="5643" width="8.140625" customWidth="1"/>
    <col min="5644" max="5644" width="3" customWidth="1"/>
    <col min="5645" max="5645" width="15.140625" bestFit="1" customWidth="1"/>
    <col min="5646" max="5646" width="8.42578125" customWidth="1"/>
    <col min="5647" max="5647" width="3.28515625" customWidth="1"/>
    <col min="5648" max="5648" width="2.140625" customWidth="1"/>
    <col min="5649" max="5649" width="3.85546875" customWidth="1"/>
    <col min="5650" max="5650" width="7.7109375" customWidth="1"/>
    <col min="5651" max="5651" width="3.140625" customWidth="1"/>
    <col min="5652" max="5652" width="2.42578125" customWidth="1"/>
    <col min="5653" max="5653" width="11.28515625" bestFit="1" customWidth="1"/>
    <col min="5654" max="5654" width="11.28515625" customWidth="1"/>
    <col min="5889" max="5889" width="13" customWidth="1"/>
    <col min="5890" max="5890" width="3.140625" customWidth="1"/>
    <col min="5891" max="5891" width="3.28515625" customWidth="1"/>
    <col min="5892" max="5892" width="10.140625" customWidth="1"/>
    <col min="5893" max="5893" width="13" customWidth="1"/>
    <col min="5894" max="5894" width="3" customWidth="1"/>
    <col min="5895" max="5895" width="1.85546875" customWidth="1"/>
    <col min="5896" max="5896" width="2.7109375" customWidth="1"/>
    <col min="5897" max="5897" width="14" bestFit="1" customWidth="1"/>
    <col min="5898" max="5898" width="4.28515625" customWidth="1"/>
    <col min="5899" max="5899" width="8.140625" customWidth="1"/>
    <col min="5900" max="5900" width="3" customWidth="1"/>
    <col min="5901" max="5901" width="15.140625" bestFit="1" customWidth="1"/>
    <col min="5902" max="5902" width="8.42578125" customWidth="1"/>
    <col min="5903" max="5903" width="3.28515625" customWidth="1"/>
    <col min="5904" max="5904" width="2.140625" customWidth="1"/>
    <col min="5905" max="5905" width="3.85546875" customWidth="1"/>
    <col min="5906" max="5906" width="7.7109375" customWidth="1"/>
    <col min="5907" max="5907" width="3.140625" customWidth="1"/>
    <col min="5908" max="5908" width="2.42578125" customWidth="1"/>
    <col min="5909" max="5909" width="11.28515625" bestFit="1" customWidth="1"/>
    <col min="5910" max="5910" width="11.28515625" customWidth="1"/>
    <col min="6145" max="6145" width="13" customWidth="1"/>
    <col min="6146" max="6146" width="3.140625" customWidth="1"/>
    <col min="6147" max="6147" width="3.28515625" customWidth="1"/>
    <col min="6148" max="6148" width="10.140625" customWidth="1"/>
    <col min="6149" max="6149" width="13" customWidth="1"/>
    <col min="6150" max="6150" width="3" customWidth="1"/>
    <col min="6151" max="6151" width="1.85546875" customWidth="1"/>
    <col min="6152" max="6152" width="2.7109375" customWidth="1"/>
    <col min="6153" max="6153" width="14" bestFit="1" customWidth="1"/>
    <col min="6154" max="6154" width="4.28515625" customWidth="1"/>
    <col min="6155" max="6155" width="8.140625" customWidth="1"/>
    <col min="6156" max="6156" width="3" customWidth="1"/>
    <col min="6157" max="6157" width="15.140625" bestFit="1" customWidth="1"/>
    <col min="6158" max="6158" width="8.42578125" customWidth="1"/>
    <col min="6159" max="6159" width="3.28515625" customWidth="1"/>
    <col min="6160" max="6160" width="2.140625" customWidth="1"/>
    <col min="6161" max="6161" width="3.85546875" customWidth="1"/>
    <col min="6162" max="6162" width="7.7109375" customWidth="1"/>
    <col min="6163" max="6163" width="3.140625" customWidth="1"/>
    <col min="6164" max="6164" width="2.42578125" customWidth="1"/>
    <col min="6165" max="6165" width="11.28515625" bestFit="1" customWidth="1"/>
    <col min="6166" max="6166" width="11.28515625" customWidth="1"/>
    <col min="6401" max="6401" width="13" customWidth="1"/>
    <col min="6402" max="6402" width="3.140625" customWidth="1"/>
    <col min="6403" max="6403" width="3.28515625" customWidth="1"/>
    <col min="6404" max="6404" width="10.140625" customWidth="1"/>
    <col min="6405" max="6405" width="13" customWidth="1"/>
    <col min="6406" max="6406" width="3" customWidth="1"/>
    <col min="6407" max="6407" width="1.85546875" customWidth="1"/>
    <col min="6408" max="6408" width="2.7109375" customWidth="1"/>
    <col min="6409" max="6409" width="14" bestFit="1" customWidth="1"/>
    <col min="6410" max="6410" width="4.28515625" customWidth="1"/>
    <col min="6411" max="6411" width="8.140625" customWidth="1"/>
    <col min="6412" max="6412" width="3" customWidth="1"/>
    <col min="6413" max="6413" width="15.140625" bestFit="1" customWidth="1"/>
    <col min="6414" max="6414" width="8.42578125" customWidth="1"/>
    <col min="6415" max="6415" width="3.28515625" customWidth="1"/>
    <col min="6416" max="6416" width="2.140625" customWidth="1"/>
    <col min="6417" max="6417" width="3.85546875" customWidth="1"/>
    <col min="6418" max="6418" width="7.7109375" customWidth="1"/>
    <col min="6419" max="6419" width="3.140625" customWidth="1"/>
    <col min="6420" max="6420" width="2.42578125" customWidth="1"/>
    <col min="6421" max="6421" width="11.28515625" bestFit="1" customWidth="1"/>
    <col min="6422" max="6422" width="11.28515625" customWidth="1"/>
    <col min="6657" max="6657" width="13" customWidth="1"/>
    <col min="6658" max="6658" width="3.140625" customWidth="1"/>
    <col min="6659" max="6659" width="3.28515625" customWidth="1"/>
    <col min="6660" max="6660" width="10.140625" customWidth="1"/>
    <col min="6661" max="6661" width="13" customWidth="1"/>
    <col min="6662" max="6662" width="3" customWidth="1"/>
    <col min="6663" max="6663" width="1.85546875" customWidth="1"/>
    <col min="6664" max="6664" width="2.7109375" customWidth="1"/>
    <col min="6665" max="6665" width="14" bestFit="1" customWidth="1"/>
    <col min="6666" max="6666" width="4.28515625" customWidth="1"/>
    <col min="6667" max="6667" width="8.140625" customWidth="1"/>
    <col min="6668" max="6668" width="3" customWidth="1"/>
    <col min="6669" max="6669" width="15.140625" bestFit="1" customWidth="1"/>
    <col min="6670" max="6670" width="8.42578125" customWidth="1"/>
    <col min="6671" max="6671" width="3.28515625" customWidth="1"/>
    <col min="6672" max="6672" width="2.140625" customWidth="1"/>
    <col min="6673" max="6673" width="3.85546875" customWidth="1"/>
    <col min="6674" max="6674" width="7.7109375" customWidth="1"/>
    <col min="6675" max="6675" width="3.140625" customWidth="1"/>
    <col min="6676" max="6676" width="2.42578125" customWidth="1"/>
    <col min="6677" max="6677" width="11.28515625" bestFit="1" customWidth="1"/>
    <col min="6678" max="6678" width="11.28515625" customWidth="1"/>
    <col min="6913" max="6913" width="13" customWidth="1"/>
    <col min="6914" max="6914" width="3.140625" customWidth="1"/>
    <col min="6915" max="6915" width="3.28515625" customWidth="1"/>
    <col min="6916" max="6916" width="10.140625" customWidth="1"/>
    <col min="6917" max="6917" width="13" customWidth="1"/>
    <col min="6918" max="6918" width="3" customWidth="1"/>
    <col min="6919" max="6919" width="1.85546875" customWidth="1"/>
    <col min="6920" max="6920" width="2.7109375" customWidth="1"/>
    <col min="6921" max="6921" width="14" bestFit="1" customWidth="1"/>
    <col min="6922" max="6922" width="4.28515625" customWidth="1"/>
    <col min="6923" max="6923" width="8.140625" customWidth="1"/>
    <col min="6924" max="6924" width="3" customWidth="1"/>
    <col min="6925" max="6925" width="15.140625" bestFit="1" customWidth="1"/>
    <col min="6926" max="6926" width="8.42578125" customWidth="1"/>
    <col min="6927" max="6927" width="3.28515625" customWidth="1"/>
    <col min="6928" max="6928" width="2.140625" customWidth="1"/>
    <col min="6929" max="6929" width="3.85546875" customWidth="1"/>
    <col min="6930" max="6930" width="7.7109375" customWidth="1"/>
    <col min="6931" max="6931" width="3.140625" customWidth="1"/>
    <col min="6932" max="6932" width="2.42578125" customWidth="1"/>
    <col min="6933" max="6933" width="11.28515625" bestFit="1" customWidth="1"/>
    <col min="6934" max="6934" width="11.28515625" customWidth="1"/>
    <col min="7169" max="7169" width="13" customWidth="1"/>
    <col min="7170" max="7170" width="3.140625" customWidth="1"/>
    <col min="7171" max="7171" width="3.28515625" customWidth="1"/>
    <col min="7172" max="7172" width="10.140625" customWidth="1"/>
    <col min="7173" max="7173" width="13" customWidth="1"/>
    <col min="7174" max="7174" width="3" customWidth="1"/>
    <col min="7175" max="7175" width="1.85546875" customWidth="1"/>
    <col min="7176" max="7176" width="2.7109375" customWidth="1"/>
    <col min="7177" max="7177" width="14" bestFit="1" customWidth="1"/>
    <col min="7178" max="7178" width="4.28515625" customWidth="1"/>
    <col min="7179" max="7179" width="8.140625" customWidth="1"/>
    <col min="7180" max="7180" width="3" customWidth="1"/>
    <col min="7181" max="7181" width="15.140625" bestFit="1" customWidth="1"/>
    <col min="7182" max="7182" width="8.42578125" customWidth="1"/>
    <col min="7183" max="7183" width="3.28515625" customWidth="1"/>
    <col min="7184" max="7184" width="2.140625" customWidth="1"/>
    <col min="7185" max="7185" width="3.85546875" customWidth="1"/>
    <col min="7186" max="7186" width="7.7109375" customWidth="1"/>
    <col min="7187" max="7187" width="3.140625" customWidth="1"/>
    <col min="7188" max="7188" width="2.42578125" customWidth="1"/>
    <col min="7189" max="7189" width="11.28515625" bestFit="1" customWidth="1"/>
    <col min="7190" max="7190" width="11.28515625" customWidth="1"/>
    <col min="7425" max="7425" width="13" customWidth="1"/>
    <col min="7426" max="7426" width="3.140625" customWidth="1"/>
    <col min="7427" max="7427" width="3.28515625" customWidth="1"/>
    <col min="7428" max="7428" width="10.140625" customWidth="1"/>
    <col min="7429" max="7429" width="13" customWidth="1"/>
    <col min="7430" max="7430" width="3" customWidth="1"/>
    <col min="7431" max="7431" width="1.85546875" customWidth="1"/>
    <col min="7432" max="7432" width="2.7109375" customWidth="1"/>
    <col min="7433" max="7433" width="14" bestFit="1" customWidth="1"/>
    <col min="7434" max="7434" width="4.28515625" customWidth="1"/>
    <col min="7435" max="7435" width="8.140625" customWidth="1"/>
    <col min="7436" max="7436" width="3" customWidth="1"/>
    <col min="7437" max="7437" width="15.140625" bestFit="1" customWidth="1"/>
    <col min="7438" max="7438" width="8.42578125" customWidth="1"/>
    <col min="7439" max="7439" width="3.28515625" customWidth="1"/>
    <col min="7440" max="7440" width="2.140625" customWidth="1"/>
    <col min="7441" max="7441" width="3.85546875" customWidth="1"/>
    <col min="7442" max="7442" width="7.7109375" customWidth="1"/>
    <col min="7443" max="7443" width="3.140625" customWidth="1"/>
    <col min="7444" max="7444" width="2.42578125" customWidth="1"/>
    <col min="7445" max="7445" width="11.28515625" bestFit="1" customWidth="1"/>
    <col min="7446" max="7446" width="11.28515625" customWidth="1"/>
    <col min="7681" max="7681" width="13" customWidth="1"/>
    <col min="7682" max="7682" width="3.140625" customWidth="1"/>
    <col min="7683" max="7683" width="3.28515625" customWidth="1"/>
    <col min="7684" max="7684" width="10.140625" customWidth="1"/>
    <col min="7685" max="7685" width="13" customWidth="1"/>
    <col min="7686" max="7686" width="3" customWidth="1"/>
    <col min="7687" max="7687" width="1.85546875" customWidth="1"/>
    <col min="7688" max="7688" width="2.7109375" customWidth="1"/>
    <col min="7689" max="7689" width="14" bestFit="1" customWidth="1"/>
    <col min="7690" max="7690" width="4.28515625" customWidth="1"/>
    <col min="7691" max="7691" width="8.140625" customWidth="1"/>
    <col min="7692" max="7692" width="3" customWidth="1"/>
    <col min="7693" max="7693" width="15.140625" bestFit="1" customWidth="1"/>
    <col min="7694" max="7694" width="8.42578125" customWidth="1"/>
    <col min="7695" max="7695" width="3.28515625" customWidth="1"/>
    <col min="7696" max="7696" width="2.140625" customWidth="1"/>
    <col min="7697" max="7697" width="3.85546875" customWidth="1"/>
    <col min="7698" max="7698" width="7.7109375" customWidth="1"/>
    <col min="7699" max="7699" width="3.140625" customWidth="1"/>
    <col min="7700" max="7700" width="2.42578125" customWidth="1"/>
    <col min="7701" max="7701" width="11.28515625" bestFit="1" customWidth="1"/>
    <col min="7702" max="7702" width="11.28515625" customWidth="1"/>
    <col min="7937" max="7937" width="13" customWidth="1"/>
    <col min="7938" max="7938" width="3.140625" customWidth="1"/>
    <col min="7939" max="7939" width="3.28515625" customWidth="1"/>
    <col min="7940" max="7940" width="10.140625" customWidth="1"/>
    <col min="7941" max="7941" width="13" customWidth="1"/>
    <col min="7942" max="7942" width="3" customWidth="1"/>
    <col min="7943" max="7943" width="1.85546875" customWidth="1"/>
    <col min="7944" max="7944" width="2.7109375" customWidth="1"/>
    <col min="7945" max="7945" width="14" bestFit="1" customWidth="1"/>
    <col min="7946" max="7946" width="4.28515625" customWidth="1"/>
    <col min="7947" max="7947" width="8.140625" customWidth="1"/>
    <col min="7948" max="7948" width="3" customWidth="1"/>
    <col min="7949" max="7949" width="15.140625" bestFit="1" customWidth="1"/>
    <col min="7950" max="7950" width="8.42578125" customWidth="1"/>
    <col min="7951" max="7951" width="3.28515625" customWidth="1"/>
    <col min="7952" max="7952" width="2.140625" customWidth="1"/>
    <col min="7953" max="7953" width="3.85546875" customWidth="1"/>
    <col min="7954" max="7954" width="7.7109375" customWidth="1"/>
    <col min="7955" max="7955" width="3.140625" customWidth="1"/>
    <col min="7956" max="7956" width="2.42578125" customWidth="1"/>
    <col min="7957" max="7957" width="11.28515625" bestFit="1" customWidth="1"/>
    <col min="7958" max="7958" width="11.28515625" customWidth="1"/>
    <col min="8193" max="8193" width="13" customWidth="1"/>
    <col min="8194" max="8194" width="3.140625" customWidth="1"/>
    <col min="8195" max="8195" width="3.28515625" customWidth="1"/>
    <col min="8196" max="8196" width="10.140625" customWidth="1"/>
    <col min="8197" max="8197" width="13" customWidth="1"/>
    <col min="8198" max="8198" width="3" customWidth="1"/>
    <col min="8199" max="8199" width="1.85546875" customWidth="1"/>
    <col min="8200" max="8200" width="2.7109375" customWidth="1"/>
    <col min="8201" max="8201" width="14" bestFit="1" customWidth="1"/>
    <col min="8202" max="8202" width="4.28515625" customWidth="1"/>
    <col min="8203" max="8203" width="8.140625" customWidth="1"/>
    <col min="8204" max="8204" width="3" customWidth="1"/>
    <col min="8205" max="8205" width="15.140625" bestFit="1" customWidth="1"/>
    <col min="8206" max="8206" width="8.42578125" customWidth="1"/>
    <col min="8207" max="8207" width="3.28515625" customWidth="1"/>
    <col min="8208" max="8208" width="2.140625" customWidth="1"/>
    <col min="8209" max="8209" width="3.85546875" customWidth="1"/>
    <col min="8210" max="8210" width="7.7109375" customWidth="1"/>
    <col min="8211" max="8211" width="3.140625" customWidth="1"/>
    <col min="8212" max="8212" width="2.42578125" customWidth="1"/>
    <col min="8213" max="8213" width="11.28515625" bestFit="1" customWidth="1"/>
    <col min="8214" max="8214" width="11.28515625" customWidth="1"/>
    <col min="8449" max="8449" width="13" customWidth="1"/>
    <col min="8450" max="8450" width="3.140625" customWidth="1"/>
    <col min="8451" max="8451" width="3.28515625" customWidth="1"/>
    <col min="8452" max="8452" width="10.140625" customWidth="1"/>
    <col min="8453" max="8453" width="13" customWidth="1"/>
    <col min="8454" max="8454" width="3" customWidth="1"/>
    <col min="8455" max="8455" width="1.85546875" customWidth="1"/>
    <col min="8456" max="8456" width="2.7109375" customWidth="1"/>
    <col min="8457" max="8457" width="14" bestFit="1" customWidth="1"/>
    <col min="8458" max="8458" width="4.28515625" customWidth="1"/>
    <col min="8459" max="8459" width="8.140625" customWidth="1"/>
    <col min="8460" max="8460" width="3" customWidth="1"/>
    <col min="8461" max="8461" width="15.140625" bestFit="1" customWidth="1"/>
    <col min="8462" max="8462" width="8.42578125" customWidth="1"/>
    <col min="8463" max="8463" width="3.28515625" customWidth="1"/>
    <col min="8464" max="8464" width="2.140625" customWidth="1"/>
    <col min="8465" max="8465" width="3.85546875" customWidth="1"/>
    <col min="8466" max="8466" width="7.7109375" customWidth="1"/>
    <col min="8467" max="8467" width="3.140625" customWidth="1"/>
    <col min="8468" max="8468" width="2.42578125" customWidth="1"/>
    <col min="8469" max="8469" width="11.28515625" bestFit="1" customWidth="1"/>
    <col min="8470" max="8470" width="11.28515625" customWidth="1"/>
    <col min="8705" max="8705" width="13" customWidth="1"/>
    <col min="8706" max="8706" width="3.140625" customWidth="1"/>
    <col min="8707" max="8707" width="3.28515625" customWidth="1"/>
    <col min="8708" max="8708" width="10.140625" customWidth="1"/>
    <col min="8709" max="8709" width="13" customWidth="1"/>
    <col min="8710" max="8710" width="3" customWidth="1"/>
    <col min="8711" max="8711" width="1.85546875" customWidth="1"/>
    <col min="8712" max="8712" width="2.7109375" customWidth="1"/>
    <col min="8713" max="8713" width="14" bestFit="1" customWidth="1"/>
    <col min="8714" max="8714" width="4.28515625" customWidth="1"/>
    <col min="8715" max="8715" width="8.140625" customWidth="1"/>
    <col min="8716" max="8716" width="3" customWidth="1"/>
    <col min="8717" max="8717" width="15.140625" bestFit="1" customWidth="1"/>
    <col min="8718" max="8718" width="8.42578125" customWidth="1"/>
    <col min="8719" max="8719" width="3.28515625" customWidth="1"/>
    <col min="8720" max="8720" width="2.140625" customWidth="1"/>
    <col min="8721" max="8721" width="3.85546875" customWidth="1"/>
    <col min="8722" max="8722" width="7.7109375" customWidth="1"/>
    <col min="8723" max="8723" width="3.140625" customWidth="1"/>
    <col min="8724" max="8724" width="2.42578125" customWidth="1"/>
    <col min="8725" max="8725" width="11.28515625" bestFit="1" customWidth="1"/>
    <col min="8726" max="8726" width="11.28515625" customWidth="1"/>
    <col min="8961" max="8961" width="13" customWidth="1"/>
    <col min="8962" max="8962" width="3.140625" customWidth="1"/>
    <col min="8963" max="8963" width="3.28515625" customWidth="1"/>
    <col min="8964" max="8964" width="10.140625" customWidth="1"/>
    <col min="8965" max="8965" width="13" customWidth="1"/>
    <col min="8966" max="8966" width="3" customWidth="1"/>
    <col min="8967" max="8967" width="1.85546875" customWidth="1"/>
    <col min="8968" max="8968" width="2.7109375" customWidth="1"/>
    <col min="8969" max="8969" width="14" bestFit="1" customWidth="1"/>
    <col min="8970" max="8970" width="4.28515625" customWidth="1"/>
    <col min="8971" max="8971" width="8.140625" customWidth="1"/>
    <col min="8972" max="8972" width="3" customWidth="1"/>
    <col min="8973" max="8973" width="15.140625" bestFit="1" customWidth="1"/>
    <col min="8974" max="8974" width="8.42578125" customWidth="1"/>
    <col min="8975" max="8975" width="3.28515625" customWidth="1"/>
    <col min="8976" max="8976" width="2.140625" customWidth="1"/>
    <col min="8977" max="8977" width="3.85546875" customWidth="1"/>
    <col min="8978" max="8978" width="7.7109375" customWidth="1"/>
    <col min="8979" max="8979" width="3.140625" customWidth="1"/>
    <col min="8980" max="8980" width="2.42578125" customWidth="1"/>
    <col min="8981" max="8981" width="11.28515625" bestFit="1" customWidth="1"/>
    <col min="8982" max="8982" width="11.28515625" customWidth="1"/>
    <col min="9217" max="9217" width="13" customWidth="1"/>
    <col min="9218" max="9218" width="3.140625" customWidth="1"/>
    <col min="9219" max="9219" width="3.28515625" customWidth="1"/>
    <col min="9220" max="9220" width="10.140625" customWidth="1"/>
    <col min="9221" max="9221" width="13" customWidth="1"/>
    <col min="9222" max="9222" width="3" customWidth="1"/>
    <col min="9223" max="9223" width="1.85546875" customWidth="1"/>
    <col min="9224" max="9224" width="2.7109375" customWidth="1"/>
    <col min="9225" max="9225" width="14" bestFit="1" customWidth="1"/>
    <col min="9226" max="9226" width="4.28515625" customWidth="1"/>
    <col min="9227" max="9227" width="8.140625" customWidth="1"/>
    <col min="9228" max="9228" width="3" customWidth="1"/>
    <col min="9229" max="9229" width="15.140625" bestFit="1" customWidth="1"/>
    <col min="9230" max="9230" width="8.42578125" customWidth="1"/>
    <col min="9231" max="9231" width="3.28515625" customWidth="1"/>
    <col min="9232" max="9232" width="2.140625" customWidth="1"/>
    <col min="9233" max="9233" width="3.85546875" customWidth="1"/>
    <col min="9234" max="9234" width="7.7109375" customWidth="1"/>
    <col min="9235" max="9235" width="3.140625" customWidth="1"/>
    <col min="9236" max="9236" width="2.42578125" customWidth="1"/>
    <col min="9237" max="9237" width="11.28515625" bestFit="1" customWidth="1"/>
    <col min="9238" max="9238" width="11.28515625" customWidth="1"/>
    <col min="9473" max="9473" width="13" customWidth="1"/>
    <col min="9474" max="9474" width="3.140625" customWidth="1"/>
    <col min="9475" max="9475" width="3.28515625" customWidth="1"/>
    <col min="9476" max="9476" width="10.140625" customWidth="1"/>
    <col min="9477" max="9477" width="13" customWidth="1"/>
    <col min="9478" max="9478" width="3" customWidth="1"/>
    <col min="9479" max="9479" width="1.85546875" customWidth="1"/>
    <col min="9480" max="9480" width="2.7109375" customWidth="1"/>
    <col min="9481" max="9481" width="14" bestFit="1" customWidth="1"/>
    <col min="9482" max="9482" width="4.28515625" customWidth="1"/>
    <col min="9483" max="9483" width="8.140625" customWidth="1"/>
    <col min="9484" max="9484" width="3" customWidth="1"/>
    <col min="9485" max="9485" width="15.140625" bestFit="1" customWidth="1"/>
    <col min="9486" max="9486" width="8.42578125" customWidth="1"/>
    <col min="9487" max="9487" width="3.28515625" customWidth="1"/>
    <col min="9488" max="9488" width="2.140625" customWidth="1"/>
    <col min="9489" max="9489" width="3.85546875" customWidth="1"/>
    <col min="9490" max="9490" width="7.7109375" customWidth="1"/>
    <col min="9491" max="9491" width="3.140625" customWidth="1"/>
    <col min="9492" max="9492" width="2.42578125" customWidth="1"/>
    <col min="9493" max="9493" width="11.28515625" bestFit="1" customWidth="1"/>
    <col min="9494" max="9494" width="11.28515625" customWidth="1"/>
    <col min="9729" max="9729" width="13" customWidth="1"/>
    <col min="9730" max="9730" width="3.140625" customWidth="1"/>
    <col min="9731" max="9731" width="3.28515625" customWidth="1"/>
    <col min="9732" max="9732" width="10.140625" customWidth="1"/>
    <col min="9733" max="9733" width="13" customWidth="1"/>
    <col min="9734" max="9734" width="3" customWidth="1"/>
    <col min="9735" max="9735" width="1.85546875" customWidth="1"/>
    <col min="9736" max="9736" width="2.7109375" customWidth="1"/>
    <col min="9737" max="9737" width="14" bestFit="1" customWidth="1"/>
    <col min="9738" max="9738" width="4.28515625" customWidth="1"/>
    <col min="9739" max="9739" width="8.140625" customWidth="1"/>
    <col min="9740" max="9740" width="3" customWidth="1"/>
    <col min="9741" max="9741" width="15.140625" bestFit="1" customWidth="1"/>
    <col min="9742" max="9742" width="8.42578125" customWidth="1"/>
    <col min="9743" max="9743" width="3.28515625" customWidth="1"/>
    <col min="9744" max="9744" width="2.140625" customWidth="1"/>
    <col min="9745" max="9745" width="3.85546875" customWidth="1"/>
    <col min="9746" max="9746" width="7.7109375" customWidth="1"/>
    <col min="9747" max="9747" width="3.140625" customWidth="1"/>
    <col min="9748" max="9748" width="2.42578125" customWidth="1"/>
    <col min="9749" max="9749" width="11.28515625" bestFit="1" customWidth="1"/>
    <col min="9750" max="9750" width="11.28515625" customWidth="1"/>
    <col min="9985" max="9985" width="13" customWidth="1"/>
    <col min="9986" max="9986" width="3.140625" customWidth="1"/>
    <col min="9987" max="9987" width="3.28515625" customWidth="1"/>
    <col min="9988" max="9988" width="10.140625" customWidth="1"/>
    <col min="9989" max="9989" width="13" customWidth="1"/>
    <col min="9990" max="9990" width="3" customWidth="1"/>
    <col min="9991" max="9991" width="1.85546875" customWidth="1"/>
    <col min="9992" max="9992" width="2.7109375" customWidth="1"/>
    <col min="9993" max="9993" width="14" bestFit="1" customWidth="1"/>
    <col min="9994" max="9994" width="4.28515625" customWidth="1"/>
    <col min="9995" max="9995" width="8.140625" customWidth="1"/>
    <col min="9996" max="9996" width="3" customWidth="1"/>
    <col min="9997" max="9997" width="15.140625" bestFit="1" customWidth="1"/>
    <col min="9998" max="9998" width="8.42578125" customWidth="1"/>
    <col min="9999" max="9999" width="3.28515625" customWidth="1"/>
    <col min="10000" max="10000" width="2.140625" customWidth="1"/>
    <col min="10001" max="10001" width="3.85546875" customWidth="1"/>
    <col min="10002" max="10002" width="7.7109375" customWidth="1"/>
    <col min="10003" max="10003" width="3.140625" customWidth="1"/>
    <col min="10004" max="10004" width="2.42578125" customWidth="1"/>
    <col min="10005" max="10005" width="11.28515625" bestFit="1" customWidth="1"/>
    <col min="10006" max="10006" width="11.28515625" customWidth="1"/>
    <col min="10241" max="10241" width="13" customWidth="1"/>
    <col min="10242" max="10242" width="3.140625" customWidth="1"/>
    <col min="10243" max="10243" width="3.28515625" customWidth="1"/>
    <col min="10244" max="10244" width="10.140625" customWidth="1"/>
    <col min="10245" max="10245" width="13" customWidth="1"/>
    <col min="10246" max="10246" width="3" customWidth="1"/>
    <col min="10247" max="10247" width="1.85546875" customWidth="1"/>
    <col min="10248" max="10248" width="2.7109375" customWidth="1"/>
    <col min="10249" max="10249" width="14" bestFit="1" customWidth="1"/>
    <col min="10250" max="10250" width="4.28515625" customWidth="1"/>
    <col min="10251" max="10251" width="8.140625" customWidth="1"/>
    <col min="10252" max="10252" width="3" customWidth="1"/>
    <col min="10253" max="10253" width="15.140625" bestFit="1" customWidth="1"/>
    <col min="10254" max="10254" width="8.42578125" customWidth="1"/>
    <col min="10255" max="10255" width="3.28515625" customWidth="1"/>
    <col min="10256" max="10256" width="2.140625" customWidth="1"/>
    <col min="10257" max="10257" width="3.85546875" customWidth="1"/>
    <col min="10258" max="10258" width="7.7109375" customWidth="1"/>
    <col min="10259" max="10259" width="3.140625" customWidth="1"/>
    <col min="10260" max="10260" width="2.42578125" customWidth="1"/>
    <col min="10261" max="10261" width="11.28515625" bestFit="1" customWidth="1"/>
    <col min="10262" max="10262" width="11.28515625" customWidth="1"/>
    <col min="10497" max="10497" width="13" customWidth="1"/>
    <col min="10498" max="10498" width="3.140625" customWidth="1"/>
    <col min="10499" max="10499" width="3.28515625" customWidth="1"/>
    <col min="10500" max="10500" width="10.140625" customWidth="1"/>
    <col min="10501" max="10501" width="13" customWidth="1"/>
    <col min="10502" max="10502" width="3" customWidth="1"/>
    <col min="10503" max="10503" width="1.85546875" customWidth="1"/>
    <col min="10504" max="10504" width="2.7109375" customWidth="1"/>
    <col min="10505" max="10505" width="14" bestFit="1" customWidth="1"/>
    <col min="10506" max="10506" width="4.28515625" customWidth="1"/>
    <col min="10507" max="10507" width="8.140625" customWidth="1"/>
    <col min="10508" max="10508" width="3" customWidth="1"/>
    <col min="10509" max="10509" width="15.140625" bestFit="1" customWidth="1"/>
    <col min="10510" max="10510" width="8.42578125" customWidth="1"/>
    <col min="10511" max="10511" width="3.28515625" customWidth="1"/>
    <col min="10512" max="10512" width="2.140625" customWidth="1"/>
    <col min="10513" max="10513" width="3.85546875" customWidth="1"/>
    <col min="10514" max="10514" width="7.7109375" customWidth="1"/>
    <col min="10515" max="10515" width="3.140625" customWidth="1"/>
    <col min="10516" max="10516" width="2.42578125" customWidth="1"/>
    <col min="10517" max="10517" width="11.28515625" bestFit="1" customWidth="1"/>
    <col min="10518" max="10518" width="11.28515625" customWidth="1"/>
    <col min="10753" max="10753" width="13" customWidth="1"/>
    <col min="10754" max="10754" width="3.140625" customWidth="1"/>
    <col min="10755" max="10755" width="3.28515625" customWidth="1"/>
    <col min="10756" max="10756" width="10.140625" customWidth="1"/>
    <col min="10757" max="10757" width="13" customWidth="1"/>
    <col min="10758" max="10758" width="3" customWidth="1"/>
    <col min="10759" max="10759" width="1.85546875" customWidth="1"/>
    <col min="10760" max="10760" width="2.7109375" customWidth="1"/>
    <col min="10761" max="10761" width="14" bestFit="1" customWidth="1"/>
    <col min="10762" max="10762" width="4.28515625" customWidth="1"/>
    <col min="10763" max="10763" width="8.140625" customWidth="1"/>
    <col min="10764" max="10764" width="3" customWidth="1"/>
    <col min="10765" max="10765" width="15.140625" bestFit="1" customWidth="1"/>
    <col min="10766" max="10766" width="8.42578125" customWidth="1"/>
    <col min="10767" max="10767" width="3.28515625" customWidth="1"/>
    <col min="10768" max="10768" width="2.140625" customWidth="1"/>
    <col min="10769" max="10769" width="3.85546875" customWidth="1"/>
    <col min="10770" max="10770" width="7.7109375" customWidth="1"/>
    <col min="10771" max="10771" width="3.140625" customWidth="1"/>
    <col min="10772" max="10772" width="2.42578125" customWidth="1"/>
    <col min="10773" max="10773" width="11.28515625" bestFit="1" customWidth="1"/>
    <col min="10774" max="10774" width="11.28515625" customWidth="1"/>
    <col min="11009" max="11009" width="13" customWidth="1"/>
    <col min="11010" max="11010" width="3.140625" customWidth="1"/>
    <col min="11011" max="11011" width="3.28515625" customWidth="1"/>
    <col min="11012" max="11012" width="10.140625" customWidth="1"/>
    <col min="11013" max="11013" width="13" customWidth="1"/>
    <col min="11014" max="11014" width="3" customWidth="1"/>
    <col min="11015" max="11015" width="1.85546875" customWidth="1"/>
    <col min="11016" max="11016" width="2.7109375" customWidth="1"/>
    <col min="11017" max="11017" width="14" bestFit="1" customWidth="1"/>
    <col min="11018" max="11018" width="4.28515625" customWidth="1"/>
    <col min="11019" max="11019" width="8.140625" customWidth="1"/>
    <col min="11020" max="11020" width="3" customWidth="1"/>
    <col min="11021" max="11021" width="15.140625" bestFit="1" customWidth="1"/>
    <col min="11022" max="11022" width="8.42578125" customWidth="1"/>
    <col min="11023" max="11023" width="3.28515625" customWidth="1"/>
    <col min="11024" max="11024" width="2.140625" customWidth="1"/>
    <col min="11025" max="11025" width="3.85546875" customWidth="1"/>
    <col min="11026" max="11026" width="7.7109375" customWidth="1"/>
    <col min="11027" max="11027" width="3.140625" customWidth="1"/>
    <col min="11028" max="11028" width="2.42578125" customWidth="1"/>
    <col min="11029" max="11029" width="11.28515625" bestFit="1" customWidth="1"/>
    <col min="11030" max="11030" width="11.28515625" customWidth="1"/>
    <col min="11265" max="11265" width="13" customWidth="1"/>
    <col min="11266" max="11266" width="3.140625" customWidth="1"/>
    <col min="11267" max="11267" width="3.28515625" customWidth="1"/>
    <col min="11268" max="11268" width="10.140625" customWidth="1"/>
    <col min="11269" max="11269" width="13" customWidth="1"/>
    <col min="11270" max="11270" width="3" customWidth="1"/>
    <col min="11271" max="11271" width="1.85546875" customWidth="1"/>
    <col min="11272" max="11272" width="2.7109375" customWidth="1"/>
    <col min="11273" max="11273" width="14" bestFit="1" customWidth="1"/>
    <col min="11274" max="11274" width="4.28515625" customWidth="1"/>
    <col min="11275" max="11275" width="8.140625" customWidth="1"/>
    <col min="11276" max="11276" width="3" customWidth="1"/>
    <col min="11277" max="11277" width="15.140625" bestFit="1" customWidth="1"/>
    <col min="11278" max="11278" width="8.42578125" customWidth="1"/>
    <col min="11279" max="11279" width="3.28515625" customWidth="1"/>
    <col min="11280" max="11280" width="2.140625" customWidth="1"/>
    <col min="11281" max="11281" width="3.85546875" customWidth="1"/>
    <col min="11282" max="11282" width="7.7109375" customWidth="1"/>
    <col min="11283" max="11283" width="3.140625" customWidth="1"/>
    <col min="11284" max="11284" width="2.42578125" customWidth="1"/>
    <col min="11285" max="11285" width="11.28515625" bestFit="1" customWidth="1"/>
    <col min="11286" max="11286" width="11.28515625" customWidth="1"/>
    <col min="11521" max="11521" width="13" customWidth="1"/>
    <col min="11522" max="11522" width="3.140625" customWidth="1"/>
    <col min="11523" max="11523" width="3.28515625" customWidth="1"/>
    <col min="11524" max="11524" width="10.140625" customWidth="1"/>
    <col min="11525" max="11525" width="13" customWidth="1"/>
    <col min="11526" max="11526" width="3" customWidth="1"/>
    <col min="11527" max="11527" width="1.85546875" customWidth="1"/>
    <col min="11528" max="11528" width="2.7109375" customWidth="1"/>
    <col min="11529" max="11529" width="14" bestFit="1" customWidth="1"/>
    <col min="11530" max="11530" width="4.28515625" customWidth="1"/>
    <col min="11531" max="11531" width="8.140625" customWidth="1"/>
    <col min="11532" max="11532" width="3" customWidth="1"/>
    <col min="11533" max="11533" width="15.140625" bestFit="1" customWidth="1"/>
    <col min="11534" max="11534" width="8.42578125" customWidth="1"/>
    <col min="11535" max="11535" width="3.28515625" customWidth="1"/>
    <col min="11536" max="11536" width="2.140625" customWidth="1"/>
    <col min="11537" max="11537" width="3.85546875" customWidth="1"/>
    <col min="11538" max="11538" width="7.7109375" customWidth="1"/>
    <col min="11539" max="11539" width="3.140625" customWidth="1"/>
    <col min="11540" max="11540" width="2.42578125" customWidth="1"/>
    <col min="11541" max="11541" width="11.28515625" bestFit="1" customWidth="1"/>
    <col min="11542" max="11542" width="11.28515625" customWidth="1"/>
    <col min="11777" max="11777" width="13" customWidth="1"/>
    <col min="11778" max="11778" width="3.140625" customWidth="1"/>
    <col min="11779" max="11779" width="3.28515625" customWidth="1"/>
    <col min="11780" max="11780" width="10.140625" customWidth="1"/>
    <col min="11781" max="11781" width="13" customWidth="1"/>
    <col min="11782" max="11782" width="3" customWidth="1"/>
    <col min="11783" max="11783" width="1.85546875" customWidth="1"/>
    <col min="11784" max="11784" width="2.7109375" customWidth="1"/>
    <col min="11785" max="11785" width="14" bestFit="1" customWidth="1"/>
    <col min="11786" max="11786" width="4.28515625" customWidth="1"/>
    <col min="11787" max="11787" width="8.140625" customWidth="1"/>
    <col min="11788" max="11788" width="3" customWidth="1"/>
    <col min="11789" max="11789" width="15.140625" bestFit="1" customWidth="1"/>
    <col min="11790" max="11790" width="8.42578125" customWidth="1"/>
    <col min="11791" max="11791" width="3.28515625" customWidth="1"/>
    <col min="11792" max="11792" width="2.140625" customWidth="1"/>
    <col min="11793" max="11793" width="3.85546875" customWidth="1"/>
    <col min="11794" max="11794" width="7.7109375" customWidth="1"/>
    <col min="11795" max="11795" width="3.140625" customWidth="1"/>
    <col min="11796" max="11796" width="2.42578125" customWidth="1"/>
    <col min="11797" max="11797" width="11.28515625" bestFit="1" customWidth="1"/>
    <col min="11798" max="11798" width="11.28515625" customWidth="1"/>
    <col min="12033" max="12033" width="13" customWidth="1"/>
    <col min="12034" max="12034" width="3.140625" customWidth="1"/>
    <col min="12035" max="12035" width="3.28515625" customWidth="1"/>
    <col min="12036" max="12036" width="10.140625" customWidth="1"/>
    <col min="12037" max="12037" width="13" customWidth="1"/>
    <col min="12038" max="12038" width="3" customWidth="1"/>
    <col min="12039" max="12039" width="1.85546875" customWidth="1"/>
    <col min="12040" max="12040" width="2.7109375" customWidth="1"/>
    <col min="12041" max="12041" width="14" bestFit="1" customWidth="1"/>
    <col min="12042" max="12042" width="4.28515625" customWidth="1"/>
    <col min="12043" max="12043" width="8.140625" customWidth="1"/>
    <col min="12044" max="12044" width="3" customWidth="1"/>
    <col min="12045" max="12045" width="15.140625" bestFit="1" customWidth="1"/>
    <col min="12046" max="12046" width="8.42578125" customWidth="1"/>
    <col min="12047" max="12047" width="3.28515625" customWidth="1"/>
    <col min="12048" max="12048" width="2.140625" customWidth="1"/>
    <col min="12049" max="12049" width="3.85546875" customWidth="1"/>
    <col min="12050" max="12050" width="7.7109375" customWidth="1"/>
    <col min="12051" max="12051" width="3.140625" customWidth="1"/>
    <col min="12052" max="12052" width="2.42578125" customWidth="1"/>
    <col min="12053" max="12053" width="11.28515625" bestFit="1" customWidth="1"/>
    <col min="12054" max="12054" width="11.28515625" customWidth="1"/>
    <col min="12289" max="12289" width="13" customWidth="1"/>
    <col min="12290" max="12290" width="3.140625" customWidth="1"/>
    <col min="12291" max="12291" width="3.28515625" customWidth="1"/>
    <col min="12292" max="12292" width="10.140625" customWidth="1"/>
    <col min="12293" max="12293" width="13" customWidth="1"/>
    <col min="12294" max="12294" width="3" customWidth="1"/>
    <col min="12295" max="12295" width="1.85546875" customWidth="1"/>
    <col min="12296" max="12296" width="2.7109375" customWidth="1"/>
    <col min="12297" max="12297" width="14" bestFit="1" customWidth="1"/>
    <col min="12298" max="12298" width="4.28515625" customWidth="1"/>
    <col min="12299" max="12299" width="8.140625" customWidth="1"/>
    <col min="12300" max="12300" width="3" customWidth="1"/>
    <col min="12301" max="12301" width="15.140625" bestFit="1" customWidth="1"/>
    <col min="12302" max="12302" width="8.42578125" customWidth="1"/>
    <col min="12303" max="12303" width="3.28515625" customWidth="1"/>
    <col min="12304" max="12304" width="2.140625" customWidth="1"/>
    <col min="12305" max="12305" width="3.85546875" customWidth="1"/>
    <col min="12306" max="12306" width="7.7109375" customWidth="1"/>
    <col min="12307" max="12307" width="3.140625" customWidth="1"/>
    <col min="12308" max="12308" width="2.42578125" customWidth="1"/>
    <col min="12309" max="12309" width="11.28515625" bestFit="1" customWidth="1"/>
    <col min="12310" max="12310" width="11.28515625" customWidth="1"/>
    <col min="12545" max="12545" width="13" customWidth="1"/>
    <col min="12546" max="12546" width="3.140625" customWidth="1"/>
    <col min="12547" max="12547" width="3.28515625" customWidth="1"/>
    <col min="12548" max="12548" width="10.140625" customWidth="1"/>
    <col min="12549" max="12549" width="13" customWidth="1"/>
    <col min="12550" max="12550" width="3" customWidth="1"/>
    <col min="12551" max="12551" width="1.85546875" customWidth="1"/>
    <col min="12552" max="12552" width="2.7109375" customWidth="1"/>
    <col min="12553" max="12553" width="14" bestFit="1" customWidth="1"/>
    <col min="12554" max="12554" width="4.28515625" customWidth="1"/>
    <col min="12555" max="12555" width="8.140625" customWidth="1"/>
    <col min="12556" max="12556" width="3" customWidth="1"/>
    <col min="12557" max="12557" width="15.140625" bestFit="1" customWidth="1"/>
    <col min="12558" max="12558" width="8.42578125" customWidth="1"/>
    <col min="12559" max="12559" width="3.28515625" customWidth="1"/>
    <col min="12560" max="12560" width="2.140625" customWidth="1"/>
    <col min="12561" max="12561" width="3.85546875" customWidth="1"/>
    <col min="12562" max="12562" width="7.7109375" customWidth="1"/>
    <col min="12563" max="12563" width="3.140625" customWidth="1"/>
    <col min="12564" max="12564" width="2.42578125" customWidth="1"/>
    <col min="12565" max="12565" width="11.28515625" bestFit="1" customWidth="1"/>
    <col min="12566" max="12566" width="11.28515625" customWidth="1"/>
    <col min="12801" max="12801" width="13" customWidth="1"/>
    <col min="12802" max="12802" width="3.140625" customWidth="1"/>
    <col min="12803" max="12803" width="3.28515625" customWidth="1"/>
    <col min="12804" max="12804" width="10.140625" customWidth="1"/>
    <col min="12805" max="12805" width="13" customWidth="1"/>
    <col min="12806" max="12806" width="3" customWidth="1"/>
    <col min="12807" max="12807" width="1.85546875" customWidth="1"/>
    <col min="12808" max="12808" width="2.7109375" customWidth="1"/>
    <col min="12809" max="12809" width="14" bestFit="1" customWidth="1"/>
    <col min="12810" max="12810" width="4.28515625" customWidth="1"/>
    <col min="12811" max="12811" width="8.140625" customWidth="1"/>
    <col min="12812" max="12812" width="3" customWidth="1"/>
    <col min="12813" max="12813" width="15.140625" bestFit="1" customWidth="1"/>
    <col min="12814" max="12814" width="8.42578125" customWidth="1"/>
    <col min="12815" max="12815" width="3.28515625" customWidth="1"/>
    <col min="12816" max="12816" width="2.140625" customWidth="1"/>
    <col min="12817" max="12817" width="3.85546875" customWidth="1"/>
    <col min="12818" max="12818" width="7.7109375" customWidth="1"/>
    <col min="12819" max="12819" width="3.140625" customWidth="1"/>
    <col min="12820" max="12820" width="2.42578125" customWidth="1"/>
    <col min="12821" max="12821" width="11.28515625" bestFit="1" customWidth="1"/>
    <col min="12822" max="12822" width="11.28515625" customWidth="1"/>
    <col min="13057" max="13057" width="13" customWidth="1"/>
    <col min="13058" max="13058" width="3.140625" customWidth="1"/>
    <col min="13059" max="13059" width="3.28515625" customWidth="1"/>
    <col min="13060" max="13060" width="10.140625" customWidth="1"/>
    <col min="13061" max="13061" width="13" customWidth="1"/>
    <col min="13062" max="13062" width="3" customWidth="1"/>
    <col min="13063" max="13063" width="1.85546875" customWidth="1"/>
    <col min="13064" max="13064" width="2.7109375" customWidth="1"/>
    <col min="13065" max="13065" width="14" bestFit="1" customWidth="1"/>
    <col min="13066" max="13066" width="4.28515625" customWidth="1"/>
    <col min="13067" max="13067" width="8.140625" customWidth="1"/>
    <col min="13068" max="13068" width="3" customWidth="1"/>
    <col min="13069" max="13069" width="15.140625" bestFit="1" customWidth="1"/>
    <col min="13070" max="13070" width="8.42578125" customWidth="1"/>
    <col min="13071" max="13071" width="3.28515625" customWidth="1"/>
    <col min="13072" max="13072" width="2.140625" customWidth="1"/>
    <col min="13073" max="13073" width="3.85546875" customWidth="1"/>
    <col min="13074" max="13074" width="7.7109375" customWidth="1"/>
    <col min="13075" max="13075" width="3.140625" customWidth="1"/>
    <col min="13076" max="13076" width="2.42578125" customWidth="1"/>
    <col min="13077" max="13077" width="11.28515625" bestFit="1" customWidth="1"/>
    <col min="13078" max="13078" width="11.28515625" customWidth="1"/>
    <col min="13313" max="13313" width="13" customWidth="1"/>
    <col min="13314" max="13314" width="3.140625" customWidth="1"/>
    <col min="13315" max="13315" width="3.28515625" customWidth="1"/>
    <col min="13316" max="13316" width="10.140625" customWidth="1"/>
    <col min="13317" max="13317" width="13" customWidth="1"/>
    <col min="13318" max="13318" width="3" customWidth="1"/>
    <col min="13319" max="13319" width="1.85546875" customWidth="1"/>
    <col min="13320" max="13320" width="2.7109375" customWidth="1"/>
    <col min="13321" max="13321" width="14" bestFit="1" customWidth="1"/>
    <col min="13322" max="13322" width="4.28515625" customWidth="1"/>
    <col min="13323" max="13323" width="8.140625" customWidth="1"/>
    <col min="13324" max="13324" width="3" customWidth="1"/>
    <col min="13325" max="13325" width="15.140625" bestFit="1" customWidth="1"/>
    <col min="13326" max="13326" width="8.42578125" customWidth="1"/>
    <col min="13327" max="13327" width="3.28515625" customWidth="1"/>
    <col min="13328" max="13328" width="2.140625" customWidth="1"/>
    <col min="13329" max="13329" width="3.85546875" customWidth="1"/>
    <col min="13330" max="13330" width="7.7109375" customWidth="1"/>
    <col min="13331" max="13331" width="3.140625" customWidth="1"/>
    <col min="13332" max="13332" width="2.42578125" customWidth="1"/>
    <col min="13333" max="13333" width="11.28515625" bestFit="1" customWidth="1"/>
    <col min="13334" max="13334" width="11.28515625" customWidth="1"/>
    <col min="13569" max="13569" width="13" customWidth="1"/>
    <col min="13570" max="13570" width="3.140625" customWidth="1"/>
    <col min="13571" max="13571" width="3.28515625" customWidth="1"/>
    <col min="13572" max="13572" width="10.140625" customWidth="1"/>
    <col min="13573" max="13573" width="13" customWidth="1"/>
    <col min="13574" max="13574" width="3" customWidth="1"/>
    <col min="13575" max="13575" width="1.85546875" customWidth="1"/>
    <col min="13576" max="13576" width="2.7109375" customWidth="1"/>
    <col min="13577" max="13577" width="14" bestFit="1" customWidth="1"/>
    <col min="13578" max="13578" width="4.28515625" customWidth="1"/>
    <col min="13579" max="13579" width="8.140625" customWidth="1"/>
    <col min="13580" max="13580" width="3" customWidth="1"/>
    <col min="13581" max="13581" width="15.140625" bestFit="1" customWidth="1"/>
    <col min="13582" max="13582" width="8.42578125" customWidth="1"/>
    <col min="13583" max="13583" width="3.28515625" customWidth="1"/>
    <col min="13584" max="13584" width="2.140625" customWidth="1"/>
    <col min="13585" max="13585" width="3.85546875" customWidth="1"/>
    <col min="13586" max="13586" width="7.7109375" customWidth="1"/>
    <col min="13587" max="13587" width="3.140625" customWidth="1"/>
    <col min="13588" max="13588" width="2.42578125" customWidth="1"/>
    <col min="13589" max="13589" width="11.28515625" bestFit="1" customWidth="1"/>
    <col min="13590" max="13590" width="11.28515625" customWidth="1"/>
    <col min="13825" max="13825" width="13" customWidth="1"/>
    <col min="13826" max="13826" width="3.140625" customWidth="1"/>
    <col min="13827" max="13827" width="3.28515625" customWidth="1"/>
    <col min="13828" max="13828" width="10.140625" customWidth="1"/>
    <col min="13829" max="13829" width="13" customWidth="1"/>
    <col min="13830" max="13830" width="3" customWidth="1"/>
    <col min="13831" max="13831" width="1.85546875" customWidth="1"/>
    <col min="13832" max="13832" width="2.7109375" customWidth="1"/>
    <col min="13833" max="13833" width="14" bestFit="1" customWidth="1"/>
    <col min="13834" max="13834" width="4.28515625" customWidth="1"/>
    <col min="13835" max="13835" width="8.140625" customWidth="1"/>
    <col min="13836" max="13836" width="3" customWidth="1"/>
    <col min="13837" max="13837" width="15.140625" bestFit="1" customWidth="1"/>
    <col min="13838" max="13838" width="8.42578125" customWidth="1"/>
    <col min="13839" max="13839" width="3.28515625" customWidth="1"/>
    <col min="13840" max="13840" width="2.140625" customWidth="1"/>
    <col min="13841" max="13841" width="3.85546875" customWidth="1"/>
    <col min="13842" max="13842" width="7.7109375" customWidth="1"/>
    <col min="13843" max="13843" width="3.140625" customWidth="1"/>
    <col min="13844" max="13844" width="2.42578125" customWidth="1"/>
    <col min="13845" max="13845" width="11.28515625" bestFit="1" customWidth="1"/>
    <col min="13846" max="13846" width="11.28515625" customWidth="1"/>
    <col min="14081" max="14081" width="13" customWidth="1"/>
    <col min="14082" max="14082" width="3.140625" customWidth="1"/>
    <col min="14083" max="14083" width="3.28515625" customWidth="1"/>
    <col min="14084" max="14084" width="10.140625" customWidth="1"/>
    <col min="14085" max="14085" width="13" customWidth="1"/>
    <col min="14086" max="14086" width="3" customWidth="1"/>
    <col min="14087" max="14087" width="1.85546875" customWidth="1"/>
    <col min="14088" max="14088" width="2.7109375" customWidth="1"/>
    <col min="14089" max="14089" width="14" bestFit="1" customWidth="1"/>
    <col min="14090" max="14090" width="4.28515625" customWidth="1"/>
    <col min="14091" max="14091" width="8.140625" customWidth="1"/>
    <col min="14092" max="14092" width="3" customWidth="1"/>
    <col min="14093" max="14093" width="15.140625" bestFit="1" customWidth="1"/>
    <col min="14094" max="14094" width="8.42578125" customWidth="1"/>
    <col min="14095" max="14095" width="3.28515625" customWidth="1"/>
    <col min="14096" max="14096" width="2.140625" customWidth="1"/>
    <col min="14097" max="14097" width="3.85546875" customWidth="1"/>
    <col min="14098" max="14098" width="7.7109375" customWidth="1"/>
    <col min="14099" max="14099" width="3.140625" customWidth="1"/>
    <col min="14100" max="14100" width="2.42578125" customWidth="1"/>
    <col min="14101" max="14101" width="11.28515625" bestFit="1" customWidth="1"/>
    <col min="14102" max="14102" width="11.28515625" customWidth="1"/>
    <col min="14337" max="14337" width="13" customWidth="1"/>
    <col min="14338" max="14338" width="3.140625" customWidth="1"/>
    <col min="14339" max="14339" width="3.28515625" customWidth="1"/>
    <col min="14340" max="14340" width="10.140625" customWidth="1"/>
    <col min="14341" max="14341" width="13" customWidth="1"/>
    <col min="14342" max="14342" width="3" customWidth="1"/>
    <col min="14343" max="14343" width="1.85546875" customWidth="1"/>
    <col min="14344" max="14344" width="2.7109375" customWidth="1"/>
    <col min="14345" max="14345" width="14" bestFit="1" customWidth="1"/>
    <col min="14346" max="14346" width="4.28515625" customWidth="1"/>
    <col min="14347" max="14347" width="8.140625" customWidth="1"/>
    <col min="14348" max="14348" width="3" customWidth="1"/>
    <col min="14349" max="14349" width="15.140625" bestFit="1" customWidth="1"/>
    <col min="14350" max="14350" width="8.42578125" customWidth="1"/>
    <col min="14351" max="14351" width="3.28515625" customWidth="1"/>
    <col min="14352" max="14352" width="2.140625" customWidth="1"/>
    <col min="14353" max="14353" width="3.85546875" customWidth="1"/>
    <col min="14354" max="14354" width="7.7109375" customWidth="1"/>
    <col min="14355" max="14355" width="3.140625" customWidth="1"/>
    <col min="14356" max="14356" width="2.42578125" customWidth="1"/>
    <col min="14357" max="14357" width="11.28515625" bestFit="1" customWidth="1"/>
    <col min="14358" max="14358" width="11.28515625" customWidth="1"/>
    <col min="14593" max="14593" width="13" customWidth="1"/>
    <col min="14594" max="14594" width="3.140625" customWidth="1"/>
    <col min="14595" max="14595" width="3.28515625" customWidth="1"/>
    <col min="14596" max="14596" width="10.140625" customWidth="1"/>
    <col min="14597" max="14597" width="13" customWidth="1"/>
    <col min="14598" max="14598" width="3" customWidth="1"/>
    <col min="14599" max="14599" width="1.85546875" customWidth="1"/>
    <col min="14600" max="14600" width="2.7109375" customWidth="1"/>
    <col min="14601" max="14601" width="14" bestFit="1" customWidth="1"/>
    <col min="14602" max="14602" width="4.28515625" customWidth="1"/>
    <col min="14603" max="14603" width="8.140625" customWidth="1"/>
    <col min="14604" max="14604" width="3" customWidth="1"/>
    <col min="14605" max="14605" width="15.140625" bestFit="1" customWidth="1"/>
    <col min="14606" max="14606" width="8.42578125" customWidth="1"/>
    <col min="14607" max="14607" width="3.28515625" customWidth="1"/>
    <col min="14608" max="14608" width="2.140625" customWidth="1"/>
    <col min="14609" max="14609" width="3.85546875" customWidth="1"/>
    <col min="14610" max="14610" width="7.7109375" customWidth="1"/>
    <col min="14611" max="14611" width="3.140625" customWidth="1"/>
    <col min="14612" max="14612" width="2.42578125" customWidth="1"/>
    <col min="14613" max="14613" width="11.28515625" bestFit="1" customWidth="1"/>
    <col min="14614" max="14614" width="11.28515625" customWidth="1"/>
    <col min="14849" max="14849" width="13" customWidth="1"/>
    <col min="14850" max="14850" width="3.140625" customWidth="1"/>
    <col min="14851" max="14851" width="3.28515625" customWidth="1"/>
    <col min="14852" max="14852" width="10.140625" customWidth="1"/>
    <col min="14853" max="14853" width="13" customWidth="1"/>
    <col min="14854" max="14854" width="3" customWidth="1"/>
    <col min="14855" max="14855" width="1.85546875" customWidth="1"/>
    <col min="14856" max="14856" width="2.7109375" customWidth="1"/>
    <col min="14857" max="14857" width="14" bestFit="1" customWidth="1"/>
    <col min="14858" max="14858" width="4.28515625" customWidth="1"/>
    <col min="14859" max="14859" width="8.140625" customWidth="1"/>
    <col min="14860" max="14860" width="3" customWidth="1"/>
    <col min="14861" max="14861" width="15.140625" bestFit="1" customWidth="1"/>
    <col min="14862" max="14862" width="8.42578125" customWidth="1"/>
    <col min="14863" max="14863" width="3.28515625" customWidth="1"/>
    <col min="14864" max="14864" width="2.140625" customWidth="1"/>
    <col min="14865" max="14865" width="3.85546875" customWidth="1"/>
    <col min="14866" max="14866" width="7.7109375" customWidth="1"/>
    <col min="14867" max="14867" width="3.140625" customWidth="1"/>
    <col min="14868" max="14868" width="2.42578125" customWidth="1"/>
    <col min="14869" max="14869" width="11.28515625" bestFit="1" customWidth="1"/>
    <col min="14870" max="14870" width="11.28515625" customWidth="1"/>
    <col min="15105" max="15105" width="13" customWidth="1"/>
    <col min="15106" max="15106" width="3.140625" customWidth="1"/>
    <col min="15107" max="15107" width="3.28515625" customWidth="1"/>
    <col min="15108" max="15108" width="10.140625" customWidth="1"/>
    <col min="15109" max="15109" width="13" customWidth="1"/>
    <col min="15110" max="15110" width="3" customWidth="1"/>
    <col min="15111" max="15111" width="1.85546875" customWidth="1"/>
    <col min="15112" max="15112" width="2.7109375" customWidth="1"/>
    <col min="15113" max="15113" width="14" bestFit="1" customWidth="1"/>
    <col min="15114" max="15114" width="4.28515625" customWidth="1"/>
    <col min="15115" max="15115" width="8.140625" customWidth="1"/>
    <col min="15116" max="15116" width="3" customWidth="1"/>
    <col min="15117" max="15117" width="15.140625" bestFit="1" customWidth="1"/>
    <col min="15118" max="15118" width="8.42578125" customWidth="1"/>
    <col min="15119" max="15119" width="3.28515625" customWidth="1"/>
    <col min="15120" max="15120" width="2.140625" customWidth="1"/>
    <col min="15121" max="15121" width="3.85546875" customWidth="1"/>
    <col min="15122" max="15122" width="7.7109375" customWidth="1"/>
    <col min="15123" max="15123" width="3.140625" customWidth="1"/>
    <col min="15124" max="15124" width="2.42578125" customWidth="1"/>
    <col min="15125" max="15125" width="11.28515625" bestFit="1" customWidth="1"/>
    <col min="15126" max="15126" width="11.28515625" customWidth="1"/>
    <col min="15361" max="15361" width="13" customWidth="1"/>
    <col min="15362" max="15362" width="3.140625" customWidth="1"/>
    <col min="15363" max="15363" width="3.28515625" customWidth="1"/>
    <col min="15364" max="15364" width="10.140625" customWidth="1"/>
    <col min="15365" max="15365" width="13" customWidth="1"/>
    <col min="15366" max="15366" width="3" customWidth="1"/>
    <col min="15367" max="15367" width="1.85546875" customWidth="1"/>
    <col min="15368" max="15368" width="2.7109375" customWidth="1"/>
    <col min="15369" max="15369" width="14" bestFit="1" customWidth="1"/>
    <col min="15370" max="15370" width="4.28515625" customWidth="1"/>
    <col min="15371" max="15371" width="8.140625" customWidth="1"/>
    <col min="15372" max="15372" width="3" customWidth="1"/>
    <col min="15373" max="15373" width="15.140625" bestFit="1" customWidth="1"/>
    <col min="15374" max="15374" width="8.42578125" customWidth="1"/>
    <col min="15375" max="15375" width="3.28515625" customWidth="1"/>
    <col min="15376" max="15376" width="2.140625" customWidth="1"/>
    <col min="15377" max="15377" width="3.85546875" customWidth="1"/>
    <col min="15378" max="15378" width="7.7109375" customWidth="1"/>
    <col min="15379" max="15379" width="3.140625" customWidth="1"/>
    <col min="15380" max="15380" width="2.42578125" customWidth="1"/>
    <col min="15381" max="15381" width="11.28515625" bestFit="1" customWidth="1"/>
    <col min="15382" max="15382" width="11.28515625" customWidth="1"/>
    <col min="15617" max="15617" width="13" customWidth="1"/>
    <col min="15618" max="15618" width="3.140625" customWidth="1"/>
    <col min="15619" max="15619" width="3.28515625" customWidth="1"/>
    <col min="15620" max="15620" width="10.140625" customWidth="1"/>
    <col min="15621" max="15621" width="13" customWidth="1"/>
    <col min="15622" max="15622" width="3" customWidth="1"/>
    <col min="15623" max="15623" width="1.85546875" customWidth="1"/>
    <col min="15624" max="15624" width="2.7109375" customWidth="1"/>
    <col min="15625" max="15625" width="14" bestFit="1" customWidth="1"/>
    <col min="15626" max="15626" width="4.28515625" customWidth="1"/>
    <col min="15627" max="15627" width="8.140625" customWidth="1"/>
    <col min="15628" max="15628" width="3" customWidth="1"/>
    <col min="15629" max="15629" width="15.140625" bestFit="1" customWidth="1"/>
    <col min="15630" max="15630" width="8.42578125" customWidth="1"/>
    <col min="15631" max="15631" width="3.28515625" customWidth="1"/>
    <col min="15632" max="15632" width="2.140625" customWidth="1"/>
    <col min="15633" max="15633" width="3.85546875" customWidth="1"/>
    <col min="15634" max="15634" width="7.7109375" customWidth="1"/>
    <col min="15635" max="15635" width="3.140625" customWidth="1"/>
    <col min="15636" max="15636" width="2.42578125" customWidth="1"/>
    <col min="15637" max="15637" width="11.28515625" bestFit="1" customWidth="1"/>
    <col min="15638" max="15638" width="11.28515625" customWidth="1"/>
    <col min="15873" max="15873" width="13" customWidth="1"/>
    <col min="15874" max="15874" width="3.140625" customWidth="1"/>
    <col min="15875" max="15875" width="3.28515625" customWidth="1"/>
    <col min="15876" max="15876" width="10.140625" customWidth="1"/>
    <col min="15877" max="15877" width="13" customWidth="1"/>
    <col min="15878" max="15878" width="3" customWidth="1"/>
    <col min="15879" max="15879" width="1.85546875" customWidth="1"/>
    <col min="15880" max="15880" width="2.7109375" customWidth="1"/>
    <col min="15881" max="15881" width="14" bestFit="1" customWidth="1"/>
    <col min="15882" max="15882" width="4.28515625" customWidth="1"/>
    <col min="15883" max="15883" width="8.140625" customWidth="1"/>
    <col min="15884" max="15884" width="3" customWidth="1"/>
    <col min="15885" max="15885" width="15.140625" bestFit="1" customWidth="1"/>
    <col min="15886" max="15886" width="8.42578125" customWidth="1"/>
    <col min="15887" max="15887" width="3.28515625" customWidth="1"/>
    <col min="15888" max="15888" width="2.140625" customWidth="1"/>
    <col min="15889" max="15889" width="3.85546875" customWidth="1"/>
    <col min="15890" max="15890" width="7.7109375" customWidth="1"/>
    <col min="15891" max="15891" width="3.140625" customWidth="1"/>
    <col min="15892" max="15892" width="2.42578125" customWidth="1"/>
    <col min="15893" max="15893" width="11.28515625" bestFit="1" customWidth="1"/>
    <col min="15894" max="15894" width="11.28515625" customWidth="1"/>
    <col min="16129" max="16129" width="13" customWidth="1"/>
    <col min="16130" max="16130" width="3.140625" customWidth="1"/>
    <col min="16131" max="16131" width="3.28515625" customWidth="1"/>
    <col min="16132" max="16132" width="10.140625" customWidth="1"/>
    <col min="16133" max="16133" width="13" customWidth="1"/>
    <col min="16134" max="16134" width="3" customWidth="1"/>
    <col min="16135" max="16135" width="1.85546875" customWidth="1"/>
    <col min="16136" max="16136" width="2.7109375" customWidth="1"/>
    <col min="16137" max="16137" width="14" bestFit="1" customWidth="1"/>
    <col min="16138" max="16138" width="4.28515625" customWidth="1"/>
    <col min="16139" max="16139" width="8.140625" customWidth="1"/>
    <col min="16140" max="16140" width="3" customWidth="1"/>
    <col min="16141" max="16141" width="15.140625" bestFit="1" customWidth="1"/>
    <col min="16142" max="16142" width="8.42578125" customWidth="1"/>
    <col min="16143" max="16143" width="3.28515625" customWidth="1"/>
    <col min="16144" max="16144" width="2.140625" customWidth="1"/>
    <col min="16145" max="16145" width="3.85546875" customWidth="1"/>
    <col min="16146" max="16146" width="7.7109375" customWidth="1"/>
    <col min="16147" max="16147" width="3.140625" customWidth="1"/>
    <col min="16148" max="16148" width="2.42578125" customWidth="1"/>
    <col min="16149" max="16149" width="11.28515625" bestFit="1" customWidth="1"/>
    <col min="16150" max="16150" width="11.28515625" customWidth="1"/>
  </cols>
  <sheetData>
    <row r="1" spans="1:21" ht="27" thickBot="1">
      <c r="A1" s="662" t="s">
        <v>214</v>
      </c>
      <c r="H1" s="663" t="s">
        <v>215</v>
      </c>
      <c r="I1" s="6"/>
    </row>
    <row r="2" spans="1:21">
      <c r="A2" s="664" t="s">
        <v>216</v>
      </c>
      <c r="B2" s="665"/>
      <c r="C2" s="665"/>
      <c r="D2" s="665"/>
      <c r="E2" s="665"/>
      <c r="F2" s="665"/>
      <c r="G2" s="665"/>
      <c r="H2" s="665"/>
      <c r="I2" s="665"/>
      <c r="J2" s="666"/>
      <c r="K2" s="664" t="s">
        <v>217</v>
      </c>
      <c r="L2" s="667"/>
      <c r="M2" s="665"/>
      <c r="N2" s="665"/>
      <c r="O2" s="665"/>
      <c r="P2" s="665"/>
      <c r="Q2" s="665"/>
      <c r="R2" s="665"/>
      <c r="S2" s="665"/>
      <c r="T2" s="665"/>
      <c r="U2" s="668"/>
    </row>
    <row r="3" spans="1:21" ht="13.5" thickBot="1">
      <c r="A3" s="669" t="s">
        <v>218</v>
      </c>
      <c r="B3" s="670" t="s">
        <v>219</v>
      </c>
      <c r="C3" s="671" t="s">
        <v>56</v>
      </c>
      <c r="D3" s="671"/>
      <c r="E3" s="672">
        <v>-3</v>
      </c>
      <c r="F3" s="673" t="s">
        <v>220</v>
      </c>
      <c r="G3" s="674"/>
      <c r="H3" s="673" t="s">
        <v>91</v>
      </c>
      <c r="I3" s="675">
        <v>3900</v>
      </c>
      <c r="J3" s="676"/>
      <c r="K3" s="669" t="s">
        <v>221</v>
      </c>
      <c r="L3" s="677" t="s">
        <v>56</v>
      </c>
      <c r="M3" s="678">
        <v>0</v>
      </c>
      <c r="N3" s="678"/>
      <c r="O3" s="679"/>
      <c r="P3" s="679"/>
      <c r="Q3" s="679"/>
      <c r="R3" s="679"/>
      <c r="S3" s="679"/>
      <c r="T3" s="679"/>
      <c r="U3" s="680"/>
    </row>
    <row r="4" spans="1:21">
      <c r="A4" s="669"/>
      <c r="B4" s="670"/>
      <c r="C4" s="671"/>
      <c r="D4" s="671"/>
      <c r="E4" s="681">
        <v>8</v>
      </c>
      <c r="F4" s="673"/>
      <c r="G4" s="674"/>
      <c r="H4" s="673"/>
      <c r="I4" s="675"/>
      <c r="J4" s="676"/>
      <c r="K4" s="669"/>
      <c r="L4" s="677"/>
      <c r="M4" s="678"/>
      <c r="N4" s="678"/>
      <c r="O4" s="53"/>
      <c r="P4" s="53"/>
      <c r="Q4" s="682"/>
      <c r="R4" s="53"/>
      <c r="S4" s="53"/>
      <c r="T4" s="53"/>
      <c r="U4" s="683"/>
    </row>
    <row r="5" spans="1:21" ht="14.25" customHeight="1">
      <c r="A5" s="684"/>
      <c r="B5" s="685"/>
      <c r="C5" s="685"/>
      <c r="D5" s="685"/>
      <c r="E5" s="685"/>
      <c r="F5" s="685"/>
      <c r="G5" s="685"/>
      <c r="H5" s="685"/>
      <c r="I5" s="685"/>
      <c r="J5" s="685"/>
      <c r="K5" s="669" t="s">
        <v>222</v>
      </c>
      <c r="L5" s="677" t="s">
        <v>56</v>
      </c>
      <c r="M5" s="677"/>
      <c r="N5" s="686">
        <v>0</v>
      </c>
      <c r="O5" s="671" t="str">
        <f>F3</f>
        <v>X</v>
      </c>
      <c r="P5" s="687">
        <v>2</v>
      </c>
      <c r="Q5" s="671" t="s">
        <v>91</v>
      </c>
      <c r="R5" s="688">
        <v>2100</v>
      </c>
      <c r="S5" s="671" t="str">
        <f>O5</f>
        <v>X</v>
      </c>
      <c r="T5" s="53"/>
      <c r="U5" s="683"/>
    </row>
    <row r="6" spans="1:21" ht="13.5" customHeight="1" thickBot="1">
      <c r="A6" s="669" t="s">
        <v>129</v>
      </c>
      <c r="B6" s="689"/>
      <c r="C6" s="690" t="s">
        <v>56</v>
      </c>
      <c r="D6" s="690"/>
      <c r="E6" s="691">
        <f>E3</f>
        <v>-3</v>
      </c>
      <c r="F6" s="690" t="str">
        <f>F3</f>
        <v>X</v>
      </c>
      <c r="G6" s="692">
        <v>2</v>
      </c>
      <c r="H6" s="690" t="s">
        <v>91</v>
      </c>
      <c r="I6" s="670">
        <f>I3</f>
        <v>3900</v>
      </c>
      <c r="J6" s="693" t="str">
        <f>F3</f>
        <v>X</v>
      </c>
      <c r="K6" s="669"/>
      <c r="L6" s="677"/>
      <c r="M6" s="677"/>
      <c r="N6" s="694">
        <v>1</v>
      </c>
      <c r="O6" s="671"/>
      <c r="P6" s="687"/>
      <c r="Q6" s="671"/>
      <c r="R6" s="695"/>
      <c r="S6" s="671"/>
      <c r="T6" s="53"/>
      <c r="U6" s="683"/>
    </row>
    <row r="7" spans="1:21" ht="20.25">
      <c r="A7" s="669"/>
      <c r="B7" s="689"/>
      <c r="C7" s="690"/>
      <c r="D7" s="690"/>
      <c r="E7" s="696">
        <f>E4</f>
        <v>8</v>
      </c>
      <c r="F7" s="690"/>
      <c r="G7" s="692"/>
      <c r="H7" s="690"/>
      <c r="I7" s="670"/>
      <c r="J7" s="693"/>
      <c r="K7" s="697"/>
      <c r="L7" s="53"/>
      <c r="M7" s="53"/>
      <c r="N7" s="53"/>
      <c r="O7" s="53"/>
      <c r="P7" s="698"/>
      <c r="Q7" s="699"/>
      <c r="R7" s="53"/>
      <c r="S7" s="53"/>
      <c r="T7" s="53"/>
      <c r="U7" s="683"/>
    </row>
    <row r="8" spans="1:21" ht="20.25">
      <c r="A8" s="700"/>
      <c r="B8" s="701"/>
      <c r="C8" s="702"/>
      <c r="D8" s="702"/>
      <c r="E8" s="696"/>
      <c r="F8" s="702"/>
      <c r="G8" s="703"/>
      <c r="H8" s="702"/>
      <c r="I8" s="704"/>
      <c r="J8" s="705"/>
      <c r="K8" s="669" t="s">
        <v>223</v>
      </c>
      <c r="L8" s="677" t="s">
        <v>56</v>
      </c>
      <c r="M8" s="677"/>
      <c r="N8" s="706">
        <f t="shared" ref="N8:S8" si="0">N5</f>
        <v>0</v>
      </c>
      <c r="O8" s="690" t="str">
        <f t="shared" si="0"/>
        <v>X</v>
      </c>
      <c r="P8" s="707">
        <f t="shared" si="0"/>
        <v>2</v>
      </c>
      <c r="Q8" s="690" t="str">
        <f t="shared" si="0"/>
        <v>+</v>
      </c>
      <c r="R8" s="670">
        <f t="shared" si="0"/>
        <v>2100</v>
      </c>
      <c r="S8" s="690" t="str">
        <f t="shared" si="0"/>
        <v>X</v>
      </c>
      <c r="T8" s="690" t="s">
        <v>91</v>
      </c>
      <c r="U8" s="708">
        <f>M3</f>
        <v>0</v>
      </c>
    </row>
    <row r="9" spans="1:21" ht="20.25">
      <c r="A9" s="709"/>
      <c r="B9" s="710"/>
      <c r="C9" s="706"/>
      <c r="D9" s="706"/>
      <c r="E9" s="711"/>
      <c r="F9" s="712"/>
      <c r="G9" s="713"/>
      <c r="H9" s="714"/>
      <c r="I9" s="53"/>
      <c r="J9" s="53"/>
      <c r="K9" s="669"/>
      <c r="L9" s="677"/>
      <c r="M9" s="677"/>
      <c r="N9" s="706">
        <f>N6</f>
        <v>1</v>
      </c>
      <c r="O9" s="690"/>
      <c r="P9" s="707"/>
      <c r="Q9" s="690"/>
      <c r="R9" s="670"/>
      <c r="S9" s="690"/>
      <c r="T9" s="690"/>
      <c r="U9" s="708"/>
    </row>
    <row r="10" spans="1:21" ht="21">
      <c r="A10" s="709"/>
      <c r="B10" s="710"/>
      <c r="C10" s="706"/>
      <c r="D10" s="706"/>
      <c r="E10" s="711"/>
      <c r="F10" s="712"/>
      <c r="G10" s="713"/>
      <c r="H10" s="714"/>
      <c r="I10" s="53"/>
      <c r="J10" s="53"/>
      <c r="K10" s="715"/>
      <c r="L10" s="716"/>
      <c r="M10" s="53"/>
      <c r="N10" s="53"/>
      <c r="O10" s="702"/>
      <c r="P10" s="717"/>
      <c r="Q10" s="699"/>
      <c r="R10" s="53"/>
      <c r="S10" s="718"/>
      <c r="T10" s="682"/>
      <c r="U10" s="719"/>
    </row>
    <row r="11" spans="1:21" ht="13.5" thickBot="1">
      <c r="A11" s="669" t="s">
        <v>224</v>
      </c>
      <c r="B11" s="689"/>
      <c r="C11" s="690" t="s">
        <v>56</v>
      </c>
      <c r="D11" s="690"/>
      <c r="E11" s="691">
        <f>E6*2</f>
        <v>-6</v>
      </c>
      <c r="F11" s="690" t="str">
        <f>F6</f>
        <v>X</v>
      </c>
      <c r="G11" s="53"/>
      <c r="H11" s="690" t="s">
        <v>91</v>
      </c>
      <c r="I11" s="670">
        <f>I6</f>
        <v>3900</v>
      </c>
      <c r="J11" s="670"/>
      <c r="K11" s="669" t="s">
        <v>225</v>
      </c>
      <c r="L11" s="677" t="s">
        <v>56</v>
      </c>
      <c r="M11" s="677"/>
      <c r="N11" s="706">
        <f>N5*P8</f>
        <v>0</v>
      </c>
      <c r="O11" s="690" t="str">
        <f>O8</f>
        <v>X</v>
      </c>
      <c r="P11" s="53"/>
      <c r="Q11" s="690" t="str">
        <f>Q8</f>
        <v>+</v>
      </c>
      <c r="R11" s="720">
        <f>R5</f>
        <v>2100</v>
      </c>
      <c r="S11" s="53"/>
      <c r="T11" s="53"/>
      <c r="U11" s="683"/>
    </row>
    <row r="12" spans="1:21" ht="13.5" thickBot="1">
      <c r="A12" s="721"/>
      <c r="B12" s="722"/>
      <c r="C12" s="723"/>
      <c r="D12" s="723"/>
      <c r="E12" s="724">
        <f>E4</f>
        <v>8</v>
      </c>
      <c r="F12" s="723"/>
      <c r="G12" s="725"/>
      <c r="H12" s="723"/>
      <c r="I12" s="726"/>
      <c r="J12" s="726"/>
      <c r="K12" s="669"/>
      <c r="L12" s="677"/>
      <c r="M12" s="677"/>
      <c r="N12" s="706">
        <f>N9</f>
        <v>1</v>
      </c>
      <c r="O12" s="690"/>
      <c r="P12" s="53"/>
      <c r="Q12" s="690"/>
      <c r="R12" s="720"/>
      <c r="S12" s="53"/>
      <c r="T12" s="53"/>
      <c r="U12" s="683"/>
    </row>
    <row r="13" spans="1:21" ht="21.75" customHeight="1" thickBot="1">
      <c r="A13" s="701"/>
      <c r="B13" s="701"/>
      <c r="C13" s="702"/>
      <c r="D13" s="702"/>
      <c r="E13" s="696"/>
      <c r="F13" s="702"/>
      <c r="G13" s="53"/>
      <c r="H13" s="702"/>
      <c r="I13" s="704"/>
      <c r="J13" s="704"/>
      <c r="K13" s="727" t="s">
        <v>226</v>
      </c>
      <c r="L13" s="728" t="s">
        <v>56</v>
      </c>
      <c r="M13" s="728"/>
      <c r="N13" s="729">
        <v>4000</v>
      </c>
      <c r="O13" s="729"/>
      <c r="P13" s="729"/>
      <c r="Q13" s="730" t="str">
        <f>O11</f>
        <v>X</v>
      </c>
      <c r="R13" s="731"/>
      <c r="S13" s="725"/>
      <c r="T13" s="725"/>
      <c r="U13" s="732"/>
    </row>
    <row r="14" spans="1:21" ht="14.25" customHeight="1">
      <c r="A14" s="701"/>
      <c r="B14" s="701"/>
      <c r="C14" s="702"/>
      <c r="D14" s="702"/>
      <c r="E14" s="696"/>
      <c r="F14" s="702"/>
      <c r="G14" s="53"/>
      <c r="H14" s="702"/>
      <c r="I14" s="704"/>
      <c r="J14" s="704"/>
      <c r="K14" s="733" t="s">
        <v>227</v>
      </c>
      <c r="L14" s="734" t="s">
        <v>56</v>
      </c>
      <c r="M14" s="734"/>
      <c r="N14" s="735">
        <f>N16*0.5</f>
        <v>0</v>
      </c>
      <c r="O14" s="736" t="str">
        <f>O16</f>
        <v>X</v>
      </c>
      <c r="P14" s="737">
        <f>P5</f>
        <v>2</v>
      </c>
      <c r="Q14" s="738" t="s">
        <v>91</v>
      </c>
      <c r="R14" s="739">
        <f>R16</f>
        <v>0</v>
      </c>
      <c r="S14" s="738" t="str">
        <f>O14</f>
        <v>X</v>
      </c>
      <c r="T14" s="53"/>
      <c r="U14" s="683"/>
    </row>
    <row r="15" spans="1:21" ht="14.25" customHeight="1" thickBot="1">
      <c r="A15" s="701"/>
      <c r="B15" s="701"/>
      <c r="C15" s="702"/>
      <c r="D15" s="702"/>
      <c r="E15" s="696"/>
      <c r="F15" s="702"/>
      <c r="G15" s="53"/>
      <c r="H15" s="702"/>
      <c r="I15" s="704"/>
      <c r="J15" s="704"/>
      <c r="K15" s="721"/>
      <c r="L15" s="728"/>
      <c r="M15" s="728"/>
      <c r="N15" s="740">
        <f>N17</f>
        <v>1</v>
      </c>
      <c r="O15" s="741"/>
      <c r="P15" s="742"/>
      <c r="Q15" s="723"/>
      <c r="R15" s="743"/>
      <c r="S15" s="723"/>
      <c r="T15" s="53"/>
      <c r="U15" s="683"/>
    </row>
    <row r="16" spans="1:21" ht="13.5" customHeight="1">
      <c r="A16" s="701"/>
      <c r="B16" s="701"/>
      <c r="C16" s="702"/>
      <c r="D16" s="702"/>
      <c r="E16" s="696"/>
      <c r="F16" s="702"/>
      <c r="G16" s="53"/>
      <c r="H16" s="702"/>
      <c r="I16" s="704"/>
      <c r="J16" s="704"/>
      <c r="K16" s="733" t="s">
        <v>228</v>
      </c>
      <c r="L16" s="734" t="str">
        <f>L13</f>
        <v>=</v>
      </c>
      <c r="M16" s="734"/>
      <c r="N16" s="744">
        <v>0</v>
      </c>
      <c r="O16" s="738" t="str">
        <f>O11</f>
        <v>X</v>
      </c>
      <c r="P16" s="745"/>
      <c r="Q16" s="738" t="str">
        <f>Q11</f>
        <v>+</v>
      </c>
      <c r="R16" s="746">
        <v>0</v>
      </c>
      <c r="S16" s="666"/>
      <c r="T16" s="666"/>
      <c r="U16" s="747"/>
    </row>
    <row r="17" spans="1:21" ht="14.25" customHeight="1">
      <c r="A17" s="701"/>
      <c r="B17" s="701"/>
      <c r="C17" s="702"/>
      <c r="D17" s="702"/>
      <c r="E17" s="696"/>
      <c r="F17" s="702"/>
      <c r="G17" s="53"/>
      <c r="H17" s="702"/>
      <c r="I17" s="704"/>
      <c r="J17" s="704"/>
      <c r="K17" s="669"/>
      <c r="L17" s="748"/>
      <c r="M17" s="748"/>
      <c r="N17" s="694">
        <v>1</v>
      </c>
      <c r="O17" s="690"/>
      <c r="P17" s="676"/>
      <c r="Q17" s="690"/>
      <c r="R17" s="749"/>
      <c r="S17" s="53"/>
      <c r="T17" s="53"/>
      <c r="U17" s="683"/>
    </row>
    <row r="18" spans="1:21" ht="21.75" customHeight="1" thickBot="1">
      <c r="A18" s="701"/>
      <c r="B18" s="701"/>
      <c r="C18" s="702"/>
      <c r="D18" s="702"/>
      <c r="E18" s="696"/>
      <c r="F18" s="702"/>
      <c r="G18" s="53"/>
      <c r="H18" s="702"/>
      <c r="I18" s="704"/>
      <c r="J18" s="704"/>
      <c r="K18" s="727" t="s">
        <v>226</v>
      </c>
      <c r="L18" s="728" t="str">
        <f>L16</f>
        <v>=</v>
      </c>
      <c r="M18" s="750"/>
      <c r="N18" s="729">
        <v>0</v>
      </c>
      <c r="O18" s="729"/>
      <c r="P18" s="729"/>
      <c r="Q18" s="730" t="str">
        <f>Q13</f>
        <v>X</v>
      </c>
      <c r="R18" s="731"/>
      <c r="S18" s="725"/>
      <c r="T18" s="725"/>
      <c r="U18" s="732"/>
    </row>
    <row r="19" spans="1:21" ht="15" customHeight="1">
      <c r="A19" s="701"/>
      <c r="B19" s="701"/>
      <c r="C19" s="702"/>
      <c r="D19" s="702"/>
      <c r="E19" s="696"/>
      <c r="F19" s="702"/>
      <c r="G19" s="53"/>
      <c r="H19" s="702"/>
      <c r="I19" s="704"/>
      <c r="J19" s="704"/>
      <c r="K19" s="733" t="s">
        <v>229</v>
      </c>
      <c r="L19" s="734" t="s">
        <v>56</v>
      </c>
      <c r="M19" s="734"/>
      <c r="N19" s="735">
        <f>N21*0.5</f>
        <v>0</v>
      </c>
      <c r="O19" s="736" t="str">
        <f>O16</f>
        <v>X</v>
      </c>
      <c r="P19" s="737">
        <f>P14</f>
        <v>2</v>
      </c>
      <c r="Q19" s="738" t="s">
        <v>91</v>
      </c>
      <c r="R19" s="739">
        <f>R21</f>
        <v>0</v>
      </c>
      <c r="S19" s="738" t="str">
        <f>S14</f>
        <v>X</v>
      </c>
      <c r="T19" s="53"/>
      <c r="U19" s="683"/>
    </row>
    <row r="20" spans="1:21" ht="14.25" customHeight="1" thickBot="1">
      <c r="A20" s="701"/>
      <c r="B20" s="701"/>
      <c r="C20" s="702"/>
      <c r="D20" s="702"/>
      <c r="E20" s="696"/>
      <c r="F20" s="702"/>
      <c r="G20" s="53"/>
      <c r="H20" s="702"/>
      <c r="I20" s="704"/>
      <c r="J20" s="704"/>
      <c r="K20" s="721"/>
      <c r="L20" s="728"/>
      <c r="M20" s="728"/>
      <c r="N20" s="751">
        <f>N22</f>
        <v>1</v>
      </c>
      <c r="O20" s="741"/>
      <c r="P20" s="742"/>
      <c r="Q20" s="723"/>
      <c r="R20" s="743"/>
      <c r="S20" s="723"/>
      <c r="T20" s="53"/>
      <c r="U20" s="683"/>
    </row>
    <row r="21" spans="1:21" ht="15.75" customHeight="1">
      <c r="A21" s="701"/>
      <c r="B21" s="701"/>
      <c r="C21" s="702"/>
      <c r="D21" s="702"/>
      <c r="E21" s="696"/>
      <c r="F21" s="702"/>
      <c r="G21" s="53"/>
      <c r="H21" s="702"/>
      <c r="I21" s="704"/>
      <c r="J21" s="704"/>
      <c r="K21" s="733" t="s">
        <v>230</v>
      </c>
      <c r="L21" s="734" t="str">
        <f>L16</f>
        <v>=</v>
      </c>
      <c r="M21" s="752"/>
      <c r="N21" s="744">
        <v>0</v>
      </c>
      <c r="O21" s="738" t="str">
        <f>O16</f>
        <v>X</v>
      </c>
      <c r="P21" s="666"/>
      <c r="Q21" s="738" t="str">
        <f>Q16</f>
        <v>+</v>
      </c>
      <c r="R21" s="746">
        <v>0</v>
      </c>
      <c r="S21" s="666"/>
      <c r="T21" s="666"/>
      <c r="U21" s="747"/>
    </row>
    <row r="22" spans="1:21" ht="14.25" customHeight="1">
      <c r="A22" s="701"/>
      <c r="B22" s="701"/>
      <c r="C22" s="702"/>
      <c r="D22" s="702"/>
      <c r="E22" s="696"/>
      <c r="F22" s="702"/>
      <c r="G22" s="53"/>
      <c r="H22" s="702"/>
      <c r="I22" s="704"/>
      <c r="J22" s="704"/>
      <c r="K22" s="669"/>
      <c r="L22" s="677"/>
      <c r="M22" s="677"/>
      <c r="N22" s="694">
        <v>1</v>
      </c>
      <c r="O22" s="690"/>
      <c r="P22" s="53"/>
      <c r="Q22" s="690"/>
      <c r="R22" s="749"/>
      <c r="S22" s="53"/>
      <c r="T22" s="53"/>
      <c r="U22" s="683"/>
    </row>
    <row r="23" spans="1:21" ht="19.5" customHeight="1" thickBot="1">
      <c r="A23" s="753" t="s">
        <v>231</v>
      </c>
      <c r="B23" s="679"/>
      <c r="C23" s="53" t="str">
        <f>C6</f>
        <v>=</v>
      </c>
      <c r="D23" s="754">
        <v>4000</v>
      </c>
      <c r="E23" s="711"/>
      <c r="F23" s="712"/>
      <c r="G23" s="53"/>
      <c r="H23" s="755"/>
      <c r="I23" s="53"/>
      <c r="J23" s="53"/>
      <c r="K23" s="756" t="s">
        <v>226</v>
      </c>
      <c r="L23" s="757" t="str">
        <f>L21</f>
        <v>=</v>
      </c>
      <c r="M23" s="758"/>
      <c r="N23" s="729">
        <v>0</v>
      </c>
      <c r="O23" s="729"/>
      <c r="P23" s="729"/>
      <c r="Q23" s="759" t="str">
        <f>Q18</f>
        <v>X</v>
      </c>
      <c r="R23" s="725"/>
      <c r="S23" s="725"/>
      <c r="T23" s="725"/>
      <c r="U23" s="732"/>
    </row>
    <row r="24" spans="1:21" ht="19.5" customHeight="1">
      <c r="A24" s="753"/>
      <c r="B24" s="679"/>
      <c r="C24" s="53"/>
      <c r="D24" s="760"/>
      <c r="E24" s="711"/>
      <c r="F24" s="712"/>
      <c r="G24" s="53"/>
      <c r="H24" s="755"/>
      <c r="I24" s="53"/>
      <c r="J24" s="53"/>
      <c r="K24" s="716"/>
      <c r="L24" s="761"/>
      <c r="M24" s="710"/>
      <c r="N24" s="762"/>
      <c r="O24" s="762"/>
      <c r="P24" s="762"/>
      <c r="Q24" s="763"/>
      <c r="R24" s="53"/>
      <c r="S24" s="53"/>
      <c r="T24" s="53"/>
      <c r="U24" s="53"/>
    </row>
    <row r="25" spans="1:21" ht="19.5" customHeight="1">
      <c r="A25" s="753"/>
      <c r="B25" s="679"/>
      <c r="C25" s="53"/>
      <c r="D25" s="760"/>
      <c r="E25" s="711"/>
      <c r="F25" s="712"/>
      <c r="G25" s="53"/>
      <c r="H25" s="755"/>
      <c r="I25" s="53"/>
      <c r="J25" s="53"/>
      <c r="K25" s="716"/>
      <c r="L25" s="761"/>
      <c r="M25" s="710"/>
      <c r="N25" s="762"/>
      <c r="O25" s="762"/>
      <c r="P25" s="762"/>
      <c r="Q25" s="763"/>
      <c r="R25" s="53"/>
      <c r="S25" s="53"/>
      <c r="T25" s="53"/>
      <c r="U25" s="53"/>
    </row>
    <row r="26" spans="1:21" ht="19.5" customHeight="1">
      <c r="A26" s="753"/>
      <c r="B26" s="679"/>
      <c r="C26" s="53"/>
      <c r="D26" s="760"/>
      <c r="E26" s="711"/>
      <c r="F26" s="712"/>
      <c r="G26" s="53"/>
      <c r="H26" s="755"/>
      <c r="I26" s="53"/>
      <c r="J26" s="53"/>
      <c r="K26" s="716"/>
      <c r="L26" s="761"/>
      <c r="M26" s="710"/>
      <c r="N26" s="762"/>
      <c r="O26" s="762"/>
      <c r="P26" s="762"/>
      <c r="Q26" s="763"/>
      <c r="R26" s="53"/>
      <c r="S26" s="53"/>
      <c r="T26" s="53"/>
      <c r="U26" s="53"/>
    </row>
    <row r="27" spans="1:21" ht="19.5" customHeight="1">
      <c r="A27" s="753"/>
      <c r="B27" s="679"/>
      <c r="C27" s="53"/>
      <c r="D27" s="760"/>
      <c r="E27" s="711"/>
      <c r="F27" s="712"/>
      <c r="G27" s="53"/>
      <c r="H27" s="755"/>
      <c r="I27" s="53"/>
      <c r="J27" s="53"/>
      <c r="K27" s="716"/>
      <c r="L27" s="761"/>
      <c r="M27" s="710"/>
      <c r="N27" s="762"/>
      <c r="O27" s="762"/>
      <c r="P27" s="762"/>
      <c r="Q27" s="763"/>
      <c r="R27" s="53"/>
      <c r="S27" s="53"/>
      <c r="T27" s="53"/>
      <c r="U27" s="53"/>
    </row>
    <row r="28" spans="1:21" ht="19.5" customHeight="1">
      <c r="A28" s="753"/>
      <c r="B28" s="679"/>
      <c r="C28" s="53"/>
      <c r="D28" s="760"/>
      <c r="E28" s="711"/>
      <c r="F28" s="712"/>
      <c r="G28" s="53"/>
      <c r="H28" s="755"/>
      <c r="I28" s="53"/>
      <c r="J28" s="53"/>
      <c r="K28" s="716"/>
      <c r="L28" s="761"/>
      <c r="M28" s="710"/>
      <c r="N28" s="762"/>
      <c r="O28" s="762"/>
      <c r="P28" s="762"/>
      <c r="Q28" s="763"/>
      <c r="R28" s="53"/>
      <c r="S28" s="53"/>
      <c r="T28" s="53"/>
      <c r="U28" s="53"/>
    </row>
    <row r="29" spans="1:21" ht="19.5" customHeight="1">
      <c r="A29" s="753"/>
      <c r="B29" s="679"/>
      <c r="C29" s="53"/>
      <c r="D29" s="760"/>
      <c r="E29" s="711"/>
      <c r="F29" s="712"/>
      <c r="G29" s="53"/>
      <c r="H29" s="755"/>
      <c r="I29" s="53"/>
      <c r="J29" s="53"/>
      <c r="K29" s="716"/>
      <c r="L29" s="761"/>
      <c r="M29" s="710"/>
      <c r="N29" s="762"/>
      <c r="O29" s="762"/>
      <c r="P29" s="762"/>
      <c r="Q29" s="763"/>
      <c r="R29" s="53"/>
      <c r="S29" s="53"/>
      <c r="T29" s="53"/>
      <c r="U29" s="53"/>
    </row>
    <row r="30" spans="1:21" ht="19.5" customHeight="1">
      <c r="A30" s="753"/>
      <c r="B30" s="679"/>
      <c r="C30" s="53"/>
      <c r="D30" s="760"/>
      <c r="E30" s="711"/>
      <c r="F30" s="712"/>
      <c r="G30" s="53"/>
      <c r="H30" s="755"/>
      <c r="I30" s="53"/>
      <c r="J30" s="53"/>
      <c r="K30" s="716"/>
      <c r="L30" s="761"/>
      <c r="M30" s="710"/>
      <c r="N30" s="762"/>
      <c r="O30" s="762"/>
      <c r="P30" s="762"/>
      <c r="Q30" s="763"/>
      <c r="R30" s="53"/>
      <c r="S30" s="53"/>
      <c r="T30" s="53"/>
      <c r="U30" s="53"/>
    </row>
    <row r="31" spans="1:21" ht="19.5" customHeight="1">
      <c r="A31" s="753"/>
      <c r="B31" s="679"/>
      <c r="C31" s="53"/>
      <c r="D31" s="760"/>
      <c r="E31" s="711"/>
      <c r="F31" s="712"/>
      <c r="G31" s="53"/>
      <c r="H31" s="755"/>
      <c r="I31" s="53"/>
      <c r="J31" s="53"/>
      <c r="K31" s="716"/>
      <c r="L31" s="761"/>
      <c r="M31" s="710"/>
      <c r="N31" s="762"/>
      <c r="O31" s="762"/>
      <c r="P31" s="762"/>
      <c r="Q31" s="763"/>
      <c r="R31" s="53"/>
      <c r="S31" s="53"/>
      <c r="T31" s="53"/>
      <c r="U31" s="53"/>
    </row>
    <row r="32" spans="1:21" ht="19.5" customHeight="1">
      <c r="A32" s="753"/>
      <c r="B32" s="679"/>
      <c r="C32" s="53"/>
      <c r="D32" s="760"/>
      <c r="E32" s="711"/>
      <c r="F32" s="712"/>
      <c r="G32" s="53"/>
      <c r="H32" s="755"/>
      <c r="I32" s="53"/>
      <c r="J32" s="53"/>
      <c r="K32" s="716"/>
      <c r="L32" s="761"/>
      <c r="M32" s="710"/>
      <c r="N32" s="762"/>
      <c r="O32" s="762"/>
      <c r="P32" s="762"/>
      <c r="Q32" s="763"/>
      <c r="R32" s="53"/>
      <c r="S32" s="53"/>
      <c r="T32" s="53"/>
      <c r="U32" s="53"/>
    </row>
    <row r="33" spans="1:21" ht="19.5" customHeight="1">
      <c r="A33" s="753"/>
      <c r="B33" s="679"/>
      <c r="C33" s="53"/>
      <c r="D33" s="760"/>
      <c r="E33" s="711"/>
      <c r="F33" s="712"/>
      <c r="G33" s="53"/>
      <c r="H33" s="755"/>
      <c r="I33" s="53"/>
      <c r="J33" s="53"/>
      <c r="K33" s="716"/>
      <c r="L33" s="761"/>
      <c r="M33" s="710"/>
      <c r="N33" s="762"/>
      <c r="O33" s="762"/>
      <c r="P33" s="762"/>
      <c r="Q33" s="763"/>
      <c r="R33" s="53"/>
      <c r="S33" s="53"/>
      <c r="T33" s="53"/>
      <c r="U33" s="53"/>
    </row>
    <row r="34" spans="1:21" ht="19.5" customHeight="1" thickBot="1">
      <c r="A34" s="764"/>
      <c r="B34" s="762"/>
      <c r="C34" s="765"/>
      <c r="D34" s="760"/>
      <c r="E34" s="766"/>
      <c r="F34" s="767"/>
      <c r="G34" s="765"/>
      <c r="H34" s="768"/>
      <c r="I34" s="765"/>
      <c r="J34" s="765"/>
      <c r="K34" s="769"/>
      <c r="L34" s="770"/>
      <c r="M34" s="771"/>
      <c r="N34" s="762"/>
      <c r="O34" s="762"/>
      <c r="P34" s="762"/>
      <c r="Q34" s="763"/>
      <c r="R34" s="53"/>
      <c r="S34" s="53"/>
      <c r="T34" s="53"/>
      <c r="U34" s="53"/>
    </row>
    <row r="35" spans="1:21" ht="19.5" customHeight="1" thickBot="1">
      <c r="A35" s="764" t="s">
        <v>232</v>
      </c>
      <c r="B35" s="762"/>
      <c r="C35" s="765"/>
      <c r="D35" s="760"/>
      <c r="E35" s="772" t="str">
        <f>IF(E47=E48,"Ja","Nej")</f>
        <v>Ja</v>
      </c>
      <c r="F35" s="773"/>
      <c r="G35" s="773"/>
      <c r="H35" s="773"/>
      <c r="I35" s="772" t="str">
        <f>IF(I47=I48,"Ja","Nej")</f>
        <v>Nej</v>
      </c>
      <c r="J35" s="773"/>
      <c r="K35" s="773"/>
      <c r="L35" s="773"/>
      <c r="M35" s="772" t="str">
        <f>IF(M47=M48,"Ja","Nej")</f>
        <v>Nej</v>
      </c>
      <c r="N35" s="762"/>
      <c r="O35" s="762"/>
      <c r="P35" s="762"/>
      <c r="Q35" s="763"/>
      <c r="R35" s="53"/>
      <c r="S35" s="53"/>
      <c r="T35" s="53"/>
      <c r="U35" s="53"/>
    </row>
    <row r="36" spans="1:21" ht="19.5" customHeight="1">
      <c r="A36" s="764" t="s">
        <v>233</v>
      </c>
      <c r="B36" s="762"/>
      <c r="C36" s="765"/>
      <c r="D36" s="760"/>
      <c r="E36" s="774" t="str">
        <f>CONCATENATE("MR=",K11)</f>
        <v>MR=MC(1)</v>
      </c>
      <c r="F36" s="769"/>
      <c r="G36" s="769"/>
      <c r="H36" s="769"/>
      <c r="I36" s="774" t="str">
        <f>CONCATENATE("MR=",K16)</f>
        <v>MR=MC(2)</v>
      </c>
      <c r="J36" s="769"/>
      <c r="K36" s="769"/>
      <c r="L36" s="769"/>
      <c r="M36" s="774" t="str">
        <f>CONCATENATE("MR=",K21)</f>
        <v>MR=MC(3)</v>
      </c>
      <c r="N36" s="762"/>
      <c r="O36" s="762"/>
      <c r="P36" s="762"/>
      <c r="Q36" s="763"/>
      <c r="R36" s="53"/>
      <c r="S36" s="53"/>
      <c r="T36" s="53"/>
      <c r="U36" s="53"/>
    </row>
    <row r="37" spans="1:21" ht="19.5" customHeight="1">
      <c r="A37" s="775" t="s">
        <v>234</v>
      </c>
      <c r="B37" s="775"/>
      <c r="C37" s="775"/>
      <c r="D37" s="775"/>
      <c r="E37" s="776">
        <f>IF($E$3=0,(IF(N5=0,N13,($I$11-R$11)/(($E$11/$E$12*-1)+(N$11/N$12)))),($I$11-R11)/(($E$11/$E$12*-1)+(N$11/N$12)))</f>
        <v>2400</v>
      </c>
      <c r="F37" s="777"/>
      <c r="G37" s="766"/>
      <c r="H37" s="778"/>
      <c r="I37" s="776">
        <f>IF($E$3=0,(IF($N$16=0,$N$18,($I$11-$R16)/(($E$11/$E$12*-1)+($N16/$N17)))),($I$11-$R16)/(($E$11/$E$12*-1)+($N16/$N17)))</f>
        <v>5200</v>
      </c>
      <c r="J37" s="777"/>
      <c r="K37" s="766"/>
      <c r="L37" s="778"/>
      <c r="M37" s="776">
        <f>IF($E$3=0,(IF($N$21=0,$N$23,($I$11-$R21)/(($E$11/$E$12*-1)+($N21/$N22)))),($I$11-$R21)/(($E$11/$E$12*-1)+($N21/$N22)))</f>
        <v>5200</v>
      </c>
      <c r="N37" s="762"/>
      <c r="O37" s="762"/>
      <c r="P37" s="762"/>
      <c r="Q37" s="763"/>
      <c r="R37" s="53"/>
      <c r="S37" s="53"/>
      <c r="T37" s="53"/>
      <c r="U37" s="53"/>
    </row>
    <row r="38" spans="1:21" ht="19.5" customHeight="1">
      <c r="A38" s="764" t="s">
        <v>235</v>
      </c>
      <c r="B38" s="762"/>
      <c r="C38" s="765"/>
      <c r="D38" s="760"/>
      <c r="E38" s="776">
        <f>N13</f>
        <v>4000</v>
      </c>
      <c r="F38" s="767"/>
      <c r="G38" s="765"/>
      <c r="H38" s="768"/>
      <c r="I38" s="776">
        <f>N18</f>
        <v>0</v>
      </c>
      <c r="J38" s="766"/>
      <c r="K38" s="766"/>
      <c r="L38" s="766"/>
      <c r="M38" s="776">
        <f>N23</f>
        <v>0</v>
      </c>
      <c r="N38" s="762"/>
      <c r="O38" s="762"/>
      <c r="P38" s="762"/>
      <c r="Q38" s="763"/>
      <c r="R38" s="53"/>
      <c r="S38" s="53"/>
      <c r="T38" s="53"/>
      <c r="U38" s="53"/>
    </row>
    <row r="39" spans="1:21" ht="19.5" customHeight="1">
      <c r="A39" s="764" t="s">
        <v>236</v>
      </c>
      <c r="B39" s="762"/>
      <c r="C39" s="765"/>
      <c r="D39" s="760"/>
      <c r="E39" s="776">
        <v>0</v>
      </c>
      <c r="F39" s="767"/>
      <c r="G39" s="765"/>
      <c r="H39" s="768"/>
      <c r="I39" s="776">
        <f>N13</f>
        <v>4000</v>
      </c>
      <c r="J39" s="766"/>
      <c r="K39" s="766"/>
      <c r="L39" s="766"/>
      <c r="M39" s="776">
        <f>N18</f>
        <v>0</v>
      </c>
      <c r="N39" s="762"/>
      <c r="O39" s="762"/>
      <c r="P39" s="762"/>
      <c r="Q39" s="763"/>
      <c r="R39" s="53"/>
      <c r="S39" s="53"/>
      <c r="T39" s="53"/>
      <c r="U39" s="53"/>
    </row>
    <row r="40" spans="1:21" ht="19.5" customHeight="1">
      <c r="A40" s="764" t="s">
        <v>237</v>
      </c>
      <c r="B40" s="762"/>
      <c r="C40" s="765"/>
      <c r="D40" s="760"/>
      <c r="E40" s="776">
        <f>D23</f>
        <v>4000</v>
      </c>
      <c r="F40" s="767"/>
      <c r="G40" s="765"/>
      <c r="H40" s="768"/>
      <c r="I40" s="776">
        <f>D23</f>
        <v>4000</v>
      </c>
      <c r="J40" s="766"/>
      <c r="K40" s="766"/>
      <c r="L40" s="766"/>
      <c r="M40" s="776">
        <f>D23</f>
        <v>4000</v>
      </c>
      <c r="N40" s="762"/>
      <c r="O40" s="762"/>
      <c r="P40" s="762"/>
      <c r="Q40" s="763"/>
      <c r="R40" s="53"/>
      <c r="S40" s="53"/>
      <c r="T40" s="53"/>
      <c r="U40" s="53"/>
    </row>
    <row r="41" spans="1:21" ht="19.5" customHeight="1">
      <c r="A41" s="764" t="s">
        <v>238</v>
      </c>
      <c r="B41" s="762"/>
      <c r="C41" s="765"/>
      <c r="D41" s="760"/>
      <c r="E41" s="776">
        <f>IF(IF(E37&lt;E38,IF(E40&gt;E37&gt;E39,E37),IF(E37&lt;E39,0,MIN(E38,E40)))&gt;E40,E40,IF(E37&lt;E38,IF(E40&gt;E37&gt;E39,E37),IF(E37&lt;E39,0,MIN(E38,E40))))</f>
        <v>2400</v>
      </c>
      <c r="F41" s="777"/>
      <c r="G41" s="766"/>
      <c r="H41" s="778"/>
      <c r="I41" s="776">
        <f>IF(IF(I37&lt;I38,IF(I40&gt;I37&gt;I39,I37),IF(I37&lt;I39,0,MIN(I38,I40)))&gt;I40,I40,IF(I37&lt;I38,IF(I40&gt;I37&gt;I39,I37),IF(I37&lt;I39,0,MIN(I38,I40))))</f>
        <v>0</v>
      </c>
      <c r="J41" s="777"/>
      <c r="K41" s="766"/>
      <c r="L41" s="778"/>
      <c r="M41" s="776">
        <f>IF(IF(IF(M37&lt;M38,IF(M40&gt;M37&gt;M39,M37),IF(M37&lt;M39,0,MIN(M38,M40)))&lt;M39,M39,IF(M37&lt;M38,IF(M40&gt;M37&gt;M39,M37),IF(M37&lt;M39,0,MIN(M38,M40))))&gt;M40,M40,IF(IF(M37&lt;M38,IF(M40&gt;M37&gt;M39,M37),IF(M37&lt;M39,0,MIN(M38,M40)))&lt;M39,M39,IF(M37&lt;M38,IF(M40&gt;M37&gt;M39,M37),IF(M37&lt;M39,0,MIN(M38,M40)))))</f>
        <v>0</v>
      </c>
      <c r="N41" s="762"/>
      <c r="O41" s="762"/>
      <c r="P41" s="762"/>
      <c r="Q41" s="763"/>
      <c r="R41" s="53"/>
      <c r="S41" s="53"/>
      <c r="T41" s="53"/>
      <c r="U41" s="53"/>
    </row>
    <row r="42" spans="1:21" ht="19.5" customHeight="1">
      <c r="A42" s="764" t="s">
        <v>239</v>
      </c>
      <c r="B42" s="762"/>
      <c r="C42" s="765"/>
      <c r="D42" s="760"/>
      <c r="E42" s="776">
        <f>E41*($E$3/$E$4)+$I$3</f>
        <v>3000</v>
      </c>
      <c r="F42" s="767"/>
      <c r="G42" s="765"/>
      <c r="H42" s="768"/>
      <c r="I42" s="776">
        <f>I41*($E$3/$E$4)+$I$3</f>
        <v>3900</v>
      </c>
      <c r="J42" s="766"/>
      <c r="K42" s="766"/>
      <c r="L42" s="766"/>
      <c r="M42" s="776">
        <f>IF(M41=0,0,M41*($E$3/$E$4)+$I$3)</f>
        <v>0</v>
      </c>
      <c r="N42" s="762"/>
      <c r="O42" s="762"/>
      <c r="P42" s="762"/>
      <c r="Q42" s="763"/>
      <c r="R42" s="53"/>
      <c r="S42" s="53"/>
      <c r="T42" s="53"/>
      <c r="U42" s="53"/>
    </row>
    <row r="43" spans="1:21" ht="19.5" customHeight="1">
      <c r="A43" s="764" t="s">
        <v>240</v>
      </c>
      <c r="B43" s="762"/>
      <c r="C43" s="765"/>
      <c r="D43" s="760"/>
      <c r="E43" s="779">
        <f>E41*E42</f>
        <v>7200000</v>
      </c>
      <c r="F43" s="780"/>
      <c r="G43" s="780"/>
      <c r="H43" s="780"/>
      <c r="I43" s="779">
        <f>I41*I42</f>
        <v>0</v>
      </c>
      <c r="J43" s="781"/>
      <c r="K43" s="781"/>
      <c r="L43" s="781"/>
      <c r="M43" s="779">
        <f>M41*M42</f>
        <v>0</v>
      </c>
      <c r="N43" s="762"/>
      <c r="O43" s="762"/>
      <c r="P43" s="762"/>
      <c r="Q43" s="763"/>
      <c r="R43" s="53"/>
      <c r="S43" s="53"/>
      <c r="T43" s="53"/>
      <c r="U43" s="53"/>
    </row>
    <row r="44" spans="1:21" ht="19.5" customHeight="1">
      <c r="A44" s="764" t="s">
        <v>241</v>
      </c>
      <c r="B44" s="762"/>
      <c r="C44" s="765"/>
      <c r="D44" s="760"/>
      <c r="E44" s="782">
        <f>POWER(E41,$P$5)*$N$5/$N$6+($R$5*E41)</f>
        <v>5040000</v>
      </c>
      <c r="F44" s="767"/>
      <c r="G44" s="765"/>
      <c r="H44" s="768"/>
      <c r="I44" s="782">
        <f>IF(D23&gt;N13,POWER($N$13,$P$5)*$N$5/$N$6+($R$5*$N$13),POWER(D23,$P$5)*$N$5/$N$6+($R$5*D23))</f>
        <v>8400000</v>
      </c>
      <c r="J44" s="765"/>
      <c r="K44" s="769"/>
      <c r="L44" s="770"/>
      <c r="M44" s="782">
        <f>IF(N18=0,0,POWER($N$13,$P$5)*$N$5/$N$6+($R$5*$N$13))</f>
        <v>0</v>
      </c>
      <c r="N44" s="762"/>
      <c r="O44" s="762"/>
      <c r="P44" s="762"/>
      <c r="Q44" s="763"/>
      <c r="R44" s="53"/>
      <c r="S44" s="53"/>
      <c r="T44" s="53"/>
      <c r="U44" s="53"/>
    </row>
    <row r="45" spans="1:21" ht="19.5" customHeight="1">
      <c r="A45" s="764" t="s">
        <v>242</v>
      </c>
      <c r="B45" s="762"/>
      <c r="C45" s="765"/>
      <c r="D45" s="760"/>
      <c r="E45" s="782"/>
      <c r="F45" s="767"/>
      <c r="G45" s="765"/>
      <c r="H45" s="768"/>
      <c r="I45" s="782">
        <f>IF(((POWER($I$41,$P$14)*($N$14/$N$15)+($R$14*$I$41)))-((POWER(($N$13),$P$14)*$N$14)/$N$15+($R$14*($N$13)))&lt;0,0,((POWER($I$41,$P$14)*($N$14/$N$15)+($R$14*$I$41)))-((POWER(($N$13),$P$14)*$N$14)/$N$15+($R$14*($N$13))))</f>
        <v>0</v>
      </c>
      <c r="J45" s="765"/>
      <c r="K45" s="769"/>
      <c r="L45" s="770"/>
      <c r="M45" s="782">
        <f>IF(((POWER(N18,$P$14)*($N$14/$N$15)+($R$14*N18)))-((POWER(($N$13),$P$14)*$N$14)/$N$15+($R$14*($N$13)))&lt;0,0,((POWER(N18,$P$14)*($N$14/$N$15)+($R$14*N18)))-((POWER(($N$13),$P$14)*$N$14)/$N$15+($R$14*($N$13))))</f>
        <v>0</v>
      </c>
      <c r="N45" s="762"/>
      <c r="O45" s="762"/>
      <c r="P45" s="762"/>
      <c r="Q45" s="763"/>
      <c r="R45" s="53"/>
      <c r="S45" s="53"/>
      <c r="T45" s="53"/>
      <c r="U45" s="53"/>
    </row>
    <row r="46" spans="1:21" ht="19.5" customHeight="1" thickBot="1">
      <c r="A46" s="764" t="s">
        <v>243</v>
      </c>
      <c r="B46" s="762"/>
      <c r="C46" s="765"/>
      <c r="D46" s="760"/>
      <c r="E46" s="782"/>
      <c r="F46" s="767"/>
      <c r="G46" s="765"/>
      <c r="H46" s="768"/>
      <c r="I46" s="783"/>
      <c r="J46" s="765"/>
      <c r="K46" s="769"/>
      <c r="L46" s="770"/>
      <c r="M46" s="782">
        <f>(POWER(M41,$P$19)*($N$19/$N$20)+($R$19*M41)-(POWER(($N$18),$P$19)*($N$19/$N$20)+($R$19*($N$18))))</f>
        <v>0</v>
      </c>
      <c r="N46" s="762"/>
      <c r="O46" s="762"/>
      <c r="P46" s="762"/>
      <c r="Q46" s="763"/>
      <c r="R46" s="53"/>
      <c r="S46" s="53"/>
      <c r="T46" s="53"/>
      <c r="U46" s="53"/>
    </row>
    <row r="47" spans="1:21" ht="19.5" customHeight="1" thickBot="1">
      <c r="A47" s="764" t="s">
        <v>2</v>
      </c>
      <c r="B47" s="762"/>
      <c r="C47" s="765"/>
      <c r="D47" s="760"/>
      <c r="E47" s="784">
        <f>E43-E44-E45-E46</f>
        <v>2160000</v>
      </c>
      <c r="F47" s="781"/>
      <c r="G47" s="781"/>
      <c r="H47" s="781"/>
      <c r="I47" s="784">
        <f>I43-I44-I45-I46</f>
        <v>-8400000</v>
      </c>
      <c r="J47" s="781"/>
      <c r="K47" s="781"/>
      <c r="L47" s="781"/>
      <c r="M47" s="784">
        <f>M43-M44-M45-M46</f>
        <v>0</v>
      </c>
      <c r="N47" s="762"/>
      <c r="O47" s="762"/>
      <c r="P47" s="762"/>
      <c r="Q47" s="763"/>
      <c r="R47" s="53"/>
      <c r="S47" s="53"/>
      <c r="T47" s="53"/>
      <c r="U47" s="53"/>
    </row>
    <row r="48" spans="1:21" ht="19.5" hidden="1" customHeight="1">
      <c r="A48" s="764" t="s">
        <v>244</v>
      </c>
      <c r="B48" s="762"/>
      <c r="C48" s="765"/>
      <c r="D48" s="760"/>
      <c r="E48" s="776">
        <f>MAX($E$47,$I$47,$M$47)</f>
        <v>2160000</v>
      </c>
      <c r="F48" s="766"/>
      <c r="G48" s="766"/>
      <c r="H48" s="766"/>
      <c r="I48" s="776">
        <f>MAX($E$47,$I$47,$M$47)</f>
        <v>2160000</v>
      </c>
      <c r="J48" s="766"/>
      <c r="K48" s="766"/>
      <c r="L48" s="766"/>
      <c r="M48" s="776">
        <f>MAX($E$47,$I$47,$M$47)</f>
        <v>2160000</v>
      </c>
      <c r="N48" s="762"/>
      <c r="O48" s="762"/>
      <c r="P48" s="762"/>
      <c r="Q48" s="763"/>
      <c r="R48" s="53"/>
      <c r="S48" s="53"/>
      <c r="T48" s="53"/>
      <c r="U48" s="53"/>
    </row>
    <row r="49" spans="1:21" ht="19.5" customHeight="1">
      <c r="A49" s="764" t="s">
        <v>245</v>
      </c>
      <c r="B49" s="762"/>
      <c r="C49" s="765"/>
      <c r="D49" s="760"/>
      <c r="E49" s="776">
        <f>$M$3</f>
        <v>0</v>
      </c>
      <c r="F49" s="766"/>
      <c r="G49" s="766"/>
      <c r="H49" s="766"/>
      <c r="I49" s="776">
        <f>$M$3</f>
        <v>0</v>
      </c>
      <c r="J49" s="766"/>
      <c r="K49" s="766"/>
      <c r="L49" s="766"/>
      <c r="M49" s="776">
        <f>$M$3</f>
        <v>0</v>
      </c>
      <c r="N49" s="762"/>
      <c r="O49" s="762"/>
      <c r="P49" s="762"/>
      <c r="Q49" s="763"/>
      <c r="R49" s="53"/>
      <c r="S49" s="53"/>
      <c r="T49" s="53"/>
      <c r="U49" s="53"/>
    </row>
    <row r="50" spans="1:21" ht="19.5" customHeight="1" thickBot="1">
      <c r="A50" s="764" t="s">
        <v>246</v>
      </c>
      <c r="B50" s="762"/>
      <c r="C50" s="765"/>
      <c r="D50" s="760"/>
      <c r="E50" s="785">
        <f>E47-E49</f>
        <v>2160000</v>
      </c>
      <c r="F50" s="766"/>
      <c r="G50" s="766"/>
      <c r="H50" s="766"/>
      <c r="I50" s="785">
        <f>I47-I49</f>
        <v>-8400000</v>
      </c>
      <c r="J50" s="766"/>
      <c r="K50" s="766"/>
      <c r="L50" s="766"/>
      <c r="M50" s="785">
        <f>M47-M49</f>
        <v>0</v>
      </c>
      <c r="N50" s="762"/>
      <c r="O50" s="762"/>
      <c r="P50" s="762"/>
      <c r="Q50" s="763"/>
      <c r="R50" s="53"/>
      <c r="S50" s="53"/>
      <c r="T50" s="53"/>
      <c r="U50" s="53"/>
    </row>
    <row r="51" spans="1:21">
      <c r="H51" s="786"/>
      <c r="Q51" s="787"/>
    </row>
    <row r="52" spans="1:21">
      <c r="H52" s="786"/>
      <c r="Q52" s="787"/>
    </row>
    <row r="53" spans="1:21">
      <c r="H53" s="786"/>
      <c r="Q53" s="787"/>
    </row>
    <row r="54" spans="1:21">
      <c r="H54" s="786"/>
      <c r="Q54" s="787"/>
    </row>
    <row r="55" spans="1:21">
      <c r="H55" s="786"/>
      <c r="Q55" s="787"/>
    </row>
    <row r="56" spans="1:21">
      <c r="H56" s="786"/>
      <c r="Q56" s="787"/>
    </row>
    <row r="57" spans="1:21">
      <c r="H57" s="786"/>
      <c r="Q57" s="787"/>
    </row>
    <row r="58" spans="1:21">
      <c r="H58" s="786"/>
      <c r="Q58" s="787"/>
    </row>
    <row r="59" spans="1:21">
      <c r="H59" s="786"/>
      <c r="Q59" s="787"/>
    </row>
    <row r="60" spans="1:21">
      <c r="H60" s="786"/>
      <c r="Q60" s="787"/>
    </row>
    <row r="61" spans="1:21">
      <c r="H61" s="786"/>
      <c r="Q61" s="787"/>
    </row>
    <row r="62" spans="1:21">
      <c r="H62" s="786"/>
      <c r="Q62" s="787"/>
    </row>
    <row r="63" spans="1:21">
      <c r="H63" s="786"/>
      <c r="Q63" s="787"/>
    </row>
    <row r="64" spans="1:21">
      <c r="H64" s="786"/>
      <c r="Q64" s="787"/>
    </row>
    <row r="65" spans="1:18">
      <c r="H65" s="786"/>
      <c r="Q65" s="787"/>
    </row>
    <row r="66" spans="1:18">
      <c r="H66" s="786"/>
      <c r="Q66" s="787"/>
    </row>
    <row r="67" spans="1:18">
      <c r="H67" s="786"/>
      <c r="Q67" s="787"/>
    </row>
    <row r="68" spans="1:18">
      <c r="H68" s="786"/>
      <c r="Q68" s="787"/>
    </row>
    <row r="69" spans="1:18">
      <c r="H69" s="786"/>
      <c r="Q69" s="787"/>
    </row>
    <row r="70" spans="1:18">
      <c r="H70" s="786"/>
      <c r="Q70" s="787"/>
    </row>
    <row r="71" spans="1:18">
      <c r="H71" s="786"/>
      <c r="Q71" s="787"/>
    </row>
    <row r="72" spans="1:18">
      <c r="H72" s="786"/>
      <c r="Q72" s="787"/>
    </row>
    <row r="73" spans="1:18">
      <c r="A73" t="s">
        <v>247</v>
      </c>
      <c r="H73" s="786"/>
      <c r="Q73" s="787"/>
    </row>
    <row r="74" spans="1:18">
      <c r="H74" s="786"/>
      <c r="Q74" s="787"/>
    </row>
    <row r="75" spans="1:18" ht="18">
      <c r="H75" s="786"/>
      <c r="I75" s="788" t="s">
        <v>224</v>
      </c>
      <c r="J75" s="789" t="s">
        <v>56</v>
      </c>
      <c r="K75" s="790" t="str">
        <f>IF($E$48=$E$47,"MC(1)",IF($I$48=$I$47,"MC(2)",IF($M$48=$M$47,"MC(3)")))</f>
        <v>MC(1)</v>
      </c>
      <c r="L75" s="790"/>
      <c r="Q75" s="787"/>
    </row>
    <row r="76" spans="1:18" ht="18" customHeight="1" thickBot="1">
      <c r="D76" s="791"/>
      <c r="E76" s="691">
        <f>E11</f>
        <v>-6</v>
      </c>
      <c r="F76" s="792" t="str">
        <f>F11</f>
        <v>X</v>
      </c>
      <c r="G76" s="793"/>
      <c r="H76" s="792" t="str">
        <f>H11</f>
        <v>+</v>
      </c>
      <c r="I76" s="794">
        <f>I11</f>
        <v>3900</v>
      </c>
      <c r="J76" s="792" t="str">
        <f>J75</f>
        <v>=</v>
      </c>
      <c r="K76" s="795"/>
      <c r="L76" s="795"/>
      <c r="M76" s="725">
        <f>IF($K$75=$K$11,N11,IF($K$75=$K$16,N16,IF($K$75=$K$21,N21)))</f>
        <v>0</v>
      </c>
      <c r="N76" s="796" t="str">
        <f>O11</f>
        <v>X</v>
      </c>
      <c r="O76" s="792" t="str">
        <f>Q11</f>
        <v>+</v>
      </c>
      <c r="P76" s="794">
        <f>IF(K75=K11,R11,IF(K16=K75,R16,IF(K21=K75,R21)))</f>
        <v>2100</v>
      </c>
      <c r="Q76" s="794"/>
      <c r="R76" s="794"/>
    </row>
    <row r="77" spans="1:18" ht="18" customHeight="1">
      <c r="E77" s="797">
        <f>E12</f>
        <v>8</v>
      </c>
      <c r="F77" s="792"/>
      <c r="G77" s="793"/>
      <c r="H77" s="792"/>
      <c r="I77" s="794"/>
      <c r="J77" s="792"/>
      <c r="K77" s="795"/>
      <c r="L77" s="795"/>
      <c r="M77" s="53">
        <f>IF($K$75=$K$11,N12,IF($K$75=$K$16,N17,IF($K$75=$K$21,N22)))</f>
        <v>1</v>
      </c>
      <c r="N77" s="796"/>
      <c r="O77" s="792"/>
      <c r="P77" s="794"/>
      <c r="Q77" s="794"/>
      <c r="R77" s="794"/>
    </row>
    <row r="78" spans="1:18">
      <c r="H78" s="786"/>
      <c r="J78" s="791"/>
      <c r="Q78" s="787"/>
    </row>
    <row r="79" spans="1:18" ht="20.25">
      <c r="H79" s="786"/>
      <c r="I79" s="791">
        <f>I76-P76</f>
        <v>1800</v>
      </c>
      <c r="J79" s="798" t="str">
        <f>J76</f>
        <v>=</v>
      </c>
      <c r="M79">
        <f>-1*(E76/E77)+(M76/M77)</f>
        <v>0.75</v>
      </c>
      <c r="N79" s="799" t="str">
        <f>N76</f>
        <v>X</v>
      </c>
      <c r="Q79" s="787"/>
    </row>
    <row r="80" spans="1:18">
      <c r="H80" s="786"/>
    </row>
    <row r="81" spans="1:17" ht="20.25">
      <c r="A81" s="800" t="str">
        <f>IF(I81&gt;I82,"Da løsningen overstiger max. mængde er den ugyldig"," ")</f>
        <v xml:space="preserve"> </v>
      </c>
      <c r="B81" s="800"/>
      <c r="C81" s="800"/>
      <c r="D81" s="800"/>
      <c r="E81" s="800"/>
      <c r="F81" s="800"/>
      <c r="G81" s="800"/>
      <c r="H81" s="800"/>
      <c r="I81">
        <f>IF(M79=0,"Kan ikke løses",I79/M79)</f>
        <v>2400</v>
      </c>
      <c r="J81" s="763" t="str">
        <f>J79</f>
        <v>=</v>
      </c>
      <c r="K81" s="801" t="str">
        <f>O5</f>
        <v>X</v>
      </c>
      <c r="L81" s="716"/>
      <c r="N81" s="716"/>
      <c r="O81" s="716"/>
      <c r="Q81" s="787"/>
    </row>
    <row r="82" spans="1:17" ht="21" thickBot="1">
      <c r="H82" s="786"/>
      <c r="I82" s="802">
        <f>IF($E$48=$E$47,$E$41,IF($I$48=$I$47,$I$41,IF($M$48=$M$47,$M$41)))</f>
        <v>2400</v>
      </c>
      <c r="J82" s="803" t="str">
        <f>J81</f>
        <v>=</v>
      </c>
      <c r="K82" s="803" t="str">
        <f>O8</f>
        <v>X</v>
      </c>
      <c r="L82" s="802"/>
      <c r="Q82" s="787"/>
    </row>
    <row r="83" spans="1:17" ht="13.5" thickTop="1">
      <c r="H83" s="786"/>
      <c r="I83" s="716"/>
      <c r="J83" s="710"/>
      <c r="K83" s="710"/>
      <c r="L83" s="716"/>
      <c r="Q83" s="787"/>
    </row>
    <row r="84" spans="1:17" ht="20.25">
      <c r="A84">
        <f>I82</f>
        <v>2400</v>
      </c>
      <c r="B84" s="799" t="str">
        <f>J81</f>
        <v>=</v>
      </c>
      <c r="C84" s="799" t="str">
        <f>K81</f>
        <v>X</v>
      </c>
      <c r="D84" t="s">
        <v>248</v>
      </c>
      <c r="H84" s="786"/>
    </row>
    <row r="85" spans="1:17" ht="12.75" customHeight="1">
      <c r="B85" s="799"/>
      <c r="C85" s="799"/>
      <c r="H85" s="786"/>
    </row>
    <row r="86" spans="1:17" ht="21" thickBot="1">
      <c r="B86" s="804"/>
      <c r="C86" s="792" t="str">
        <f>B3</f>
        <v>P</v>
      </c>
      <c r="D86" s="792" t="str">
        <f>C3</f>
        <v>=</v>
      </c>
      <c r="E86" s="691">
        <f>E3</f>
        <v>-3</v>
      </c>
      <c r="F86" s="792" t="str">
        <f>F3</f>
        <v>X</v>
      </c>
      <c r="G86" s="805"/>
      <c r="H86" s="792" t="str">
        <f>H3</f>
        <v>+</v>
      </c>
      <c r="I86" s="794">
        <f>I3</f>
        <v>3900</v>
      </c>
    </row>
    <row r="87" spans="1:17" ht="17.25" customHeight="1">
      <c r="B87" s="804"/>
      <c r="C87" s="792"/>
      <c r="D87" s="792"/>
      <c r="E87" s="797">
        <f>E4</f>
        <v>8</v>
      </c>
      <c r="F87" s="792"/>
      <c r="G87" s="805"/>
      <c r="H87" s="792"/>
      <c r="I87" s="794"/>
    </row>
    <row r="88" spans="1:17" ht="20.25">
      <c r="C88" s="799" t="str">
        <f>C86</f>
        <v>P</v>
      </c>
      <c r="D88" s="798" t="str">
        <f>D86</f>
        <v>=</v>
      </c>
      <c r="E88" s="806">
        <f>I82*(E86/E87)</f>
        <v>-900</v>
      </c>
      <c r="H88" s="799" t="str">
        <f>H86</f>
        <v>+</v>
      </c>
      <c r="I88" s="791">
        <f>I86</f>
        <v>3900</v>
      </c>
    </row>
    <row r="89" spans="1:17" ht="21" thickBot="1">
      <c r="C89" s="807" t="str">
        <f>C88</f>
        <v>P</v>
      </c>
      <c r="D89" s="803" t="str">
        <f>D88</f>
        <v>=</v>
      </c>
      <c r="E89" s="802">
        <f>I88+E88</f>
        <v>3000</v>
      </c>
    </row>
    <row r="90" spans="1:17" ht="13.5" thickTop="1"/>
    <row r="91" spans="1:17" ht="20.25">
      <c r="A91" s="804" t="s">
        <v>249</v>
      </c>
      <c r="B91" s="804"/>
      <c r="C91" s="804"/>
      <c r="D91" s="804"/>
      <c r="E91" s="804"/>
      <c r="F91" s="804"/>
      <c r="G91" s="804"/>
      <c r="H91" s="804"/>
      <c r="I91" s="804"/>
      <c r="J91" s="804"/>
      <c r="K91" s="804"/>
      <c r="L91" s="804"/>
      <c r="M91" s="804"/>
    </row>
    <row r="92" spans="1:17" ht="18">
      <c r="A92" s="6" t="s">
        <v>129</v>
      </c>
      <c r="B92" s="6"/>
      <c r="C92" s="6" t="s">
        <v>260</v>
      </c>
      <c r="D92" s="6"/>
      <c r="E92" s="6">
        <f>E89</f>
        <v>3000</v>
      </c>
      <c r="F92" s="6"/>
      <c r="G92" s="318" t="s">
        <v>59</v>
      </c>
      <c r="H92" s="6"/>
      <c r="I92" s="6">
        <f>I82</f>
        <v>2400</v>
      </c>
      <c r="J92" s="6"/>
      <c r="K92" s="6"/>
      <c r="L92" s="6"/>
      <c r="M92" s="808">
        <f>E92*I92</f>
        <v>7200000</v>
      </c>
    </row>
    <row r="93" spans="1:17" ht="18">
      <c r="A93" s="809" t="s">
        <v>129</v>
      </c>
      <c r="B93" s="6"/>
      <c r="C93" s="6" t="s">
        <v>261</v>
      </c>
      <c r="D93" s="6"/>
      <c r="E93" s="6">
        <v>2150</v>
      </c>
      <c r="F93" s="6"/>
      <c r="G93" s="6" t="s">
        <v>59</v>
      </c>
      <c r="H93" s="6"/>
      <c r="I93" s="6">
        <v>1600</v>
      </c>
      <c r="J93" s="6"/>
      <c r="K93" s="6"/>
      <c r="L93" s="6"/>
      <c r="M93" s="808">
        <f>E93*I93</f>
        <v>3440000</v>
      </c>
      <c r="N93" s="810"/>
    </row>
    <row r="94" spans="1:17" ht="18">
      <c r="A94" s="811" t="s">
        <v>262</v>
      </c>
      <c r="B94" s="6"/>
      <c r="C94" s="6"/>
      <c r="D94" s="6"/>
      <c r="E94" s="6">
        <v>1650</v>
      </c>
      <c r="F94" s="6"/>
      <c r="G94" s="6" t="s">
        <v>59</v>
      </c>
      <c r="H94" s="6"/>
      <c r="I94" s="6">
        <v>2500</v>
      </c>
      <c r="J94" s="6"/>
      <c r="K94" s="6"/>
      <c r="L94" s="6"/>
      <c r="M94" s="812">
        <f>E94*I94</f>
        <v>4125000</v>
      </c>
    </row>
    <row r="95" spans="1:17" ht="18">
      <c r="A95" s="811" t="s">
        <v>263</v>
      </c>
      <c r="B95" s="6"/>
      <c r="C95" s="6"/>
      <c r="D95" s="6"/>
      <c r="E95" s="6">
        <v>1740</v>
      </c>
      <c r="F95" s="6"/>
      <c r="G95" s="6" t="s">
        <v>59</v>
      </c>
      <c r="H95" s="6"/>
      <c r="I95" s="6">
        <v>1500</v>
      </c>
      <c r="J95" s="6"/>
      <c r="K95" s="6"/>
      <c r="L95" s="6"/>
      <c r="M95" s="812">
        <f t="shared" ref="M95:M96" si="1">E95*I95</f>
        <v>2610000</v>
      </c>
    </row>
    <row r="96" spans="1:17" ht="18">
      <c r="A96" s="811" t="s">
        <v>264</v>
      </c>
      <c r="B96" s="6"/>
      <c r="C96" s="6"/>
      <c r="D96" s="6"/>
      <c r="E96" s="6">
        <v>50</v>
      </c>
      <c r="F96" s="6"/>
      <c r="G96" s="6" t="s">
        <v>59</v>
      </c>
      <c r="H96" s="6"/>
      <c r="I96" s="6">
        <v>1600</v>
      </c>
      <c r="J96" s="6"/>
      <c r="K96" s="6"/>
      <c r="L96" s="6"/>
      <c r="M96" s="812">
        <f t="shared" si="1"/>
        <v>80000</v>
      </c>
    </row>
    <row r="97" spans="1:22" ht="18.75" thickBot="1">
      <c r="A97" s="6" t="s">
        <v>2</v>
      </c>
      <c r="B97" s="6"/>
      <c r="C97" s="6"/>
      <c r="D97" s="6"/>
      <c r="E97" s="6"/>
      <c r="F97" s="6"/>
      <c r="G97" s="6"/>
      <c r="H97" s="6"/>
      <c r="I97" s="6"/>
      <c r="J97" s="6"/>
      <c r="K97" s="6"/>
      <c r="L97" s="6"/>
      <c r="M97" s="813">
        <f>M92+M93-M94-M95-M96</f>
        <v>3825000</v>
      </c>
    </row>
    <row r="98" spans="1:22" ht="15.75" thickTop="1">
      <c r="A98" s="814"/>
      <c r="B98" s="814"/>
      <c r="C98" s="814"/>
      <c r="D98" s="814"/>
      <c r="E98" s="814"/>
    </row>
    <row r="99" spans="1:22" ht="15">
      <c r="A99" s="814"/>
      <c r="B99" s="814"/>
      <c r="C99" s="814"/>
      <c r="D99" s="814"/>
      <c r="E99" s="814"/>
      <c r="K99" s="815"/>
      <c r="M99" s="816"/>
    </row>
    <row r="100" spans="1:22" ht="15">
      <c r="A100" s="814"/>
      <c r="B100" s="814"/>
      <c r="C100" s="814"/>
      <c r="D100" s="814"/>
      <c r="E100" s="814"/>
    </row>
    <row r="103" spans="1:22">
      <c r="A103" s="321"/>
      <c r="B103" s="321"/>
      <c r="C103" s="321"/>
      <c r="D103" s="321"/>
    </row>
    <row r="104" spans="1:22">
      <c r="A104" s="321"/>
      <c r="B104" s="321"/>
      <c r="C104" s="321"/>
      <c r="D104" s="321"/>
      <c r="V104" s="817"/>
    </row>
    <row r="114" spans="1:22">
      <c r="A114" s="321"/>
      <c r="B114" s="321"/>
      <c r="C114" s="321"/>
      <c r="D114" s="321"/>
      <c r="F114" s="321"/>
      <c r="G114" s="321"/>
      <c r="H114" s="321"/>
      <c r="I114" s="321"/>
      <c r="J114" s="321"/>
      <c r="K114" s="321"/>
      <c r="L114" s="319"/>
      <c r="N114" s="321"/>
      <c r="O114" s="321"/>
      <c r="P114" s="321"/>
      <c r="Q114" s="321"/>
      <c r="R114" s="321"/>
      <c r="S114" s="321"/>
      <c r="T114" s="321"/>
    </row>
    <row r="115" spans="1:22">
      <c r="A115" s="321"/>
      <c r="B115" s="321"/>
      <c r="C115" s="321"/>
      <c r="D115" s="321"/>
      <c r="F115" s="321"/>
      <c r="G115" s="321"/>
      <c r="H115" s="321"/>
      <c r="I115" s="321"/>
      <c r="J115" s="319"/>
      <c r="K115" s="319"/>
      <c r="L115" s="319"/>
      <c r="N115" s="321"/>
      <c r="O115" s="321"/>
      <c r="P115" s="321"/>
      <c r="Q115" s="321"/>
      <c r="R115" s="321"/>
      <c r="S115" s="321"/>
      <c r="T115" s="321"/>
    </row>
    <row r="116" spans="1:22" ht="27" thickBot="1">
      <c r="A116" s="321"/>
      <c r="B116" s="321"/>
      <c r="C116" s="321"/>
      <c r="D116" s="321"/>
      <c r="F116" s="663" t="s">
        <v>254</v>
      </c>
      <c r="G116" s="319"/>
      <c r="H116" s="319"/>
      <c r="I116" s="319"/>
      <c r="J116" s="818"/>
      <c r="K116" s="818"/>
      <c r="L116" s="818"/>
      <c r="N116" s="818"/>
      <c r="O116" s="818"/>
      <c r="P116" s="818"/>
      <c r="Q116" s="818"/>
      <c r="R116" s="321"/>
      <c r="S116" s="321"/>
      <c r="T116" s="321"/>
    </row>
    <row r="117" spans="1:22" ht="13.5" thickBot="1">
      <c r="A117" s="819" t="s">
        <v>255</v>
      </c>
      <c r="B117" s="820"/>
      <c r="C117" s="820" t="s">
        <v>239</v>
      </c>
      <c r="D117" s="820"/>
      <c r="E117" s="821" t="s">
        <v>240</v>
      </c>
      <c r="F117" s="820" t="s">
        <v>256</v>
      </c>
      <c r="G117" s="820"/>
      <c r="H117" s="820"/>
      <c r="I117" s="820"/>
      <c r="J117" s="822" t="s">
        <v>2</v>
      </c>
      <c r="K117" s="823"/>
      <c r="L117" s="824"/>
      <c r="M117" s="821" t="s">
        <v>257</v>
      </c>
      <c r="N117" s="820" t="s">
        <v>246</v>
      </c>
      <c r="O117" s="820"/>
      <c r="P117" s="820"/>
      <c r="Q117" s="820"/>
      <c r="R117" s="820" t="s">
        <v>224</v>
      </c>
      <c r="S117" s="820"/>
      <c r="T117" s="820"/>
      <c r="U117" s="821" t="s">
        <v>258</v>
      </c>
      <c r="V117" s="825" t="s">
        <v>259</v>
      </c>
    </row>
    <row r="118" spans="1:22" ht="14.25">
      <c r="A118" s="826">
        <f>$A$121*-60%+$A$121</f>
        <v>960</v>
      </c>
      <c r="B118" s="827"/>
      <c r="C118" s="828">
        <f t="shared" ref="C118:C125" si="2">A118*($E$86/$E$87)+$I$86</f>
        <v>3540</v>
      </c>
      <c r="D118" s="828"/>
      <c r="E118" s="829">
        <f t="shared" ref="E118:E125" si="3">C118*A118</f>
        <v>3398400</v>
      </c>
      <c r="F118" s="830">
        <f t="shared" ref="F118:F125" si="4">(POWER(A118,$P$5))*($N$5/$N$6)+($R$5*A118)</f>
        <v>2016000</v>
      </c>
      <c r="G118" s="827"/>
      <c r="H118" s="827"/>
      <c r="I118" s="827"/>
      <c r="J118" s="831">
        <f t="shared" ref="J118:J125" si="5">E118-F118</f>
        <v>1382400</v>
      </c>
      <c r="K118" s="832"/>
      <c r="L118" s="833"/>
      <c r="M118" s="834">
        <f t="shared" ref="M118:M125" si="6">$M$3</f>
        <v>0</v>
      </c>
      <c r="N118" s="830">
        <f t="shared" ref="N118:N125" si="7">J118-M118</f>
        <v>1382400</v>
      </c>
      <c r="O118" s="827"/>
      <c r="P118" s="827"/>
      <c r="Q118" s="827"/>
      <c r="R118" s="828">
        <f t="shared" ref="R118:R125" si="8">$I$11+($E$11/$E$12)*A118</f>
        <v>3180</v>
      </c>
      <c r="S118" s="828"/>
      <c r="T118" s="828"/>
      <c r="U118" s="835">
        <f t="shared" ref="U118:U125" si="9">$R$11+($N$11/$N$12)*A118</f>
        <v>2100</v>
      </c>
      <c r="V118" s="836">
        <f t="shared" ref="V118:V125" si="10">R118-U118</f>
        <v>1080</v>
      </c>
    </row>
    <row r="119" spans="1:22" ht="14.25">
      <c r="A119" s="837">
        <f>$A$121*-40%+$A$121</f>
        <v>1440</v>
      </c>
      <c r="B119" s="838"/>
      <c r="C119" s="839">
        <f t="shared" si="2"/>
        <v>3360</v>
      </c>
      <c r="D119" s="839"/>
      <c r="E119" s="840">
        <f t="shared" si="3"/>
        <v>4838400</v>
      </c>
      <c r="F119" s="841">
        <f t="shared" si="4"/>
        <v>3024000</v>
      </c>
      <c r="G119" s="838"/>
      <c r="H119" s="838"/>
      <c r="I119" s="838"/>
      <c r="J119" s="842">
        <f t="shared" si="5"/>
        <v>1814400</v>
      </c>
      <c r="K119" s="843"/>
      <c r="L119" s="844"/>
      <c r="M119" s="845">
        <f t="shared" si="6"/>
        <v>0</v>
      </c>
      <c r="N119" s="841">
        <f t="shared" si="7"/>
        <v>1814400</v>
      </c>
      <c r="O119" s="838"/>
      <c r="P119" s="838"/>
      <c r="Q119" s="838"/>
      <c r="R119" s="839">
        <f t="shared" si="8"/>
        <v>2820</v>
      </c>
      <c r="S119" s="839"/>
      <c r="T119" s="839"/>
      <c r="U119" s="846">
        <f t="shared" si="9"/>
        <v>2100</v>
      </c>
      <c r="V119" s="847">
        <f t="shared" si="10"/>
        <v>720</v>
      </c>
    </row>
    <row r="120" spans="1:22" ht="14.25">
      <c r="A120" s="837">
        <f>$A$121*-20%+$A$121</f>
        <v>1920</v>
      </c>
      <c r="B120" s="838"/>
      <c r="C120" s="839">
        <f t="shared" si="2"/>
        <v>3180</v>
      </c>
      <c r="D120" s="839"/>
      <c r="E120" s="840">
        <f t="shared" si="3"/>
        <v>6105600</v>
      </c>
      <c r="F120" s="841">
        <f t="shared" si="4"/>
        <v>4032000</v>
      </c>
      <c r="G120" s="838"/>
      <c r="H120" s="838"/>
      <c r="I120" s="838"/>
      <c r="J120" s="842">
        <f t="shared" si="5"/>
        <v>2073600</v>
      </c>
      <c r="K120" s="843"/>
      <c r="L120" s="844"/>
      <c r="M120" s="845">
        <f t="shared" si="6"/>
        <v>0</v>
      </c>
      <c r="N120" s="841">
        <f t="shared" si="7"/>
        <v>2073600</v>
      </c>
      <c r="O120" s="838"/>
      <c r="P120" s="838"/>
      <c r="Q120" s="838"/>
      <c r="R120" s="839">
        <f t="shared" si="8"/>
        <v>2460</v>
      </c>
      <c r="S120" s="839"/>
      <c r="T120" s="839"/>
      <c r="U120" s="846">
        <f t="shared" si="9"/>
        <v>2100</v>
      </c>
      <c r="V120" s="847">
        <f t="shared" si="10"/>
        <v>360</v>
      </c>
    </row>
    <row r="121" spans="1:22" ht="14.25">
      <c r="A121" s="837">
        <f>I82</f>
        <v>2400</v>
      </c>
      <c r="B121" s="848"/>
      <c r="C121" s="849">
        <f t="shared" si="2"/>
        <v>3000</v>
      </c>
      <c r="D121" s="849"/>
      <c r="E121" s="850">
        <f t="shared" si="3"/>
        <v>7200000</v>
      </c>
      <c r="F121" s="851">
        <f t="shared" si="4"/>
        <v>5040000</v>
      </c>
      <c r="G121" s="848"/>
      <c r="H121" s="848"/>
      <c r="I121" s="848"/>
      <c r="J121" s="852">
        <f t="shared" si="5"/>
        <v>2160000</v>
      </c>
      <c r="K121" s="853"/>
      <c r="L121" s="844"/>
      <c r="M121" s="854">
        <f t="shared" si="6"/>
        <v>0</v>
      </c>
      <c r="N121" s="851">
        <f t="shared" si="7"/>
        <v>2160000</v>
      </c>
      <c r="O121" s="848"/>
      <c r="P121" s="848"/>
      <c r="Q121" s="848"/>
      <c r="R121" s="849">
        <f t="shared" si="8"/>
        <v>2100</v>
      </c>
      <c r="S121" s="849"/>
      <c r="T121" s="849"/>
      <c r="U121" s="855">
        <f t="shared" si="9"/>
        <v>2100</v>
      </c>
      <c r="V121" s="856">
        <f t="shared" si="10"/>
        <v>0</v>
      </c>
    </row>
    <row r="122" spans="1:22" ht="14.25">
      <c r="A122" s="837">
        <f>$A$121*20%+$A$121</f>
        <v>2880</v>
      </c>
      <c r="B122" s="838"/>
      <c r="C122" s="839">
        <f t="shared" si="2"/>
        <v>2820</v>
      </c>
      <c r="D122" s="839"/>
      <c r="E122" s="840">
        <f t="shared" si="3"/>
        <v>8121600</v>
      </c>
      <c r="F122" s="841">
        <f t="shared" si="4"/>
        <v>6048000</v>
      </c>
      <c r="G122" s="838"/>
      <c r="H122" s="838"/>
      <c r="I122" s="838"/>
      <c r="J122" s="842">
        <f t="shared" si="5"/>
        <v>2073600</v>
      </c>
      <c r="K122" s="843"/>
      <c r="L122" s="844"/>
      <c r="M122" s="845">
        <f t="shared" si="6"/>
        <v>0</v>
      </c>
      <c r="N122" s="841">
        <f t="shared" si="7"/>
        <v>2073600</v>
      </c>
      <c r="O122" s="838"/>
      <c r="P122" s="838"/>
      <c r="Q122" s="838"/>
      <c r="R122" s="839">
        <f t="shared" si="8"/>
        <v>1740</v>
      </c>
      <c r="S122" s="839"/>
      <c r="T122" s="839"/>
      <c r="U122" s="846">
        <f t="shared" si="9"/>
        <v>2100</v>
      </c>
      <c r="V122" s="847">
        <f t="shared" si="10"/>
        <v>-360</v>
      </c>
    </row>
    <row r="123" spans="1:22" ht="14.25">
      <c r="A123" s="837">
        <f>$A$121*40%+$A$121</f>
        <v>3360</v>
      </c>
      <c r="B123" s="838"/>
      <c r="C123" s="839">
        <f t="shared" si="2"/>
        <v>2640</v>
      </c>
      <c r="D123" s="839"/>
      <c r="E123" s="840">
        <f t="shared" si="3"/>
        <v>8870400</v>
      </c>
      <c r="F123" s="841">
        <f t="shared" si="4"/>
        <v>7056000</v>
      </c>
      <c r="G123" s="838"/>
      <c r="H123" s="838"/>
      <c r="I123" s="838"/>
      <c r="J123" s="842">
        <f t="shared" si="5"/>
        <v>1814400</v>
      </c>
      <c r="K123" s="843"/>
      <c r="L123" s="844"/>
      <c r="M123" s="845">
        <f t="shared" si="6"/>
        <v>0</v>
      </c>
      <c r="N123" s="841">
        <f t="shared" si="7"/>
        <v>1814400</v>
      </c>
      <c r="O123" s="838"/>
      <c r="P123" s="838"/>
      <c r="Q123" s="838"/>
      <c r="R123" s="839">
        <f t="shared" si="8"/>
        <v>1380</v>
      </c>
      <c r="S123" s="839"/>
      <c r="T123" s="839"/>
      <c r="U123" s="846">
        <f t="shared" si="9"/>
        <v>2100</v>
      </c>
      <c r="V123" s="847">
        <f t="shared" si="10"/>
        <v>-720</v>
      </c>
    </row>
    <row r="124" spans="1:22" ht="14.25">
      <c r="A124" s="837">
        <f>$A$121*60%+$A$121</f>
        <v>3840</v>
      </c>
      <c r="B124" s="838"/>
      <c r="C124" s="839">
        <f t="shared" si="2"/>
        <v>2460</v>
      </c>
      <c r="D124" s="839"/>
      <c r="E124" s="840">
        <f t="shared" si="3"/>
        <v>9446400</v>
      </c>
      <c r="F124" s="841">
        <f t="shared" si="4"/>
        <v>8064000</v>
      </c>
      <c r="G124" s="838"/>
      <c r="H124" s="838"/>
      <c r="I124" s="838"/>
      <c r="J124" s="842">
        <f t="shared" si="5"/>
        <v>1382400</v>
      </c>
      <c r="K124" s="843"/>
      <c r="L124" s="844"/>
      <c r="M124" s="845">
        <f t="shared" si="6"/>
        <v>0</v>
      </c>
      <c r="N124" s="841">
        <f t="shared" si="7"/>
        <v>1382400</v>
      </c>
      <c r="O124" s="838"/>
      <c r="P124" s="838"/>
      <c r="Q124" s="838"/>
      <c r="R124" s="839">
        <f t="shared" si="8"/>
        <v>1020</v>
      </c>
      <c r="S124" s="839"/>
      <c r="T124" s="839"/>
      <c r="U124" s="846">
        <f t="shared" si="9"/>
        <v>2100</v>
      </c>
      <c r="V124" s="847">
        <f t="shared" si="10"/>
        <v>-1080</v>
      </c>
    </row>
    <row r="125" spans="1:22" ht="15" thickBot="1">
      <c r="A125" s="857">
        <f>$A$121*80%+$A$121</f>
        <v>4320</v>
      </c>
      <c r="B125" s="858"/>
      <c r="C125" s="859">
        <f t="shared" si="2"/>
        <v>2280</v>
      </c>
      <c r="D125" s="859"/>
      <c r="E125" s="860">
        <f t="shared" si="3"/>
        <v>9849600</v>
      </c>
      <c r="F125" s="861">
        <f t="shared" si="4"/>
        <v>9072000</v>
      </c>
      <c r="G125" s="858"/>
      <c r="H125" s="858"/>
      <c r="I125" s="858"/>
      <c r="J125" s="862">
        <f t="shared" si="5"/>
        <v>777600</v>
      </c>
      <c r="K125" s="863"/>
      <c r="L125" s="864"/>
      <c r="M125" s="865">
        <f t="shared" si="6"/>
        <v>0</v>
      </c>
      <c r="N125" s="861">
        <f t="shared" si="7"/>
        <v>777600</v>
      </c>
      <c r="O125" s="858"/>
      <c r="P125" s="858"/>
      <c r="Q125" s="858"/>
      <c r="R125" s="859">
        <f t="shared" si="8"/>
        <v>660</v>
      </c>
      <c r="S125" s="859"/>
      <c r="T125" s="859"/>
      <c r="U125" s="866">
        <f t="shared" si="9"/>
        <v>2100</v>
      </c>
      <c r="V125" s="867">
        <f t="shared" si="10"/>
        <v>-1440</v>
      </c>
    </row>
    <row r="126" spans="1:22">
      <c r="A126" s="321"/>
      <c r="B126" s="321"/>
      <c r="C126" s="321"/>
      <c r="D126" s="321"/>
      <c r="F126" s="321"/>
      <c r="G126" s="321"/>
      <c r="H126" s="321"/>
      <c r="I126" s="321"/>
      <c r="J126" s="795"/>
      <c r="K126" s="795"/>
      <c r="L126" s="795"/>
      <c r="N126" s="321"/>
      <c r="O126" s="321"/>
      <c r="P126" s="321"/>
      <c r="Q126" s="321"/>
      <c r="R126" s="321"/>
      <c r="S126" s="321"/>
      <c r="T126" s="321"/>
    </row>
    <row r="127" spans="1:22">
      <c r="A127" s="321"/>
      <c r="B127" s="321"/>
      <c r="C127" s="321"/>
      <c r="D127" s="321"/>
      <c r="F127" s="321"/>
      <c r="G127" s="321"/>
      <c r="H127" s="321"/>
      <c r="I127" s="321"/>
      <c r="J127" s="795"/>
      <c r="K127" s="795"/>
      <c r="L127" s="795"/>
      <c r="N127" s="321"/>
      <c r="O127" s="321"/>
      <c r="P127" s="321"/>
      <c r="Q127" s="321"/>
      <c r="R127" s="321"/>
      <c r="S127" s="321"/>
      <c r="T127" s="321"/>
    </row>
    <row r="128" spans="1:22">
      <c r="A128" s="321"/>
      <c r="B128" s="321"/>
      <c r="C128" s="321"/>
      <c r="D128" s="321"/>
      <c r="F128" s="321"/>
      <c r="G128" s="321"/>
      <c r="H128" s="321"/>
      <c r="I128" s="321"/>
      <c r="J128" s="795"/>
      <c r="K128" s="795"/>
      <c r="L128" s="795"/>
      <c r="N128" s="321"/>
      <c r="O128" s="321"/>
      <c r="P128" s="321"/>
      <c r="Q128" s="321"/>
      <c r="R128" s="321"/>
      <c r="S128" s="321"/>
      <c r="T128" s="321"/>
    </row>
    <row r="129" spans="1:20">
      <c r="A129" s="321"/>
      <c r="B129" s="321"/>
      <c r="C129" s="321"/>
      <c r="D129" s="321"/>
      <c r="F129" s="321"/>
      <c r="G129" s="321"/>
      <c r="H129" s="321"/>
      <c r="I129" s="321"/>
      <c r="J129" s="795"/>
      <c r="K129" s="795"/>
      <c r="L129" s="795"/>
      <c r="N129" s="321"/>
      <c r="O129" s="321"/>
      <c r="P129" s="321"/>
      <c r="Q129" s="321"/>
      <c r="R129" s="321"/>
      <c r="S129" s="321"/>
      <c r="T129" s="321"/>
    </row>
    <row r="130" spans="1:20">
      <c r="A130" s="321"/>
      <c r="B130" s="321"/>
      <c r="C130" s="321"/>
      <c r="D130" s="321"/>
      <c r="F130" s="321"/>
      <c r="G130" s="321"/>
      <c r="H130" s="321"/>
      <c r="I130" s="321"/>
      <c r="J130" s="321"/>
      <c r="K130" s="321"/>
      <c r="L130" s="319"/>
      <c r="N130" s="321"/>
      <c r="O130" s="321"/>
      <c r="P130" s="321"/>
      <c r="Q130" s="321"/>
      <c r="R130" s="321"/>
      <c r="S130" s="321"/>
      <c r="T130" s="321"/>
    </row>
    <row r="131" spans="1:20">
      <c r="A131" s="321"/>
      <c r="B131" s="321"/>
      <c r="C131" s="321"/>
      <c r="D131" s="321"/>
      <c r="F131" s="321"/>
      <c r="G131" s="321"/>
      <c r="H131" s="321"/>
      <c r="I131" s="321"/>
      <c r="J131" s="321"/>
      <c r="K131" s="321"/>
      <c r="L131" s="319"/>
      <c r="N131" s="321"/>
      <c r="O131" s="321"/>
      <c r="P131" s="321"/>
      <c r="Q131" s="321"/>
      <c r="R131" s="321"/>
      <c r="S131" s="321"/>
      <c r="T131" s="321"/>
    </row>
    <row r="132" spans="1:20">
      <c r="A132" s="321"/>
      <c r="B132" s="321"/>
      <c r="C132" s="321"/>
      <c r="D132" s="321"/>
      <c r="F132" s="321"/>
      <c r="G132" s="321"/>
      <c r="H132" s="321"/>
      <c r="I132" s="321"/>
      <c r="J132" s="321"/>
      <c r="K132" s="321"/>
      <c r="L132" s="319"/>
      <c r="N132" s="321"/>
      <c r="O132" s="321"/>
      <c r="P132" s="321"/>
      <c r="Q132" s="321"/>
      <c r="R132" s="321"/>
      <c r="S132" s="321"/>
      <c r="T132" s="321"/>
    </row>
    <row r="133" spans="1:20">
      <c r="A133" s="321"/>
      <c r="B133" s="321"/>
      <c r="C133" s="321"/>
      <c r="D133" s="321"/>
      <c r="F133" s="321"/>
      <c r="G133" s="321"/>
      <c r="H133" s="321"/>
      <c r="I133" s="321"/>
      <c r="J133" s="321"/>
      <c r="K133" s="321"/>
      <c r="L133" s="319"/>
      <c r="N133" s="321"/>
      <c r="O133" s="321"/>
      <c r="P133" s="321"/>
      <c r="Q133" s="321"/>
      <c r="R133" s="321"/>
      <c r="S133" s="321"/>
      <c r="T133" s="321"/>
    </row>
    <row r="134" spans="1:20">
      <c r="A134" s="321"/>
      <c r="B134" s="321"/>
      <c r="C134" s="321"/>
      <c r="D134" s="321"/>
      <c r="F134" s="321"/>
      <c r="G134" s="321"/>
      <c r="H134" s="321"/>
      <c r="I134" s="321"/>
      <c r="J134" s="321"/>
      <c r="K134" s="321"/>
      <c r="L134" s="319"/>
      <c r="N134" s="321"/>
      <c r="O134" s="321"/>
      <c r="P134" s="321"/>
      <c r="Q134" s="321"/>
      <c r="R134" s="321"/>
      <c r="S134" s="321"/>
      <c r="T134" s="321"/>
    </row>
    <row r="135" spans="1:20">
      <c r="A135" s="321"/>
      <c r="B135" s="321"/>
      <c r="C135" s="321"/>
      <c r="D135" s="321"/>
      <c r="F135" s="321"/>
      <c r="G135" s="321"/>
      <c r="H135" s="321"/>
      <c r="I135" s="321"/>
      <c r="J135" s="321"/>
      <c r="K135" s="321"/>
      <c r="L135" s="319"/>
      <c r="N135" s="321"/>
      <c r="O135" s="321"/>
      <c r="P135" s="321"/>
      <c r="Q135" s="321"/>
      <c r="R135" s="321"/>
      <c r="S135" s="321"/>
      <c r="T135" s="321"/>
    </row>
    <row r="136" spans="1:20">
      <c r="A136" s="321"/>
      <c r="B136" s="321"/>
      <c r="C136" s="321"/>
      <c r="D136" s="321"/>
      <c r="F136" s="321"/>
      <c r="G136" s="321"/>
      <c r="H136" s="321"/>
      <c r="I136" s="321"/>
      <c r="J136" s="321"/>
      <c r="K136" s="321"/>
      <c r="L136" s="319"/>
      <c r="N136" s="321"/>
      <c r="O136" s="321"/>
      <c r="P136" s="321"/>
      <c r="Q136" s="321"/>
      <c r="R136" s="321"/>
      <c r="S136" s="321"/>
      <c r="T136" s="321"/>
    </row>
    <row r="137" spans="1:20">
      <c r="A137" s="321"/>
      <c r="B137" s="321"/>
      <c r="C137" s="321"/>
      <c r="D137" s="321"/>
      <c r="F137" s="321"/>
      <c r="G137" s="321"/>
      <c r="H137" s="321"/>
      <c r="I137" s="321"/>
      <c r="J137" s="321"/>
      <c r="K137" s="321"/>
      <c r="L137" s="319"/>
      <c r="N137" s="321"/>
      <c r="O137" s="321"/>
      <c r="P137" s="321"/>
      <c r="Q137" s="321"/>
      <c r="R137" s="321"/>
      <c r="S137" s="321"/>
      <c r="T137" s="321"/>
    </row>
  </sheetData>
  <mergeCells count="237">
    <mergeCell ref="A137:B137"/>
    <mergeCell ref="C137:D137"/>
    <mergeCell ref="F137:I137"/>
    <mergeCell ref="J137:K137"/>
    <mergeCell ref="N137:Q137"/>
    <mergeCell ref="R137:T137"/>
    <mergeCell ref="A136:B136"/>
    <mergeCell ref="C136:D136"/>
    <mergeCell ref="F136:I136"/>
    <mergeCell ref="J136:K136"/>
    <mergeCell ref="N136:Q136"/>
    <mergeCell ref="R136:T136"/>
    <mergeCell ref="A135:B135"/>
    <mergeCell ref="C135:D135"/>
    <mergeCell ref="F135:I135"/>
    <mergeCell ref="J135:K135"/>
    <mergeCell ref="N135:Q135"/>
    <mergeCell ref="R135:T135"/>
    <mergeCell ref="A134:B134"/>
    <mergeCell ref="C134:D134"/>
    <mergeCell ref="F134:I134"/>
    <mergeCell ref="J134:K134"/>
    <mergeCell ref="N134:Q134"/>
    <mergeCell ref="R134:T134"/>
    <mergeCell ref="A133:B133"/>
    <mergeCell ref="C133:D133"/>
    <mergeCell ref="F133:I133"/>
    <mergeCell ref="J133:K133"/>
    <mergeCell ref="N133:Q133"/>
    <mergeCell ref="R133:T133"/>
    <mergeCell ref="A132:B132"/>
    <mergeCell ref="C132:D132"/>
    <mergeCell ref="F132:I132"/>
    <mergeCell ref="J132:K132"/>
    <mergeCell ref="N132:Q132"/>
    <mergeCell ref="R132:T132"/>
    <mergeCell ref="A131:B131"/>
    <mergeCell ref="C131:D131"/>
    <mergeCell ref="F131:I131"/>
    <mergeCell ref="J131:K131"/>
    <mergeCell ref="N131:Q131"/>
    <mergeCell ref="R131:T131"/>
    <mergeCell ref="A130:B130"/>
    <mergeCell ref="C130:D130"/>
    <mergeCell ref="F130:I130"/>
    <mergeCell ref="J130:K130"/>
    <mergeCell ref="N130:Q130"/>
    <mergeCell ref="R130:T130"/>
    <mergeCell ref="A129:B129"/>
    <mergeCell ref="C129:D129"/>
    <mergeCell ref="F129:I129"/>
    <mergeCell ref="J129:L129"/>
    <mergeCell ref="N129:Q129"/>
    <mergeCell ref="R129:T129"/>
    <mergeCell ref="A128:B128"/>
    <mergeCell ref="C128:D128"/>
    <mergeCell ref="F128:I128"/>
    <mergeCell ref="J128:L128"/>
    <mergeCell ref="N128:Q128"/>
    <mergeCell ref="R128:T128"/>
    <mergeCell ref="A127:B127"/>
    <mergeCell ref="C127:D127"/>
    <mergeCell ref="F127:I127"/>
    <mergeCell ref="J127:L127"/>
    <mergeCell ref="N127:Q127"/>
    <mergeCell ref="R127:T127"/>
    <mergeCell ref="A126:B126"/>
    <mergeCell ref="C126:D126"/>
    <mergeCell ref="F126:I126"/>
    <mergeCell ref="J126:L126"/>
    <mergeCell ref="N126:Q126"/>
    <mergeCell ref="R126:T126"/>
    <mergeCell ref="A125:B125"/>
    <mergeCell ref="C125:D125"/>
    <mergeCell ref="F125:I125"/>
    <mergeCell ref="J125:L125"/>
    <mergeCell ref="N125:Q125"/>
    <mergeCell ref="R125:T125"/>
    <mergeCell ref="A124:B124"/>
    <mergeCell ref="C124:D124"/>
    <mergeCell ref="F124:I124"/>
    <mergeCell ref="J124:L124"/>
    <mergeCell ref="N124:Q124"/>
    <mergeCell ref="R124:T124"/>
    <mergeCell ref="A123:B123"/>
    <mergeCell ref="C123:D123"/>
    <mergeCell ref="F123:I123"/>
    <mergeCell ref="J123:L123"/>
    <mergeCell ref="N123:Q123"/>
    <mergeCell ref="R123:T123"/>
    <mergeCell ref="A122:B122"/>
    <mergeCell ref="C122:D122"/>
    <mergeCell ref="F122:I122"/>
    <mergeCell ref="J122:L122"/>
    <mergeCell ref="N122:Q122"/>
    <mergeCell ref="R122:T122"/>
    <mergeCell ref="A121:B121"/>
    <mergeCell ref="C121:D121"/>
    <mergeCell ref="F121:I121"/>
    <mergeCell ref="J121:L121"/>
    <mergeCell ref="N121:Q121"/>
    <mergeCell ref="R121:T121"/>
    <mergeCell ref="A120:B120"/>
    <mergeCell ref="C120:D120"/>
    <mergeCell ref="F120:I120"/>
    <mergeCell ref="J120:L120"/>
    <mergeCell ref="N120:Q120"/>
    <mergeCell ref="R120:T120"/>
    <mergeCell ref="A119:B119"/>
    <mergeCell ref="C119:D119"/>
    <mergeCell ref="F119:I119"/>
    <mergeCell ref="J119:L119"/>
    <mergeCell ref="N119:Q119"/>
    <mergeCell ref="R119:T119"/>
    <mergeCell ref="A118:B118"/>
    <mergeCell ref="C118:D118"/>
    <mergeCell ref="F118:I118"/>
    <mergeCell ref="J118:L118"/>
    <mergeCell ref="N118:Q118"/>
    <mergeCell ref="R118:T118"/>
    <mergeCell ref="A117:B117"/>
    <mergeCell ref="C117:D117"/>
    <mergeCell ref="F117:I117"/>
    <mergeCell ref="J117:L117"/>
    <mergeCell ref="N117:Q117"/>
    <mergeCell ref="R117:T117"/>
    <mergeCell ref="A115:B115"/>
    <mergeCell ref="C115:D115"/>
    <mergeCell ref="F115:I115"/>
    <mergeCell ref="N115:Q115"/>
    <mergeCell ref="R115:T115"/>
    <mergeCell ref="A116:B116"/>
    <mergeCell ref="C116:D116"/>
    <mergeCell ref="R116:T116"/>
    <mergeCell ref="A114:B114"/>
    <mergeCell ref="C114:D114"/>
    <mergeCell ref="F114:I114"/>
    <mergeCell ref="J114:K114"/>
    <mergeCell ref="N114:Q114"/>
    <mergeCell ref="R114:T114"/>
    <mergeCell ref="I86:I87"/>
    <mergeCell ref="A91:M91"/>
    <mergeCell ref="A103:B103"/>
    <mergeCell ref="C103:D103"/>
    <mergeCell ref="A104:B104"/>
    <mergeCell ref="C104:D104"/>
    <mergeCell ref="N76:N77"/>
    <mergeCell ref="O76:O77"/>
    <mergeCell ref="P76:R77"/>
    <mergeCell ref="K77:L77"/>
    <mergeCell ref="A81:H81"/>
    <mergeCell ref="B86:B87"/>
    <mergeCell ref="C86:C87"/>
    <mergeCell ref="D86:D87"/>
    <mergeCell ref="F86:F87"/>
    <mergeCell ref="H86:H87"/>
    <mergeCell ref="L23:M23"/>
    <mergeCell ref="A37:D37"/>
    <mergeCell ref="K75:L75"/>
    <mergeCell ref="F76:F77"/>
    <mergeCell ref="H76:H77"/>
    <mergeCell ref="I76:I77"/>
    <mergeCell ref="J76:J77"/>
    <mergeCell ref="K76:L76"/>
    <mergeCell ref="R19:R20"/>
    <mergeCell ref="S19:S20"/>
    <mergeCell ref="K21:K22"/>
    <mergeCell ref="L21:M22"/>
    <mergeCell ref="O21:O22"/>
    <mergeCell ref="Q21:Q22"/>
    <mergeCell ref="R21:R22"/>
    <mergeCell ref="L18:M18"/>
    <mergeCell ref="K19:K20"/>
    <mergeCell ref="L19:M20"/>
    <mergeCell ref="O19:O20"/>
    <mergeCell ref="P19:P20"/>
    <mergeCell ref="Q19:Q20"/>
    <mergeCell ref="S14:S15"/>
    <mergeCell ref="K16:K17"/>
    <mergeCell ref="L16:M17"/>
    <mergeCell ref="O16:O17"/>
    <mergeCell ref="P16:P17"/>
    <mergeCell ref="Q16:Q17"/>
    <mergeCell ref="R16:R17"/>
    <mergeCell ref="O11:O12"/>
    <mergeCell ref="Q11:Q12"/>
    <mergeCell ref="R11:R12"/>
    <mergeCell ref="L13:M13"/>
    <mergeCell ref="K14:K15"/>
    <mergeCell ref="L14:M15"/>
    <mergeCell ref="O14:O15"/>
    <mergeCell ref="P14:P15"/>
    <mergeCell ref="Q14:Q15"/>
    <mergeCell ref="R14:R15"/>
    <mergeCell ref="S8:S9"/>
    <mergeCell ref="T8:T9"/>
    <mergeCell ref="U8:U9"/>
    <mergeCell ref="A11:B12"/>
    <mergeCell ref="C11:D12"/>
    <mergeCell ref="F11:F12"/>
    <mergeCell ref="H11:H12"/>
    <mergeCell ref="I11:J12"/>
    <mergeCell ref="K11:K12"/>
    <mergeCell ref="L11:M12"/>
    <mergeCell ref="K8:K9"/>
    <mergeCell ref="L8:M9"/>
    <mergeCell ref="O8:O9"/>
    <mergeCell ref="P8:P9"/>
    <mergeCell ref="Q8:Q9"/>
    <mergeCell ref="R8:R9"/>
    <mergeCell ref="O5:O6"/>
    <mergeCell ref="P5:P6"/>
    <mergeCell ref="Q5:Q6"/>
    <mergeCell ref="S5:S6"/>
    <mergeCell ref="A6:B7"/>
    <mergeCell ref="C6:D7"/>
    <mergeCell ref="F6:F7"/>
    <mergeCell ref="G6:G7"/>
    <mergeCell ref="H6:H7"/>
    <mergeCell ref="I6:I7"/>
    <mergeCell ref="K3:K4"/>
    <mergeCell ref="L3:L4"/>
    <mergeCell ref="M3:N4"/>
    <mergeCell ref="A5:J5"/>
    <mergeCell ref="K5:K6"/>
    <mergeCell ref="L5:M6"/>
    <mergeCell ref="J6:J7"/>
    <mergeCell ref="A2:I2"/>
    <mergeCell ref="K2:U2"/>
    <mergeCell ref="A3:A4"/>
    <mergeCell ref="B3:B4"/>
    <mergeCell ref="C3:D4"/>
    <mergeCell ref="F3:F4"/>
    <mergeCell ref="G3:G4"/>
    <mergeCell ref="H3:H4"/>
    <mergeCell ref="I3:I4"/>
    <mergeCell ref="J3:J4"/>
  </mergeCells>
  <pageMargins left="0.39370078740157483" right="0.39370078740157483" top="0.39370078740157483" bottom="0.39370078740157483" header="0" footer="0"/>
  <pageSetup paperSize="9" scale="95"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75"/>
  <sheetViews>
    <sheetView topLeftCell="A10" zoomScale="90" zoomScaleNormal="90" workbookViewId="0">
      <selection activeCell="A73" sqref="A73:F73"/>
    </sheetView>
  </sheetViews>
  <sheetFormatPr defaultRowHeight="12.75"/>
  <cols>
    <col min="1" max="1" width="12.7109375" customWidth="1"/>
    <col min="2" max="2" width="22.85546875" customWidth="1"/>
    <col min="3" max="3" width="20.7109375" customWidth="1"/>
    <col min="4" max="4" width="28.28515625" customWidth="1"/>
    <col min="5" max="5" width="27.7109375" customWidth="1"/>
    <col min="6" max="6" width="28.28515625" customWidth="1"/>
    <col min="7" max="7" width="24.7109375" hidden="1" customWidth="1"/>
    <col min="8" max="8" width="24.85546875" hidden="1" customWidth="1"/>
    <col min="9" max="9" width="24.140625" hidden="1" customWidth="1"/>
  </cols>
  <sheetData>
    <row r="1" spans="1:9" ht="18">
      <c r="A1" s="320" t="s">
        <v>27</v>
      </c>
      <c r="B1" s="321"/>
      <c r="C1" s="321"/>
    </row>
    <row r="2" spans="1:9" ht="23.25">
      <c r="A2" s="1" t="s">
        <v>0</v>
      </c>
      <c r="B2" s="2"/>
      <c r="C2" s="3">
        <v>4800</v>
      </c>
      <c r="D2" s="4">
        <v>380</v>
      </c>
      <c r="E2" s="4">
        <f>C2*D2</f>
        <v>1824000</v>
      </c>
    </row>
    <row r="3" spans="1:9" ht="23.25">
      <c r="A3" s="5" t="s">
        <v>1</v>
      </c>
      <c r="B3" s="2"/>
      <c r="C3" s="3">
        <f>C2</f>
        <v>4800</v>
      </c>
      <c r="D3" s="4">
        <v>200</v>
      </c>
      <c r="E3" s="4">
        <f>C3*D3</f>
        <v>960000</v>
      </c>
    </row>
    <row r="4" spans="1:9" ht="23.25">
      <c r="A4" s="5" t="s">
        <v>2</v>
      </c>
      <c r="B4" s="2"/>
      <c r="C4" s="3"/>
      <c r="D4" s="4">
        <f>D2-D3</f>
        <v>180</v>
      </c>
      <c r="E4" s="4">
        <f>E2-E3</f>
        <v>864000</v>
      </c>
    </row>
    <row r="5" spans="1:9" ht="23.25">
      <c r="A5" s="5" t="s">
        <v>3</v>
      </c>
      <c r="B5" s="2"/>
      <c r="C5" s="3"/>
      <c r="D5" s="4"/>
      <c r="E5" s="4">
        <v>150000</v>
      </c>
    </row>
    <row r="6" spans="1:9" ht="23.25">
      <c r="A6" s="1" t="s">
        <v>4</v>
      </c>
      <c r="B6" s="2"/>
      <c r="C6" s="2"/>
      <c r="E6" s="4">
        <f>E4-E5</f>
        <v>714000</v>
      </c>
    </row>
    <row r="7" spans="1:9" ht="23.25">
      <c r="A7" s="5" t="s">
        <v>5</v>
      </c>
      <c r="B7" s="2"/>
      <c r="C7" s="3">
        <v>4800</v>
      </c>
      <c r="D7" s="4">
        <v>25</v>
      </c>
      <c r="E7" s="4">
        <f>C7*D7</f>
        <v>120000</v>
      </c>
    </row>
    <row r="8" spans="1:9" ht="23.25">
      <c r="A8" s="1" t="s">
        <v>6</v>
      </c>
      <c r="B8" s="2"/>
      <c r="C8" s="3"/>
      <c r="D8" s="4"/>
      <c r="E8" s="4">
        <f>E6-E7</f>
        <v>594000</v>
      </c>
    </row>
    <row r="9" spans="1:9" ht="23.25">
      <c r="A9" s="1" t="s">
        <v>7</v>
      </c>
      <c r="B9" s="2"/>
      <c r="C9" s="3"/>
      <c r="D9" s="4"/>
      <c r="E9" s="4">
        <v>160000</v>
      </c>
    </row>
    <row r="10" spans="1:9" ht="23.25">
      <c r="A10" s="6" t="s">
        <v>8</v>
      </c>
      <c r="E10" s="7">
        <f>E8+E9</f>
        <v>754000</v>
      </c>
    </row>
    <row r="11" spans="1:9" ht="15.75">
      <c r="A11" s="8" t="s">
        <v>9</v>
      </c>
      <c r="B11" s="9">
        <v>6</v>
      </c>
    </row>
    <row r="12" spans="1:9" ht="16.5" thickBot="1">
      <c r="A12" s="8" t="s">
        <v>10</v>
      </c>
      <c r="B12" s="10">
        <v>0.13</v>
      </c>
    </row>
    <row r="13" spans="1:9" ht="64.5" customHeight="1" thickBot="1">
      <c r="A13" s="11" t="s">
        <v>11</v>
      </c>
      <c r="B13" s="12" t="s">
        <v>12</v>
      </c>
      <c r="C13" s="13" t="s">
        <v>13</v>
      </c>
      <c r="D13" s="11" t="s">
        <v>14</v>
      </c>
      <c r="E13" s="14" t="s">
        <v>15</v>
      </c>
      <c r="F13" s="11" t="s">
        <v>16</v>
      </c>
      <c r="G13" s="11" t="s">
        <v>17</v>
      </c>
      <c r="H13" s="14" t="str">
        <f>CONCATENATE("Nutidsværdien ved den interne rente (IRR) ",(ROUND(F67,4)*100)," %")</f>
        <v>Nutidsværdien ved den interne rente (IRR) 8,12 %</v>
      </c>
      <c r="I13" s="14" t="s">
        <v>18</v>
      </c>
    </row>
    <row r="14" spans="1:9" ht="18">
      <c r="A14" s="15">
        <v>0</v>
      </c>
      <c r="B14" s="16">
        <v>0</v>
      </c>
      <c r="C14" s="17">
        <f>2400000+100000</f>
        <v>2500000</v>
      </c>
      <c r="D14" s="18">
        <f t="shared" ref="D14:D64" si="0">B14-C14</f>
        <v>-2500000</v>
      </c>
      <c r="E14" s="19">
        <f t="shared" ref="E14:E64" si="1">IF(A14&lt;=$B$11,POWER((1+$B$12),(A14*-1)),"-")</f>
        <v>1</v>
      </c>
      <c r="F14" s="20">
        <f>D14</f>
        <v>-2500000</v>
      </c>
      <c r="G14" s="19">
        <f>IF(A14&lt;=$B$11,POWER((1+$F$67),(A14*-1)),"-")</f>
        <v>1</v>
      </c>
      <c r="H14" s="20">
        <f>F14</f>
        <v>-2500000</v>
      </c>
      <c r="I14" s="15"/>
    </row>
    <row r="15" spans="1:9" ht="18">
      <c r="A15" s="21">
        <f t="shared" ref="A15:A64" si="2">A14+1</f>
        <v>1</v>
      </c>
      <c r="B15" s="22">
        <f>$E$8</f>
        <v>594000</v>
      </c>
      <c r="C15" s="23">
        <v>73000</v>
      </c>
      <c r="D15" s="24">
        <f t="shared" si="0"/>
        <v>521000</v>
      </c>
      <c r="E15" s="25">
        <f t="shared" si="1"/>
        <v>0.88495575221238942</v>
      </c>
      <c r="F15" s="26">
        <f t="shared" ref="F15:F64" si="3">PV($B$12,A15,0,D15)*-1</f>
        <v>461061.94690265489</v>
      </c>
      <c r="G15" s="25">
        <f>IF(A15&lt;=$B$11,POWER((1+$F$67),(A15*-1)),"-")</f>
        <v>0.92490537207327927</v>
      </c>
      <c r="H15" s="26">
        <f t="shared" ref="H15:H64" si="4">PV($F$67,A15,0,D15)*-1</f>
        <v>481875.69885017851</v>
      </c>
      <c r="I15" s="26">
        <f>PMT($B$12,$B$11,$F$65)*-1</f>
        <v>-85158.563001036906</v>
      </c>
    </row>
    <row r="16" spans="1:9" ht="18">
      <c r="A16" s="21">
        <f t="shared" si="2"/>
        <v>2</v>
      </c>
      <c r="B16" s="22">
        <f t="shared" ref="B16:B19" si="5">$E$8</f>
        <v>594000</v>
      </c>
      <c r="C16" s="23">
        <v>73000</v>
      </c>
      <c r="D16" s="24">
        <f t="shared" si="0"/>
        <v>521000</v>
      </c>
      <c r="E16" s="25">
        <f t="shared" si="1"/>
        <v>0.78314668337379612</v>
      </c>
      <c r="F16" s="26">
        <f t="shared" si="3"/>
        <v>408019.42203774775</v>
      </c>
      <c r="G16" s="25">
        <f t="shared" ref="G16:G64" si="6">IF(A16&lt;=$B$11,POWER((1+$F$67),(A16*-1)),"-")</f>
        <v>0.85544994729001123</v>
      </c>
      <c r="H16" s="26">
        <f t="shared" si="4"/>
        <v>445689.42253809585</v>
      </c>
      <c r="I16" s="26">
        <f t="shared" ref="I16:I21" si="7">IF(A16&lt;=$B$11,$I$15,0)</f>
        <v>-85158.563001036906</v>
      </c>
    </row>
    <row r="17" spans="1:11" ht="18">
      <c r="A17" s="21">
        <f t="shared" si="2"/>
        <v>3</v>
      </c>
      <c r="B17" s="22">
        <f t="shared" si="5"/>
        <v>594000</v>
      </c>
      <c r="C17" s="23">
        <v>73000</v>
      </c>
      <c r="D17" s="24">
        <f t="shared" si="0"/>
        <v>521000</v>
      </c>
      <c r="E17" s="25">
        <f t="shared" si="1"/>
        <v>0.69305016227769578</v>
      </c>
      <c r="F17" s="26">
        <f t="shared" si="3"/>
        <v>361079.1345466795</v>
      </c>
      <c r="G17" s="25">
        <f t="shared" si="6"/>
        <v>0.79121025178833493</v>
      </c>
      <c r="H17" s="26">
        <f t="shared" si="4"/>
        <v>412220.54118172254</v>
      </c>
      <c r="I17" s="26">
        <f t="shared" si="7"/>
        <v>-85158.563001036906</v>
      </c>
    </row>
    <row r="18" spans="1:11" ht="18">
      <c r="A18" s="21">
        <f t="shared" si="2"/>
        <v>4</v>
      </c>
      <c r="B18" s="22">
        <f t="shared" si="5"/>
        <v>594000</v>
      </c>
      <c r="C18" s="23">
        <v>73000</v>
      </c>
      <c r="D18" s="24">
        <f t="shared" si="0"/>
        <v>521000</v>
      </c>
      <c r="E18" s="25">
        <f t="shared" si="1"/>
        <v>0.61331872767937679</v>
      </c>
      <c r="F18" s="26">
        <f t="shared" si="3"/>
        <v>319539.05712095532</v>
      </c>
      <c r="G18" s="25">
        <f t="shared" si="6"/>
        <v>0.73179461231848297</v>
      </c>
      <c r="H18" s="26">
        <f t="shared" si="4"/>
        <v>381264.99301792966</v>
      </c>
      <c r="I18" s="26">
        <f t="shared" si="7"/>
        <v>-85158.563001036906</v>
      </c>
    </row>
    <row r="19" spans="1:11" ht="18">
      <c r="A19" s="21">
        <f t="shared" si="2"/>
        <v>5</v>
      </c>
      <c r="B19" s="22">
        <f t="shared" si="5"/>
        <v>594000</v>
      </c>
      <c r="C19" s="23">
        <v>73000</v>
      </c>
      <c r="D19" s="24">
        <f>(B19-C19)</f>
        <v>521000</v>
      </c>
      <c r="E19" s="25">
        <f t="shared" si="1"/>
        <v>0.54275993599944861</v>
      </c>
      <c r="F19" s="26">
        <f t="shared" si="3"/>
        <v>282777.92665571271</v>
      </c>
      <c r="G19" s="25">
        <f t="shared" si="6"/>
        <v>0.67684076818764771</v>
      </c>
      <c r="H19" s="26">
        <f t="shared" si="4"/>
        <v>352634.04022576445</v>
      </c>
      <c r="I19" s="26">
        <f t="shared" si="7"/>
        <v>-85158.563001036906</v>
      </c>
    </row>
    <row r="20" spans="1:11" ht="18.75" thickBot="1">
      <c r="A20" s="21">
        <f t="shared" si="2"/>
        <v>6</v>
      </c>
      <c r="B20" s="22">
        <f>E10</f>
        <v>754000</v>
      </c>
      <c r="C20" s="23">
        <v>73000</v>
      </c>
      <c r="D20" s="24">
        <f t="shared" si="0"/>
        <v>681000</v>
      </c>
      <c r="E20" s="25">
        <f t="shared" si="1"/>
        <v>0.48031852743314046</v>
      </c>
      <c r="F20" s="26">
        <f t="shared" si="3"/>
        <v>327096.91718196863</v>
      </c>
      <c r="G20" s="25">
        <f t="shared" si="6"/>
        <v>0.62601366253496049</v>
      </c>
      <c r="H20" s="26">
        <f t="shared" si="4"/>
        <v>426315.30418630812</v>
      </c>
      <c r="I20" s="26">
        <f t="shared" si="7"/>
        <v>-85158.563001036906</v>
      </c>
    </row>
    <row r="21" spans="1:11" ht="18.75" hidden="1" thickBot="1">
      <c r="A21" s="21">
        <f t="shared" si="2"/>
        <v>7</v>
      </c>
      <c r="B21" s="22">
        <v>0</v>
      </c>
      <c r="C21" s="23">
        <v>0</v>
      </c>
      <c r="D21" s="24">
        <f t="shared" si="0"/>
        <v>0</v>
      </c>
      <c r="E21" s="25" t="str">
        <f t="shared" si="1"/>
        <v>-</v>
      </c>
      <c r="F21" s="26">
        <f t="shared" si="3"/>
        <v>0</v>
      </c>
      <c r="G21" s="25" t="str">
        <f t="shared" si="6"/>
        <v>-</v>
      </c>
      <c r="H21" s="26">
        <f t="shared" si="4"/>
        <v>0</v>
      </c>
      <c r="I21" s="26">
        <f t="shared" si="7"/>
        <v>0</v>
      </c>
    </row>
    <row r="22" spans="1:11" ht="18.75" hidden="1" thickBot="1">
      <c r="A22" s="21">
        <f t="shared" si="2"/>
        <v>8</v>
      </c>
      <c r="B22" s="22">
        <v>0</v>
      </c>
      <c r="C22" s="23">
        <v>0</v>
      </c>
      <c r="D22" s="24">
        <f t="shared" si="0"/>
        <v>0</v>
      </c>
      <c r="E22" s="25" t="str">
        <f t="shared" si="1"/>
        <v>-</v>
      </c>
      <c r="F22" s="26">
        <f t="shared" si="3"/>
        <v>0</v>
      </c>
      <c r="G22" s="25" t="str">
        <f t="shared" si="6"/>
        <v>-</v>
      </c>
      <c r="H22" s="26">
        <f t="shared" si="4"/>
        <v>0</v>
      </c>
      <c r="I22" s="26">
        <f t="shared" ref="I22:I64" si="8">IF(A21&lt;=$B$11,$I$15,0)</f>
        <v>0</v>
      </c>
      <c r="K22" s="27"/>
    </row>
    <row r="23" spans="1:11" ht="18.75" hidden="1" thickBot="1">
      <c r="A23" s="21">
        <f t="shared" si="2"/>
        <v>9</v>
      </c>
      <c r="B23" s="22">
        <v>0</v>
      </c>
      <c r="C23" s="23">
        <v>0</v>
      </c>
      <c r="D23" s="24">
        <f t="shared" si="0"/>
        <v>0</v>
      </c>
      <c r="E23" s="25" t="str">
        <f t="shared" si="1"/>
        <v>-</v>
      </c>
      <c r="F23" s="26">
        <f t="shared" si="3"/>
        <v>0</v>
      </c>
      <c r="G23" s="25" t="str">
        <f t="shared" si="6"/>
        <v>-</v>
      </c>
      <c r="H23" s="26">
        <f t="shared" si="4"/>
        <v>0</v>
      </c>
      <c r="I23" s="26">
        <f t="shared" si="8"/>
        <v>0</v>
      </c>
    </row>
    <row r="24" spans="1:11" ht="18.75" hidden="1" thickBot="1">
      <c r="A24" s="21">
        <f t="shared" si="2"/>
        <v>10</v>
      </c>
      <c r="B24" s="22">
        <v>0</v>
      </c>
      <c r="C24" s="23">
        <v>0</v>
      </c>
      <c r="D24" s="24">
        <f t="shared" si="0"/>
        <v>0</v>
      </c>
      <c r="E24" s="25" t="str">
        <f t="shared" si="1"/>
        <v>-</v>
      </c>
      <c r="F24" s="26">
        <f t="shared" si="3"/>
        <v>0</v>
      </c>
      <c r="G24" s="25" t="str">
        <f t="shared" si="6"/>
        <v>-</v>
      </c>
      <c r="H24" s="26">
        <f t="shared" si="4"/>
        <v>0</v>
      </c>
      <c r="I24" s="26">
        <f t="shared" si="8"/>
        <v>0</v>
      </c>
    </row>
    <row r="25" spans="1:11" ht="18.75" hidden="1" thickBot="1">
      <c r="A25" s="21">
        <f t="shared" si="2"/>
        <v>11</v>
      </c>
      <c r="B25" s="22">
        <v>0</v>
      </c>
      <c r="C25" s="23">
        <v>0</v>
      </c>
      <c r="D25" s="24">
        <f t="shared" si="0"/>
        <v>0</v>
      </c>
      <c r="E25" s="25" t="str">
        <f t="shared" si="1"/>
        <v>-</v>
      </c>
      <c r="F25" s="26">
        <f t="shared" si="3"/>
        <v>0</v>
      </c>
      <c r="G25" s="25" t="str">
        <f t="shared" si="6"/>
        <v>-</v>
      </c>
      <c r="H25" s="26">
        <f t="shared" si="4"/>
        <v>0</v>
      </c>
      <c r="I25" s="26">
        <f t="shared" si="8"/>
        <v>0</v>
      </c>
    </row>
    <row r="26" spans="1:11" ht="18.75" hidden="1" thickBot="1">
      <c r="A26" s="21">
        <f t="shared" si="2"/>
        <v>12</v>
      </c>
      <c r="B26" s="22">
        <v>0</v>
      </c>
      <c r="C26" s="23">
        <v>0</v>
      </c>
      <c r="D26" s="24">
        <f t="shared" si="0"/>
        <v>0</v>
      </c>
      <c r="E26" s="25" t="str">
        <f t="shared" si="1"/>
        <v>-</v>
      </c>
      <c r="F26" s="26">
        <f t="shared" si="3"/>
        <v>0</v>
      </c>
      <c r="G26" s="25" t="str">
        <f t="shared" si="6"/>
        <v>-</v>
      </c>
      <c r="H26" s="26">
        <f t="shared" si="4"/>
        <v>0</v>
      </c>
      <c r="I26" s="26">
        <f t="shared" si="8"/>
        <v>0</v>
      </c>
    </row>
    <row r="27" spans="1:11" ht="18.75" hidden="1" thickBot="1">
      <c r="A27" s="21">
        <f t="shared" si="2"/>
        <v>13</v>
      </c>
      <c r="B27" s="22">
        <v>0</v>
      </c>
      <c r="C27" s="23">
        <v>0</v>
      </c>
      <c r="D27" s="24">
        <f t="shared" si="0"/>
        <v>0</v>
      </c>
      <c r="E27" s="25" t="str">
        <f t="shared" si="1"/>
        <v>-</v>
      </c>
      <c r="F27" s="26">
        <f t="shared" si="3"/>
        <v>0</v>
      </c>
      <c r="G27" s="25" t="str">
        <f t="shared" si="6"/>
        <v>-</v>
      </c>
      <c r="H27" s="26">
        <f t="shared" si="4"/>
        <v>0</v>
      </c>
      <c r="I27" s="26">
        <f t="shared" si="8"/>
        <v>0</v>
      </c>
      <c r="K27" s="27"/>
    </row>
    <row r="28" spans="1:11" ht="18.75" hidden="1" thickBot="1">
      <c r="A28" s="21">
        <f t="shared" si="2"/>
        <v>14</v>
      </c>
      <c r="B28" s="22">
        <v>0</v>
      </c>
      <c r="C28" s="23">
        <v>0</v>
      </c>
      <c r="D28" s="24">
        <f t="shared" si="0"/>
        <v>0</v>
      </c>
      <c r="E28" s="25" t="str">
        <f t="shared" si="1"/>
        <v>-</v>
      </c>
      <c r="F28" s="26">
        <f t="shared" si="3"/>
        <v>0</v>
      </c>
      <c r="G28" s="25" t="str">
        <f t="shared" si="6"/>
        <v>-</v>
      </c>
      <c r="H28" s="26">
        <f t="shared" si="4"/>
        <v>0</v>
      </c>
      <c r="I28" s="26">
        <f t="shared" si="8"/>
        <v>0</v>
      </c>
    </row>
    <row r="29" spans="1:11" ht="18.75" hidden="1" thickBot="1">
      <c r="A29" s="28">
        <f t="shared" si="2"/>
        <v>15</v>
      </c>
      <c r="B29" s="29">
        <v>0</v>
      </c>
      <c r="C29" s="30">
        <v>0</v>
      </c>
      <c r="D29" s="31">
        <f t="shared" si="0"/>
        <v>0</v>
      </c>
      <c r="E29" s="32" t="str">
        <f t="shared" si="1"/>
        <v>-</v>
      </c>
      <c r="F29" s="33">
        <f t="shared" si="3"/>
        <v>0</v>
      </c>
      <c r="G29" s="32" t="str">
        <f t="shared" si="6"/>
        <v>-</v>
      </c>
      <c r="H29" s="33">
        <f t="shared" si="4"/>
        <v>0</v>
      </c>
      <c r="I29" s="33">
        <f t="shared" si="8"/>
        <v>0</v>
      </c>
    </row>
    <row r="30" spans="1:11" ht="18.75" hidden="1" thickBot="1">
      <c r="A30" s="21">
        <f t="shared" si="2"/>
        <v>16</v>
      </c>
      <c r="B30" s="22">
        <v>0</v>
      </c>
      <c r="C30" s="23">
        <v>0</v>
      </c>
      <c r="D30" s="24">
        <f t="shared" si="0"/>
        <v>0</v>
      </c>
      <c r="E30" s="25" t="str">
        <f t="shared" si="1"/>
        <v>-</v>
      </c>
      <c r="F30" s="26">
        <f t="shared" si="3"/>
        <v>0</v>
      </c>
      <c r="G30" s="25" t="str">
        <f t="shared" si="6"/>
        <v>-</v>
      </c>
      <c r="H30" s="26">
        <f t="shared" si="4"/>
        <v>0</v>
      </c>
      <c r="I30" s="26">
        <f t="shared" si="8"/>
        <v>0</v>
      </c>
    </row>
    <row r="31" spans="1:11" ht="18.75" hidden="1" thickBot="1">
      <c r="A31" s="21">
        <f t="shared" si="2"/>
        <v>17</v>
      </c>
      <c r="B31" s="22">
        <v>0</v>
      </c>
      <c r="C31" s="23">
        <v>0</v>
      </c>
      <c r="D31" s="24">
        <f t="shared" si="0"/>
        <v>0</v>
      </c>
      <c r="E31" s="25" t="str">
        <f t="shared" si="1"/>
        <v>-</v>
      </c>
      <c r="F31" s="26">
        <f t="shared" si="3"/>
        <v>0</v>
      </c>
      <c r="G31" s="25" t="str">
        <f t="shared" si="6"/>
        <v>-</v>
      </c>
      <c r="H31" s="26">
        <f t="shared" si="4"/>
        <v>0</v>
      </c>
      <c r="I31" s="26">
        <f t="shared" si="8"/>
        <v>0</v>
      </c>
    </row>
    <row r="32" spans="1:11" ht="18.75" hidden="1" thickBot="1">
      <c r="A32" s="21">
        <f t="shared" si="2"/>
        <v>18</v>
      </c>
      <c r="B32" s="22">
        <v>0</v>
      </c>
      <c r="C32" s="23">
        <v>0</v>
      </c>
      <c r="D32" s="24">
        <f t="shared" si="0"/>
        <v>0</v>
      </c>
      <c r="E32" s="25" t="str">
        <f t="shared" si="1"/>
        <v>-</v>
      </c>
      <c r="F32" s="26">
        <f t="shared" si="3"/>
        <v>0</v>
      </c>
      <c r="G32" s="25" t="str">
        <f t="shared" si="6"/>
        <v>-</v>
      </c>
      <c r="H32" s="26">
        <f t="shared" si="4"/>
        <v>0</v>
      </c>
      <c r="I32" s="26">
        <f t="shared" si="8"/>
        <v>0</v>
      </c>
    </row>
    <row r="33" spans="1:9" ht="18.75" hidden="1" thickBot="1">
      <c r="A33" s="21">
        <f t="shared" si="2"/>
        <v>19</v>
      </c>
      <c r="B33" s="22">
        <v>0</v>
      </c>
      <c r="C33" s="23">
        <v>0</v>
      </c>
      <c r="D33" s="24">
        <f t="shared" si="0"/>
        <v>0</v>
      </c>
      <c r="E33" s="25" t="str">
        <f t="shared" si="1"/>
        <v>-</v>
      </c>
      <c r="F33" s="26">
        <f t="shared" si="3"/>
        <v>0</v>
      </c>
      <c r="G33" s="25" t="str">
        <f t="shared" si="6"/>
        <v>-</v>
      </c>
      <c r="H33" s="26">
        <f t="shared" si="4"/>
        <v>0</v>
      </c>
      <c r="I33" s="26">
        <f t="shared" si="8"/>
        <v>0</v>
      </c>
    </row>
    <row r="34" spans="1:9" ht="18.75" hidden="1" thickBot="1">
      <c r="A34" s="21">
        <f t="shared" si="2"/>
        <v>20</v>
      </c>
      <c r="B34" s="22">
        <v>0</v>
      </c>
      <c r="C34" s="23">
        <v>0</v>
      </c>
      <c r="D34" s="24">
        <f t="shared" si="0"/>
        <v>0</v>
      </c>
      <c r="E34" s="25" t="str">
        <f t="shared" si="1"/>
        <v>-</v>
      </c>
      <c r="F34" s="26">
        <f t="shared" si="3"/>
        <v>0</v>
      </c>
      <c r="G34" s="25" t="str">
        <f t="shared" si="6"/>
        <v>-</v>
      </c>
      <c r="H34" s="26">
        <f t="shared" si="4"/>
        <v>0</v>
      </c>
      <c r="I34" s="26">
        <f t="shared" si="8"/>
        <v>0</v>
      </c>
    </row>
    <row r="35" spans="1:9" ht="18.75" hidden="1" thickBot="1">
      <c r="A35" s="21">
        <f t="shared" si="2"/>
        <v>21</v>
      </c>
      <c r="B35" s="22">
        <v>0</v>
      </c>
      <c r="C35" s="23">
        <v>0</v>
      </c>
      <c r="D35" s="24">
        <f t="shared" si="0"/>
        <v>0</v>
      </c>
      <c r="E35" s="25" t="str">
        <f t="shared" si="1"/>
        <v>-</v>
      </c>
      <c r="F35" s="26">
        <f t="shared" si="3"/>
        <v>0</v>
      </c>
      <c r="G35" s="25" t="str">
        <f t="shared" si="6"/>
        <v>-</v>
      </c>
      <c r="H35" s="26">
        <f t="shared" si="4"/>
        <v>0</v>
      </c>
      <c r="I35" s="26">
        <f t="shared" si="8"/>
        <v>0</v>
      </c>
    </row>
    <row r="36" spans="1:9" ht="18.75" hidden="1" thickBot="1">
      <c r="A36" s="21">
        <f t="shared" si="2"/>
        <v>22</v>
      </c>
      <c r="B36" s="22">
        <v>0</v>
      </c>
      <c r="C36" s="23">
        <v>0</v>
      </c>
      <c r="D36" s="24">
        <f t="shared" si="0"/>
        <v>0</v>
      </c>
      <c r="E36" s="25" t="str">
        <f t="shared" si="1"/>
        <v>-</v>
      </c>
      <c r="F36" s="26">
        <f t="shared" si="3"/>
        <v>0</v>
      </c>
      <c r="G36" s="25" t="str">
        <f t="shared" si="6"/>
        <v>-</v>
      </c>
      <c r="H36" s="26">
        <f t="shared" si="4"/>
        <v>0</v>
      </c>
      <c r="I36" s="26">
        <f t="shared" si="8"/>
        <v>0</v>
      </c>
    </row>
    <row r="37" spans="1:9" ht="18.75" hidden="1" thickBot="1">
      <c r="A37" s="21">
        <f t="shared" si="2"/>
        <v>23</v>
      </c>
      <c r="B37" s="22">
        <v>0</v>
      </c>
      <c r="C37" s="23">
        <v>0</v>
      </c>
      <c r="D37" s="24">
        <f t="shared" si="0"/>
        <v>0</v>
      </c>
      <c r="E37" s="25" t="str">
        <f t="shared" si="1"/>
        <v>-</v>
      </c>
      <c r="F37" s="26">
        <f t="shared" si="3"/>
        <v>0</v>
      </c>
      <c r="G37" s="25" t="str">
        <f t="shared" si="6"/>
        <v>-</v>
      </c>
      <c r="H37" s="26">
        <f t="shared" si="4"/>
        <v>0</v>
      </c>
      <c r="I37" s="26">
        <f t="shared" si="8"/>
        <v>0</v>
      </c>
    </row>
    <row r="38" spans="1:9" ht="18.75" hidden="1" thickBot="1">
      <c r="A38" s="21">
        <f t="shared" si="2"/>
        <v>24</v>
      </c>
      <c r="B38" s="22">
        <v>0</v>
      </c>
      <c r="C38" s="23">
        <v>0</v>
      </c>
      <c r="D38" s="24">
        <f t="shared" si="0"/>
        <v>0</v>
      </c>
      <c r="E38" s="25" t="str">
        <f t="shared" si="1"/>
        <v>-</v>
      </c>
      <c r="F38" s="26">
        <f t="shared" si="3"/>
        <v>0</v>
      </c>
      <c r="G38" s="25" t="str">
        <f t="shared" si="6"/>
        <v>-</v>
      </c>
      <c r="H38" s="26">
        <f t="shared" si="4"/>
        <v>0</v>
      </c>
      <c r="I38" s="26">
        <f t="shared" si="8"/>
        <v>0</v>
      </c>
    </row>
    <row r="39" spans="1:9" ht="18.75" hidden="1" thickBot="1">
      <c r="A39" s="21">
        <f t="shared" si="2"/>
        <v>25</v>
      </c>
      <c r="B39" s="22">
        <v>0</v>
      </c>
      <c r="C39" s="23">
        <v>0</v>
      </c>
      <c r="D39" s="24">
        <f t="shared" si="0"/>
        <v>0</v>
      </c>
      <c r="E39" s="25" t="str">
        <f t="shared" si="1"/>
        <v>-</v>
      </c>
      <c r="F39" s="26">
        <f t="shared" si="3"/>
        <v>0</v>
      </c>
      <c r="G39" s="25" t="str">
        <f t="shared" si="6"/>
        <v>-</v>
      </c>
      <c r="H39" s="26">
        <f t="shared" si="4"/>
        <v>0</v>
      </c>
      <c r="I39" s="26">
        <f t="shared" si="8"/>
        <v>0</v>
      </c>
    </row>
    <row r="40" spans="1:9" ht="18.75" hidden="1" thickBot="1">
      <c r="A40" s="21">
        <f t="shared" si="2"/>
        <v>26</v>
      </c>
      <c r="B40" s="22">
        <v>0</v>
      </c>
      <c r="C40" s="23">
        <v>0</v>
      </c>
      <c r="D40" s="24">
        <f t="shared" si="0"/>
        <v>0</v>
      </c>
      <c r="E40" s="25" t="str">
        <f t="shared" si="1"/>
        <v>-</v>
      </c>
      <c r="F40" s="26">
        <f t="shared" si="3"/>
        <v>0</v>
      </c>
      <c r="G40" s="25" t="str">
        <f t="shared" si="6"/>
        <v>-</v>
      </c>
      <c r="H40" s="26">
        <f t="shared" si="4"/>
        <v>0</v>
      </c>
      <c r="I40" s="26">
        <f t="shared" si="8"/>
        <v>0</v>
      </c>
    </row>
    <row r="41" spans="1:9" ht="18.75" hidden="1" thickBot="1">
      <c r="A41" s="21">
        <f t="shared" si="2"/>
        <v>27</v>
      </c>
      <c r="B41" s="22">
        <v>0</v>
      </c>
      <c r="C41" s="23">
        <v>0</v>
      </c>
      <c r="D41" s="24">
        <f t="shared" si="0"/>
        <v>0</v>
      </c>
      <c r="E41" s="25" t="str">
        <f t="shared" si="1"/>
        <v>-</v>
      </c>
      <c r="F41" s="26">
        <f t="shared" si="3"/>
        <v>0</v>
      </c>
      <c r="G41" s="25" t="str">
        <f t="shared" si="6"/>
        <v>-</v>
      </c>
      <c r="H41" s="26">
        <f t="shared" si="4"/>
        <v>0</v>
      </c>
      <c r="I41" s="26">
        <f t="shared" si="8"/>
        <v>0</v>
      </c>
    </row>
    <row r="42" spans="1:9" ht="18.75" hidden="1" thickBot="1">
      <c r="A42" s="21">
        <f t="shared" si="2"/>
        <v>28</v>
      </c>
      <c r="B42" s="22">
        <v>0</v>
      </c>
      <c r="C42" s="23">
        <v>0</v>
      </c>
      <c r="D42" s="24">
        <f t="shared" si="0"/>
        <v>0</v>
      </c>
      <c r="E42" s="25" t="str">
        <f t="shared" si="1"/>
        <v>-</v>
      </c>
      <c r="F42" s="26">
        <f t="shared" si="3"/>
        <v>0</v>
      </c>
      <c r="G42" s="25" t="str">
        <f t="shared" si="6"/>
        <v>-</v>
      </c>
      <c r="H42" s="26">
        <f t="shared" si="4"/>
        <v>0</v>
      </c>
      <c r="I42" s="26">
        <f t="shared" si="8"/>
        <v>0</v>
      </c>
    </row>
    <row r="43" spans="1:9" ht="18.75" hidden="1" thickBot="1">
      <c r="A43" s="21">
        <f t="shared" si="2"/>
        <v>29</v>
      </c>
      <c r="B43" s="22">
        <v>0</v>
      </c>
      <c r="C43" s="23">
        <v>0</v>
      </c>
      <c r="D43" s="24">
        <f t="shared" si="0"/>
        <v>0</v>
      </c>
      <c r="E43" s="25" t="str">
        <f t="shared" si="1"/>
        <v>-</v>
      </c>
      <c r="F43" s="26">
        <f t="shared" si="3"/>
        <v>0</v>
      </c>
      <c r="G43" s="25" t="str">
        <f t="shared" si="6"/>
        <v>-</v>
      </c>
      <c r="H43" s="26">
        <f t="shared" si="4"/>
        <v>0</v>
      </c>
      <c r="I43" s="26">
        <f t="shared" si="8"/>
        <v>0</v>
      </c>
    </row>
    <row r="44" spans="1:9" ht="18.75" hidden="1" thickBot="1">
      <c r="A44" s="21">
        <f t="shared" si="2"/>
        <v>30</v>
      </c>
      <c r="B44" s="22">
        <v>0</v>
      </c>
      <c r="C44" s="23">
        <v>0</v>
      </c>
      <c r="D44" s="24">
        <f t="shared" si="0"/>
        <v>0</v>
      </c>
      <c r="E44" s="25" t="str">
        <f t="shared" si="1"/>
        <v>-</v>
      </c>
      <c r="F44" s="26">
        <f t="shared" si="3"/>
        <v>0</v>
      </c>
      <c r="G44" s="25" t="str">
        <f t="shared" si="6"/>
        <v>-</v>
      </c>
      <c r="H44" s="26">
        <f t="shared" si="4"/>
        <v>0</v>
      </c>
      <c r="I44" s="26">
        <f t="shared" si="8"/>
        <v>0</v>
      </c>
    </row>
    <row r="45" spans="1:9" ht="18.75" hidden="1" thickBot="1">
      <c r="A45" s="21">
        <f t="shared" si="2"/>
        <v>31</v>
      </c>
      <c r="B45" s="22">
        <v>0</v>
      </c>
      <c r="C45" s="23">
        <v>0</v>
      </c>
      <c r="D45" s="24">
        <f t="shared" si="0"/>
        <v>0</v>
      </c>
      <c r="E45" s="25" t="str">
        <f t="shared" si="1"/>
        <v>-</v>
      </c>
      <c r="F45" s="26">
        <f t="shared" si="3"/>
        <v>0</v>
      </c>
      <c r="G45" s="25" t="str">
        <f t="shared" si="6"/>
        <v>-</v>
      </c>
      <c r="H45" s="26">
        <f t="shared" si="4"/>
        <v>0</v>
      </c>
      <c r="I45" s="26">
        <f t="shared" si="8"/>
        <v>0</v>
      </c>
    </row>
    <row r="46" spans="1:9" ht="18.75" hidden="1" thickBot="1">
      <c r="A46" s="21">
        <f t="shared" si="2"/>
        <v>32</v>
      </c>
      <c r="B46" s="22">
        <v>0</v>
      </c>
      <c r="C46" s="23">
        <v>0</v>
      </c>
      <c r="D46" s="24">
        <f t="shared" si="0"/>
        <v>0</v>
      </c>
      <c r="E46" s="25" t="str">
        <f t="shared" si="1"/>
        <v>-</v>
      </c>
      <c r="F46" s="26">
        <f t="shared" si="3"/>
        <v>0</v>
      </c>
      <c r="G46" s="25" t="str">
        <f t="shared" si="6"/>
        <v>-</v>
      </c>
      <c r="H46" s="26">
        <f t="shared" si="4"/>
        <v>0</v>
      </c>
      <c r="I46" s="26">
        <f t="shared" si="8"/>
        <v>0</v>
      </c>
    </row>
    <row r="47" spans="1:9" ht="18.75" hidden="1" thickBot="1">
      <c r="A47" s="21">
        <f t="shared" si="2"/>
        <v>33</v>
      </c>
      <c r="B47" s="22">
        <v>0</v>
      </c>
      <c r="C47" s="23">
        <v>0</v>
      </c>
      <c r="D47" s="24">
        <f t="shared" si="0"/>
        <v>0</v>
      </c>
      <c r="E47" s="25" t="str">
        <f t="shared" si="1"/>
        <v>-</v>
      </c>
      <c r="F47" s="26">
        <f t="shared" si="3"/>
        <v>0</v>
      </c>
      <c r="G47" s="25" t="str">
        <f t="shared" si="6"/>
        <v>-</v>
      </c>
      <c r="H47" s="26">
        <f t="shared" si="4"/>
        <v>0</v>
      </c>
      <c r="I47" s="26">
        <f t="shared" si="8"/>
        <v>0</v>
      </c>
    </row>
    <row r="48" spans="1:9" ht="18.75" hidden="1" thickBot="1">
      <c r="A48" s="21">
        <f t="shared" si="2"/>
        <v>34</v>
      </c>
      <c r="B48" s="22">
        <v>0</v>
      </c>
      <c r="C48" s="23">
        <v>0</v>
      </c>
      <c r="D48" s="24">
        <f t="shared" si="0"/>
        <v>0</v>
      </c>
      <c r="E48" s="25" t="str">
        <f t="shared" si="1"/>
        <v>-</v>
      </c>
      <c r="F48" s="26">
        <f t="shared" si="3"/>
        <v>0</v>
      </c>
      <c r="G48" s="25" t="str">
        <f t="shared" si="6"/>
        <v>-</v>
      </c>
      <c r="H48" s="26">
        <f t="shared" si="4"/>
        <v>0</v>
      </c>
      <c r="I48" s="26">
        <f t="shared" si="8"/>
        <v>0</v>
      </c>
    </row>
    <row r="49" spans="1:9" ht="18.75" hidden="1" thickBot="1">
      <c r="A49" s="21">
        <f t="shared" si="2"/>
        <v>35</v>
      </c>
      <c r="B49" s="22">
        <v>0</v>
      </c>
      <c r="C49" s="23">
        <v>0</v>
      </c>
      <c r="D49" s="24">
        <f t="shared" si="0"/>
        <v>0</v>
      </c>
      <c r="E49" s="25" t="str">
        <f t="shared" si="1"/>
        <v>-</v>
      </c>
      <c r="F49" s="26">
        <f t="shared" si="3"/>
        <v>0</v>
      </c>
      <c r="G49" s="25" t="str">
        <f t="shared" si="6"/>
        <v>-</v>
      </c>
      <c r="H49" s="26">
        <f t="shared" si="4"/>
        <v>0</v>
      </c>
      <c r="I49" s="26">
        <f t="shared" si="8"/>
        <v>0</v>
      </c>
    </row>
    <row r="50" spans="1:9" ht="18.75" hidden="1" thickBot="1">
      <c r="A50" s="21">
        <f t="shared" si="2"/>
        <v>36</v>
      </c>
      <c r="B50" s="22">
        <v>0</v>
      </c>
      <c r="C50" s="23">
        <v>0</v>
      </c>
      <c r="D50" s="24">
        <f t="shared" si="0"/>
        <v>0</v>
      </c>
      <c r="E50" s="25" t="str">
        <f t="shared" si="1"/>
        <v>-</v>
      </c>
      <c r="F50" s="26">
        <f t="shared" si="3"/>
        <v>0</v>
      </c>
      <c r="G50" s="25" t="str">
        <f t="shared" si="6"/>
        <v>-</v>
      </c>
      <c r="H50" s="26">
        <f t="shared" si="4"/>
        <v>0</v>
      </c>
      <c r="I50" s="26">
        <f t="shared" si="8"/>
        <v>0</v>
      </c>
    </row>
    <row r="51" spans="1:9" ht="18.75" hidden="1" thickBot="1">
      <c r="A51" s="21">
        <f t="shared" si="2"/>
        <v>37</v>
      </c>
      <c r="B51" s="22">
        <v>0</v>
      </c>
      <c r="C51" s="23">
        <v>0</v>
      </c>
      <c r="D51" s="24">
        <f t="shared" si="0"/>
        <v>0</v>
      </c>
      <c r="E51" s="25" t="str">
        <f t="shared" si="1"/>
        <v>-</v>
      </c>
      <c r="F51" s="26">
        <f t="shared" si="3"/>
        <v>0</v>
      </c>
      <c r="G51" s="25" t="str">
        <f t="shared" si="6"/>
        <v>-</v>
      </c>
      <c r="H51" s="26">
        <f t="shared" si="4"/>
        <v>0</v>
      </c>
      <c r="I51" s="26">
        <f t="shared" si="8"/>
        <v>0</v>
      </c>
    </row>
    <row r="52" spans="1:9" ht="18.75" hidden="1" thickBot="1">
      <c r="A52" s="21">
        <f t="shared" si="2"/>
        <v>38</v>
      </c>
      <c r="B52" s="22">
        <v>0</v>
      </c>
      <c r="C52" s="23">
        <v>0</v>
      </c>
      <c r="D52" s="24">
        <f t="shared" si="0"/>
        <v>0</v>
      </c>
      <c r="E52" s="25" t="str">
        <f t="shared" si="1"/>
        <v>-</v>
      </c>
      <c r="F52" s="26">
        <f t="shared" si="3"/>
        <v>0</v>
      </c>
      <c r="G52" s="25" t="str">
        <f t="shared" si="6"/>
        <v>-</v>
      </c>
      <c r="H52" s="26">
        <f t="shared" si="4"/>
        <v>0</v>
      </c>
      <c r="I52" s="26">
        <f t="shared" si="8"/>
        <v>0</v>
      </c>
    </row>
    <row r="53" spans="1:9" ht="18.75" hidden="1" thickBot="1">
      <c r="A53" s="21">
        <f t="shared" si="2"/>
        <v>39</v>
      </c>
      <c r="B53" s="22">
        <v>0</v>
      </c>
      <c r="C53" s="23">
        <v>0</v>
      </c>
      <c r="D53" s="24">
        <f t="shared" si="0"/>
        <v>0</v>
      </c>
      <c r="E53" s="25" t="str">
        <f t="shared" si="1"/>
        <v>-</v>
      </c>
      <c r="F53" s="26">
        <f t="shared" si="3"/>
        <v>0</v>
      </c>
      <c r="G53" s="25" t="str">
        <f t="shared" si="6"/>
        <v>-</v>
      </c>
      <c r="H53" s="26">
        <f t="shared" si="4"/>
        <v>0</v>
      </c>
      <c r="I53" s="26">
        <f t="shared" si="8"/>
        <v>0</v>
      </c>
    </row>
    <row r="54" spans="1:9" ht="18.75" hidden="1" thickBot="1">
      <c r="A54" s="21">
        <f t="shared" si="2"/>
        <v>40</v>
      </c>
      <c r="B54" s="22">
        <v>0</v>
      </c>
      <c r="C54" s="23">
        <v>0</v>
      </c>
      <c r="D54" s="24">
        <f t="shared" si="0"/>
        <v>0</v>
      </c>
      <c r="E54" s="25" t="str">
        <f t="shared" si="1"/>
        <v>-</v>
      </c>
      <c r="F54" s="26">
        <f t="shared" si="3"/>
        <v>0</v>
      </c>
      <c r="G54" s="25" t="str">
        <f t="shared" si="6"/>
        <v>-</v>
      </c>
      <c r="H54" s="26">
        <f t="shared" si="4"/>
        <v>0</v>
      </c>
      <c r="I54" s="26">
        <f t="shared" si="8"/>
        <v>0</v>
      </c>
    </row>
    <row r="55" spans="1:9" ht="18.75" hidden="1" thickBot="1">
      <c r="A55" s="21">
        <f t="shared" si="2"/>
        <v>41</v>
      </c>
      <c r="B55" s="22">
        <v>0</v>
      </c>
      <c r="C55" s="23">
        <v>0</v>
      </c>
      <c r="D55" s="24">
        <f t="shared" si="0"/>
        <v>0</v>
      </c>
      <c r="E55" s="25" t="str">
        <f t="shared" si="1"/>
        <v>-</v>
      </c>
      <c r="F55" s="26">
        <f t="shared" si="3"/>
        <v>0</v>
      </c>
      <c r="G55" s="25" t="str">
        <f t="shared" si="6"/>
        <v>-</v>
      </c>
      <c r="H55" s="26">
        <f t="shared" si="4"/>
        <v>0</v>
      </c>
      <c r="I55" s="26">
        <f t="shared" si="8"/>
        <v>0</v>
      </c>
    </row>
    <row r="56" spans="1:9" ht="18.75" hidden="1" thickBot="1">
      <c r="A56" s="21">
        <f t="shared" si="2"/>
        <v>42</v>
      </c>
      <c r="B56" s="22">
        <v>0</v>
      </c>
      <c r="C56" s="23">
        <v>0</v>
      </c>
      <c r="D56" s="24">
        <f t="shared" si="0"/>
        <v>0</v>
      </c>
      <c r="E56" s="25" t="str">
        <f t="shared" si="1"/>
        <v>-</v>
      </c>
      <c r="F56" s="26">
        <f t="shared" si="3"/>
        <v>0</v>
      </c>
      <c r="G56" s="25" t="str">
        <f t="shared" si="6"/>
        <v>-</v>
      </c>
      <c r="H56" s="26">
        <f t="shared" si="4"/>
        <v>0</v>
      </c>
      <c r="I56" s="26">
        <f t="shared" si="8"/>
        <v>0</v>
      </c>
    </row>
    <row r="57" spans="1:9" ht="18.75" hidden="1" thickBot="1">
      <c r="A57" s="21">
        <f t="shared" si="2"/>
        <v>43</v>
      </c>
      <c r="B57" s="22">
        <v>0</v>
      </c>
      <c r="C57" s="23">
        <v>0</v>
      </c>
      <c r="D57" s="24">
        <f t="shared" si="0"/>
        <v>0</v>
      </c>
      <c r="E57" s="25" t="str">
        <f t="shared" si="1"/>
        <v>-</v>
      </c>
      <c r="F57" s="26">
        <f t="shared" si="3"/>
        <v>0</v>
      </c>
      <c r="G57" s="25" t="str">
        <f t="shared" si="6"/>
        <v>-</v>
      </c>
      <c r="H57" s="26">
        <f t="shared" si="4"/>
        <v>0</v>
      </c>
      <c r="I57" s="26">
        <f t="shared" si="8"/>
        <v>0</v>
      </c>
    </row>
    <row r="58" spans="1:9" ht="18.75" hidden="1" thickBot="1">
      <c r="A58" s="21">
        <f t="shared" si="2"/>
        <v>44</v>
      </c>
      <c r="B58" s="22">
        <v>0</v>
      </c>
      <c r="C58" s="23">
        <v>0</v>
      </c>
      <c r="D58" s="24">
        <f t="shared" si="0"/>
        <v>0</v>
      </c>
      <c r="E58" s="25" t="str">
        <f t="shared" si="1"/>
        <v>-</v>
      </c>
      <c r="F58" s="26">
        <f t="shared" si="3"/>
        <v>0</v>
      </c>
      <c r="G58" s="25" t="str">
        <f t="shared" si="6"/>
        <v>-</v>
      </c>
      <c r="H58" s="26">
        <f t="shared" si="4"/>
        <v>0</v>
      </c>
      <c r="I58" s="26">
        <f t="shared" si="8"/>
        <v>0</v>
      </c>
    </row>
    <row r="59" spans="1:9" ht="18.75" hidden="1" thickBot="1">
      <c r="A59" s="21">
        <f t="shared" si="2"/>
        <v>45</v>
      </c>
      <c r="B59" s="22">
        <v>0</v>
      </c>
      <c r="C59" s="23">
        <v>0</v>
      </c>
      <c r="D59" s="24">
        <f t="shared" si="0"/>
        <v>0</v>
      </c>
      <c r="E59" s="25" t="str">
        <f t="shared" si="1"/>
        <v>-</v>
      </c>
      <c r="F59" s="26">
        <f t="shared" si="3"/>
        <v>0</v>
      </c>
      <c r="G59" s="25" t="str">
        <f t="shared" si="6"/>
        <v>-</v>
      </c>
      <c r="H59" s="26">
        <f t="shared" si="4"/>
        <v>0</v>
      </c>
      <c r="I59" s="26">
        <f t="shared" si="8"/>
        <v>0</v>
      </c>
    </row>
    <row r="60" spans="1:9" ht="18.75" hidden="1" thickBot="1">
      <c r="A60" s="21">
        <f t="shared" si="2"/>
        <v>46</v>
      </c>
      <c r="B60" s="22">
        <v>0</v>
      </c>
      <c r="C60" s="23">
        <v>0</v>
      </c>
      <c r="D60" s="24">
        <f t="shared" si="0"/>
        <v>0</v>
      </c>
      <c r="E60" s="25" t="str">
        <f t="shared" si="1"/>
        <v>-</v>
      </c>
      <c r="F60" s="26">
        <f t="shared" si="3"/>
        <v>0</v>
      </c>
      <c r="G60" s="25" t="str">
        <f t="shared" si="6"/>
        <v>-</v>
      </c>
      <c r="H60" s="26">
        <f t="shared" si="4"/>
        <v>0</v>
      </c>
      <c r="I60" s="26">
        <f t="shared" si="8"/>
        <v>0</v>
      </c>
    </row>
    <row r="61" spans="1:9" ht="18.75" hidden="1" thickBot="1">
      <c r="A61" s="21">
        <f t="shared" si="2"/>
        <v>47</v>
      </c>
      <c r="B61" s="22">
        <v>0</v>
      </c>
      <c r="C61" s="23">
        <v>0</v>
      </c>
      <c r="D61" s="24">
        <f t="shared" si="0"/>
        <v>0</v>
      </c>
      <c r="E61" s="25" t="str">
        <f t="shared" si="1"/>
        <v>-</v>
      </c>
      <c r="F61" s="26">
        <f t="shared" si="3"/>
        <v>0</v>
      </c>
      <c r="G61" s="25" t="str">
        <f t="shared" si="6"/>
        <v>-</v>
      </c>
      <c r="H61" s="26">
        <f t="shared" si="4"/>
        <v>0</v>
      </c>
      <c r="I61" s="26">
        <f t="shared" si="8"/>
        <v>0</v>
      </c>
    </row>
    <row r="62" spans="1:9" ht="18.75" hidden="1" thickBot="1">
      <c r="A62" s="21">
        <f t="shared" si="2"/>
        <v>48</v>
      </c>
      <c r="B62" s="22">
        <v>0</v>
      </c>
      <c r="C62" s="23">
        <v>0</v>
      </c>
      <c r="D62" s="24">
        <f t="shared" si="0"/>
        <v>0</v>
      </c>
      <c r="E62" s="25" t="str">
        <f t="shared" si="1"/>
        <v>-</v>
      </c>
      <c r="F62" s="26">
        <f t="shared" si="3"/>
        <v>0</v>
      </c>
      <c r="G62" s="25" t="str">
        <f t="shared" si="6"/>
        <v>-</v>
      </c>
      <c r="H62" s="26">
        <f t="shared" si="4"/>
        <v>0</v>
      </c>
      <c r="I62" s="26">
        <f t="shared" si="8"/>
        <v>0</v>
      </c>
    </row>
    <row r="63" spans="1:9" ht="18.75" hidden="1" thickBot="1">
      <c r="A63" s="21">
        <f t="shared" si="2"/>
        <v>49</v>
      </c>
      <c r="B63" s="22">
        <v>0</v>
      </c>
      <c r="C63" s="23">
        <v>0</v>
      </c>
      <c r="D63" s="24">
        <f t="shared" si="0"/>
        <v>0</v>
      </c>
      <c r="E63" s="25" t="str">
        <f t="shared" si="1"/>
        <v>-</v>
      </c>
      <c r="F63" s="26">
        <f t="shared" si="3"/>
        <v>0</v>
      </c>
      <c r="G63" s="25" t="str">
        <f t="shared" si="6"/>
        <v>-</v>
      </c>
      <c r="H63" s="26">
        <f t="shared" si="4"/>
        <v>0</v>
      </c>
      <c r="I63" s="26">
        <f t="shared" si="8"/>
        <v>0</v>
      </c>
    </row>
    <row r="64" spans="1:9" ht="18.75" hidden="1" thickBot="1">
      <c r="A64" s="28">
        <f t="shared" si="2"/>
        <v>50</v>
      </c>
      <c r="B64" s="29">
        <v>0</v>
      </c>
      <c r="C64" s="30">
        <v>0</v>
      </c>
      <c r="D64" s="31">
        <f t="shared" si="0"/>
        <v>0</v>
      </c>
      <c r="E64" s="32" t="str">
        <f t="shared" si="1"/>
        <v>-</v>
      </c>
      <c r="F64" s="33">
        <f t="shared" si="3"/>
        <v>0</v>
      </c>
      <c r="G64" s="32" t="str">
        <f t="shared" si="6"/>
        <v>-</v>
      </c>
      <c r="H64" s="33">
        <f t="shared" si="4"/>
        <v>0</v>
      </c>
      <c r="I64" s="33">
        <f t="shared" si="8"/>
        <v>0</v>
      </c>
    </row>
    <row r="65" spans="1:9" ht="18.75" thickBot="1">
      <c r="A65" s="34" t="s">
        <v>19</v>
      </c>
      <c r="B65" s="35"/>
      <c r="C65" s="35"/>
      <c r="D65" s="35"/>
      <c r="E65" s="35"/>
      <c r="F65" s="36">
        <f>SUM(F14:F64)</f>
        <v>-340425.59555428132</v>
      </c>
      <c r="G65" s="37"/>
      <c r="H65" s="38">
        <f>SUM(H14:H64)</f>
        <v>-9.3132257461547852E-10</v>
      </c>
      <c r="I65" s="39"/>
    </row>
    <row r="66" spans="1:9" ht="18.75" thickBot="1">
      <c r="A66" s="40" t="s">
        <v>20</v>
      </c>
      <c r="B66" s="41"/>
      <c r="C66" s="41"/>
      <c r="D66" s="41"/>
      <c r="E66" s="41"/>
      <c r="F66" s="42">
        <f>I15</f>
        <v>-85158.563001036906</v>
      </c>
      <c r="G66" s="43"/>
      <c r="H66" s="43"/>
      <c r="I66" s="39"/>
    </row>
    <row r="67" spans="1:9" ht="18.75" thickBot="1">
      <c r="A67" s="34" t="s">
        <v>21</v>
      </c>
      <c r="B67" s="35"/>
      <c r="C67" s="35"/>
      <c r="D67" s="35"/>
      <c r="E67" s="35"/>
      <c r="F67" s="44">
        <f>IRR(D14:D64)</f>
        <v>8.1191687489486242E-2</v>
      </c>
      <c r="G67" s="45"/>
      <c r="H67" s="45"/>
      <c r="I67" s="39"/>
    </row>
    <row r="68" spans="1:9" ht="18.75" thickBot="1">
      <c r="A68" s="46" t="s">
        <v>22</v>
      </c>
      <c r="B68" s="47"/>
      <c r="C68" s="47"/>
      <c r="D68" s="47"/>
      <c r="E68" s="47"/>
      <c r="F68" s="48">
        <f>NPER(B12,F70,F14,0)</f>
        <v>7.5300352013089586</v>
      </c>
      <c r="G68" s="49"/>
      <c r="H68" s="49"/>
      <c r="I68" s="39"/>
    </row>
    <row r="69" spans="1:9" hidden="1">
      <c r="A69" s="50" t="s">
        <v>23</v>
      </c>
      <c r="F69" s="51">
        <f>SUM(F15:F64)</f>
        <v>2159574.404445719</v>
      </c>
      <c r="G69" s="51"/>
      <c r="H69" s="51"/>
    </row>
    <row r="70" spans="1:9" hidden="1">
      <c r="A70" s="50" t="s">
        <v>24</v>
      </c>
      <c r="F70" s="52">
        <f>PMT(B12,B11,F69,0)*-1</f>
        <v>540224.51712827629</v>
      </c>
      <c r="G70" s="52"/>
      <c r="H70" s="52"/>
    </row>
    <row r="72" spans="1:9" ht="18">
      <c r="A72" s="39" t="s">
        <v>25</v>
      </c>
    </row>
    <row r="73" spans="1:9" ht="78.599999999999994" customHeight="1">
      <c r="A73" s="322" t="str">
        <f>CONCATENATE("Da nutidsværdien er ",IF(F65&gt;=0,"positiv med ","negativ med "),"kr. ",ROUND(F65,0)," er investeringen ",IF(F65&gt;=0,"rentabel ","ikke rentabel "),"og bør ",IF(F65&gt;=0,"foretages. ","ikke foretages. "),"Den interne rente er på ",ROUND(F67,4)*100," hvilket er ",IF(ROUND((F67-B12),4)*100&gt;0,ROUND((F67-B12),4)*100,ROUND((F67-B12),4)*-100)," %-point ",IF(B12&lt;=F67,"over ","under "),"kalkulationsrenten på ",ROUND(B12,2)*100," %. ","Hvis man omregner nutidsværdien til en annuitet bliver det årlige ",IF(F65&gt;=0,"overskud ","underskud "),"på kr. ",ROUND(F66,0),". ","Både den ",IF(F65&gt;=0,"postive ","negative "),"nutidsværdi og det at den interne rente er ",IF(F65&gt;=0,"over ","under "),"kalkulationsrenten bekræfter os i at investeringen ",IF(F65&gt;=0,"bør foretages.","ikke bør foretages."))</f>
        <v>Da nutidsværdien er negativ med kr. -340426 er investeringen ikke rentabel og bør ikke foretages. Den interne rente er på 8,12 hvilket er 4,88 %-point under kalkulationsrenten på 13 %. Hvis man omregner nutidsværdien til en annuitet bliver det årlige underskud på kr. -85159. Både den negative nutidsværdi og det at den interne rente er under kalkulationsrenten bekræfter os i at investeringen ikke bør foretages.</v>
      </c>
      <c r="B73" s="322"/>
      <c r="C73" s="322"/>
      <c r="D73" s="322"/>
      <c r="E73" s="322"/>
      <c r="F73" s="322"/>
    </row>
    <row r="74" spans="1:9">
      <c r="A74" s="53"/>
      <c r="B74" s="53"/>
    </row>
    <row r="75" spans="1:9">
      <c r="A75" s="53"/>
      <c r="B75" s="53"/>
    </row>
  </sheetData>
  <mergeCells count="2">
    <mergeCell ref="A1:C1"/>
    <mergeCell ref="A73:F73"/>
  </mergeCells>
  <pageMargins left="0.78740157480314965" right="0.39370078740157483" top="0.98425196850393704" bottom="0.98425196850393704" header="0" footer="0"/>
  <pageSetup paperSize="9" scale="7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75"/>
  <sheetViews>
    <sheetView zoomScale="90" zoomScaleNormal="90" workbookViewId="0">
      <selection activeCell="A10" sqref="A10"/>
    </sheetView>
  </sheetViews>
  <sheetFormatPr defaultRowHeight="12.75"/>
  <cols>
    <col min="1" max="1" width="12.7109375" customWidth="1"/>
    <col min="2" max="2" width="22.85546875" customWidth="1"/>
    <col min="3" max="3" width="20.7109375" customWidth="1"/>
    <col min="4" max="4" width="28.28515625" customWidth="1"/>
    <col min="5" max="5" width="27.7109375" customWidth="1"/>
    <col min="6" max="6" width="28.28515625" customWidth="1"/>
    <col min="7" max="7" width="24.7109375" hidden="1" customWidth="1"/>
    <col min="8" max="8" width="24.85546875" hidden="1" customWidth="1"/>
    <col min="9" max="9" width="24.140625" hidden="1" customWidth="1"/>
  </cols>
  <sheetData>
    <row r="1" spans="1:9" ht="18">
      <c r="A1" s="320" t="s">
        <v>28</v>
      </c>
      <c r="B1" s="321"/>
      <c r="C1" s="321"/>
    </row>
    <row r="2" spans="1:9" ht="23.25">
      <c r="A2" s="1" t="s">
        <v>0</v>
      </c>
      <c r="B2" s="2"/>
      <c r="C2" s="3">
        <f>4800+473.1031278</f>
        <v>5273.1031278</v>
      </c>
      <c r="D2" s="4">
        <v>380</v>
      </c>
      <c r="E2" s="4">
        <f>C2*D2</f>
        <v>2003779.188564</v>
      </c>
    </row>
    <row r="3" spans="1:9" ht="23.25">
      <c r="A3" s="5" t="s">
        <v>1</v>
      </c>
      <c r="B3" s="2"/>
      <c r="C3" s="3">
        <f>C2</f>
        <v>5273.1031278</v>
      </c>
      <c r="D3" s="4">
        <v>200</v>
      </c>
      <c r="E3" s="4">
        <f>C3*D3</f>
        <v>1054620.6255600001</v>
      </c>
    </row>
    <row r="4" spans="1:9" ht="23.25">
      <c r="A4" s="5" t="s">
        <v>2</v>
      </c>
      <c r="B4" s="2"/>
      <c r="C4" s="3"/>
      <c r="D4" s="4">
        <f>D2-D3</f>
        <v>180</v>
      </c>
      <c r="E4" s="4">
        <f>E2-E3</f>
        <v>949158.56300399988</v>
      </c>
    </row>
    <row r="5" spans="1:9" ht="23.25">
      <c r="A5" s="5" t="s">
        <v>3</v>
      </c>
      <c r="B5" s="2"/>
      <c r="C5" s="3"/>
      <c r="D5" s="4"/>
      <c r="E5" s="4">
        <v>150000</v>
      </c>
    </row>
    <row r="6" spans="1:9" ht="23.25">
      <c r="A6" s="1" t="s">
        <v>4</v>
      </c>
      <c r="B6" s="2"/>
      <c r="C6" s="2"/>
      <c r="E6" s="4">
        <f>E4-E5</f>
        <v>799158.56300399988</v>
      </c>
    </row>
    <row r="7" spans="1:9" ht="23.25">
      <c r="A7" s="5" t="s">
        <v>5</v>
      </c>
      <c r="B7" s="2"/>
      <c r="C7" s="3">
        <v>4800</v>
      </c>
      <c r="D7" s="4">
        <v>25</v>
      </c>
      <c r="E7" s="4">
        <f>C7*D7</f>
        <v>120000</v>
      </c>
    </row>
    <row r="8" spans="1:9" ht="23.25">
      <c r="A8" s="1" t="s">
        <v>6</v>
      </c>
      <c r="B8" s="2"/>
      <c r="C8" s="3"/>
      <c r="D8" s="4"/>
      <c r="E8" s="4">
        <f>E6-E7</f>
        <v>679158.56300399988</v>
      </c>
    </row>
    <row r="9" spans="1:9" ht="23.25">
      <c r="A9" s="1" t="s">
        <v>7</v>
      </c>
      <c r="B9" s="2"/>
      <c r="C9" s="3"/>
      <c r="D9" s="4"/>
      <c r="E9" s="4">
        <v>160000</v>
      </c>
    </row>
    <row r="10" spans="1:9" ht="23.25">
      <c r="A10" s="6" t="s">
        <v>8</v>
      </c>
      <c r="E10" s="7">
        <f>E8+E9</f>
        <v>839158.56300399988</v>
      </c>
    </row>
    <row r="11" spans="1:9" ht="15.75">
      <c r="A11" s="8" t="s">
        <v>9</v>
      </c>
      <c r="B11" s="9">
        <v>6</v>
      </c>
    </row>
    <row r="12" spans="1:9" ht="16.5" thickBot="1">
      <c r="A12" s="8" t="s">
        <v>10</v>
      </c>
      <c r="B12" s="10">
        <v>0.13</v>
      </c>
    </row>
    <row r="13" spans="1:9" ht="64.5" customHeight="1" thickBot="1">
      <c r="A13" s="11" t="s">
        <v>11</v>
      </c>
      <c r="B13" s="12" t="s">
        <v>12</v>
      </c>
      <c r="C13" s="13" t="s">
        <v>13</v>
      </c>
      <c r="D13" s="11" t="s">
        <v>14</v>
      </c>
      <c r="E13" s="14" t="s">
        <v>15</v>
      </c>
      <c r="F13" s="11" t="s">
        <v>16</v>
      </c>
      <c r="G13" s="11" t="s">
        <v>17</v>
      </c>
      <c r="H13" s="14" t="str">
        <f>CONCATENATE("Nutidsværdien ved den interne rente (IRR) ",(ROUND(F67,4)*100)," %")</f>
        <v>Nutidsværdien ved den interne rente (IRR) 13 %</v>
      </c>
      <c r="I13" s="14" t="s">
        <v>18</v>
      </c>
    </row>
    <row r="14" spans="1:9" ht="18">
      <c r="A14" s="15">
        <v>0</v>
      </c>
      <c r="B14" s="16">
        <v>0</v>
      </c>
      <c r="C14" s="17">
        <f>2400000+100000</f>
        <v>2500000</v>
      </c>
      <c r="D14" s="18">
        <f t="shared" ref="D14:D64" si="0">B14-C14</f>
        <v>-2500000</v>
      </c>
      <c r="E14" s="19">
        <f t="shared" ref="E14:E64" si="1">IF(A14&lt;=$B$11,POWER((1+$B$12),(A14*-1)),"-")</f>
        <v>1</v>
      </c>
      <c r="F14" s="20">
        <f>D14</f>
        <v>-2500000</v>
      </c>
      <c r="G14" s="19">
        <f>IF(A14&lt;=$B$11,POWER((1+$F$67),(A14*-1)),"-")</f>
        <v>1</v>
      </c>
      <c r="H14" s="20">
        <f>F14</f>
        <v>-2500000</v>
      </c>
      <c r="I14" s="15"/>
    </row>
    <row r="15" spans="1:9" ht="18">
      <c r="A15" s="21">
        <f t="shared" ref="A15:A64" si="2">A14+1</f>
        <v>1</v>
      </c>
      <c r="B15" s="22">
        <f>$E$8</f>
        <v>679158.56300399988</v>
      </c>
      <c r="C15" s="23">
        <v>73000</v>
      </c>
      <c r="D15" s="24">
        <f t="shared" si="0"/>
        <v>606158.56300399988</v>
      </c>
      <c r="E15" s="25">
        <f t="shared" si="1"/>
        <v>0.88495575221238942</v>
      </c>
      <c r="F15" s="26">
        <f t="shared" ref="F15:F64" si="3">PV($B$12,A15,0,D15)*-1</f>
        <v>536423.50708318583</v>
      </c>
      <c r="G15" s="25">
        <f>IF(A15&lt;=$B$11,POWER((1+$F$67),(A15*-1)),"-")</f>
        <v>0.88495575221109346</v>
      </c>
      <c r="H15" s="26">
        <f t="shared" ref="H15:H64" si="4">PV($F$67,A15,0,D15)*-1</f>
        <v>536423.50708240015</v>
      </c>
      <c r="I15" s="26">
        <f>PMT($B$12,$B$11,$F$65)*-1</f>
        <v>2.9630278964702581E-6</v>
      </c>
    </row>
    <row r="16" spans="1:9" ht="18">
      <c r="A16" s="21">
        <f t="shared" si="2"/>
        <v>2</v>
      </c>
      <c r="B16" s="22">
        <f t="shared" ref="B16:B19" si="5">$E$8</f>
        <v>679158.56300399988</v>
      </c>
      <c r="C16" s="23">
        <v>73000</v>
      </c>
      <c r="D16" s="24">
        <f t="shared" si="0"/>
        <v>606158.56300399988</v>
      </c>
      <c r="E16" s="25">
        <f t="shared" si="1"/>
        <v>0.78314668337379612</v>
      </c>
      <c r="F16" s="26">
        <f t="shared" si="3"/>
        <v>474711.06821520871</v>
      </c>
      <c r="G16" s="25">
        <f t="shared" ref="G16:G64" si="6">IF(A16&lt;=$B$11,POWER((1+$F$67),(A16*-1)),"-")</f>
        <v>0.78314668337150217</v>
      </c>
      <c r="H16" s="26">
        <f t="shared" si="4"/>
        <v>474711.06821381825</v>
      </c>
      <c r="I16" s="26">
        <f t="shared" ref="I16:I21" si="7">IF(A16&lt;=$B$11,$I$15,0)</f>
        <v>2.9630278964702581E-6</v>
      </c>
    </row>
    <row r="17" spans="1:11" ht="18">
      <c r="A17" s="21">
        <f t="shared" si="2"/>
        <v>3</v>
      </c>
      <c r="B17" s="22">
        <f t="shared" si="5"/>
        <v>679158.56300399988</v>
      </c>
      <c r="C17" s="23">
        <v>73000</v>
      </c>
      <c r="D17" s="24">
        <f t="shared" si="0"/>
        <v>606158.56300399988</v>
      </c>
      <c r="E17" s="25">
        <f t="shared" si="1"/>
        <v>0.69305016227769578</v>
      </c>
      <c r="F17" s="26">
        <f t="shared" si="3"/>
        <v>420098.29045593698</v>
      </c>
      <c r="G17" s="25">
        <f t="shared" si="6"/>
        <v>0.69305016227465077</v>
      </c>
      <c r="H17" s="26">
        <f t="shared" si="4"/>
        <v>420098.29045409121</v>
      </c>
      <c r="I17" s="26">
        <f t="shared" si="7"/>
        <v>2.9630278964702581E-6</v>
      </c>
    </row>
    <row r="18" spans="1:11" ht="18">
      <c r="A18" s="21">
        <f t="shared" si="2"/>
        <v>4</v>
      </c>
      <c r="B18" s="22">
        <f t="shared" si="5"/>
        <v>679158.56300399988</v>
      </c>
      <c r="C18" s="23">
        <v>73000</v>
      </c>
      <c r="D18" s="24">
        <f t="shared" si="0"/>
        <v>606158.56300399988</v>
      </c>
      <c r="E18" s="25">
        <f t="shared" si="1"/>
        <v>0.61331872767937679</v>
      </c>
      <c r="F18" s="26">
        <f t="shared" si="3"/>
        <v>371768.39863357256</v>
      </c>
      <c r="G18" s="25">
        <f t="shared" si="6"/>
        <v>0.61331872767578399</v>
      </c>
      <c r="H18" s="26">
        <f t="shared" si="4"/>
        <v>371768.39863139472</v>
      </c>
      <c r="I18" s="26">
        <f t="shared" si="7"/>
        <v>2.9630278964702581E-6</v>
      </c>
    </row>
    <row r="19" spans="1:11" ht="18">
      <c r="A19" s="21">
        <f t="shared" si="2"/>
        <v>5</v>
      </c>
      <c r="B19" s="22">
        <f t="shared" si="5"/>
        <v>679158.56300399988</v>
      </c>
      <c r="C19" s="23">
        <v>73000</v>
      </c>
      <c r="D19" s="24">
        <f>(B19-C19)</f>
        <v>606158.56300399988</v>
      </c>
      <c r="E19" s="25">
        <f t="shared" si="1"/>
        <v>0.54275993599944861</v>
      </c>
      <c r="F19" s="26">
        <f t="shared" si="3"/>
        <v>328998.58286156872</v>
      </c>
      <c r="G19" s="25">
        <f t="shared" si="6"/>
        <v>0.54275993599547423</v>
      </c>
      <c r="H19" s="26">
        <f t="shared" si="4"/>
        <v>328998.58285915956</v>
      </c>
      <c r="I19" s="26">
        <f t="shared" si="7"/>
        <v>2.9630278964702581E-6</v>
      </c>
    </row>
    <row r="20" spans="1:11" ht="18.75" thickBot="1">
      <c r="A20" s="21">
        <f t="shared" si="2"/>
        <v>6</v>
      </c>
      <c r="B20" s="22">
        <f>E10</f>
        <v>839158.56300399988</v>
      </c>
      <c r="C20" s="23">
        <v>73000</v>
      </c>
      <c r="D20" s="24">
        <f t="shared" si="0"/>
        <v>766158.56300399988</v>
      </c>
      <c r="E20" s="25">
        <f t="shared" si="1"/>
        <v>0.48031852743314046</v>
      </c>
      <c r="F20" s="26">
        <f t="shared" si="3"/>
        <v>368000.15276237216</v>
      </c>
      <c r="G20" s="25">
        <f t="shared" si="6"/>
        <v>0.48031852742891973</v>
      </c>
      <c r="H20" s="26">
        <f t="shared" si="4"/>
        <v>368000.15275913844</v>
      </c>
      <c r="I20" s="26">
        <f t="shared" si="7"/>
        <v>2.9630278964702581E-6</v>
      </c>
    </row>
    <row r="21" spans="1:11" ht="18.75" hidden="1" thickBot="1">
      <c r="A21" s="21">
        <f t="shared" si="2"/>
        <v>7</v>
      </c>
      <c r="B21" s="22">
        <v>0</v>
      </c>
      <c r="C21" s="23">
        <v>0</v>
      </c>
      <c r="D21" s="24">
        <f t="shared" si="0"/>
        <v>0</v>
      </c>
      <c r="E21" s="25" t="str">
        <f t="shared" si="1"/>
        <v>-</v>
      </c>
      <c r="F21" s="26">
        <f t="shared" si="3"/>
        <v>0</v>
      </c>
      <c r="G21" s="25" t="str">
        <f t="shared" si="6"/>
        <v>-</v>
      </c>
      <c r="H21" s="26">
        <f t="shared" si="4"/>
        <v>0</v>
      </c>
      <c r="I21" s="26">
        <f t="shared" si="7"/>
        <v>0</v>
      </c>
    </row>
    <row r="22" spans="1:11" ht="18.75" hidden="1" thickBot="1">
      <c r="A22" s="21">
        <f t="shared" si="2"/>
        <v>8</v>
      </c>
      <c r="B22" s="22">
        <v>0</v>
      </c>
      <c r="C22" s="23">
        <v>0</v>
      </c>
      <c r="D22" s="24">
        <f t="shared" si="0"/>
        <v>0</v>
      </c>
      <c r="E22" s="25" t="str">
        <f t="shared" si="1"/>
        <v>-</v>
      </c>
      <c r="F22" s="26">
        <f t="shared" si="3"/>
        <v>0</v>
      </c>
      <c r="G22" s="25" t="str">
        <f t="shared" si="6"/>
        <v>-</v>
      </c>
      <c r="H22" s="26">
        <f t="shared" si="4"/>
        <v>0</v>
      </c>
      <c r="I22" s="26">
        <f t="shared" ref="I22:I64" si="8">IF(A21&lt;=$B$11,$I$15,0)</f>
        <v>0</v>
      </c>
      <c r="K22" s="27"/>
    </row>
    <row r="23" spans="1:11" ht="18.75" hidden="1" thickBot="1">
      <c r="A23" s="21">
        <f t="shared" si="2"/>
        <v>9</v>
      </c>
      <c r="B23" s="22">
        <v>0</v>
      </c>
      <c r="C23" s="23">
        <v>0</v>
      </c>
      <c r="D23" s="24">
        <f t="shared" si="0"/>
        <v>0</v>
      </c>
      <c r="E23" s="25" t="str">
        <f t="shared" si="1"/>
        <v>-</v>
      </c>
      <c r="F23" s="26">
        <f t="shared" si="3"/>
        <v>0</v>
      </c>
      <c r="G23" s="25" t="str">
        <f t="shared" si="6"/>
        <v>-</v>
      </c>
      <c r="H23" s="26">
        <f t="shared" si="4"/>
        <v>0</v>
      </c>
      <c r="I23" s="26">
        <f t="shared" si="8"/>
        <v>0</v>
      </c>
    </row>
    <row r="24" spans="1:11" ht="18.75" hidden="1" thickBot="1">
      <c r="A24" s="21">
        <f t="shared" si="2"/>
        <v>10</v>
      </c>
      <c r="B24" s="22">
        <v>0</v>
      </c>
      <c r="C24" s="23">
        <v>0</v>
      </c>
      <c r="D24" s="24">
        <f t="shared" si="0"/>
        <v>0</v>
      </c>
      <c r="E24" s="25" t="str">
        <f t="shared" si="1"/>
        <v>-</v>
      </c>
      <c r="F24" s="26">
        <f t="shared" si="3"/>
        <v>0</v>
      </c>
      <c r="G24" s="25" t="str">
        <f t="shared" si="6"/>
        <v>-</v>
      </c>
      <c r="H24" s="26">
        <f t="shared" si="4"/>
        <v>0</v>
      </c>
      <c r="I24" s="26">
        <f t="shared" si="8"/>
        <v>0</v>
      </c>
    </row>
    <row r="25" spans="1:11" ht="18.75" hidden="1" thickBot="1">
      <c r="A25" s="21">
        <f t="shared" si="2"/>
        <v>11</v>
      </c>
      <c r="B25" s="22">
        <v>0</v>
      </c>
      <c r="C25" s="23">
        <v>0</v>
      </c>
      <c r="D25" s="24">
        <f t="shared" si="0"/>
        <v>0</v>
      </c>
      <c r="E25" s="25" t="str">
        <f t="shared" si="1"/>
        <v>-</v>
      </c>
      <c r="F25" s="26">
        <f t="shared" si="3"/>
        <v>0</v>
      </c>
      <c r="G25" s="25" t="str">
        <f t="shared" si="6"/>
        <v>-</v>
      </c>
      <c r="H25" s="26">
        <f t="shared" si="4"/>
        <v>0</v>
      </c>
      <c r="I25" s="26">
        <f t="shared" si="8"/>
        <v>0</v>
      </c>
    </row>
    <row r="26" spans="1:11" ht="18.75" hidden="1" thickBot="1">
      <c r="A26" s="21">
        <f t="shared" si="2"/>
        <v>12</v>
      </c>
      <c r="B26" s="22">
        <v>0</v>
      </c>
      <c r="C26" s="23">
        <v>0</v>
      </c>
      <c r="D26" s="24">
        <f t="shared" si="0"/>
        <v>0</v>
      </c>
      <c r="E26" s="25" t="str">
        <f t="shared" si="1"/>
        <v>-</v>
      </c>
      <c r="F26" s="26">
        <f t="shared" si="3"/>
        <v>0</v>
      </c>
      <c r="G26" s="25" t="str">
        <f t="shared" si="6"/>
        <v>-</v>
      </c>
      <c r="H26" s="26">
        <f t="shared" si="4"/>
        <v>0</v>
      </c>
      <c r="I26" s="26">
        <f t="shared" si="8"/>
        <v>0</v>
      </c>
    </row>
    <row r="27" spans="1:11" ht="18.75" hidden="1" thickBot="1">
      <c r="A27" s="21">
        <f t="shared" si="2"/>
        <v>13</v>
      </c>
      <c r="B27" s="22">
        <v>0</v>
      </c>
      <c r="C27" s="23">
        <v>0</v>
      </c>
      <c r="D27" s="24">
        <f t="shared" si="0"/>
        <v>0</v>
      </c>
      <c r="E27" s="25" t="str">
        <f t="shared" si="1"/>
        <v>-</v>
      </c>
      <c r="F27" s="26">
        <f t="shared" si="3"/>
        <v>0</v>
      </c>
      <c r="G27" s="25" t="str">
        <f t="shared" si="6"/>
        <v>-</v>
      </c>
      <c r="H27" s="26">
        <f t="shared" si="4"/>
        <v>0</v>
      </c>
      <c r="I27" s="26">
        <f t="shared" si="8"/>
        <v>0</v>
      </c>
      <c r="K27" s="27"/>
    </row>
    <row r="28" spans="1:11" ht="18.75" hidden="1" thickBot="1">
      <c r="A28" s="21">
        <f t="shared" si="2"/>
        <v>14</v>
      </c>
      <c r="B28" s="22">
        <v>0</v>
      </c>
      <c r="C28" s="23">
        <v>0</v>
      </c>
      <c r="D28" s="24">
        <f t="shared" si="0"/>
        <v>0</v>
      </c>
      <c r="E28" s="25" t="str">
        <f t="shared" si="1"/>
        <v>-</v>
      </c>
      <c r="F28" s="26">
        <f t="shared" si="3"/>
        <v>0</v>
      </c>
      <c r="G28" s="25" t="str">
        <f t="shared" si="6"/>
        <v>-</v>
      </c>
      <c r="H28" s="26">
        <f t="shared" si="4"/>
        <v>0</v>
      </c>
      <c r="I28" s="26">
        <f t="shared" si="8"/>
        <v>0</v>
      </c>
    </row>
    <row r="29" spans="1:11" ht="18.75" hidden="1" thickBot="1">
      <c r="A29" s="28">
        <f t="shared" si="2"/>
        <v>15</v>
      </c>
      <c r="B29" s="29">
        <v>0</v>
      </c>
      <c r="C29" s="30">
        <v>0</v>
      </c>
      <c r="D29" s="31">
        <f t="shared" si="0"/>
        <v>0</v>
      </c>
      <c r="E29" s="32" t="str">
        <f t="shared" si="1"/>
        <v>-</v>
      </c>
      <c r="F29" s="33">
        <f t="shared" si="3"/>
        <v>0</v>
      </c>
      <c r="G29" s="32" t="str">
        <f t="shared" si="6"/>
        <v>-</v>
      </c>
      <c r="H29" s="33">
        <f t="shared" si="4"/>
        <v>0</v>
      </c>
      <c r="I29" s="33">
        <f t="shared" si="8"/>
        <v>0</v>
      </c>
    </row>
    <row r="30" spans="1:11" ht="18.75" hidden="1" thickBot="1">
      <c r="A30" s="21">
        <f t="shared" si="2"/>
        <v>16</v>
      </c>
      <c r="B30" s="22">
        <v>0</v>
      </c>
      <c r="C30" s="23">
        <v>0</v>
      </c>
      <c r="D30" s="24">
        <f t="shared" si="0"/>
        <v>0</v>
      </c>
      <c r="E30" s="25" t="str">
        <f t="shared" si="1"/>
        <v>-</v>
      </c>
      <c r="F30" s="26">
        <f t="shared" si="3"/>
        <v>0</v>
      </c>
      <c r="G30" s="25" t="str">
        <f t="shared" si="6"/>
        <v>-</v>
      </c>
      <c r="H30" s="26">
        <f t="shared" si="4"/>
        <v>0</v>
      </c>
      <c r="I30" s="26">
        <f t="shared" si="8"/>
        <v>0</v>
      </c>
    </row>
    <row r="31" spans="1:11" ht="18.75" hidden="1" thickBot="1">
      <c r="A31" s="21">
        <f t="shared" si="2"/>
        <v>17</v>
      </c>
      <c r="B31" s="22">
        <v>0</v>
      </c>
      <c r="C31" s="23">
        <v>0</v>
      </c>
      <c r="D31" s="24">
        <f t="shared" si="0"/>
        <v>0</v>
      </c>
      <c r="E31" s="25" t="str">
        <f t="shared" si="1"/>
        <v>-</v>
      </c>
      <c r="F31" s="26">
        <f t="shared" si="3"/>
        <v>0</v>
      </c>
      <c r="G31" s="25" t="str">
        <f t="shared" si="6"/>
        <v>-</v>
      </c>
      <c r="H31" s="26">
        <f t="shared" si="4"/>
        <v>0</v>
      </c>
      <c r="I31" s="26">
        <f t="shared" si="8"/>
        <v>0</v>
      </c>
    </row>
    <row r="32" spans="1:11" ht="18.75" hidden="1" thickBot="1">
      <c r="A32" s="21">
        <f t="shared" si="2"/>
        <v>18</v>
      </c>
      <c r="B32" s="22">
        <v>0</v>
      </c>
      <c r="C32" s="23">
        <v>0</v>
      </c>
      <c r="D32" s="24">
        <f t="shared" si="0"/>
        <v>0</v>
      </c>
      <c r="E32" s="25" t="str">
        <f t="shared" si="1"/>
        <v>-</v>
      </c>
      <c r="F32" s="26">
        <f t="shared" si="3"/>
        <v>0</v>
      </c>
      <c r="G32" s="25" t="str">
        <f t="shared" si="6"/>
        <v>-</v>
      </c>
      <c r="H32" s="26">
        <f t="shared" si="4"/>
        <v>0</v>
      </c>
      <c r="I32" s="26">
        <f t="shared" si="8"/>
        <v>0</v>
      </c>
    </row>
    <row r="33" spans="1:9" ht="18.75" hidden="1" thickBot="1">
      <c r="A33" s="21">
        <f t="shared" si="2"/>
        <v>19</v>
      </c>
      <c r="B33" s="22">
        <v>0</v>
      </c>
      <c r="C33" s="23">
        <v>0</v>
      </c>
      <c r="D33" s="24">
        <f t="shared" si="0"/>
        <v>0</v>
      </c>
      <c r="E33" s="25" t="str">
        <f t="shared" si="1"/>
        <v>-</v>
      </c>
      <c r="F33" s="26">
        <f t="shared" si="3"/>
        <v>0</v>
      </c>
      <c r="G33" s="25" t="str">
        <f t="shared" si="6"/>
        <v>-</v>
      </c>
      <c r="H33" s="26">
        <f t="shared" si="4"/>
        <v>0</v>
      </c>
      <c r="I33" s="26">
        <f t="shared" si="8"/>
        <v>0</v>
      </c>
    </row>
    <row r="34" spans="1:9" ht="18.75" hidden="1" thickBot="1">
      <c r="A34" s="21">
        <f t="shared" si="2"/>
        <v>20</v>
      </c>
      <c r="B34" s="22">
        <v>0</v>
      </c>
      <c r="C34" s="23">
        <v>0</v>
      </c>
      <c r="D34" s="24">
        <f t="shared" si="0"/>
        <v>0</v>
      </c>
      <c r="E34" s="25" t="str">
        <f t="shared" si="1"/>
        <v>-</v>
      </c>
      <c r="F34" s="26">
        <f t="shared" si="3"/>
        <v>0</v>
      </c>
      <c r="G34" s="25" t="str">
        <f t="shared" si="6"/>
        <v>-</v>
      </c>
      <c r="H34" s="26">
        <f t="shared" si="4"/>
        <v>0</v>
      </c>
      <c r="I34" s="26">
        <f t="shared" si="8"/>
        <v>0</v>
      </c>
    </row>
    <row r="35" spans="1:9" ht="18.75" hidden="1" thickBot="1">
      <c r="A35" s="21">
        <f t="shared" si="2"/>
        <v>21</v>
      </c>
      <c r="B35" s="22">
        <v>0</v>
      </c>
      <c r="C35" s="23">
        <v>0</v>
      </c>
      <c r="D35" s="24">
        <f t="shared" si="0"/>
        <v>0</v>
      </c>
      <c r="E35" s="25" t="str">
        <f t="shared" si="1"/>
        <v>-</v>
      </c>
      <c r="F35" s="26">
        <f t="shared" si="3"/>
        <v>0</v>
      </c>
      <c r="G35" s="25" t="str">
        <f t="shared" si="6"/>
        <v>-</v>
      </c>
      <c r="H35" s="26">
        <f t="shared" si="4"/>
        <v>0</v>
      </c>
      <c r="I35" s="26">
        <f t="shared" si="8"/>
        <v>0</v>
      </c>
    </row>
    <row r="36" spans="1:9" ht="18.75" hidden="1" thickBot="1">
      <c r="A36" s="21">
        <f t="shared" si="2"/>
        <v>22</v>
      </c>
      <c r="B36" s="22">
        <v>0</v>
      </c>
      <c r="C36" s="23">
        <v>0</v>
      </c>
      <c r="D36" s="24">
        <f t="shared" si="0"/>
        <v>0</v>
      </c>
      <c r="E36" s="25" t="str">
        <f t="shared" si="1"/>
        <v>-</v>
      </c>
      <c r="F36" s="26">
        <f t="shared" si="3"/>
        <v>0</v>
      </c>
      <c r="G36" s="25" t="str">
        <f t="shared" si="6"/>
        <v>-</v>
      </c>
      <c r="H36" s="26">
        <f t="shared" si="4"/>
        <v>0</v>
      </c>
      <c r="I36" s="26">
        <f t="shared" si="8"/>
        <v>0</v>
      </c>
    </row>
    <row r="37" spans="1:9" ht="18.75" hidden="1" thickBot="1">
      <c r="A37" s="21">
        <f t="shared" si="2"/>
        <v>23</v>
      </c>
      <c r="B37" s="22">
        <v>0</v>
      </c>
      <c r="C37" s="23">
        <v>0</v>
      </c>
      <c r="D37" s="24">
        <f t="shared" si="0"/>
        <v>0</v>
      </c>
      <c r="E37" s="25" t="str">
        <f t="shared" si="1"/>
        <v>-</v>
      </c>
      <c r="F37" s="26">
        <f t="shared" si="3"/>
        <v>0</v>
      </c>
      <c r="G37" s="25" t="str">
        <f t="shared" si="6"/>
        <v>-</v>
      </c>
      <c r="H37" s="26">
        <f t="shared" si="4"/>
        <v>0</v>
      </c>
      <c r="I37" s="26">
        <f t="shared" si="8"/>
        <v>0</v>
      </c>
    </row>
    <row r="38" spans="1:9" ht="18.75" hidden="1" thickBot="1">
      <c r="A38" s="21">
        <f t="shared" si="2"/>
        <v>24</v>
      </c>
      <c r="B38" s="22">
        <v>0</v>
      </c>
      <c r="C38" s="23">
        <v>0</v>
      </c>
      <c r="D38" s="24">
        <f t="shared" si="0"/>
        <v>0</v>
      </c>
      <c r="E38" s="25" t="str">
        <f t="shared" si="1"/>
        <v>-</v>
      </c>
      <c r="F38" s="26">
        <f t="shared" si="3"/>
        <v>0</v>
      </c>
      <c r="G38" s="25" t="str">
        <f t="shared" si="6"/>
        <v>-</v>
      </c>
      <c r="H38" s="26">
        <f t="shared" si="4"/>
        <v>0</v>
      </c>
      <c r="I38" s="26">
        <f t="shared" si="8"/>
        <v>0</v>
      </c>
    </row>
    <row r="39" spans="1:9" ht="18.75" hidden="1" thickBot="1">
      <c r="A39" s="21">
        <f t="shared" si="2"/>
        <v>25</v>
      </c>
      <c r="B39" s="22">
        <v>0</v>
      </c>
      <c r="C39" s="23">
        <v>0</v>
      </c>
      <c r="D39" s="24">
        <f t="shared" si="0"/>
        <v>0</v>
      </c>
      <c r="E39" s="25" t="str">
        <f t="shared" si="1"/>
        <v>-</v>
      </c>
      <c r="F39" s="26">
        <f t="shared" si="3"/>
        <v>0</v>
      </c>
      <c r="G39" s="25" t="str">
        <f t="shared" si="6"/>
        <v>-</v>
      </c>
      <c r="H39" s="26">
        <f t="shared" si="4"/>
        <v>0</v>
      </c>
      <c r="I39" s="26">
        <f t="shared" si="8"/>
        <v>0</v>
      </c>
    </row>
    <row r="40" spans="1:9" ht="18.75" hidden="1" thickBot="1">
      <c r="A40" s="21">
        <f t="shared" si="2"/>
        <v>26</v>
      </c>
      <c r="B40" s="22">
        <v>0</v>
      </c>
      <c r="C40" s="23">
        <v>0</v>
      </c>
      <c r="D40" s="24">
        <f t="shared" si="0"/>
        <v>0</v>
      </c>
      <c r="E40" s="25" t="str">
        <f t="shared" si="1"/>
        <v>-</v>
      </c>
      <c r="F40" s="26">
        <f t="shared" si="3"/>
        <v>0</v>
      </c>
      <c r="G40" s="25" t="str">
        <f t="shared" si="6"/>
        <v>-</v>
      </c>
      <c r="H40" s="26">
        <f t="shared" si="4"/>
        <v>0</v>
      </c>
      <c r="I40" s="26">
        <f t="shared" si="8"/>
        <v>0</v>
      </c>
    </row>
    <row r="41" spans="1:9" ht="18.75" hidden="1" thickBot="1">
      <c r="A41" s="21">
        <f t="shared" si="2"/>
        <v>27</v>
      </c>
      <c r="B41" s="22">
        <v>0</v>
      </c>
      <c r="C41" s="23">
        <v>0</v>
      </c>
      <c r="D41" s="24">
        <f t="shared" si="0"/>
        <v>0</v>
      </c>
      <c r="E41" s="25" t="str">
        <f t="shared" si="1"/>
        <v>-</v>
      </c>
      <c r="F41" s="26">
        <f t="shared" si="3"/>
        <v>0</v>
      </c>
      <c r="G41" s="25" t="str">
        <f t="shared" si="6"/>
        <v>-</v>
      </c>
      <c r="H41" s="26">
        <f t="shared" si="4"/>
        <v>0</v>
      </c>
      <c r="I41" s="26">
        <f t="shared" si="8"/>
        <v>0</v>
      </c>
    </row>
    <row r="42" spans="1:9" ht="18.75" hidden="1" thickBot="1">
      <c r="A42" s="21">
        <f t="shared" si="2"/>
        <v>28</v>
      </c>
      <c r="B42" s="22">
        <v>0</v>
      </c>
      <c r="C42" s="23">
        <v>0</v>
      </c>
      <c r="D42" s="24">
        <f t="shared" si="0"/>
        <v>0</v>
      </c>
      <c r="E42" s="25" t="str">
        <f t="shared" si="1"/>
        <v>-</v>
      </c>
      <c r="F42" s="26">
        <f t="shared" si="3"/>
        <v>0</v>
      </c>
      <c r="G42" s="25" t="str">
        <f t="shared" si="6"/>
        <v>-</v>
      </c>
      <c r="H42" s="26">
        <f t="shared" si="4"/>
        <v>0</v>
      </c>
      <c r="I42" s="26">
        <f t="shared" si="8"/>
        <v>0</v>
      </c>
    </row>
    <row r="43" spans="1:9" ht="18.75" hidden="1" thickBot="1">
      <c r="A43" s="21">
        <f t="shared" si="2"/>
        <v>29</v>
      </c>
      <c r="B43" s="22">
        <v>0</v>
      </c>
      <c r="C43" s="23">
        <v>0</v>
      </c>
      <c r="D43" s="24">
        <f t="shared" si="0"/>
        <v>0</v>
      </c>
      <c r="E43" s="25" t="str">
        <f t="shared" si="1"/>
        <v>-</v>
      </c>
      <c r="F43" s="26">
        <f t="shared" si="3"/>
        <v>0</v>
      </c>
      <c r="G43" s="25" t="str">
        <f t="shared" si="6"/>
        <v>-</v>
      </c>
      <c r="H43" s="26">
        <f t="shared" si="4"/>
        <v>0</v>
      </c>
      <c r="I43" s="26">
        <f t="shared" si="8"/>
        <v>0</v>
      </c>
    </row>
    <row r="44" spans="1:9" ht="18.75" hidden="1" thickBot="1">
      <c r="A44" s="21">
        <f t="shared" si="2"/>
        <v>30</v>
      </c>
      <c r="B44" s="22">
        <v>0</v>
      </c>
      <c r="C44" s="23">
        <v>0</v>
      </c>
      <c r="D44" s="24">
        <f t="shared" si="0"/>
        <v>0</v>
      </c>
      <c r="E44" s="25" t="str">
        <f t="shared" si="1"/>
        <v>-</v>
      </c>
      <c r="F44" s="26">
        <f t="shared" si="3"/>
        <v>0</v>
      </c>
      <c r="G44" s="25" t="str">
        <f t="shared" si="6"/>
        <v>-</v>
      </c>
      <c r="H44" s="26">
        <f t="shared" si="4"/>
        <v>0</v>
      </c>
      <c r="I44" s="26">
        <f t="shared" si="8"/>
        <v>0</v>
      </c>
    </row>
    <row r="45" spans="1:9" ht="18.75" hidden="1" thickBot="1">
      <c r="A45" s="21">
        <f t="shared" si="2"/>
        <v>31</v>
      </c>
      <c r="B45" s="22">
        <v>0</v>
      </c>
      <c r="C45" s="23">
        <v>0</v>
      </c>
      <c r="D45" s="24">
        <f t="shared" si="0"/>
        <v>0</v>
      </c>
      <c r="E45" s="25" t="str">
        <f t="shared" si="1"/>
        <v>-</v>
      </c>
      <c r="F45" s="26">
        <f t="shared" si="3"/>
        <v>0</v>
      </c>
      <c r="G45" s="25" t="str">
        <f t="shared" si="6"/>
        <v>-</v>
      </c>
      <c r="H45" s="26">
        <f t="shared" si="4"/>
        <v>0</v>
      </c>
      <c r="I45" s="26">
        <f t="shared" si="8"/>
        <v>0</v>
      </c>
    </row>
    <row r="46" spans="1:9" ht="18.75" hidden="1" thickBot="1">
      <c r="A46" s="21">
        <f t="shared" si="2"/>
        <v>32</v>
      </c>
      <c r="B46" s="22">
        <v>0</v>
      </c>
      <c r="C46" s="23">
        <v>0</v>
      </c>
      <c r="D46" s="24">
        <f t="shared" si="0"/>
        <v>0</v>
      </c>
      <c r="E46" s="25" t="str">
        <f t="shared" si="1"/>
        <v>-</v>
      </c>
      <c r="F46" s="26">
        <f t="shared" si="3"/>
        <v>0</v>
      </c>
      <c r="G46" s="25" t="str">
        <f t="shared" si="6"/>
        <v>-</v>
      </c>
      <c r="H46" s="26">
        <f t="shared" si="4"/>
        <v>0</v>
      </c>
      <c r="I46" s="26">
        <f t="shared" si="8"/>
        <v>0</v>
      </c>
    </row>
    <row r="47" spans="1:9" ht="18.75" hidden="1" thickBot="1">
      <c r="A47" s="21">
        <f t="shared" si="2"/>
        <v>33</v>
      </c>
      <c r="B47" s="22">
        <v>0</v>
      </c>
      <c r="C47" s="23">
        <v>0</v>
      </c>
      <c r="D47" s="24">
        <f t="shared" si="0"/>
        <v>0</v>
      </c>
      <c r="E47" s="25" t="str">
        <f t="shared" si="1"/>
        <v>-</v>
      </c>
      <c r="F47" s="26">
        <f t="shared" si="3"/>
        <v>0</v>
      </c>
      <c r="G47" s="25" t="str">
        <f t="shared" si="6"/>
        <v>-</v>
      </c>
      <c r="H47" s="26">
        <f t="shared" si="4"/>
        <v>0</v>
      </c>
      <c r="I47" s="26">
        <f t="shared" si="8"/>
        <v>0</v>
      </c>
    </row>
    <row r="48" spans="1:9" ht="18.75" hidden="1" thickBot="1">
      <c r="A48" s="21">
        <f t="shared" si="2"/>
        <v>34</v>
      </c>
      <c r="B48" s="22">
        <v>0</v>
      </c>
      <c r="C48" s="23">
        <v>0</v>
      </c>
      <c r="D48" s="24">
        <f t="shared" si="0"/>
        <v>0</v>
      </c>
      <c r="E48" s="25" t="str">
        <f t="shared" si="1"/>
        <v>-</v>
      </c>
      <c r="F48" s="26">
        <f t="shared" si="3"/>
        <v>0</v>
      </c>
      <c r="G48" s="25" t="str">
        <f t="shared" si="6"/>
        <v>-</v>
      </c>
      <c r="H48" s="26">
        <f t="shared" si="4"/>
        <v>0</v>
      </c>
      <c r="I48" s="26">
        <f t="shared" si="8"/>
        <v>0</v>
      </c>
    </row>
    <row r="49" spans="1:9" ht="18.75" hidden="1" thickBot="1">
      <c r="A49" s="21">
        <f t="shared" si="2"/>
        <v>35</v>
      </c>
      <c r="B49" s="22">
        <v>0</v>
      </c>
      <c r="C49" s="23">
        <v>0</v>
      </c>
      <c r="D49" s="24">
        <f t="shared" si="0"/>
        <v>0</v>
      </c>
      <c r="E49" s="25" t="str">
        <f t="shared" si="1"/>
        <v>-</v>
      </c>
      <c r="F49" s="26">
        <f t="shared" si="3"/>
        <v>0</v>
      </c>
      <c r="G49" s="25" t="str">
        <f t="shared" si="6"/>
        <v>-</v>
      </c>
      <c r="H49" s="26">
        <f t="shared" si="4"/>
        <v>0</v>
      </c>
      <c r="I49" s="26">
        <f t="shared" si="8"/>
        <v>0</v>
      </c>
    </row>
    <row r="50" spans="1:9" ht="18.75" hidden="1" thickBot="1">
      <c r="A50" s="21">
        <f t="shared" si="2"/>
        <v>36</v>
      </c>
      <c r="B50" s="22">
        <v>0</v>
      </c>
      <c r="C50" s="23">
        <v>0</v>
      </c>
      <c r="D50" s="24">
        <f t="shared" si="0"/>
        <v>0</v>
      </c>
      <c r="E50" s="25" t="str">
        <f t="shared" si="1"/>
        <v>-</v>
      </c>
      <c r="F50" s="26">
        <f t="shared" si="3"/>
        <v>0</v>
      </c>
      <c r="G50" s="25" t="str">
        <f t="shared" si="6"/>
        <v>-</v>
      </c>
      <c r="H50" s="26">
        <f t="shared" si="4"/>
        <v>0</v>
      </c>
      <c r="I50" s="26">
        <f t="shared" si="8"/>
        <v>0</v>
      </c>
    </row>
    <row r="51" spans="1:9" ht="18.75" hidden="1" thickBot="1">
      <c r="A51" s="21">
        <f t="shared" si="2"/>
        <v>37</v>
      </c>
      <c r="B51" s="22">
        <v>0</v>
      </c>
      <c r="C51" s="23">
        <v>0</v>
      </c>
      <c r="D51" s="24">
        <f t="shared" si="0"/>
        <v>0</v>
      </c>
      <c r="E51" s="25" t="str">
        <f t="shared" si="1"/>
        <v>-</v>
      </c>
      <c r="F51" s="26">
        <f t="shared" si="3"/>
        <v>0</v>
      </c>
      <c r="G51" s="25" t="str">
        <f t="shared" si="6"/>
        <v>-</v>
      </c>
      <c r="H51" s="26">
        <f t="shared" si="4"/>
        <v>0</v>
      </c>
      <c r="I51" s="26">
        <f t="shared" si="8"/>
        <v>0</v>
      </c>
    </row>
    <row r="52" spans="1:9" ht="18.75" hidden="1" thickBot="1">
      <c r="A52" s="21">
        <f t="shared" si="2"/>
        <v>38</v>
      </c>
      <c r="B52" s="22">
        <v>0</v>
      </c>
      <c r="C52" s="23">
        <v>0</v>
      </c>
      <c r="D52" s="24">
        <f t="shared" si="0"/>
        <v>0</v>
      </c>
      <c r="E52" s="25" t="str">
        <f t="shared" si="1"/>
        <v>-</v>
      </c>
      <c r="F52" s="26">
        <f t="shared" si="3"/>
        <v>0</v>
      </c>
      <c r="G52" s="25" t="str">
        <f t="shared" si="6"/>
        <v>-</v>
      </c>
      <c r="H52" s="26">
        <f t="shared" si="4"/>
        <v>0</v>
      </c>
      <c r="I52" s="26">
        <f t="shared" si="8"/>
        <v>0</v>
      </c>
    </row>
    <row r="53" spans="1:9" ht="18.75" hidden="1" thickBot="1">
      <c r="A53" s="21">
        <f t="shared" si="2"/>
        <v>39</v>
      </c>
      <c r="B53" s="22">
        <v>0</v>
      </c>
      <c r="C53" s="23">
        <v>0</v>
      </c>
      <c r="D53" s="24">
        <f t="shared" si="0"/>
        <v>0</v>
      </c>
      <c r="E53" s="25" t="str">
        <f t="shared" si="1"/>
        <v>-</v>
      </c>
      <c r="F53" s="26">
        <f t="shared" si="3"/>
        <v>0</v>
      </c>
      <c r="G53" s="25" t="str">
        <f t="shared" si="6"/>
        <v>-</v>
      </c>
      <c r="H53" s="26">
        <f t="shared" si="4"/>
        <v>0</v>
      </c>
      <c r="I53" s="26">
        <f t="shared" si="8"/>
        <v>0</v>
      </c>
    </row>
    <row r="54" spans="1:9" ht="18.75" hidden="1" thickBot="1">
      <c r="A54" s="21">
        <f t="shared" si="2"/>
        <v>40</v>
      </c>
      <c r="B54" s="22">
        <v>0</v>
      </c>
      <c r="C54" s="23">
        <v>0</v>
      </c>
      <c r="D54" s="24">
        <f t="shared" si="0"/>
        <v>0</v>
      </c>
      <c r="E54" s="25" t="str">
        <f t="shared" si="1"/>
        <v>-</v>
      </c>
      <c r="F54" s="26">
        <f t="shared" si="3"/>
        <v>0</v>
      </c>
      <c r="G54" s="25" t="str">
        <f t="shared" si="6"/>
        <v>-</v>
      </c>
      <c r="H54" s="26">
        <f t="shared" si="4"/>
        <v>0</v>
      </c>
      <c r="I54" s="26">
        <f t="shared" si="8"/>
        <v>0</v>
      </c>
    </row>
    <row r="55" spans="1:9" ht="18.75" hidden="1" thickBot="1">
      <c r="A55" s="21">
        <f t="shared" si="2"/>
        <v>41</v>
      </c>
      <c r="B55" s="22">
        <v>0</v>
      </c>
      <c r="C55" s="23">
        <v>0</v>
      </c>
      <c r="D55" s="24">
        <f t="shared" si="0"/>
        <v>0</v>
      </c>
      <c r="E55" s="25" t="str">
        <f t="shared" si="1"/>
        <v>-</v>
      </c>
      <c r="F55" s="26">
        <f t="shared" si="3"/>
        <v>0</v>
      </c>
      <c r="G55" s="25" t="str">
        <f t="shared" si="6"/>
        <v>-</v>
      </c>
      <c r="H55" s="26">
        <f t="shared" si="4"/>
        <v>0</v>
      </c>
      <c r="I55" s="26">
        <f t="shared" si="8"/>
        <v>0</v>
      </c>
    </row>
    <row r="56" spans="1:9" ht="18.75" hidden="1" thickBot="1">
      <c r="A56" s="21">
        <f t="shared" si="2"/>
        <v>42</v>
      </c>
      <c r="B56" s="22">
        <v>0</v>
      </c>
      <c r="C56" s="23">
        <v>0</v>
      </c>
      <c r="D56" s="24">
        <f t="shared" si="0"/>
        <v>0</v>
      </c>
      <c r="E56" s="25" t="str">
        <f t="shared" si="1"/>
        <v>-</v>
      </c>
      <c r="F56" s="26">
        <f t="shared" si="3"/>
        <v>0</v>
      </c>
      <c r="G56" s="25" t="str">
        <f t="shared" si="6"/>
        <v>-</v>
      </c>
      <c r="H56" s="26">
        <f t="shared" si="4"/>
        <v>0</v>
      </c>
      <c r="I56" s="26">
        <f t="shared" si="8"/>
        <v>0</v>
      </c>
    </row>
    <row r="57" spans="1:9" ht="18.75" hidden="1" thickBot="1">
      <c r="A57" s="21">
        <f t="shared" si="2"/>
        <v>43</v>
      </c>
      <c r="B57" s="22">
        <v>0</v>
      </c>
      <c r="C57" s="23">
        <v>0</v>
      </c>
      <c r="D57" s="24">
        <f t="shared" si="0"/>
        <v>0</v>
      </c>
      <c r="E57" s="25" t="str">
        <f t="shared" si="1"/>
        <v>-</v>
      </c>
      <c r="F57" s="26">
        <f t="shared" si="3"/>
        <v>0</v>
      </c>
      <c r="G57" s="25" t="str">
        <f t="shared" si="6"/>
        <v>-</v>
      </c>
      <c r="H57" s="26">
        <f t="shared" si="4"/>
        <v>0</v>
      </c>
      <c r="I57" s="26">
        <f t="shared" si="8"/>
        <v>0</v>
      </c>
    </row>
    <row r="58" spans="1:9" ht="18.75" hidden="1" thickBot="1">
      <c r="A58" s="21">
        <f t="shared" si="2"/>
        <v>44</v>
      </c>
      <c r="B58" s="22">
        <v>0</v>
      </c>
      <c r="C58" s="23">
        <v>0</v>
      </c>
      <c r="D58" s="24">
        <f t="shared" si="0"/>
        <v>0</v>
      </c>
      <c r="E58" s="25" t="str">
        <f t="shared" si="1"/>
        <v>-</v>
      </c>
      <c r="F58" s="26">
        <f t="shared" si="3"/>
        <v>0</v>
      </c>
      <c r="G58" s="25" t="str">
        <f t="shared" si="6"/>
        <v>-</v>
      </c>
      <c r="H58" s="26">
        <f t="shared" si="4"/>
        <v>0</v>
      </c>
      <c r="I58" s="26">
        <f t="shared" si="8"/>
        <v>0</v>
      </c>
    </row>
    <row r="59" spans="1:9" ht="18.75" hidden="1" thickBot="1">
      <c r="A59" s="21">
        <f t="shared" si="2"/>
        <v>45</v>
      </c>
      <c r="B59" s="22">
        <v>0</v>
      </c>
      <c r="C59" s="23">
        <v>0</v>
      </c>
      <c r="D59" s="24">
        <f t="shared" si="0"/>
        <v>0</v>
      </c>
      <c r="E59" s="25" t="str">
        <f t="shared" si="1"/>
        <v>-</v>
      </c>
      <c r="F59" s="26">
        <f t="shared" si="3"/>
        <v>0</v>
      </c>
      <c r="G59" s="25" t="str">
        <f t="shared" si="6"/>
        <v>-</v>
      </c>
      <c r="H59" s="26">
        <f t="shared" si="4"/>
        <v>0</v>
      </c>
      <c r="I59" s="26">
        <f t="shared" si="8"/>
        <v>0</v>
      </c>
    </row>
    <row r="60" spans="1:9" ht="18.75" hidden="1" thickBot="1">
      <c r="A60" s="21">
        <f t="shared" si="2"/>
        <v>46</v>
      </c>
      <c r="B60" s="22">
        <v>0</v>
      </c>
      <c r="C60" s="23">
        <v>0</v>
      </c>
      <c r="D60" s="24">
        <f t="shared" si="0"/>
        <v>0</v>
      </c>
      <c r="E60" s="25" t="str">
        <f t="shared" si="1"/>
        <v>-</v>
      </c>
      <c r="F60" s="26">
        <f t="shared" si="3"/>
        <v>0</v>
      </c>
      <c r="G60" s="25" t="str">
        <f t="shared" si="6"/>
        <v>-</v>
      </c>
      <c r="H60" s="26">
        <f t="shared" si="4"/>
        <v>0</v>
      </c>
      <c r="I60" s="26">
        <f t="shared" si="8"/>
        <v>0</v>
      </c>
    </row>
    <row r="61" spans="1:9" ht="18.75" hidden="1" thickBot="1">
      <c r="A61" s="21">
        <f t="shared" si="2"/>
        <v>47</v>
      </c>
      <c r="B61" s="22">
        <v>0</v>
      </c>
      <c r="C61" s="23">
        <v>0</v>
      </c>
      <c r="D61" s="24">
        <f t="shared" si="0"/>
        <v>0</v>
      </c>
      <c r="E61" s="25" t="str">
        <f t="shared" si="1"/>
        <v>-</v>
      </c>
      <c r="F61" s="26">
        <f t="shared" si="3"/>
        <v>0</v>
      </c>
      <c r="G61" s="25" t="str">
        <f t="shared" si="6"/>
        <v>-</v>
      </c>
      <c r="H61" s="26">
        <f t="shared" si="4"/>
        <v>0</v>
      </c>
      <c r="I61" s="26">
        <f t="shared" si="8"/>
        <v>0</v>
      </c>
    </row>
    <row r="62" spans="1:9" ht="18.75" hidden="1" thickBot="1">
      <c r="A62" s="21">
        <f t="shared" si="2"/>
        <v>48</v>
      </c>
      <c r="B62" s="22">
        <v>0</v>
      </c>
      <c r="C62" s="23">
        <v>0</v>
      </c>
      <c r="D62" s="24">
        <f t="shared" si="0"/>
        <v>0</v>
      </c>
      <c r="E62" s="25" t="str">
        <f t="shared" si="1"/>
        <v>-</v>
      </c>
      <c r="F62" s="26">
        <f t="shared" si="3"/>
        <v>0</v>
      </c>
      <c r="G62" s="25" t="str">
        <f t="shared" si="6"/>
        <v>-</v>
      </c>
      <c r="H62" s="26">
        <f t="shared" si="4"/>
        <v>0</v>
      </c>
      <c r="I62" s="26">
        <f t="shared" si="8"/>
        <v>0</v>
      </c>
    </row>
    <row r="63" spans="1:9" ht="18.75" hidden="1" thickBot="1">
      <c r="A63" s="21">
        <f t="shared" si="2"/>
        <v>49</v>
      </c>
      <c r="B63" s="22">
        <v>0</v>
      </c>
      <c r="C63" s="23">
        <v>0</v>
      </c>
      <c r="D63" s="24">
        <f t="shared" si="0"/>
        <v>0</v>
      </c>
      <c r="E63" s="25" t="str">
        <f t="shared" si="1"/>
        <v>-</v>
      </c>
      <c r="F63" s="26">
        <f t="shared" si="3"/>
        <v>0</v>
      </c>
      <c r="G63" s="25" t="str">
        <f t="shared" si="6"/>
        <v>-</v>
      </c>
      <c r="H63" s="26">
        <f t="shared" si="4"/>
        <v>0</v>
      </c>
      <c r="I63" s="26">
        <f t="shared" si="8"/>
        <v>0</v>
      </c>
    </row>
    <row r="64" spans="1:9" ht="18.75" hidden="1" thickBot="1">
      <c r="A64" s="28">
        <f t="shared" si="2"/>
        <v>50</v>
      </c>
      <c r="B64" s="29">
        <v>0</v>
      </c>
      <c r="C64" s="30">
        <v>0</v>
      </c>
      <c r="D64" s="31">
        <f t="shared" si="0"/>
        <v>0</v>
      </c>
      <c r="E64" s="32" t="str">
        <f t="shared" si="1"/>
        <v>-</v>
      </c>
      <c r="F64" s="33">
        <f t="shared" si="3"/>
        <v>0</v>
      </c>
      <c r="G64" s="32" t="str">
        <f t="shared" si="6"/>
        <v>-</v>
      </c>
      <c r="H64" s="33">
        <f t="shared" si="4"/>
        <v>0</v>
      </c>
      <c r="I64" s="33">
        <f t="shared" si="8"/>
        <v>0</v>
      </c>
    </row>
    <row r="65" spans="1:9" ht="18.75" thickBot="1">
      <c r="A65" s="34" t="s">
        <v>19</v>
      </c>
      <c r="B65" s="35"/>
      <c r="C65" s="35"/>
      <c r="D65" s="35"/>
      <c r="E65" s="35"/>
      <c r="F65" s="36">
        <f>SUM(F14:F64)</f>
        <v>1.1844851542264223E-5</v>
      </c>
      <c r="G65" s="37"/>
      <c r="H65" s="38">
        <f>SUM(H14:H64)</f>
        <v>2.5029294192790985E-9</v>
      </c>
      <c r="I65" s="39"/>
    </row>
    <row r="66" spans="1:9" ht="18.75" thickBot="1">
      <c r="A66" s="40" t="s">
        <v>20</v>
      </c>
      <c r="B66" s="41"/>
      <c r="C66" s="41"/>
      <c r="D66" s="41"/>
      <c r="E66" s="41"/>
      <c r="F66" s="42">
        <f>I15</f>
        <v>2.9630278964702581E-6</v>
      </c>
      <c r="G66" s="43"/>
      <c r="H66" s="43"/>
      <c r="I66" s="39"/>
    </row>
    <row r="67" spans="1:9" ht="18.75" thickBot="1">
      <c r="A67" s="34" t="s">
        <v>21</v>
      </c>
      <c r="B67" s="35"/>
      <c r="C67" s="35"/>
      <c r="D67" s="35"/>
      <c r="E67" s="35"/>
      <c r="F67" s="44">
        <f>IRR(D14:D64)</f>
        <v>0.13000000000165479</v>
      </c>
      <c r="G67" s="45"/>
      <c r="H67" s="45"/>
      <c r="I67" s="39"/>
    </row>
    <row r="68" spans="1:9" ht="18.75" thickBot="1">
      <c r="A68" s="46" t="s">
        <v>22</v>
      </c>
      <c r="B68" s="47"/>
      <c r="C68" s="47"/>
      <c r="D68" s="47"/>
      <c r="E68" s="47"/>
      <c r="F68" s="48">
        <f>NPER(B12,F70,F14,0)</f>
        <v>5.999999999958062</v>
      </c>
      <c r="G68" s="49"/>
      <c r="H68" s="49"/>
      <c r="I68" s="39"/>
    </row>
    <row r="69" spans="1:9" hidden="1">
      <c r="A69" s="50" t="s">
        <v>23</v>
      </c>
      <c r="F69" s="51">
        <f>SUM(F15:F64)</f>
        <v>2500000.0000118446</v>
      </c>
      <c r="G69" s="51"/>
      <c r="H69" s="51"/>
    </row>
    <row r="70" spans="1:9" hidden="1">
      <c r="A70" s="50" t="s">
        <v>24</v>
      </c>
      <c r="F70" s="52">
        <f>PMT(B12,B11,F69,0)*-1</f>
        <v>625383.08013227605</v>
      </c>
      <c r="G70" s="52"/>
      <c r="H70" s="52"/>
    </row>
    <row r="72" spans="1:9" ht="18">
      <c r="A72" s="39" t="s">
        <v>25</v>
      </c>
    </row>
    <row r="73" spans="1:9" ht="78.599999999999994" customHeight="1">
      <c r="A73" s="322" t="s">
        <v>26</v>
      </c>
      <c r="B73" s="322"/>
      <c r="C73" s="322"/>
      <c r="D73" s="322"/>
      <c r="E73" s="322"/>
      <c r="F73" s="322"/>
    </row>
    <row r="74" spans="1:9">
      <c r="A74" s="53"/>
      <c r="B74" s="53"/>
    </row>
    <row r="75" spans="1:9">
      <c r="A75" s="53"/>
      <c r="B75" s="53"/>
    </row>
  </sheetData>
  <mergeCells count="2">
    <mergeCell ref="A1:C1"/>
    <mergeCell ref="A73:F73"/>
  </mergeCells>
  <pageMargins left="0.78740157480314965" right="0.39370078740157483" top="0.98425196850393704" bottom="0.98425196850393704" header="0" footer="0"/>
  <pageSetup paperSize="9" scale="8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75"/>
  <sheetViews>
    <sheetView zoomScale="90" zoomScaleNormal="90" workbookViewId="0">
      <selection activeCell="A10" sqref="A10"/>
    </sheetView>
  </sheetViews>
  <sheetFormatPr defaultRowHeight="12.75"/>
  <cols>
    <col min="1" max="1" width="12.7109375" customWidth="1"/>
    <col min="2" max="2" width="22.85546875" customWidth="1"/>
    <col min="3" max="3" width="20.7109375" customWidth="1"/>
    <col min="4" max="4" width="28.28515625" customWidth="1"/>
    <col min="5" max="5" width="27.7109375" customWidth="1"/>
    <col min="6" max="6" width="28.28515625" customWidth="1"/>
    <col min="7" max="7" width="24.7109375" hidden="1" customWidth="1"/>
    <col min="8" max="8" width="24.85546875" hidden="1" customWidth="1"/>
    <col min="9" max="9" width="24.140625" hidden="1" customWidth="1"/>
  </cols>
  <sheetData>
    <row r="1" spans="1:9" ht="18">
      <c r="A1" s="320" t="s">
        <v>29</v>
      </c>
      <c r="B1" s="321"/>
      <c r="C1" s="321"/>
    </row>
    <row r="2" spans="1:9" ht="23.25">
      <c r="A2" s="1" t="s">
        <v>0</v>
      </c>
      <c r="B2" s="2"/>
      <c r="C2" s="3">
        <v>4800</v>
      </c>
      <c r="D2" s="4">
        <v>380</v>
      </c>
      <c r="E2" s="4">
        <f>C2*D2</f>
        <v>1824000</v>
      </c>
    </row>
    <row r="3" spans="1:9" ht="23.25">
      <c r="A3" s="5" t="s">
        <v>1</v>
      </c>
      <c r="B3" s="2"/>
      <c r="C3" s="3">
        <f>C2</f>
        <v>4800</v>
      </c>
      <c r="D3" s="4">
        <f>(180*0.95)+20</f>
        <v>191</v>
      </c>
      <c r="E3" s="4">
        <f>C3*D3</f>
        <v>916800</v>
      </c>
    </row>
    <row r="4" spans="1:9" ht="23.25">
      <c r="A4" s="5" t="s">
        <v>2</v>
      </c>
      <c r="B4" s="2"/>
      <c r="C4" s="3"/>
      <c r="D4" s="4">
        <f>D2-D3</f>
        <v>189</v>
      </c>
      <c r="E4" s="4">
        <f>E2-E3</f>
        <v>907200</v>
      </c>
    </row>
    <row r="5" spans="1:9" ht="23.25">
      <c r="A5" s="5" t="s">
        <v>3</v>
      </c>
      <c r="B5" s="2"/>
      <c r="C5" s="3"/>
      <c r="D5" s="4"/>
      <c r="E5" s="4">
        <v>150000</v>
      </c>
    </row>
    <row r="6" spans="1:9" ht="23.25">
      <c r="A6" s="1" t="s">
        <v>4</v>
      </c>
      <c r="B6" s="2"/>
      <c r="C6" s="2"/>
      <c r="E6" s="4">
        <f>E4-E5</f>
        <v>757200</v>
      </c>
    </row>
    <row r="7" spans="1:9" ht="23.25">
      <c r="A7" s="5" t="s">
        <v>5</v>
      </c>
      <c r="B7" s="2"/>
      <c r="C7" s="3">
        <v>4800</v>
      </c>
      <c r="D7" s="4">
        <v>25</v>
      </c>
      <c r="E7" s="4">
        <f>C7*D7</f>
        <v>120000</v>
      </c>
    </row>
    <row r="8" spans="1:9" ht="23.25">
      <c r="A8" s="1" t="s">
        <v>6</v>
      </c>
      <c r="B8" s="2"/>
      <c r="C8" s="3"/>
      <c r="D8" s="4"/>
      <c r="E8" s="4">
        <f>E6-E7</f>
        <v>637200</v>
      </c>
    </row>
    <row r="9" spans="1:9" ht="23.25">
      <c r="A9" s="1" t="s">
        <v>7</v>
      </c>
      <c r="B9" s="2"/>
      <c r="C9" s="3"/>
      <c r="D9" s="4"/>
      <c r="E9" s="4">
        <v>176000</v>
      </c>
    </row>
    <row r="10" spans="1:9" ht="23.25">
      <c r="A10" s="6" t="s">
        <v>8</v>
      </c>
      <c r="E10" s="7">
        <f>E8+E9</f>
        <v>813200</v>
      </c>
    </row>
    <row r="11" spans="1:9" ht="15.75">
      <c r="A11" s="8" t="s">
        <v>9</v>
      </c>
      <c r="B11" s="9">
        <v>6</v>
      </c>
    </row>
    <row r="12" spans="1:9" ht="16.5" thickBot="1">
      <c r="A12" s="8" t="s">
        <v>10</v>
      </c>
      <c r="B12" s="10">
        <v>0.13</v>
      </c>
    </row>
    <row r="13" spans="1:9" ht="64.5" customHeight="1" thickBot="1">
      <c r="A13" s="11" t="s">
        <v>11</v>
      </c>
      <c r="B13" s="12" t="s">
        <v>12</v>
      </c>
      <c r="C13" s="13" t="s">
        <v>13</v>
      </c>
      <c r="D13" s="11" t="s">
        <v>14</v>
      </c>
      <c r="E13" s="14" t="s">
        <v>15</v>
      </c>
      <c r="F13" s="11" t="s">
        <v>16</v>
      </c>
      <c r="G13" s="11" t="s">
        <v>17</v>
      </c>
      <c r="H13" s="14" t="str">
        <f>CONCATENATE("Nutidsværdien ved den interne rente (IRR) ",(ROUND(F67,4)*100)," %")</f>
        <v>Nutidsværdien ved den interne rente (IRR) 8,71 %</v>
      </c>
      <c r="I13" s="14" t="s">
        <v>18</v>
      </c>
    </row>
    <row r="14" spans="1:9" ht="18">
      <c r="A14" s="15">
        <v>0</v>
      </c>
      <c r="B14" s="16">
        <v>0</v>
      </c>
      <c r="C14" s="17">
        <v>2660000</v>
      </c>
      <c r="D14" s="18">
        <f t="shared" ref="D14:D64" si="0">B14-C14</f>
        <v>-2660000</v>
      </c>
      <c r="E14" s="19">
        <f t="shared" ref="E14:E64" si="1">IF(A14&lt;=$B$11,POWER((1+$B$12),(A14*-1)),"-")</f>
        <v>1</v>
      </c>
      <c r="F14" s="20">
        <f>D14</f>
        <v>-2660000</v>
      </c>
      <c r="G14" s="19">
        <f>IF(A14&lt;=$B$11,POWER((1+$F$67),(A14*-1)),"-")</f>
        <v>1</v>
      </c>
      <c r="H14" s="20">
        <f>F14</f>
        <v>-2660000</v>
      </c>
      <c r="I14" s="15"/>
    </row>
    <row r="15" spans="1:9" ht="18">
      <c r="A15" s="21">
        <f t="shared" ref="A15:A64" si="2">A14+1</f>
        <v>1</v>
      </c>
      <c r="B15" s="22">
        <f>$E$8</f>
        <v>637200</v>
      </c>
      <c r="C15" s="23">
        <v>73000</v>
      </c>
      <c r="D15" s="24">
        <f t="shared" si="0"/>
        <v>564200</v>
      </c>
      <c r="E15" s="25">
        <f t="shared" si="1"/>
        <v>0.88495575221238942</v>
      </c>
      <c r="F15" s="26">
        <f t="shared" ref="F15:F64" si="3">PV($B$12,A15,0,D15)*-1</f>
        <v>499292.03539823013</v>
      </c>
      <c r="G15" s="25">
        <f>IF(A15&lt;=$B$11,POWER((1+$F$67),(A15*-1)),"-")</f>
        <v>0.9199173085220137</v>
      </c>
      <c r="H15" s="26">
        <f t="shared" ref="H15:H64" si="4">PV($F$67,A15,0,D15)*-1</f>
        <v>519017.34546812013</v>
      </c>
      <c r="I15" s="26">
        <f>PMT($B$12,$B$11,$F$65)*-1</f>
        <v>-80060.628416485255</v>
      </c>
    </row>
    <row r="16" spans="1:9" ht="18">
      <c r="A16" s="21">
        <f t="shared" si="2"/>
        <v>2</v>
      </c>
      <c r="B16" s="22">
        <f t="shared" ref="B16:B19" si="5">$E$8</f>
        <v>637200</v>
      </c>
      <c r="C16" s="23">
        <v>73000</v>
      </c>
      <c r="D16" s="24">
        <f t="shared" si="0"/>
        <v>564200</v>
      </c>
      <c r="E16" s="25">
        <f t="shared" si="1"/>
        <v>0.78314668337379612</v>
      </c>
      <c r="F16" s="26">
        <f t="shared" si="3"/>
        <v>441851.35875949578</v>
      </c>
      <c r="G16" s="25">
        <f t="shared" ref="G16:G64" si="6">IF(A16&lt;=$B$11,POWER((1+$F$67),(A16*-1)),"-")</f>
        <v>0.84624785451838558</v>
      </c>
      <c r="H16" s="26">
        <f t="shared" si="4"/>
        <v>477453.03951927315</v>
      </c>
      <c r="I16" s="26">
        <f t="shared" ref="I16:I21" si="7">IF(A16&lt;=$B$11,$I$15,0)</f>
        <v>-80060.628416485255</v>
      </c>
    </row>
    <row r="17" spans="1:11" ht="18">
      <c r="A17" s="21">
        <f t="shared" si="2"/>
        <v>3</v>
      </c>
      <c r="B17" s="22">
        <f t="shared" si="5"/>
        <v>637200</v>
      </c>
      <c r="C17" s="23">
        <v>73000</v>
      </c>
      <c r="D17" s="24">
        <f t="shared" si="0"/>
        <v>564200</v>
      </c>
      <c r="E17" s="25">
        <f t="shared" si="1"/>
        <v>0.69305016227769578</v>
      </c>
      <c r="F17" s="26">
        <f t="shared" si="3"/>
        <v>391018.90155707597</v>
      </c>
      <c r="G17" s="25">
        <f t="shared" si="6"/>
        <v>0.77847804867108183</v>
      </c>
      <c r="H17" s="26">
        <f t="shared" si="4"/>
        <v>439217.31506022438</v>
      </c>
      <c r="I17" s="26">
        <f t="shared" si="7"/>
        <v>-80060.628416485255</v>
      </c>
    </row>
    <row r="18" spans="1:11" ht="18">
      <c r="A18" s="21">
        <f t="shared" si="2"/>
        <v>4</v>
      </c>
      <c r="B18" s="22">
        <f t="shared" si="5"/>
        <v>637200</v>
      </c>
      <c r="C18" s="23">
        <v>73000</v>
      </c>
      <c r="D18" s="24">
        <f t="shared" si="0"/>
        <v>564200</v>
      </c>
      <c r="E18" s="25">
        <f t="shared" si="1"/>
        <v>0.61331872767937679</v>
      </c>
      <c r="F18" s="26">
        <f t="shared" si="3"/>
        <v>346034.42615670443</v>
      </c>
      <c r="G18" s="25">
        <f t="shared" si="6"/>
        <v>0.71613543127697077</v>
      </c>
      <c r="H18" s="26">
        <f t="shared" si="4"/>
        <v>404043.61032646691</v>
      </c>
      <c r="I18" s="26">
        <f t="shared" si="7"/>
        <v>-80060.628416485255</v>
      </c>
    </row>
    <row r="19" spans="1:11" ht="18">
      <c r="A19" s="21">
        <f t="shared" si="2"/>
        <v>5</v>
      </c>
      <c r="B19" s="22">
        <f t="shared" si="5"/>
        <v>637200</v>
      </c>
      <c r="C19" s="23">
        <v>73000</v>
      </c>
      <c r="D19" s="24">
        <f>(B19-C19)</f>
        <v>564200</v>
      </c>
      <c r="E19" s="25">
        <f t="shared" si="1"/>
        <v>0.54275993599944861</v>
      </c>
      <c r="F19" s="26">
        <f t="shared" si="3"/>
        <v>306225.15589088888</v>
      </c>
      <c r="G19" s="25">
        <f t="shared" si="6"/>
        <v>0.65878537847756247</v>
      </c>
      <c r="H19" s="26">
        <f t="shared" si="4"/>
        <v>371686.71053704072</v>
      </c>
      <c r="I19" s="26">
        <f t="shared" si="7"/>
        <v>-80060.628416485255</v>
      </c>
    </row>
    <row r="20" spans="1:11" ht="18.75" thickBot="1">
      <c r="A20" s="21">
        <f t="shared" si="2"/>
        <v>6</v>
      </c>
      <c r="B20" s="22">
        <f>E10</f>
        <v>813200</v>
      </c>
      <c r="C20" s="23">
        <v>73000</v>
      </c>
      <c r="D20" s="24">
        <f t="shared" si="0"/>
        <v>740200</v>
      </c>
      <c r="E20" s="25">
        <f t="shared" si="1"/>
        <v>0.48031852743314046</v>
      </c>
      <c r="F20" s="26">
        <f t="shared" si="3"/>
        <v>355531.77400601056</v>
      </c>
      <c r="G20" s="25">
        <f t="shared" si="6"/>
        <v>0.60602807226273536</v>
      </c>
      <c r="H20" s="26">
        <f t="shared" si="4"/>
        <v>448581.97908887669</v>
      </c>
      <c r="I20" s="26">
        <f t="shared" si="7"/>
        <v>-80060.628416485255</v>
      </c>
    </row>
    <row r="21" spans="1:11" ht="18.75" hidden="1" thickBot="1">
      <c r="A21" s="21">
        <f t="shared" si="2"/>
        <v>7</v>
      </c>
      <c r="B21" s="22">
        <v>0</v>
      </c>
      <c r="C21" s="23">
        <v>0</v>
      </c>
      <c r="D21" s="24">
        <f t="shared" si="0"/>
        <v>0</v>
      </c>
      <c r="E21" s="25" t="str">
        <f t="shared" si="1"/>
        <v>-</v>
      </c>
      <c r="F21" s="26">
        <f t="shared" si="3"/>
        <v>0</v>
      </c>
      <c r="G21" s="25" t="str">
        <f t="shared" si="6"/>
        <v>-</v>
      </c>
      <c r="H21" s="26">
        <f t="shared" si="4"/>
        <v>0</v>
      </c>
      <c r="I21" s="26">
        <f t="shared" si="7"/>
        <v>0</v>
      </c>
    </row>
    <row r="22" spans="1:11" ht="18.75" hidden="1" thickBot="1">
      <c r="A22" s="21">
        <f t="shared" si="2"/>
        <v>8</v>
      </c>
      <c r="B22" s="22">
        <v>0</v>
      </c>
      <c r="C22" s="23">
        <v>0</v>
      </c>
      <c r="D22" s="24">
        <f t="shared" si="0"/>
        <v>0</v>
      </c>
      <c r="E22" s="25" t="str">
        <f t="shared" si="1"/>
        <v>-</v>
      </c>
      <c r="F22" s="26">
        <f t="shared" si="3"/>
        <v>0</v>
      </c>
      <c r="G22" s="25" t="str">
        <f t="shared" si="6"/>
        <v>-</v>
      </c>
      <c r="H22" s="26">
        <f t="shared" si="4"/>
        <v>0</v>
      </c>
      <c r="I22" s="26">
        <f t="shared" ref="I22:I64" si="8">IF(A21&lt;=$B$11,$I$15,0)</f>
        <v>0</v>
      </c>
      <c r="K22" s="27"/>
    </row>
    <row r="23" spans="1:11" ht="18.75" hidden="1" thickBot="1">
      <c r="A23" s="21">
        <f t="shared" si="2"/>
        <v>9</v>
      </c>
      <c r="B23" s="22">
        <v>0</v>
      </c>
      <c r="C23" s="23">
        <v>0</v>
      </c>
      <c r="D23" s="24">
        <f t="shared" si="0"/>
        <v>0</v>
      </c>
      <c r="E23" s="25" t="str">
        <f t="shared" si="1"/>
        <v>-</v>
      </c>
      <c r="F23" s="26">
        <f t="shared" si="3"/>
        <v>0</v>
      </c>
      <c r="G23" s="25" t="str">
        <f t="shared" si="6"/>
        <v>-</v>
      </c>
      <c r="H23" s="26">
        <f t="shared" si="4"/>
        <v>0</v>
      </c>
      <c r="I23" s="26">
        <f t="shared" si="8"/>
        <v>0</v>
      </c>
    </row>
    <row r="24" spans="1:11" ht="18.75" hidden="1" thickBot="1">
      <c r="A24" s="21">
        <f t="shared" si="2"/>
        <v>10</v>
      </c>
      <c r="B24" s="22">
        <v>0</v>
      </c>
      <c r="C24" s="23">
        <v>0</v>
      </c>
      <c r="D24" s="24">
        <f t="shared" si="0"/>
        <v>0</v>
      </c>
      <c r="E24" s="25" t="str">
        <f t="shared" si="1"/>
        <v>-</v>
      </c>
      <c r="F24" s="26">
        <f t="shared" si="3"/>
        <v>0</v>
      </c>
      <c r="G24" s="25" t="str">
        <f t="shared" si="6"/>
        <v>-</v>
      </c>
      <c r="H24" s="26">
        <f t="shared" si="4"/>
        <v>0</v>
      </c>
      <c r="I24" s="26">
        <f t="shared" si="8"/>
        <v>0</v>
      </c>
    </row>
    <row r="25" spans="1:11" ht="18.75" hidden="1" thickBot="1">
      <c r="A25" s="21">
        <f t="shared" si="2"/>
        <v>11</v>
      </c>
      <c r="B25" s="22">
        <v>0</v>
      </c>
      <c r="C25" s="23">
        <v>0</v>
      </c>
      <c r="D25" s="24">
        <f t="shared" si="0"/>
        <v>0</v>
      </c>
      <c r="E25" s="25" t="str">
        <f t="shared" si="1"/>
        <v>-</v>
      </c>
      <c r="F25" s="26">
        <f t="shared" si="3"/>
        <v>0</v>
      </c>
      <c r="G25" s="25" t="str">
        <f t="shared" si="6"/>
        <v>-</v>
      </c>
      <c r="H25" s="26">
        <f t="shared" si="4"/>
        <v>0</v>
      </c>
      <c r="I25" s="26">
        <f t="shared" si="8"/>
        <v>0</v>
      </c>
    </row>
    <row r="26" spans="1:11" ht="18.75" hidden="1" thickBot="1">
      <c r="A26" s="21">
        <f t="shared" si="2"/>
        <v>12</v>
      </c>
      <c r="B26" s="22">
        <v>0</v>
      </c>
      <c r="C26" s="23">
        <v>0</v>
      </c>
      <c r="D26" s="24">
        <f t="shared" si="0"/>
        <v>0</v>
      </c>
      <c r="E26" s="25" t="str">
        <f t="shared" si="1"/>
        <v>-</v>
      </c>
      <c r="F26" s="26">
        <f t="shared" si="3"/>
        <v>0</v>
      </c>
      <c r="G26" s="25" t="str">
        <f t="shared" si="6"/>
        <v>-</v>
      </c>
      <c r="H26" s="26">
        <f t="shared" si="4"/>
        <v>0</v>
      </c>
      <c r="I26" s="26">
        <f t="shared" si="8"/>
        <v>0</v>
      </c>
    </row>
    <row r="27" spans="1:11" ht="18.75" hidden="1" thickBot="1">
      <c r="A27" s="21">
        <f t="shared" si="2"/>
        <v>13</v>
      </c>
      <c r="B27" s="22">
        <v>0</v>
      </c>
      <c r="C27" s="23">
        <v>0</v>
      </c>
      <c r="D27" s="24">
        <f t="shared" si="0"/>
        <v>0</v>
      </c>
      <c r="E27" s="25" t="str">
        <f t="shared" si="1"/>
        <v>-</v>
      </c>
      <c r="F27" s="26">
        <f t="shared" si="3"/>
        <v>0</v>
      </c>
      <c r="G27" s="25" t="str">
        <f t="shared" si="6"/>
        <v>-</v>
      </c>
      <c r="H27" s="26">
        <f t="shared" si="4"/>
        <v>0</v>
      </c>
      <c r="I27" s="26">
        <f t="shared" si="8"/>
        <v>0</v>
      </c>
      <c r="K27" s="27"/>
    </row>
    <row r="28" spans="1:11" ht="18.75" hidden="1" thickBot="1">
      <c r="A28" s="21">
        <f t="shared" si="2"/>
        <v>14</v>
      </c>
      <c r="B28" s="22">
        <v>0</v>
      </c>
      <c r="C28" s="23">
        <v>0</v>
      </c>
      <c r="D28" s="24">
        <f t="shared" si="0"/>
        <v>0</v>
      </c>
      <c r="E28" s="25" t="str">
        <f t="shared" si="1"/>
        <v>-</v>
      </c>
      <c r="F28" s="26">
        <f t="shared" si="3"/>
        <v>0</v>
      </c>
      <c r="G28" s="25" t="str">
        <f t="shared" si="6"/>
        <v>-</v>
      </c>
      <c r="H28" s="26">
        <f t="shared" si="4"/>
        <v>0</v>
      </c>
      <c r="I28" s="26">
        <f t="shared" si="8"/>
        <v>0</v>
      </c>
    </row>
    <row r="29" spans="1:11" ht="18.75" hidden="1" thickBot="1">
      <c r="A29" s="28">
        <f t="shared" si="2"/>
        <v>15</v>
      </c>
      <c r="B29" s="29">
        <v>0</v>
      </c>
      <c r="C29" s="30">
        <v>0</v>
      </c>
      <c r="D29" s="31">
        <f t="shared" si="0"/>
        <v>0</v>
      </c>
      <c r="E29" s="32" t="str">
        <f t="shared" si="1"/>
        <v>-</v>
      </c>
      <c r="F29" s="33">
        <f t="shared" si="3"/>
        <v>0</v>
      </c>
      <c r="G29" s="32" t="str">
        <f t="shared" si="6"/>
        <v>-</v>
      </c>
      <c r="H29" s="33">
        <f t="shared" si="4"/>
        <v>0</v>
      </c>
      <c r="I29" s="33">
        <f t="shared" si="8"/>
        <v>0</v>
      </c>
    </row>
    <row r="30" spans="1:11" ht="18.75" hidden="1" thickBot="1">
      <c r="A30" s="21">
        <f t="shared" si="2"/>
        <v>16</v>
      </c>
      <c r="B30" s="22">
        <v>0</v>
      </c>
      <c r="C30" s="23">
        <v>0</v>
      </c>
      <c r="D30" s="24">
        <f t="shared" si="0"/>
        <v>0</v>
      </c>
      <c r="E30" s="25" t="str">
        <f t="shared" si="1"/>
        <v>-</v>
      </c>
      <c r="F30" s="26">
        <f t="shared" si="3"/>
        <v>0</v>
      </c>
      <c r="G30" s="25" t="str">
        <f t="shared" si="6"/>
        <v>-</v>
      </c>
      <c r="H30" s="26">
        <f t="shared" si="4"/>
        <v>0</v>
      </c>
      <c r="I30" s="26">
        <f t="shared" si="8"/>
        <v>0</v>
      </c>
    </row>
    <row r="31" spans="1:11" ht="18.75" hidden="1" thickBot="1">
      <c r="A31" s="21">
        <f t="shared" si="2"/>
        <v>17</v>
      </c>
      <c r="B31" s="22">
        <v>0</v>
      </c>
      <c r="C31" s="23">
        <v>0</v>
      </c>
      <c r="D31" s="24">
        <f t="shared" si="0"/>
        <v>0</v>
      </c>
      <c r="E31" s="25" t="str">
        <f t="shared" si="1"/>
        <v>-</v>
      </c>
      <c r="F31" s="26">
        <f t="shared" si="3"/>
        <v>0</v>
      </c>
      <c r="G31" s="25" t="str">
        <f t="shared" si="6"/>
        <v>-</v>
      </c>
      <c r="H31" s="26">
        <f t="shared" si="4"/>
        <v>0</v>
      </c>
      <c r="I31" s="26">
        <f t="shared" si="8"/>
        <v>0</v>
      </c>
    </row>
    <row r="32" spans="1:11" ht="18.75" hidden="1" thickBot="1">
      <c r="A32" s="21">
        <f t="shared" si="2"/>
        <v>18</v>
      </c>
      <c r="B32" s="22">
        <v>0</v>
      </c>
      <c r="C32" s="23">
        <v>0</v>
      </c>
      <c r="D32" s="24">
        <f t="shared" si="0"/>
        <v>0</v>
      </c>
      <c r="E32" s="25" t="str">
        <f t="shared" si="1"/>
        <v>-</v>
      </c>
      <c r="F32" s="26">
        <f t="shared" si="3"/>
        <v>0</v>
      </c>
      <c r="G32" s="25" t="str">
        <f t="shared" si="6"/>
        <v>-</v>
      </c>
      <c r="H32" s="26">
        <f t="shared" si="4"/>
        <v>0</v>
      </c>
      <c r="I32" s="26">
        <f t="shared" si="8"/>
        <v>0</v>
      </c>
    </row>
    <row r="33" spans="1:9" ht="18.75" hidden="1" thickBot="1">
      <c r="A33" s="21">
        <f t="shared" si="2"/>
        <v>19</v>
      </c>
      <c r="B33" s="22">
        <v>0</v>
      </c>
      <c r="C33" s="23">
        <v>0</v>
      </c>
      <c r="D33" s="24">
        <f t="shared" si="0"/>
        <v>0</v>
      </c>
      <c r="E33" s="25" t="str">
        <f t="shared" si="1"/>
        <v>-</v>
      </c>
      <c r="F33" s="26">
        <f t="shared" si="3"/>
        <v>0</v>
      </c>
      <c r="G33" s="25" t="str">
        <f t="shared" si="6"/>
        <v>-</v>
      </c>
      <c r="H33" s="26">
        <f t="shared" si="4"/>
        <v>0</v>
      </c>
      <c r="I33" s="26">
        <f t="shared" si="8"/>
        <v>0</v>
      </c>
    </row>
    <row r="34" spans="1:9" ht="18.75" hidden="1" thickBot="1">
      <c r="A34" s="21">
        <f t="shared" si="2"/>
        <v>20</v>
      </c>
      <c r="B34" s="22">
        <v>0</v>
      </c>
      <c r="C34" s="23">
        <v>0</v>
      </c>
      <c r="D34" s="24">
        <f t="shared" si="0"/>
        <v>0</v>
      </c>
      <c r="E34" s="25" t="str">
        <f t="shared" si="1"/>
        <v>-</v>
      </c>
      <c r="F34" s="26">
        <f t="shared" si="3"/>
        <v>0</v>
      </c>
      <c r="G34" s="25" t="str">
        <f t="shared" si="6"/>
        <v>-</v>
      </c>
      <c r="H34" s="26">
        <f t="shared" si="4"/>
        <v>0</v>
      </c>
      <c r="I34" s="26">
        <f t="shared" si="8"/>
        <v>0</v>
      </c>
    </row>
    <row r="35" spans="1:9" ht="18.75" hidden="1" thickBot="1">
      <c r="A35" s="21">
        <f t="shared" si="2"/>
        <v>21</v>
      </c>
      <c r="B35" s="22">
        <v>0</v>
      </c>
      <c r="C35" s="23">
        <v>0</v>
      </c>
      <c r="D35" s="24">
        <f t="shared" si="0"/>
        <v>0</v>
      </c>
      <c r="E35" s="25" t="str">
        <f t="shared" si="1"/>
        <v>-</v>
      </c>
      <c r="F35" s="26">
        <f t="shared" si="3"/>
        <v>0</v>
      </c>
      <c r="G35" s="25" t="str">
        <f t="shared" si="6"/>
        <v>-</v>
      </c>
      <c r="H35" s="26">
        <f t="shared" si="4"/>
        <v>0</v>
      </c>
      <c r="I35" s="26">
        <f t="shared" si="8"/>
        <v>0</v>
      </c>
    </row>
    <row r="36" spans="1:9" ht="18.75" hidden="1" thickBot="1">
      <c r="A36" s="21">
        <f t="shared" si="2"/>
        <v>22</v>
      </c>
      <c r="B36" s="22">
        <v>0</v>
      </c>
      <c r="C36" s="23">
        <v>0</v>
      </c>
      <c r="D36" s="24">
        <f t="shared" si="0"/>
        <v>0</v>
      </c>
      <c r="E36" s="25" t="str">
        <f t="shared" si="1"/>
        <v>-</v>
      </c>
      <c r="F36" s="26">
        <f t="shared" si="3"/>
        <v>0</v>
      </c>
      <c r="G36" s="25" t="str">
        <f t="shared" si="6"/>
        <v>-</v>
      </c>
      <c r="H36" s="26">
        <f t="shared" si="4"/>
        <v>0</v>
      </c>
      <c r="I36" s="26">
        <f t="shared" si="8"/>
        <v>0</v>
      </c>
    </row>
    <row r="37" spans="1:9" ht="18.75" hidden="1" thickBot="1">
      <c r="A37" s="21">
        <f t="shared" si="2"/>
        <v>23</v>
      </c>
      <c r="B37" s="22">
        <v>0</v>
      </c>
      <c r="C37" s="23">
        <v>0</v>
      </c>
      <c r="D37" s="24">
        <f t="shared" si="0"/>
        <v>0</v>
      </c>
      <c r="E37" s="25" t="str">
        <f t="shared" si="1"/>
        <v>-</v>
      </c>
      <c r="F37" s="26">
        <f t="shared" si="3"/>
        <v>0</v>
      </c>
      <c r="G37" s="25" t="str">
        <f t="shared" si="6"/>
        <v>-</v>
      </c>
      <c r="H37" s="26">
        <f t="shared" si="4"/>
        <v>0</v>
      </c>
      <c r="I37" s="26">
        <f t="shared" si="8"/>
        <v>0</v>
      </c>
    </row>
    <row r="38" spans="1:9" ht="18.75" hidden="1" thickBot="1">
      <c r="A38" s="21">
        <f t="shared" si="2"/>
        <v>24</v>
      </c>
      <c r="B38" s="22">
        <v>0</v>
      </c>
      <c r="C38" s="23">
        <v>0</v>
      </c>
      <c r="D38" s="24">
        <f t="shared" si="0"/>
        <v>0</v>
      </c>
      <c r="E38" s="25" t="str">
        <f t="shared" si="1"/>
        <v>-</v>
      </c>
      <c r="F38" s="26">
        <f t="shared" si="3"/>
        <v>0</v>
      </c>
      <c r="G38" s="25" t="str">
        <f t="shared" si="6"/>
        <v>-</v>
      </c>
      <c r="H38" s="26">
        <f t="shared" si="4"/>
        <v>0</v>
      </c>
      <c r="I38" s="26">
        <f t="shared" si="8"/>
        <v>0</v>
      </c>
    </row>
    <row r="39" spans="1:9" ht="18.75" hidden="1" thickBot="1">
      <c r="A39" s="21">
        <f t="shared" si="2"/>
        <v>25</v>
      </c>
      <c r="B39" s="22">
        <v>0</v>
      </c>
      <c r="C39" s="23">
        <v>0</v>
      </c>
      <c r="D39" s="24">
        <f t="shared" si="0"/>
        <v>0</v>
      </c>
      <c r="E39" s="25" t="str">
        <f t="shared" si="1"/>
        <v>-</v>
      </c>
      <c r="F39" s="26">
        <f t="shared" si="3"/>
        <v>0</v>
      </c>
      <c r="G39" s="25" t="str">
        <f t="shared" si="6"/>
        <v>-</v>
      </c>
      <c r="H39" s="26">
        <f t="shared" si="4"/>
        <v>0</v>
      </c>
      <c r="I39" s="26">
        <f t="shared" si="8"/>
        <v>0</v>
      </c>
    </row>
    <row r="40" spans="1:9" ht="18.75" hidden="1" thickBot="1">
      <c r="A40" s="21">
        <f t="shared" si="2"/>
        <v>26</v>
      </c>
      <c r="B40" s="22">
        <v>0</v>
      </c>
      <c r="C40" s="23">
        <v>0</v>
      </c>
      <c r="D40" s="24">
        <f t="shared" si="0"/>
        <v>0</v>
      </c>
      <c r="E40" s="25" t="str">
        <f t="shared" si="1"/>
        <v>-</v>
      </c>
      <c r="F40" s="26">
        <f t="shared" si="3"/>
        <v>0</v>
      </c>
      <c r="G40" s="25" t="str">
        <f t="shared" si="6"/>
        <v>-</v>
      </c>
      <c r="H40" s="26">
        <f t="shared" si="4"/>
        <v>0</v>
      </c>
      <c r="I40" s="26">
        <f t="shared" si="8"/>
        <v>0</v>
      </c>
    </row>
    <row r="41" spans="1:9" ht="18.75" hidden="1" thickBot="1">
      <c r="A41" s="21">
        <f t="shared" si="2"/>
        <v>27</v>
      </c>
      <c r="B41" s="22">
        <v>0</v>
      </c>
      <c r="C41" s="23">
        <v>0</v>
      </c>
      <c r="D41" s="24">
        <f t="shared" si="0"/>
        <v>0</v>
      </c>
      <c r="E41" s="25" t="str">
        <f t="shared" si="1"/>
        <v>-</v>
      </c>
      <c r="F41" s="26">
        <f t="shared" si="3"/>
        <v>0</v>
      </c>
      <c r="G41" s="25" t="str">
        <f t="shared" si="6"/>
        <v>-</v>
      </c>
      <c r="H41" s="26">
        <f t="shared" si="4"/>
        <v>0</v>
      </c>
      <c r="I41" s="26">
        <f t="shared" si="8"/>
        <v>0</v>
      </c>
    </row>
    <row r="42" spans="1:9" ht="18.75" hidden="1" thickBot="1">
      <c r="A42" s="21">
        <f t="shared" si="2"/>
        <v>28</v>
      </c>
      <c r="B42" s="22">
        <v>0</v>
      </c>
      <c r="C42" s="23">
        <v>0</v>
      </c>
      <c r="D42" s="24">
        <f t="shared" si="0"/>
        <v>0</v>
      </c>
      <c r="E42" s="25" t="str">
        <f t="shared" si="1"/>
        <v>-</v>
      </c>
      <c r="F42" s="26">
        <f t="shared" si="3"/>
        <v>0</v>
      </c>
      <c r="G42" s="25" t="str">
        <f t="shared" si="6"/>
        <v>-</v>
      </c>
      <c r="H42" s="26">
        <f t="shared" si="4"/>
        <v>0</v>
      </c>
      <c r="I42" s="26">
        <f t="shared" si="8"/>
        <v>0</v>
      </c>
    </row>
    <row r="43" spans="1:9" ht="18.75" hidden="1" thickBot="1">
      <c r="A43" s="21">
        <f t="shared" si="2"/>
        <v>29</v>
      </c>
      <c r="B43" s="22">
        <v>0</v>
      </c>
      <c r="C43" s="23">
        <v>0</v>
      </c>
      <c r="D43" s="24">
        <f t="shared" si="0"/>
        <v>0</v>
      </c>
      <c r="E43" s="25" t="str">
        <f t="shared" si="1"/>
        <v>-</v>
      </c>
      <c r="F43" s="26">
        <f t="shared" si="3"/>
        <v>0</v>
      </c>
      <c r="G43" s="25" t="str">
        <f t="shared" si="6"/>
        <v>-</v>
      </c>
      <c r="H43" s="26">
        <f t="shared" si="4"/>
        <v>0</v>
      </c>
      <c r="I43" s="26">
        <f t="shared" si="8"/>
        <v>0</v>
      </c>
    </row>
    <row r="44" spans="1:9" ht="18.75" hidden="1" thickBot="1">
      <c r="A44" s="21">
        <f t="shared" si="2"/>
        <v>30</v>
      </c>
      <c r="B44" s="22">
        <v>0</v>
      </c>
      <c r="C44" s="23">
        <v>0</v>
      </c>
      <c r="D44" s="24">
        <f t="shared" si="0"/>
        <v>0</v>
      </c>
      <c r="E44" s="25" t="str">
        <f t="shared" si="1"/>
        <v>-</v>
      </c>
      <c r="F44" s="26">
        <f t="shared" si="3"/>
        <v>0</v>
      </c>
      <c r="G44" s="25" t="str">
        <f t="shared" si="6"/>
        <v>-</v>
      </c>
      <c r="H44" s="26">
        <f t="shared" si="4"/>
        <v>0</v>
      </c>
      <c r="I44" s="26">
        <f t="shared" si="8"/>
        <v>0</v>
      </c>
    </row>
    <row r="45" spans="1:9" ht="18.75" hidden="1" thickBot="1">
      <c r="A45" s="21">
        <f t="shared" si="2"/>
        <v>31</v>
      </c>
      <c r="B45" s="22">
        <v>0</v>
      </c>
      <c r="C45" s="23">
        <v>0</v>
      </c>
      <c r="D45" s="24">
        <f t="shared" si="0"/>
        <v>0</v>
      </c>
      <c r="E45" s="25" t="str">
        <f t="shared" si="1"/>
        <v>-</v>
      </c>
      <c r="F45" s="26">
        <f t="shared" si="3"/>
        <v>0</v>
      </c>
      <c r="G45" s="25" t="str">
        <f t="shared" si="6"/>
        <v>-</v>
      </c>
      <c r="H45" s="26">
        <f t="shared" si="4"/>
        <v>0</v>
      </c>
      <c r="I45" s="26">
        <f t="shared" si="8"/>
        <v>0</v>
      </c>
    </row>
    <row r="46" spans="1:9" ht="18.75" hidden="1" thickBot="1">
      <c r="A46" s="21">
        <f t="shared" si="2"/>
        <v>32</v>
      </c>
      <c r="B46" s="22">
        <v>0</v>
      </c>
      <c r="C46" s="23">
        <v>0</v>
      </c>
      <c r="D46" s="24">
        <f t="shared" si="0"/>
        <v>0</v>
      </c>
      <c r="E46" s="25" t="str">
        <f t="shared" si="1"/>
        <v>-</v>
      </c>
      <c r="F46" s="26">
        <f t="shared" si="3"/>
        <v>0</v>
      </c>
      <c r="G46" s="25" t="str">
        <f t="shared" si="6"/>
        <v>-</v>
      </c>
      <c r="H46" s="26">
        <f t="shared" si="4"/>
        <v>0</v>
      </c>
      <c r="I46" s="26">
        <f t="shared" si="8"/>
        <v>0</v>
      </c>
    </row>
    <row r="47" spans="1:9" ht="18.75" hidden="1" thickBot="1">
      <c r="A47" s="21">
        <f t="shared" si="2"/>
        <v>33</v>
      </c>
      <c r="B47" s="22">
        <v>0</v>
      </c>
      <c r="C47" s="23">
        <v>0</v>
      </c>
      <c r="D47" s="24">
        <f t="shared" si="0"/>
        <v>0</v>
      </c>
      <c r="E47" s="25" t="str">
        <f t="shared" si="1"/>
        <v>-</v>
      </c>
      <c r="F47" s="26">
        <f t="shared" si="3"/>
        <v>0</v>
      </c>
      <c r="G47" s="25" t="str">
        <f t="shared" si="6"/>
        <v>-</v>
      </c>
      <c r="H47" s="26">
        <f t="shared" si="4"/>
        <v>0</v>
      </c>
      <c r="I47" s="26">
        <f t="shared" si="8"/>
        <v>0</v>
      </c>
    </row>
    <row r="48" spans="1:9" ht="18.75" hidden="1" thickBot="1">
      <c r="A48" s="21">
        <f t="shared" si="2"/>
        <v>34</v>
      </c>
      <c r="B48" s="22">
        <v>0</v>
      </c>
      <c r="C48" s="23">
        <v>0</v>
      </c>
      <c r="D48" s="24">
        <f t="shared" si="0"/>
        <v>0</v>
      </c>
      <c r="E48" s="25" t="str">
        <f t="shared" si="1"/>
        <v>-</v>
      </c>
      <c r="F48" s="26">
        <f t="shared" si="3"/>
        <v>0</v>
      </c>
      <c r="G48" s="25" t="str">
        <f t="shared" si="6"/>
        <v>-</v>
      </c>
      <c r="H48" s="26">
        <f t="shared" si="4"/>
        <v>0</v>
      </c>
      <c r="I48" s="26">
        <f t="shared" si="8"/>
        <v>0</v>
      </c>
    </row>
    <row r="49" spans="1:9" ht="18.75" hidden="1" thickBot="1">
      <c r="A49" s="21">
        <f t="shared" si="2"/>
        <v>35</v>
      </c>
      <c r="B49" s="22">
        <v>0</v>
      </c>
      <c r="C49" s="23">
        <v>0</v>
      </c>
      <c r="D49" s="24">
        <f t="shared" si="0"/>
        <v>0</v>
      </c>
      <c r="E49" s="25" t="str">
        <f t="shared" si="1"/>
        <v>-</v>
      </c>
      <c r="F49" s="26">
        <f t="shared" si="3"/>
        <v>0</v>
      </c>
      <c r="G49" s="25" t="str">
        <f t="shared" si="6"/>
        <v>-</v>
      </c>
      <c r="H49" s="26">
        <f t="shared" si="4"/>
        <v>0</v>
      </c>
      <c r="I49" s="26">
        <f t="shared" si="8"/>
        <v>0</v>
      </c>
    </row>
    <row r="50" spans="1:9" ht="18.75" hidden="1" thickBot="1">
      <c r="A50" s="21">
        <f t="shared" si="2"/>
        <v>36</v>
      </c>
      <c r="B50" s="22">
        <v>0</v>
      </c>
      <c r="C50" s="23">
        <v>0</v>
      </c>
      <c r="D50" s="24">
        <f t="shared" si="0"/>
        <v>0</v>
      </c>
      <c r="E50" s="25" t="str">
        <f t="shared" si="1"/>
        <v>-</v>
      </c>
      <c r="F50" s="26">
        <f t="shared" si="3"/>
        <v>0</v>
      </c>
      <c r="G50" s="25" t="str">
        <f t="shared" si="6"/>
        <v>-</v>
      </c>
      <c r="H50" s="26">
        <f t="shared" si="4"/>
        <v>0</v>
      </c>
      <c r="I50" s="26">
        <f t="shared" si="8"/>
        <v>0</v>
      </c>
    </row>
    <row r="51" spans="1:9" ht="18.75" hidden="1" thickBot="1">
      <c r="A51" s="21">
        <f t="shared" si="2"/>
        <v>37</v>
      </c>
      <c r="B51" s="22">
        <v>0</v>
      </c>
      <c r="C51" s="23">
        <v>0</v>
      </c>
      <c r="D51" s="24">
        <f t="shared" si="0"/>
        <v>0</v>
      </c>
      <c r="E51" s="25" t="str">
        <f t="shared" si="1"/>
        <v>-</v>
      </c>
      <c r="F51" s="26">
        <f t="shared" si="3"/>
        <v>0</v>
      </c>
      <c r="G51" s="25" t="str">
        <f t="shared" si="6"/>
        <v>-</v>
      </c>
      <c r="H51" s="26">
        <f t="shared" si="4"/>
        <v>0</v>
      </c>
      <c r="I51" s="26">
        <f t="shared" si="8"/>
        <v>0</v>
      </c>
    </row>
    <row r="52" spans="1:9" ht="18.75" hidden="1" thickBot="1">
      <c r="A52" s="21">
        <f t="shared" si="2"/>
        <v>38</v>
      </c>
      <c r="B52" s="22">
        <v>0</v>
      </c>
      <c r="C52" s="23">
        <v>0</v>
      </c>
      <c r="D52" s="24">
        <f t="shared" si="0"/>
        <v>0</v>
      </c>
      <c r="E52" s="25" t="str">
        <f t="shared" si="1"/>
        <v>-</v>
      </c>
      <c r="F52" s="26">
        <f t="shared" si="3"/>
        <v>0</v>
      </c>
      <c r="G52" s="25" t="str">
        <f t="shared" si="6"/>
        <v>-</v>
      </c>
      <c r="H52" s="26">
        <f t="shared" si="4"/>
        <v>0</v>
      </c>
      <c r="I52" s="26">
        <f t="shared" si="8"/>
        <v>0</v>
      </c>
    </row>
    <row r="53" spans="1:9" ht="18.75" hidden="1" thickBot="1">
      <c r="A53" s="21">
        <f t="shared" si="2"/>
        <v>39</v>
      </c>
      <c r="B53" s="22">
        <v>0</v>
      </c>
      <c r="C53" s="23">
        <v>0</v>
      </c>
      <c r="D53" s="24">
        <f t="shared" si="0"/>
        <v>0</v>
      </c>
      <c r="E53" s="25" t="str">
        <f t="shared" si="1"/>
        <v>-</v>
      </c>
      <c r="F53" s="26">
        <f t="shared" si="3"/>
        <v>0</v>
      </c>
      <c r="G53" s="25" t="str">
        <f t="shared" si="6"/>
        <v>-</v>
      </c>
      <c r="H53" s="26">
        <f t="shared" si="4"/>
        <v>0</v>
      </c>
      <c r="I53" s="26">
        <f t="shared" si="8"/>
        <v>0</v>
      </c>
    </row>
    <row r="54" spans="1:9" ht="18.75" hidden="1" thickBot="1">
      <c r="A54" s="21">
        <f t="shared" si="2"/>
        <v>40</v>
      </c>
      <c r="B54" s="22">
        <v>0</v>
      </c>
      <c r="C54" s="23">
        <v>0</v>
      </c>
      <c r="D54" s="24">
        <f t="shared" si="0"/>
        <v>0</v>
      </c>
      <c r="E54" s="25" t="str">
        <f t="shared" si="1"/>
        <v>-</v>
      </c>
      <c r="F54" s="26">
        <f t="shared" si="3"/>
        <v>0</v>
      </c>
      <c r="G54" s="25" t="str">
        <f t="shared" si="6"/>
        <v>-</v>
      </c>
      <c r="H54" s="26">
        <f t="shared" si="4"/>
        <v>0</v>
      </c>
      <c r="I54" s="26">
        <f t="shared" si="8"/>
        <v>0</v>
      </c>
    </row>
    <row r="55" spans="1:9" ht="18.75" hidden="1" thickBot="1">
      <c r="A55" s="21">
        <f t="shared" si="2"/>
        <v>41</v>
      </c>
      <c r="B55" s="22">
        <v>0</v>
      </c>
      <c r="C55" s="23">
        <v>0</v>
      </c>
      <c r="D55" s="24">
        <f t="shared" si="0"/>
        <v>0</v>
      </c>
      <c r="E55" s="25" t="str">
        <f t="shared" si="1"/>
        <v>-</v>
      </c>
      <c r="F55" s="26">
        <f t="shared" si="3"/>
        <v>0</v>
      </c>
      <c r="G55" s="25" t="str">
        <f t="shared" si="6"/>
        <v>-</v>
      </c>
      <c r="H55" s="26">
        <f t="shared" si="4"/>
        <v>0</v>
      </c>
      <c r="I55" s="26">
        <f t="shared" si="8"/>
        <v>0</v>
      </c>
    </row>
    <row r="56" spans="1:9" ht="18.75" hidden="1" thickBot="1">
      <c r="A56" s="21">
        <f t="shared" si="2"/>
        <v>42</v>
      </c>
      <c r="B56" s="22">
        <v>0</v>
      </c>
      <c r="C56" s="23">
        <v>0</v>
      </c>
      <c r="D56" s="24">
        <f t="shared" si="0"/>
        <v>0</v>
      </c>
      <c r="E56" s="25" t="str">
        <f t="shared" si="1"/>
        <v>-</v>
      </c>
      <c r="F56" s="26">
        <f t="shared" si="3"/>
        <v>0</v>
      </c>
      <c r="G56" s="25" t="str">
        <f t="shared" si="6"/>
        <v>-</v>
      </c>
      <c r="H56" s="26">
        <f t="shared" si="4"/>
        <v>0</v>
      </c>
      <c r="I56" s="26">
        <f t="shared" si="8"/>
        <v>0</v>
      </c>
    </row>
    <row r="57" spans="1:9" ht="18.75" hidden="1" thickBot="1">
      <c r="A57" s="21">
        <f t="shared" si="2"/>
        <v>43</v>
      </c>
      <c r="B57" s="22">
        <v>0</v>
      </c>
      <c r="C57" s="23">
        <v>0</v>
      </c>
      <c r="D57" s="24">
        <f t="shared" si="0"/>
        <v>0</v>
      </c>
      <c r="E57" s="25" t="str">
        <f t="shared" si="1"/>
        <v>-</v>
      </c>
      <c r="F57" s="26">
        <f t="shared" si="3"/>
        <v>0</v>
      </c>
      <c r="G57" s="25" t="str">
        <f t="shared" si="6"/>
        <v>-</v>
      </c>
      <c r="H57" s="26">
        <f t="shared" si="4"/>
        <v>0</v>
      </c>
      <c r="I57" s="26">
        <f t="shared" si="8"/>
        <v>0</v>
      </c>
    </row>
    <row r="58" spans="1:9" ht="18.75" hidden="1" thickBot="1">
      <c r="A58" s="21">
        <f t="shared" si="2"/>
        <v>44</v>
      </c>
      <c r="B58" s="22">
        <v>0</v>
      </c>
      <c r="C58" s="23">
        <v>0</v>
      </c>
      <c r="D58" s="24">
        <f t="shared" si="0"/>
        <v>0</v>
      </c>
      <c r="E58" s="25" t="str">
        <f t="shared" si="1"/>
        <v>-</v>
      </c>
      <c r="F58" s="26">
        <f t="shared" si="3"/>
        <v>0</v>
      </c>
      <c r="G58" s="25" t="str">
        <f t="shared" si="6"/>
        <v>-</v>
      </c>
      <c r="H58" s="26">
        <f t="shared" si="4"/>
        <v>0</v>
      </c>
      <c r="I58" s="26">
        <f t="shared" si="8"/>
        <v>0</v>
      </c>
    </row>
    <row r="59" spans="1:9" ht="18.75" hidden="1" thickBot="1">
      <c r="A59" s="21">
        <f t="shared" si="2"/>
        <v>45</v>
      </c>
      <c r="B59" s="22">
        <v>0</v>
      </c>
      <c r="C59" s="23">
        <v>0</v>
      </c>
      <c r="D59" s="24">
        <f t="shared" si="0"/>
        <v>0</v>
      </c>
      <c r="E59" s="25" t="str">
        <f t="shared" si="1"/>
        <v>-</v>
      </c>
      <c r="F59" s="26">
        <f t="shared" si="3"/>
        <v>0</v>
      </c>
      <c r="G59" s="25" t="str">
        <f t="shared" si="6"/>
        <v>-</v>
      </c>
      <c r="H59" s="26">
        <f t="shared" si="4"/>
        <v>0</v>
      </c>
      <c r="I59" s="26">
        <f t="shared" si="8"/>
        <v>0</v>
      </c>
    </row>
    <row r="60" spans="1:9" ht="18.75" hidden="1" thickBot="1">
      <c r="A60" s="21">
        <f t="shared" si="2"/>
        <v>46</v>
      </c>
      <c r="B60" s="22">
        <v>0</v>
      </c>
      <c r="C60" s="23">
        <v>0</v>
      </c>
      <c r="D60" s="24">
        <f t="shared" si="0"/>
        <v>0</v>
      </c>
      <c r="E60" s="25" t="str">
        <f t="shared" si="1"/>
        <v>-</v>
      </c>
      <c r="F60" s="26">
        <f t="shared" si="3"/>
        <v>0</v>
      </c>
      <c r="G60" s="25" t="str">
        <f t="shared" si="6"/>
        <v>-</v>
      </c>
      <c r="H60" s="26">
        <f t="shared" si="4"/>
        <v>0</v>
      </c>
      <c r="I60" s="26">
        <f t="shared" si="8"/>
        <v>0</v>
      </c>
    </row>
    <row r="61" spans="1:9" ht="18.75" hidden="1" thickBot="1">
      <c r="A61" s="21">
        <f t="shared" si="2"/>
        <v>47</v>
      </c>
      <c r="B61" s="22">
        <v>0</v>
      </c>
      <c r="C61" s="23">
        <v>0</v>
      </c>
      <c r="D61" s="24">
        <f t="shared" si="0"/>
        <v>0</v>
      </c>
      <c r="E61" s="25" t="str">
        <f t="shared" si="1"/>
        <v>-</v>
      </c>
      <c r="F61" s="26">
        <f t="shared" si="3"/>
        <v>0</v>
      </c>
      <c r="G61" s="25" t="str">
        <f t="shared" si="6"/>
        <v>-</v>
      </c>
      <c r="H61" s="26">
        <f t="shared" si="4"/>
        <v>0</v>
      </c>
      <c r="I61" s="26">
        <f t="shared" si="8"/>
        <v>0</v>
      </c>
    </row>
    <row r="62" spans="1:9" ht="18.75" hidden="1" thickBot="1">
      <c r="A62" s="21">
        <f t="shared" si="2"/>
        <v>48</v>
      </c>
      <c r="B62" s="22">
        <v>0</v>
      </c>
      <c r="C62" s="23">
        <v>0</v>
      </c>
      <c r="D62" s="24">
        <f t="shared" si="0"/>
        <v>0</v>
      </c>
      <c r="E62" s="25" t="str">
        <f t="shared" si="1"/>
        <v>-</v>
      </c>
      <c r="F62" s="26">
        <f t="shared" si="3"/>
        <v>0</v>
      </c>
      <c r="G62" s="25" t="str">
        <f t="shared" si="6"/>
        <v>-</v>
      </c>
      <c r="H62" s="26">
        <f t="shared" si="4"/>
        <v>0</v>
      </c>
      <c r="I62" s="26">
        <f t="shared" si="8"/>
        <v>0</v>
      </c>
    </row>
    <row r="63" spans="1:9" ht="18.75" hidden="1" thickBot="1">
      <c r="A63" s="21">
        <f t="shared" si="2"/>
        <v>49</v>
      </c>
      <c r="B63" s="22">
        <v>0</v>
      </c>
      <c r="C63" s="23">
        <v>0</v>
      </c>
      <c r="D63" s="24">
        <f t="shared" si="0"/>
        <v>0</v>
      </c>
      <c r="E63" s="25" t="str">
        <f t="shared" si="1"/>
        <v>-</v>
      </c>
      <c r="F63" s="26">
        <f t="shared" si="3"/>
        <v>0</v>
      </c>
      <c r="G63" s="25" t="str">
        <f t="shared" si="6"/>
        <v>-</v>
      </c>
      <c r="H63" s="26">
        <f t="shared" si="4"/>
        <v>0</v>
      </c>
      <c r="I63" s="26">
        <f t="shared" si="8"/>
        <v>0</v>
      </c>
    </row>
    <row r="64" spans="1:9" ht="18.75" hidden="1" thickBot="1">
      <c r="A64" s="28">
        <f t="shared" si="2"/>
        <v>50</v>
      </c>
      <c r="B64" s="29">
        <v>0</v>
      </c>
      <c r="C64" s="30">
        <v>0</v>
      </c>
      <c r="D64" s="31">
        <f t="shared" si="0"/>
        <v>0</v>
      </c>
      <c r="E64" s="32" t="str">
        <f t="shared" si="1"/>
        <v>-</v>
      </c>
      <c r="F64" s="33">
        <f t="shared" si="3"/>
        <v>0</v>
      </c>
      <c r="G64" s="32" t="str">
        <f t="shared" si="6"/>
        <v>-</v>
      </c>
      <c r="H64" s="33">
        <f t="shared" si="4"/>
        <v>0</v>
      </c>
      <c r="I64" s="33">
        <f t="shared" si="8"/>
        <v>0</v>
      </c>
    </row>
    <row r="65" spans="1:9" ht="18.75" thickBot="1">
      <c r="A65" s="34" t="s">
        <v>19</v>
      </c>
      <c r="B65" s="35"/>
      <c r="C65" s="35"/>
      <c r="D65" s="35"/>
      <c r="E65" s="35"/>
      <c r="F65" s="36">
        <f>SUM(F14:F64)</f>
        <v>-320046.34823159425</v>
      </c>
      <c r="G65" s="37"/>
      <c r="H65" s="38">
        <f>SUM(H14:H64)</f>
        <v>2.0372681319713593E-9</v>
      </c>
      <c r="I65" s="39"/>
    </row>
    <row r="66" spans="1:9" ht="18.75" thickBot="1">
      <c r="A66" s="40" t="s">
        <v>20</v>
      </c>
      <c r="B66" s="41"/>
      <c r="C66" s="41"/>
      <c r="D66" s="41"/>
      <c r="E66" s="41"/>
      <c r="F66" s="42">
        <f>I15</f>
        <v>-80060.628416485255</v>
      </c>
      <c r="G66" s="43"/>
      <c r="H66" s="43"/>
      <c r="I66" s="39"/>
    </row>
    <row r="67" spans="1:9" ht="18.75" thickBot="1">
      <c r="A67" s="34" t="s">
        <v>21</v>
      </c>
      <c r="B67" s="35"/>
      <c r="C67" s="35"/>
      <c r="D67" s="35"/>
      <c r="E67" s="35"/>
      <c r="F67" s="44">
        <f>IRR(D14:D64)</f>
        <v>8.7054228392170696E-2</v>
      </c>
      <c r="G67" s="45"/>
      <c r="H67" s="45"/>
      <c r="I67" s="39"/>
    </row>
    <row r="68" spans="1:9" ht="18.75" thickBot="1">
      <c r="A68" s="46" t="s">
        <v>22</v>
      </c>
      <c r="B68" s="47"/>
      <c r="C68" s="47"/>
      <c r="D68" s="47"/>
      <c r="E68" s="47"/>
      <c r="F68" s="48">
        <f>NPER(B12,F70,F14,0)</f>
        <v>7.3103630869954577</v>
      </c>
      <c r="G68" s="49"/>
      <c r="H68" s="49"/>
      <c r="I68" s="39"/>
    </row>
    <row r="69" spans="1:9" hidden="1">
      <c r="A69" s="50" t="s">
        <v>23</v>
      </c>
      <c r="F69" s="51">
        <f>SUM(F15:F64)</f>
        <v>2339953.6517684059</v>
      </c>
      <c r="G69" s="51"/>
      <c r="H69" s="51"/>
    </row>
    <row r="70" spans="1:9" hidden="1">
      <c r="A70" s="50" t="s">
        <v>24</v>
      </c>
      <c r="F70" s="52">
        <f>PMT(B12,B11,F69,0)*-1</f>
        <v>585346.96884110395</v>
      </c>
      <c r="G70" s="52"/>
      <c r="H70" s="52"/>
    </row>
    <row r="72" spans="1:9" ht="18">
      <c r="A72" s="39" t="s">
        <v>25</v>
      </c>
    </row>
    <row r="73" spans="1:9" ht="45" customHeight="1">
      <c r="A73" s="322" t="s">
        <v>30</v>
      </c>
      <c r="B73" s="322"/>
      <c r="C73" s="322"/>
      <c r="D73" s="322"/>
      <c r="E73" s="322"/>
      <c r="F73" s="322"/>
    </row>
    <row r="74" spans="1:9">
      <c r="A74" s="53"/>
      <c r="B74" s="53"/>
    </row>
    <row r="75" spans="1:9">
      <c r="A75" s="53"/>
      <c r="B75" s="53"/>
    </row>
  </sheetData>
  <mergeCells count="2">
    <mergeCell ref="A1:C1"/>
    <mergeCell ref="A73:F73"/>
  </mergeCells>
  <pageMargins left="0.78740157480314965" right="0.39370078740157483" top="0.98425196850393704" bottom="0.98425196850393704" header="0" footer="0"/>
  <pageSetup paperSize="9" scale="8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K387"/>
  <sheetViews>
    <sheetView zoomScaleNormal="100" workbookViewId="0">
      <selection activeCell="A7" sqref="A7:C7"/>
    </sheetView>
  </sheetViews>
  <sheetFormatPr defaultRowHeight="12.75"/>
  <cols>
    <col min="1" max="1" width="6.28515625" style="54" customWidth="1"/>
    <col min="2" max="2" width="13.85546875" style="54" customWidth="1"/>
    <col min="3" max="3" width="15.7109375" style="54" customWidth="1"/>
    <col min="4" max="4" width="17.42578125" style="54" customWidth="1"/>
    <col min="5" max="5" width="13.5703125" style="54" customWidth="1"/>
    <col min="6" max="6" width="14.5703125" style="54" customWidth="1"/>
    <col min="7" max="7" width="14.42578125" style="54" customWidth="1"/>
    <col min="8" max="16384" width="9.140625" style="54"/>
  </cols>
  <sheetData>
    <row r="1" spans="1:11" ht="27" thickBot="1">
      <c r="A1" s="325" t="s">
        <v>119</v>
      </c>
      <c r="B1" s="326"/>
      <c r="C1" s="326"/>
      <c r="D1" s="326"/>
      <c r="E1" s="326"/>
      <c r="F1" s="326"/>
      <c r="G1" s="327"/>
    </row>
    <row r="2" spans="1:11">
      <c r="A2" s="328" t="s">
        <v>31</v>
      </c>
      <c r="B2" s="329"/>
      <c r="C2" s="329"/>
      <c r="D2" s="55">
        <v>432000</v>
      </c>
      <c r="E2" s="56"/>
      <c r="F2" s="56"/>
      <c r="G2" s="57"/>
    </row>
    <row r="3" spans="1:11">
      <c r="A3" s="323" t="s">
        <v>32</v>
      </c>
      <c r="B3" s="324"/>
      <c r="C3" s="324"/>
      <c r="D3" s="58">
        <v>97.5</v>
      </c>
      <c r="E3" s="56"/>
      <c r="F3" s="56"/>
      <c r="G3" s="57"/>
    </row>
    <row r="4" spans="1:11">
      <c r="A4" s="323" t="s">
        <v>33</v>
      </c>
      <c r="B4" s="324"/>
      <c r="C4" s="324"/>
      <c r="D4" s="59">
        <v>4200</v>
      </c>
      <c r="E4" s="56"/>
      <c r="F4" s="56"/>
      <c r="G4" s="57"/>
    </row>
    <row r="5" spans="1:11" ht="13.5" thickBot="1">
      <c r="A5" s="323" t="s">
        <v>34</v>
      </c>
      <c r="B5" s="324"/>
      <c r="C5" s="324"/>
      <c r="D5" s="60">
        <f>(D2*(D3/100))-D4</f>
        <v>417000</v>
      </c>
      <c r="E5" s="56"/>
      <c r="F5" s="56"/>
      <c r="G5" s="57"/>
    </row>
    <row r="6" spans="1:11" ht="13.5" thickTop="1">
      <c r="A6" s="323" t="s">
        <v>35</v>
      </c>
      <c r="B6" s="324"/>
      <c r="C6" s="324"/>
      <c r="D6" s="61">
        <v>3.2500000000000001E-2</v>
      </c>
      <c r="E6" s="56"/>
      <c r="F6" s="56"/>
      <c r="G6" s="57"/>
    </row>
    <row r="7" spans="1:11">
      <c r="A7" s="323" t="s">
        <v>36</v>
      </c>
      <c r="B7" s="324"/>
      <c r="C7" s="324"/>
      <c r="D7" s="62">
        <v>6</v>
      </c>
      <c r="E7" s="56"/>
      <c r="F7" s="56"/>
      <c r="G7" s="57"/>
    </row>
    <row r="8" spans="1:11">
      <c r="A8" s="323" t="s">
        <v>37</v>
      </c>
      <c r="B8" s="324"/>
      <c r="C8" s="324"/>
      <c r="D8" s="62">
        <v>1</v>
      </c>
      <c r="E8" s="56"/>
      <c r="F8" s="56"/>
      <c r="G8" s="57"/>
    </row>
    <row r="9" spans="1:11">
      <c r="A9" s="323" t="s">
        <v>38</v>
      </c>
      <c r="B9" s="324"/>
      <c r="C9" s="324"/>
      <c r="D9" s="63">
        <f>D7*D8</f>
        <v>6</v>
      </c>
      <c r="E9" s="56"/>
      <c r="F9" s="56"/>
      <c r="G9" s="57"/>
    </row>
    <row r="10" spans="1:11">
      <c r="A10" s="323" t="s">
        <v>39</v>
      </c>
      <c r="B10" s="324"/>
      <c r="C10" s="324"/>
      <c r="D10" s="64">
        <f>D6/D8</f>
        <v>3.2500000000000001E-2</v>
      </c>
      <c r="E10" s="56"/>
      <c r="F10" s="56"/>
      <c r="G10" s="57"/>
    </row>
    <row r="11" spans="1:11">
      <c r="A11" s="323" t="s">
        <v>40</v>
      </c>
      <c r="B11" s="324"/>
      <c r="C11" s="324"/>
      <c r="D11" s="65">
        <f>(PMT(D10,D9,D2))</f>
        <v>-80408.14671542267</v>
      </c>
      <c r="E11" s="66" t="s">
        <v>41</v>
      </c>
      <c r="F11" s="67"/>
      <c r="G11" s="68"/>
    </row>
    <row r="12" spans="1:11" hidden="1">
      <c r="A12" s="323" t="s">
        <v>42</v>
      </c>
      <c r="B12" s="324"/>
      <c r="C12" s="324"/>
      <c r="D12" s="69">
        <v>0</v>
      </c>
      <c r="E12" s="56"/>
      <c r="F12" s="56"/>
      <c r="G12" s="57"/>
    </row>
    <row r="13" spans="1:11">
      <c r="A13" s="330"/>
      <c r="B13" s="331"/>
      <c r="C13" s="331"/>
      <c r="D13" s="332"/>
      <c r="E13" s="56"/>
      <c r="F13" s="56"/>
      <c r="G13" s="57"/>
    </row>
    <row r="14" spans="1:11" hidden="1">
      <c r="A14" s="70"/>
      <c r="B14" s="56"/>
      <c r="C14" s="56"/>
      <c r="D14" s="65">
        <f>D11-D12</f>
        <v>-80408.14671542267</v>
      </c>
      <c r="E14" s="56"/>
      <c r="F14" s="56"/>
      <c r="G14" s="57"/>
    </row>
    <row r="15" spans="1:11" hidden="1">
      <c r="A15" s="70"/>
      <c r="B15" s="56"/>
      <c r="C15" s="56"/>
      <c r="D15" s="57"/>
      <c r="E15" s="56"/>
      <c r="F15" s="56"/>
      <c r="G15" s="57"/>
    </row>
    <row r="16" spans="1:11" ht="18">
      <c r="A16" s="333" t="s">
        <v>43</v>
      </c>
      <c r="B16" s="334"/>
      <c r="C16" s="334"/>
      <c r="D16" s="71">
        <f>(POWER((RATE(D9,D14,D5)+1),D8))-1</f>
        <v>4.3314509399579704E-2</v>
      </c>
      <c r="E16" s="333" t="str">
        <f>E11</f>
        <v>(Beregning: se note til annuitetslån)</v>
      </c>
      <c r="F16" s="334"/>
      <c r="G16" s="335"/>
      <c r="H16" s="72"/>
      <c r="I16" s="72"/>
      <c r="J16" s="72"/>
      <c r="K16" s="72"/>
    </row>
    <row r="17" spans="1:11" ht="13.5" thickBot="1">
      <c r="A17" s="336"/>
      <c r="B17" s="337"/>
      <c r="C17" s="337"/>
      <c r="D17" s="338"/>
      <c r="E17" s="73"/>
      <c r="F17" s="73"/>
      <c r="G17" s="74"/>
      <c r="H17" s="72"/>
      <c r="I17" s="72"/>
      <c r="J17" s="72"/>
      <c r="K17" s="72"/>
    </row>
    <row r="18" spans="1:11" ht="13.5" thickBot="1">
      <c r="A18" s="75"/>
      <c r="B18" s="76"/>
      <c r="C18" s="76"/>
      <c r="D18" s="77"/>
      <c r="E18" s="77"/>
      <c r="F18" s="77"/>
      <c r="G18" s="78"/>
      <c r="H18" s="72"/>
      <c r="I18" s="72"/>
      <c r="J18" s="72"/>
      <c r="K18" s="72"/>
    </row>
    <row r="19" spans="1:11">
      <c r="A19" s="79" t="str">
        <f>CONCATENATE("Amortisationstabel annuitetslån: (",D9," terminer)")</f>
        <v>Amortisationstabel annuitetslån: (6 terminer)</v>
      </c>
      <c r="B19" s="80"/>
      <c r="C19" s="80"/>
      <c r="D19" s="73"/>
      <c r="E19" s="73"/>
      <c r="F19" s="73"/>
      <c r="G19" s="74"/>
      <c r="H19" s="72"/>
      <c r="I19" s="72"/>
      <c r="J19" s="72"/>
      <c r="K19" s="72"/>
    </row>
    <row r="20" spans="1:11" ht="25.5">
      <c r="A20" s="70" t="s">
        <v>44</v>
      </c>
      <c r="B20" s="81" t="s">
        <v>45</v>
      </c>
      <c r="C20" s="81" t="s">
        <v>46</v>
      </c>
      <c r="D20" s="82" t="s">
        <v>47</v>
      </c>
      <c r="E20" s="81" t="s">
        <v>48</v>
      </c>
      <c r="F20" s="81" t="s">
        <v>49</v>
      </c>
      <c r="G20" s="83" t="s">
        <v>50</v>
      </c>
      <c r="H20" s="84"/>
    </row>
    <row r="21" spans="1:11">
      <c r="A21" s="70">
        <v>1</v>
      </c>
      <c r="B21" s="85">
        <f>D2</f>
        <v>432000</v>
      </c>
      <c r="C21" s="85">
        <f t="shared" ref="C21:C84" si="0">IF(A21&lt;=$D$9,$D$14*-1,0)</f>
        <v>80408.14671542267</v>
      </c>
      <c r="D21" s="85">
        <f t="shared" ref="D21:D84" si="1">IF(A21&gt;$D$9,0,$D$11*-1)</f>
        <v>80408.14671542267</v>
      </c>
      <c r="E21" s="86">
        <f t="shared" ref="E21:E84" si="2">B21*$D$10</f>
        <v>14040</v>
      </c>
      <c r="F21" s="85">
        <f t="shared" ref="F21:F84" si="3">D21-E21</f>
        <v>66368.14671542267</v>
      </c>
      <c r="G21" s="65">
        <f t="shared" ref="G21:G84" si="4">B21-F21</f>
        <v>365631.85328457732</v>
      </c>
    </row>
    <row r="22" spans="1:11">
      <c r="A22" s="70">
        <f t="shared" ref="A22:A85" si="5">A21+1</f>
        <v>2</v>
      </c>
      <c r="B22" s="85">
        <f t="shared" ref="B22:B85" si="6">IF(A22&lt;=$D$9,G21,0)</f>
        <v>365631.85328457732</v>
      </c>
      <c r="C22" s="85">
        <f t="shared" si="0"/>
        <v>80408.14671542267</v>
      </c>
      <c r="D22" s="85">
        <f t="shared" si="1"/>
        <v>80408.14671542267</v>
      </c>
      <c r="E22" s="86">
        <f t="shared" si="2"/>
        <v>11883.035231748763</v>
      </c>
      <c r="F22" s="85">
        <f t="shared" si="3"/>
        <v>68525.111483673914</v>
      </c>
      <c r="G22" s="65">
        <f t="shared" si="4"/>
        <v>297106.7418009034</v>
      </c>
    </row>
    <row r="23" spans="1:11">
      <c r="A23" s="70">
        <f t="shared" si="5"/>
        <v>3</v>
      </c>
      <c r="B23" s="85">
        <f t="shared" si="6"/>
        <v>297106.7418009034</v>
      </c>
      <c r="C23" s="85">
        <f t="shared" si="0"/>
        <v>80408.14671542267</v>
      </c>
      <c r="D23" s="85">
        <f t="shared" si="1"/>
        <v>80408.14671542267</v>
      </c>
      <c r="E23" s="86">
        <f t="shared" si="2"/>
        <v>9655.9691085293616</v>
      </c>
      <c r="F23" s="85">
        <f t="shared" si="3"/>
        <v>70752.17760689331</v>
      </c>
      <c r="G23" s="65">
        <f t="shared" si="4"/>
        <v>226354.5641940101</v>
      </c>
    </row>
    <row r="24" spans="1:11">
      <c r="A24" s="70">
        <f t="shared" si="5"/>
        <v>4</v>
      </c>
      <c r="B24" s="85">
        <f t="shared" si="6"/>
        <v>226354.5641940101</v>
      </c>
      <c r="C24" s="85">
        <f t="shared" si="0"/>
        <v>80408.14671542267</v>
      </c>
      <c r="D24" s="85">
        <f t="shared" si="1"/>
        <v>80408.14671542267</v>
      </c>
      <c r="E24" s="86">
        <f t="shared" si="2"/>
        <v>7356.5233363053285</v>
      </c>
      <c r="F24" s="85">
        <f t="shared" si="3"/>
        <v>73051.623379117344</v>
      </c>
      <c r="G24" s="65">
        <f t="shared" si="4"/>
        <v>153302.94081489276</v>
      </c>
    </row>
    <row r="25" spans="1:11">
      <c r="A25" s="70">
        <f t="shared" si="5"/>
        <v>5</v>
      </c>
      <c r="B25" s="85">
        <f t="shared" si="6"/>
        <v>153302.94081489276</v>
      </c>
      <c r="C25" s="85">
        <f t="shared" si="0"/>
        <v>80408.14671542267</v>
      </c>
      <c r="D25" s="85">
        <f t="shared" si="1"/>
        <v>80408.14671542267</v>
      </c>
      <c r="E25" s="86">
        <f t="shared" si="2"/>
        <v>4982.3455764840146</v>
      </c>
      <c r="F25" s="85">
        <f t="shared" si="3"/>
        <v>75425.801138938652</v>
      </c>
      <c r="G25" s="65">
        <f t="shared" si="4"/>
        <v>77877.139675954109</v>
      </c>
    </row>
    <row r="26" spans="1:11" ht="13.5" thickBot="1">
      <c r="A26" s="70">
        <f t="shared" si="5"/>
        <v>6</v>
      </c>
      <c r="B26" s="85">
        <f t="shared" si="6"/>
        <v>77877.139675954109</v>
      </c>
      <c r="C26" s="85">
        <f t="shared" si="0"/>
        <v>80408.14671542267</v>
      </c>
      <c r="D26" s="85">
        <f t="shared" si="1"/>
        <v>80408.14671542267</v>
      </c>
      <c r="E26" s="86">
        <f t="shared" si="2"/>
        <v>2531.0070394685085</v>
      </c>
      <c r="F26" s="85">
        <f t="shared" si="3"/>
        <v>77877.139675954168</v>
      </c>
      <c r="G26" s="65">
        <f t="shared" si="4"/>
        <v>0</v>
      </c>
    </row>
    <row r="27" spans="1:11" ht="13.5" hidden="1" thickBot="1">
      <c r="A27" s="70">
        <f t="shared" si="5"/>
        <v>7</v>
      </c>
      <c r="B27" s="85">
        <f t="shared" si="6"/>
        <v>0</v>
      </c>
      <c r="C27" s="85">
        <f t="shared" si="0"/>
        <v>0</v>
      </c>
      <c r="D27" s="85">
        <f t="shared" si="1"/>
        <v>0</v>
      </c>
      <c r="E27" s="86">
        <f t="shared" si="2"/>
        <v>0</v>
      </c>
      <c r="F27" s="85">
        <f t="shared" si="3"/>
        <v>0</v>
      </c>
      <c r="G27" s="65">
        <f t="shared" si="4"/>
        <v>0</v>
      </c>
    </row>
    <row r="28" spans="1:11" ht="13.5" hidden="1" thickBot="1">
      <c r="A28" s="70">
        <f t="shared" si="5"/>
        <v>8</v>
      </c>
      <c r="B28" s="85">
        <f t="shared" si="6"/>
        <v>0</v>
      </c>
      <c r="C28" s="85">
        <f t="shared" si="0"/>
        <v>0</v>
      </c>
      <c r="D28" s="85">
        <f t="shared" si="1"/>
        <v>0</v>
      </c>
      <c r="E28" s="86">
        <f t="shared" si="2"/>
        <v>0</v>
      </c>
      <c r="F28" s="85">
        <f t="shared" si="3"/>
        <v>0</v>
      </c>
      <c r="G28" s="65">
        <f t="shared" si="4"/>
        <v>0</v>
      </c>
    </row>
    <row r="29" spans="1:11" ht="13.5" hidden="1" thickBot="1">
      <c r="A29" s="70">
        <f t="shared" si="5"/>
        <v>9</v>
      </c>
      <c r="B29" s="85">
        <f t="shared" si="6"/>
        <v>0</v>
      </c>
      <c r="C29" s="85">
        <f t="shared" si="0"/>
        <v>0</v>
      </c>
      <c r="D29" s="85">
        <f t="shared" si="1"/>
        <v>0</v>
      </c>
      <c r="E29" s="86">
        <f t="shared" si="2"/>
        <v>0</v>
      </c>
      <c r="F29" s="85">
        <f t="shared" si="3"/>
        <v>0</v>
      </c>
      <c r="G29" s="65">
        <f t="shared" si="4"/>
        <v>0</v>
      </c>
    </row>
    <row r="30" spans="1:11" ht="13.5" hidden="1" thickBot="1">
      <c r="A30" s="70">
        <f t="shared" si="5"/>
        <v>10</v>
      </c>
      <c r="B30" s="85">
        <f t="shared" si="6"/>
        <v>0</v>
      </c>
      <c r="C30" s="85">
        <f t="shared" si="0"/>
        <v>0</v>
      </c>
      <c r="D30" s="85">
        <f t="shared" si="1"/>
        <v>0</v>
      </c>
      <c r="E30" s="86">
        <f t="shared" si="2"/>
        <v>0</v>
      </c>
      <c r="F30" s="85">
        <f t="shared" si="3"/>
        <v>0</v>
      </c>
      <c r="G30" s="65">
        <f t="shared" si="4"/>
        <v>0</v>
      </c>
    </row>
    <row r="31" spans="1:11" ht="13.5" hidden="1" thickBot="1">
      <c r="A31" s="70">
        <f t="shared" si="5"/>
        <v>11</v>
      </c>
      <c r="B31" s="85">
        <f t="shared" si="6"/>
        <v>0</v>
      </c>
      <c r="C31" s="85">
        <f t="shared" si="0"/>
        <v>0</v>
      </c>
      <c r="D31" s="85">
        <f t="shared" si="1"/>
        <v>0</v>
      </c>
      <c r="E31" s="86">
        <f t="shared" si="2"/>
        <v>0</v>
      </c>
      <c r="F31" s="85">
        <f t="shared" si="3"/>
        <v>0</v>
      </c>
      <c r="G31" s="65">
        <f t="shared" si="4"/>
        <v>0</v>
      </c>
    </row>
    <row r="32" spans="1:11" ht="13.5" hidden="1" thickBot="1">
      <c r="A32" s="70">
        <f t="shared" si="5"/>
        <v>12</v>
      </c>
      <c r="B32" s="85">
        <f t="shared" si="6"/>
        <v>0</v>
      </c>
      <c r="C32" s="85">
        <f t="shared" si="0"/>
        <v>0</v>
      </c>
      <c r="D32" s="85">
        <f t="shared" si="1"/>
        <v>0</v>
      </c>
      <c r="E32" s="86">
        <f t="shared" si="2"/>
        <v>0</v>
      </c>
      <c r="F32" s="85">
        <f t="shared" si="3"/>
        <v>0</v>
      </c>
      <c r="G32" s="65">
        <f t="shared" si="4"/>
        <v>0</v>
      </c>
    </row>
    <row r="33" spans="1:7" ht="13.5" hidden="1" thickBot="1">
      <c r="A33" s="70">
        <f t="shared" si="5"/>
        <v>13</v>
      </c>
      <c r="B33" s="85">
        <f t="shared" si="6"/>
        <v>0</v>
      </c>
      <c r="C33" s="85">
        <f t="shared" si="0"/>
        <v>0</v>
      </c>
      <c r="D33" s="85">
        <f t="shared" si="1"/>
        <v>0</v>
      </c>
      <c r="E33" s="86">
        <f t="shared" si="2"/>
        <v>0</v>
      </c>
      <c r="F33" s="85">
        <f t="shared" si="3"/>
        <v>0</v>
      </c>
      <c r="G33" s="65">
        <f t="shared" si="4"/>
        <v>0</v>
      </c>
    </row>
    <row r="34" spans="1:7" ht="13.5" hidden="1" thickBot="1">
      <c r="A34" s="70">
        <f t="shared" si="5"/>
        <v>14</v>
      </c>
      <c r="B34" s="85">
        <f t="shared" si="6"/>
        <v>0</v>
      </c>
      <c r="C34" s="85">
        <f t="shared" si="0"/>
        <v>0</v>
      </c>
      <c r="D34" s="85">
        <f t="shared" si="1"/>
        <v>0</v>
      </c>
      <c r="E34" s="86">
        <f t="shared" si="2"/>
        <v>0</v>
      </c>
      <c r="F34" s="85">
        <f t="shared" si="3"/>
        <v>0</v>
      </c>
      <c r="G34" s="65">
        <f t="shared" si="4"/>
        <v>0</v>
      </c>
    </row>
    <row r="35" spans="1:7" ht="13.5" hidden="1" thickBot="1">
      <c r="A35" s="70">
        <f t="shared" si="5"/>
        <v>15</v>
      </c>
      <c r="B35" s="85">
        <f t="shared" si="6"/>
        <v>0</v>
      </c>
      <c r="C35" s="85">
        <f t="shared" si="0"/>
        <v>0</v>
      </c>
      <c r="D35" s="85">
        <f t="shared" si="1"/>
        <v>0</v>
      </c>
      <c r="E35" s="86">
        <f t="shared" si="2"/>
        <v>0</v>
      </c>
      <c r="F35" s="85">
        <f t="shared" si="3"/>
        <v>0</v>
      </c>
      <c r="G35" s="65">
        <f t="shared" si="4"/>
        <v>0</v>
      </c>
    </row>
    <row r="36" spans="1:7" ht="13.5" hidden="1" thickBot="1">
      <c r="A36" s="70">
        <f t="shared" si="5"/>
        <v>16</v>
      </c>
      <c r="B36" s="85">
        <f t="shared" si="6"/>
        <v>0</v>
      </c>
      <c r="C36" s="85">
        <f t="shared" si="0"/>
        <v>0</v>
      </c>
      <c r="D36" s="85">
        <f t="shared" si="1"/>
        <v>0</v>
      </c>
      <c r="E36" s="86">
        <f t="shared" si="2"/>
        <v>0</v>
      </c>
      <c r="F36" s="85">
        <f t="shared" si="3"/>
        <v>0</v>
      </c>
      <c r="G36" s="65">
        <f t="shared" si="4"/>
        <v>0</v>
      </c>
    </row>
    <row r="37" spans="1:7" ht="13.5" hidden="1" thickBot="1">
      <c r="A37" s="70">
        <f t="shared" si="5"/>
        <v>17</v>
      </c>
      <c r="B37" s="85">
        <f t="shared" si="6"/>
        <v>0</v>
      </c>
      <c r="C37" s="85">
        <f t="shared" si="0"/>
        <v>0</v>
      </c>
      <c r="D37" s="85">
        <f t="shared" si="1"/>
        <v>0</v>
      </c>
      <c r="E37" s="86">
        <f t="shared" si="2"/>
        <v>0</v>
      </c>
      <c r="F37" s="85">
        <f t="shared" si="3"/>
        <v>0</v>
      </c>
      <c r="G37" s="65">
        <f t="shared" si="4"/>
        <v>0</v>
      </c>
    </row>
    <row r="38" spans="1:7" ht="13.5" hidden="1" thickBot="1">
      <c r="A38" s="70">
        <f t="shared" si="5"/>
        <v>18</v>
      </c>
      <c r="B38" s="85">
        <f t="shared" si="6"/>
        <v>0</v>
      </c>
      <c r="C38" s="85">
        <f t="shared" si="0"/>
        <v>0</v>
      </c>
      <c r="D38" s="85">
        <f t="shared" si="1"/>
        <v>0</v>
      </c>
      <c r="E38" s="86">
        <f t="shared" si="2"/>
        <v>0</v>
      </c>
      <c r="F38" s="85">
        <f t="shared" si="3"/>
        <v>0</v>
      </c>
      <c r="G38" s="65">
        <f t="shared" si="4"/>
        <v>0</v>
      </c>
    </row>
    <row r="39" spans="1:7" ht="13.5" hidden="1" thickBot="1">
      <c r="A39" s="70">
        <f t="shared" si="5"/>
        <v>19</v>
      </c>
      <c r="B39" s="85">
        <f t="shared" si="6"/>
        <v>0</v>
      </c>
      <c r="C39" s="85">
        <f t="shared" si="0"/>
        <v>0</v>
      </c>
      <c r="D39" s="85">
        <f t="shared" si="1"/>
        <v>0</v>
      </c>
      <c r="E39" s="86">
        <f t="shared" si="2"/>
        <v>0</v>
      </c>
      <c r="F39" s="85">
        <f t="shared" si="3"/>
        <v>0</v>
      </c>
      <c r="G39" s="65">
        <f t="shared" si="4"/>
        <v>0</v>
      </c>
    </row>
    <row r="40" spans="1:7" ht="13.5" hidden="1" thickBot="1">
      <c r="A40" s="70">
        <f t="shared" si="5"/>
        <v>20</v>
      </c>
      <c r="B40" s="85">
        <f t="shared" si="6"/>
        <v>0</v>
      </c>
      <c r="C40" s="85">
        <f t="shared" si="0"/>
        <v>0</v>
      </c>
      <c r="D40" s="85">
        <f t="shared" si="1"/>
        <v>0</v>
      </c>
      <c r="E40" s="86">
        <f t="shared" si="2"/>
        <v>0</v>
      </c>
      <c r="F40" s="85">
        <f t="shared" si="3"/>
        <v>0</v>
      </c>
      <c r="G40" s="65">
        <f t="shared" si="4"/>
        <v>0</v>
      </c>
    </row>
    <row r="41" spans="1:7" ht="13.5" hidden="1" thickBot="1">
      <c r="A41" s="70">
        <f t="shared" si="5"/>
        <v>21</v>
      </c>
      <c r="B41" s="85">
        <f t="shared" si="6"/>
        <v>0</v>
      </c>
      <c r="C41" s="85">
        <f t="shared" si="0"/>
        <v>0</v>
      </c>
      <c r="D41" s="85">
        <f t="shared" si="1"/>
        <v>0</v>
      </c>
      <c r="E41" s="86">
        <f t="shared" si="2"/>
        <v>0</v>
      </c>
      <c r="F41" s="85">
        <f t="shared" si="3"/>
        <v>0</v>
      </c>
      <c r="G41" s="65">
        <f t="shared" si="4"/>
        <v>0</v>
      </c>
    </row>
    <row r="42" spans="1:7" ht="13.5" hidden="1" thickBot="1">
      <c r="A42" s="70">
        <f t="shared" si="5"/>
        <v>22</v>
      </c>
      <c r="B42" s="85">
        <f t="shared" si="6"/>
        <v>0</v>
      </c>
      <c r="C42" s="85">
        <f t="shared" si="0"/>
        <v>0</v>
      </c>
      <c r="D42" s="85">
        <f t="shared" si="1"/>
        <v>0</v>
      </c>
      <c r="E42" s="86">
        <f t="shared" si="2"/>
        <v>0</v>
      </c>
      <c r="F42" s="85">
        <f t="shared" si="3"/>
        <v>0</v>
      </c>
      <c r="G42" s="65">
        <f t="shared" si="4"/>
        <v>0</v>
      </c>
    </row>
    <row r="43" spans="1:7" ht="13.5" hidden="1" thickBot="1">
      <c r="A43" s="70">
        <f t="shared" si="5"/>
        <v>23</v>
      </c>
      <c r="B43" s="85">
        <f t="shared" si="6"/>
        <v>0</v>
      </c>
      <c r="C43" s="85">
        <f t="shared" si="0"/>
        <v>0</v>
      </c>
      <c r="D43" s="85">
        <f t="shared" si="1"/>
        <v>0</v>
      </c>
      <c r="E43" s="86">
        <f t="shared" si="2"/>
        <v>0</v>
      </c>
      <c r="F43" s="85">
        <f t="shared" si="3"/>
        <v>0</v>
      </c>
      <c r="G43" s="65">
        <f t="shared" si="4"/>
        <v>0</v>
      </c>
    </row>
    <row r="44" spans="1:7" ht="13.5" hidden="1" thickBot="1">
      <c r="A44" s="70">
        <f t="shared" si="5"/>
        <v>24</v>
      </c>
      <c r="B44" s="85">
        <f t="shared" si="6"/>
        <v>0</v>
      </c>
      <c r="C44" s="85">
        <f t="shared" si="0"/>
        <v>0</v>
      </c>
      <c r="D44" s="85">
        <f t="shared" si="1"/>
        <v>0</v>
      </c>
      <c r="E44" s="86">
        <f t="shared" si="2"/>
        <v>0</v>
      </c>
      <c r="F44" s="85">
        <f t="shared" si="3"/>
        <v>0</v>
      </c>
      <c r="G44" s="65">
        <f t="shared" si="4"/>
        <v>0</v>
      </c>
    </row>
    <row r="45" spans="1:7" ht="13.5" hidden="1" thickBot="1">
      <c r="A45" s="70">
        <f t="shared" si="5"/>
        <v>25</v>
      </c>
      <c r="B45" s="85">
        <f t="shared" si="6"/>
        <v>0</v>
      </c>
      <c r="C45" s="85">
        <f t="shared" si="0"/>
        <v>0</v>
      </c>
      <c r="D45" s="85">
        <f t="shared" si="1"/>
        <v>0</v>
      </c>
      <c r="E45" s="86">
        <f t="shared" si="2"/>
        <v>0</v>
      </c>
      <c r="F45" s="85">
        <f t="shared" si="3"/>
        <v>0</v>
      </c>
      <c r="G45" s="65">
        <f t="shared" si="4"/>
        <v>0</v>
      </c>
    </row>
    <row r="46" spans="1:7" ht="13.5" hidden="1" thickBot="1">
      <c r="A46" s="70">
        <f t="shared" si="5"/>
        <v>26</v>
      </c>
      <c r="B46" s="85">
        <f t="shared" si="6"/>
        <v>0</v>
      </c>
      <c r="C46" s="85">
        <f t="shared" si="0"/>
        <v>0</v>
      </c>
      <c r="D46" s="85">
        <f t="shared" si="1"/>
        <v>0</v>
      </c>
      <c r="E46" s="86">
        <f t="shared" si="2"/>
        <v>0</v>
      </c>
      <c r="F46" s="85">
        <f t="shared" si="3"/>
        <v>0</v>
      </c>
      <c r="G46" s="65">
        <f t="shared" si="4"/>
        <v>0</v>
      </c>
    </row>
    <row r="47" spans="1:7" ht="13.5" hidden="1" thickBot="1">
      <c r="A47" s="70">
        <f t="shared" si="5"/>
        <v>27</v>
      </c>
      <c r="B47" s="85">
        <f t="shared" si="6"/>
        <v>0</v>
      </c>
      <c r="C47" s="85">
        <f t="shared" si="0"/>
        <v>0</v>
      </c>
      <c r="D47" s="85">
        <f t="shared" si="1"/>
        <v>0</v>
      </c>
      <c r="E47" s="86">
        <f t="shared" si="2"/>
        <v>0</v>
      </c>
      <c r="F47" s="85">
        <f t="shared" si="3"/>
        <v>0</v>
      </c>
      <c r="G47" s="65">
        <f t="shared" si="4"/>
        <v>0</v>
      </c>
    </row>
    <row r="48" spans="1:7" ht="13.5" hidden="1" thickBot="1">
      <c r="A48" s="70">
        <f t="shared" si="5"/>
        <v>28</v>
      </c>
      <c r="B48" s="85">
        <f t="shared" si="6"/>
        <v>0</v>
      </c>
      <c r="C48" s="85">
        <f t="shared" si="0"/>
        <v>0</v>
      </c>
      <c r="D48" s="85">
        <f t="shared" si="1"/>
        <v>0</v>
      </c>
      <c r="E48" s="86">
        <f t="shared" si="2"/>
        <v>0</v>
      </c>
      <c r="F48" s="85">
        <f t="shared" si="3"/>
        <v>0</v>
      </c>
      <c r="G48" s="65">
        <f t="shared" si="4"/>
        <v>0</v>
      </c>
    </row>
    <row r="49" spans="1:7" ht="13.5" hidden="1" thickBot="1">
      <c r="A49" s="70">
        <f t="shared" si="5"/>
        <v>29</v>
      </c>
      <c r="B49" s="85">
        <f t="shared" si="6"/>
        <v>0</v>
      </c>
      <c r="C49" s="85">
        <f t="shared" si="0"/>
        <v>0</v>
      </c>
      <c r="D49" s="85">
        <f t="shared" si="1"/>
        <v>0</v>
      </c>
      <c r="E49" s="86">
        <f t="shared" si="2"/>
        <v>0</v>
      </c>
      <c r="F49" s="85">
        <f t="shared" si="3"/>
        <v>0</v>
      </c>
      <c r="G49" s="65">
        <f t="shared" si="4"/>
        <v>0</v>
      </c>
    </row>
    <row r="50" spans="1:7" ht="13.5" hidden="1" thickBot="1">
      <c r="A50" s="70">
        <f t="shared" si="5"/>
        <v>30</v>
      </c>
      <c r="B50" s="85">
        <f t="shared" si="6"/>
        <v>0</v>
      </c>
      <c r="C50" s="85">
        <f t="shared" si="0"/>
        <v>0</v>
      </c>
      <c r="D50" s="85">
        <f t="shared" si="1"/>
        <v>0</v>
      </c>
      <c r="E50" s="86">
        <f t="shared" si="2"/>
        <v>0</v>
      </c>
      <c r="F50" s="85">
        <f t="shared" si="3"/>
        <v>0</v>
      </c>
      <c r="G50" s="65">
        <f t="shared" si="4"/>
        <v>0</v>
      </c>
    </row>
    <row r="51" spans="1:7" ht="13.5" hidden="1" thickBot="1">
      <c r="A51" s="70">
        <f t="shared" si="5"/>
        <v>31</v>
      </c>
      <c r="B51" s="85">
        <f t="shared" si="6"/>
        <v>0</v>
      </c>
      <c r="C51" s="85">
        <f t="shared" si="0"/>
        <v>0</v>
      </c>
      <c r="D51" s="85">
        <f t="shared" si="1"/>
        <v>0</v>
      </c>
      <c r="E51" s="86">
        <f t="shared" si="2"/>
        <v>0</v>
      </c>
      <c r="F51" s="85">
        <f t="shared" si="3"/>
        <v>0</v>
      </c>
      <c r="G51" s="65">
        <f t="shared" si="4"/>
        <v>0</v>
      </c>
    </row>
    <row r="52" spans="1:7" ht="13.5" hidden="1" thickBot="1">
      <c r="A52" s="70">
        <f t="shared" si="5"/>
        <v>32</v>
      </c>
      <c r="B52" s="85">
        <f t="shared" si="6"/>
        <v>0</v>
      </c>
      <c r="C52" s="85">
        <f t="shared" si="0"/>
        <v>0</v>
      </c>
      <c r="D52" s="85">
        <f t="shared" si="1"/>
        <v>0</v>
      </c>
      <c r="E52" s="86">
        <f t="shared" si="2"/>
        <v>0</v>
      </c>
      <c r="F52" s="85">
        <f t="shared" si="3"/>
        <v>0</v>
      </c>
      <c r="G52" s="65">
        <f t="shared" si="4"/>
        <v>0</v>
      </c>
    </row>
    <row r="53" spans="1:7" ht="13.5" hidden="1" thickBot="1">
      <c r="A53" s="70">
        <f t="shared" si="5"/>
        <v>33</v>
      </c>
      <c r="B53" s="85">
        <f t="shared" si="6"/>
        <v>0</v>
      </c>
      <c r="C53" s="85">
        <f t="shared" si="0"/>
        <v>0</v>
      </c>
      <c r="D53" s="85">
        <f t="shared" si="1"/>
        <v>0</v>
      </c>
      <c r="E53" s="86">
        <f t="shared" si="2"/>
        <v>0</v>
      </c>
      <c r="F53" s="85">
        <f t="shared" si="3"/>
        <v>0</v>
      </c>
      <c r="G53" s="65">
        <f t="shared" si="4"/>
        <v>0</v>
      </c>
    </row>
    <row r="54" spans="1:7" ht="13.5" hidden="1" thickBot="1">
      <c r="A54" s="70">
        <f t="shared" si="5"/>
        <v>34</v>
      </c>
      <c r="B54" s="85">
        <f t="shared" si="6"/>
        <v>0</v>
      </c>
      <c r="C54" s="85">
        <f t="shared" si="0"/>
        <v>0</v>
      </c>
      <c r="D54" s="85">
        <f t="shared" si="1"/>
        <v>0</v>
      </c>
      <c r="E54" s="86">
        <f t="shared" si="2"/>
        <v>0</v>
      </c>
      <c r="F54" s="85">
        <f t="shared" si="3"/>
        <v>0</v>
      </c>
      <c r="G54" s="65">
        <f t="shared" si="4"/>
        <v>0</v>
      </c>
    </row>
    <row r="55" spans="1:7" ht="13.5" hidden="1" thickBot="1">
      <c r="A55" s="70">
        <f t="shared" si="5"/>
        <v>35</v>
      </c>
      <c r="B55" s="85">
        <f t="shared" si="6"/>
        <v>0</v>
      </c>
      <c r="C55" s="85">
        <f t="shared" si="0"/>
        <v>0</v>
      </c>
      <c r="D55" s="85">
        <f t="shared" si="1"/>
        <v>0</v>
      </c>
      <c r="E55" s="86">
        <f t="shared" si="2"/>
        <v>0</v>
      </c>
      <c r="F55" s="85">
        <f t="shared" si="3"/>
        <v>0</v>
      </c>
      <c r="G55" s="65">
        <f t="shared" si="4"/>
        <v>0</v>
      </c>
    </row>
    <row r="56" spans="1:7" ht="13.5" hidden="1" thickBot="1">
      <c r="A56" s="70">
        <f t="shared" si="5"/>
        <v>36</v>
      </c>
      <c r="B56" s="85">
        <f t="shared" si="6"/>
        <v>0</v>
      </c>
      <c r="C56" s="85">
        <f t="shared" si="0"/>
        <v>0</v>
      </c>
      <c r="D56" s="85">
        <f t="shared" si="1"/>
        <v>0</v>
      </c>
      <c r="E56" s="86">
        <f t="shared" si="2"/>
        <v>0</v>
      </c>
      <c r="F56" s="85">
        <f t="shared" si="3"/>
        <v>0</v>
      </c>
      <c r="G56" s="65">
        <f t="shared" si="4"/>
        <v>0</v>
      </c>
    </row>
    <row r="57" spans="1:7" ht="13.5" hidden="1" thickBot="1">
      <c r="A57" s="70">
        <f t="shared" si="5"/>
        <v>37</v>
      </c>
      <c r="B57" s="85">
        <f t="shared" si="6"/>
        <v>0</v>
      </c>
      <c r="C57" s="85">
        <f t="shared" si="0"/>
        <v>0</v>
      </c>
      <c r="D57" s="85">
        <f t="shared" si="1"/>
        <v>0</v>
      </c>
      <c r="E57" s="86">
        <f t="shared" si="2"/>
        <v>0</v>
      </c>
      <c r="F57" s="85">
        <f t="shared" si="3"/>
        <v>0</v>
      </c>
      <c r="G57" s="65">
        <f t="shared" si="4"/>
        <v>0</v>
      </c>
    </row>
    <row r="58" spans="1:7" ht="13.5" hidden="1" thickBot="1">
      <c r="A58" s="70">
        <f t="shared" si="5"/>
        <v>38</v>
      </c>
      <c r="B58" s="85">
        <f t="shared" si="6"/>
        <v>0</v>
      </c>
      <c r="C58" s="85">
        <f t="shared" si="0"/>
        <v>0</v>
      </c>
      <c r="D58" s="85">
        <f t="shared" si="1"/>
        <v>0</v>
      </c>
      <c r="E58" s="86">
        <f t="shared" si="2"/>
        <v>0</v>
      </c>
      <c r="F58" s="85">
        <f t="shared" si="3"/>
        <v>0</v>
      </c>
      <c r="G58" s="65">
        <f t="shared" si="4"/>
        <v>0</v>
      </c>
    </row>
    <row r="59" spans="1:7" ht="13.5" hidden="1" thickBot="1">
      <c r="A59" s="70">
        <f t="shared" si="5"/>
        <v>39</v>
      </c>
      <c r="B59" s="85">
        <f t="shared" si="6"/>
        <v>0</v>
      </c>
      <c r="C59" s="85">
        <f t="shared" si="0"/>
        <v>0</v>
      </c>
      <c r="D59" s="85">
        <f t="shared" si="1"/>
        <v>0</v>
      </c>
      <c r="E59" s="86">
        <f t="shared" si="2"/>
        <v>0</v>
      </c>
      <c r="F59" s="85">
        <f t="shared" si="3"/>
        <v>0</v>
      </c>
      <c r="G59" s="65">
        <f t="shared" si="4"/>
        <v>0</v>
      </c>
    </row>
    <row r="60" spans="1:7" ht="13.5" hidden="1" thickBot="1">
      <c r="A60" s="70">
        <f t="shared" si="5"/>
        <v>40</v>
      </c>
      <c r="B60" s="85">
        <f t="shared" si="6"/>
        <v>0</v>
      </c>
      <c r="C60" s="85">
        <f t="shared" si="0"/>
        <v>0</v>
      </c>
      <c r="D60" s="85">
        <f t="shared" si="1"/>
        <v>0</v>
      </c>
      <c r="E60" s="86">
        <f t="shared" si="2"/>
        <v>0</v>
      </c>
      <c r="F60" s="85">
        <f t="shared" si="3"/>
        <v>0</v>
      </c>
      <c r="G60" s="65">
        <f t="shared" si="4"/>
        <v>0</v>
      </c>
    </row>
    <row r="61" spans="1:7" ht="13.5" hidden="1" thickBot="1">
      <c r="A61" s="70">
        <f t="shared" si="5"/>
        <v>41</v>
      </c>
      <c r="B61" s="85">
        <f t="shared" si="6"/>
        <v>0</v>
      </c>
      <c r="C61" s="85">
        <f t="shared" si="0"/>
        <v>0</v>
      </c>
      <c r="D61" s="85">
        <f t="shared" si="1"/>
        <v>0</v>
      </c>
      <c r="E61" s="86">
        <f t="shared" si="2"/>
        <v>0</v>
      </c>
      <c r="F61" s="85">
        <f t="shared" si="3"/>
        <v>0</v>
      </c>
      <c r="G61" s="65">
        <f t="shared" si="4"/>
        <v>0</v>
      </c>
    </row>
    <row r="62" spans="1:7" ht="13.5" hidden="1" thickBot="1">
      <c r="A62" s="70">
        <f t="shared" si="5"/>
        <v>42</v>
      </c>
      <c r="B62" s="85">
        <f t="shared" si="6"/>
        <v>0</v>
      </c>
      <c r="C62" s="85">
        <f t="shared" si="0"/>
        <v>0</v>
      </c>
      <c r="D62" s="85">
        <f t="shared" si="1"/>
        <v>0</v>
      </c>
      <c r="E62" s="86">
        <f t="shared" si="2"/>
        <v>0</v>
      </c>
      <c r="F62" s="85">
        <f t="shared" si="3"/>
        <v>0</v>
      </c>
      <c r="G62" s="65">
        <f t="shared" si="4"/>
        <v>0</v>
      </c>
    </row>
    <row r="63" spans="1:7" ht="13.5" hidden="1" thickBot="1">
      <c r="A63" s="70">
        <f t="shared" si="5"/>
        <v>43</v>
      </c>
      <c r="B63" s="85">
        <f t="shared" si="6"/>
        <v>0</v>
      </c>
      <c r="C63" s="85">
        <f t="shared" si="0"/>
        <v>0</v>
      </c>
      <c r="D63" s="85">
        <f t="shared" si="1"/>
        <v>0</v>
      </c>
      <c r="E63" s="86">
        <f t="shared" si="2"/>
        <v>0</v>
      </c>
      <c r="F63" s="85">
        <f t="shared" si="3"/>
        <v>0</v>
      </c>
      <c r="G63" s="65">
        <f t="shared" si="4"/>
        <v>0</v>
      </c>
    </row>
    <row r="64" spans="1:7" ht="13.5" hidden="1" thickBot="1">
      <c r="A64" s="70">
        <f t="shared" si="5"/>
        <v>44</v>
      </c>
      <c r="B64" s="85">
        <f t="shared" si="6"/>
        <v>0</v>
      </c>
      <c r="C64" s="85">
        <f t="shared" si="0"/>
        <v>0</v>
      </c>
      <c r="D64" s="85">
        <f t="shared" si="1"/>
        <v>0</v>
      </c>
      <c r="E64" s="86">
        <f t="shared" si="2"/>
        <v>0</v>
      </c>
      <c r="F64" s="85">
        <f t="shared" si="3"/>
        <v>0</v>
      </c>
      <c r="G64" s="65">
        <f t="shared" si="4"/>
        <v>0</v>
      </c>
    </row>
    <row r="65" spans="1:7" ht="13.5" hidden="1" thickBot="1">
      <c r="A65" s="70">
        <f t="shared" si="5"/>
        <v>45</v>
      </c>
      <c r="B65" s="85">
        <f t="shared" si="6"/>
        <v>0</v>
      </c>
      <c r="C65" s="85">
        <f t="shared" si="0"/>
        <v>0</v>
      </c>
      <c r="D65" s="85">
        <f t="shared" si="1"/>
        <v>0</v>
      </c>
      <c r="E65" s="86">
        <f t="shared" si="2"/>
        <v>0</v>
      </c>
      <c r="F65" s="85">
        <f t="shared" si="3"/>
        <v>0</v>
      </c>
      <c r="G65" s="65">
        <f t="shared" si="4"/>
        <v>0</v>
      </c>
    </row>
    <row r="66" spans="1:7" ht="13.5" hidden="1" thickBot="1">
      <c r="A66" s="70">
        <f t="shared" si="5"/>
        <v>46</v>
      </c>
      <c r="B66" s="85">
        <f t="shared" si="6"/>
        <v>0</v>
      </c>
      <c r="C66" s="85">
        <f t="shared" si="0"/>
        <v>0</v>
      </c>
      <c r="D66" s="85">
        <f t="shared" si="1"/>
        <v>0</v>
      </c>
      <c r="E66" s="86">
        <f t="shared" si="2"/>
        <v>0</v>
      </c>
      <c r="F66" s="85">
        <f t="shared" si="3"/>
        <v>0</v>
      </c>
      <c r="G66" s="65">
        <f t="shared" si="4"/>
        <v>0</v>
      </c>
    </row>
    <row r="67" spans="1:7" ht="13.5" hidden="1" thickBot="1">
      <c r="A67" s="70">
        <f t="shared" si="5"/>
        <v>47</v>
      </c>
      <c r="B67" s="85">
        <f t="shared" si="6"/>
        <v>0</v>
      </c>
      <c r="C67" s="85">
        <f t="shared" si="0"/>
        <v>0</v>
      </c>
      <c r="D67" s="85">
        <f t="shared" si="1"/>
        <v>0</v>
      </c>
      <c r="E67" s="86">
        <f t="shared" si="2"/>
        <v>0</v>
      </c>
      <c r="F67" s="85">
        <f t="shared" si="3"/>
        <v>0</v>
      </c>
      <c r="G67" s="65">
        <f t="shared" si="4"/>
        <v>0</v>
      </c>
    </row>
    <row r="68" spans="1:7" ht="13.5" hidden="1" thickBot="1">
      <c r="A68" s="70">
        <f t="shared" si="5"/>
        <v>48</v>
      </c>
      <c r="B68" s="85">
        <f t="shared" si="6"/>
        <v>0</v>
      </c>
      <c r="C68" s="85">
        <f t="shared" si="0"/>
        <v>0</v>
      </c>
      <c r="D68" s="85">
        <f t="shared" si="1"/>
        <v>0</v>
      </c>
      <c r="E68" s="86">
        <f t="shared" si="2"/>
        <v>0</v>
      </c>
      <c r="F68" s="85">
        <f t="shared" si="3"/>
        <v>0</v>
      </c>
      <c r="G68" s="65">
        <f t="shared" si="4"/>
        <v>0</v>
      </c>
    </row>
    <row r="69" spans="1:7" ht="13.5" hidden="1" thickBot="1">
      <c r="A69" s="70">
        <f t="shared" si="5"/>
        <v>49</v>
      </c>
      <c r="B69" s="85">
        <f t="shared" si="6"/>
        <v>0</v>
      </c>
      <c r="C69" s="85">
        <f t="shared" si="0"/>
        <v>0</v>
      </c>
      <c r="D69" s="85">
        <f t="shared" si="1"/>
        <v>0</v>
      </c>
      <c r="E69" s="86">
        <f t="shared" si="2"/>
        <v>0</v>
      </c>
      <c r="F69" s="85">
        <f t="shared" si="3"/>
        <v>0</v>
      </c>
      <c r="G69" s="65">
        <f t="shared" si="4"/>
        <v>0</v>
      </c>
    </row>
    <row r="70" spans="1:7" ht="13.5" hidden="1" thickBot="1">
      <c r="A70" s="70">
        <f t="shared" si="5"/>
        <v>50</v>
      </c>
      <c r="B70" s="85">
        <f t="shared" si="6"/>
        <v>0</v>
      </c>
      <c r="C70" s="85">
        <f t="shared" si="0"/>
        <v>0</v>
      </c>
      <c r="D70" s="85">
        <f t="shared" si="1"/>
        <v>0</v>
      </c>
      <c r="E70" s="86">
        <f t="shared" si="2"/>
        <v>0</v>
      </c>
      <c r="F70" s="85">
        <f t="shared" si="3"/>
        <v>0</v>
      </c>
      <c r="G70" s="65">
        <f t="shared" si="4"/>
        <v>0</v>
      </c>
    </row>
    <row r="71" spans="1:7" ht="13.5" hidden="1" thickBot="1">
      <c r="A71" s="70">
        <f t="shared" si="5"/>
        <v>51</v>
      </c>
      <c r="B71" s="85">
        <f t="shared" si="6"/>
        <v>0</v>
      </c>
      <c r="C71" s="85">
        <f t="shared" si="0"/>
        <v>0</v>
      </c>
      <c r="D71" s="85">
        <f t="shared" si="1"/>
        <v>0</v>
      </c>
      <c r="E71" s="86">
        <f t="shared" si="2"/>
        <v>0</v>
      </c>
      <c r="F71" s="85">
        <f t="shared" si="3"/>
        <v>0</v>
      </c>
      <c r="G71" s="65">
        <f t="shared" si="4"/>
        <v>0</v>
      </c>
    </row>
    <row r="72" spans="1:7" ht="13.5" hidden="1" thickBot="1">
      <c r="A72" s="70">
        <f t="shared" si="5"/>
        <v>52</v>
      </c>
      <c r="B72" s="85">
        <f t="shared" si="6"/>
        <v>0</v>
      </c>
      <c r="C72" s="85">
        <f t="shared" si="0"/>
        <v>0</v>
      </c>
      <c r="D72" s="85">
        <f t="shared" si="1"/>
        <v>0</v>
      </c>
      <c r="E72" s="86">
        <f t="shared" si="2"/>
        <v>0</v>
      </c>
      <c r="F72" s="85">
        <f t="shared" si="3"/>
        <v>0</v>
      </c>
      <c r="G72" s="65">
        <f t="shared" si="4"/>
        <v>0</v>
      </c>
    </row>
    <row r="73" spans="1:7" ht="13.5" hidden="1" thickBot="1">
      <c r="A73" s="70">
        <f t="shared" si="5"/>
        <v>53</v>
      </c>
      <c r="B73" s="85">
        <f t="shared" si="6"/>
        <v>0</v>
      </c>
      <c r="C73" s="85">
        <f t="shared" si="0"/>
        <v>0</v>
      </c>
      <c r="D73" s="85">
        <f t="shared" si="1"/>
        <v>0</v>
      </c>
      <c r="E73" s="86">
        <f t="shared" si="2"/>
        <v>0</v>
      </c>
      <c r="F73" s="85">
        <f t="shared" si="3"/>
        <v>0</v>
      </c>
      <c r="G73" s="65">
        <f t="shared" si="4"/>
        <v>0</v>
      </c>
    </row>
    <row r="74" spans="1:7" ht="13.5" hidden="1" thickBot="1">
      <c r="A74" s="70">
        <f t="shared" si="5"/>
        <v>54</v>
      </c>
      <c r="B74" s="85">
        <f t="shared" si="6"/>
        <v>0</v>
      </c>
      <c r="C74" s="85">
        <f t="shared" si="0"/>
        <v>0</v>
      </c>
      <c r="D74" s="85">
        <f t="shared" si="1"/>
        <v>0</v>
      </c>
      <c r="E74" s="86">
        <f t="shared" si="2"/>
        <v>0</v>
      </c>
      <c r="F74" s="85">
        <f t="shared" si="3"/>
        <v>0</v>
      </c>
      <c r="G74" s="65">
        <f t="shared" si="4"/>
        <v>0</v>
      </c>
    </row>
    <row r="75" spans="1:7" ht="13.5" hidden="1" thickBot="1">
      <c r="A75" s="70">
        <f t="shared" si="5"/>
        <v>55</v>
      </c>
      <c r="B75" s="85">
        <f t="shared" si="6"/>
        <v>0</v>
      </c>
      <c r="C75" s="85">
        <f t="shared" si="0"/>
        <v>0</v>
      </c>
      <c r="D75" s="85">
        <f t="shared" si="1"/>
        <v>0</v>
      </c>
      <c r="E75" s="86">
        <f t="shared" si="2"/>
        <v>0</v>
      </c>
      <c r="F75" s="85">
        <f t="shared" si="3"/>
        <v>0</v>
      </c>
      <c r="G75" s="65">
        <f t="shared" si="4"/>
        <v>0</v>
      </c>
    </row>
    <row r="76" spans="1:7" ht="13.5" hidden="1" thickBot="1">
      <c r="A76" s="70">
        <f t="shared" si="5"/>
        <v>56</v>
      </c>
      <c r="B76" s="85">
        <f t="shared" si="6"/>
        <v>0</v>
      </c>
      <c r="C76" s="85">
        <f t="shared" si="0"/>
        <v>0</v>
      </c>
      <c r="D76" s="85">
        <f t="shared" si="1"/>
        <v>0</v>
      </c>
      <c r="E76" s="86">
        <f t="shared" si="2"/>
        <v>0</v>
      </c>
      <c r="F76" s="85">
        <f t="shared" si="3"/>
        <v>0</v>
      </c>
      <c r="G76" s="65">
        <f t="shared" si="4"/>
        <v>0</v>
      </c>
    </row>
    <row r="77" spans="1:7" ht="13.5" hidden="1" thickBot="1">
      <c r="A77" s="70">
        <f t="shared" si="5"/>
        <v>57</v>
      </c>
      <c r="B77" s="85">
        <f t="shared" si="6"/>
        <v>0</v>
      </c>
      <c r="C77" s="85">
        <f t="shared" si="0"/>
        <v>0</v>
      </c>
      <c r="D77" s="85">
        <f t="shared" si="1"/>
        <v>0</v>
      </c>
      <c r="E77" s="86">
        <f t="shared" si="2"/>
        <v>0</v>
      </c>
      <c r="F77" s="85">
        <f t="shared" si="3"/>
        <v>0</v>
      </c>
      <c r="G77" s="65">
        <f t="shared" si="4"/>
        <v>0</v>
      </c>
    </row>
    <row r="78" spans="1:7" ht="13.5" hidden="1" thickBot="1">
      <c r="A78" s="70">
        <f t="shared" si="5"/>
        <v>58</v>
      </c>
      <c r="B78" s="85">
        <f t="shared" si="6"/>
        <v>0</v>
      </c>
      <c r="C78" s="85">
        <f t="shared" si="0"/>
        <v>0</v>
      </c>
      <c r="D78" s="85">
        <f t="shared" si="1"/>
        <v>0</v>
      </c>
      <c r="E78" s="86">
        <f t="shared" si="2"/>
        <v>0</v>
      </c>
      <c r="F78" s="85">
        <f t="shared" si="3"/>
        <v>0</v>
      </c>
      <c r="G78" s="65">
        <f t="shared" si="4"/>
        <v>0</v>
      </c>
    </row>
    <row r="79" spans="1:7" ht="13.5" hidden="1" thickBot="1">
      <c r="A79" s="70">
        <f t="shared" si="5"/>
        <v>59</v>
      </c>
      <c r="B79" s="85">
        <f t="shared" si="6"/>
        <v>0</v>
      </c>
      <c r="C79" s="85">
        <f t="shared" si="0"/>
        <v>0</v>
      </c>
      <c r="D79" s="85">
        <f t="shared" si="1"/>
        <v>0</v>
      </c>
      <c r="E79" s="86">
        <f t="shared" si="2"/>
        <v>0</v>
      </c>
      <c r="F79" s="85">
        <f t="shared" si="3"/>
        <v>0</v>
      </c>
      <c r="G79" s="65">
        <f t="shared" si="4"/>
        <v>0</v>
      </c>
    </row>
    <row r="80" spans="1:7" ht="13.5" hidden="1" thickBot="1">
      <c r="A80" s="70">
        <f t="shared" si="5"/>
        <v>60</v>
      </c>
      <c r="B80" s="85">
        <f t="shared" si="6"/>
        <v>0</v>
      </c>
      <c r="C80" s="85">
        <f t="shared" si="0"/>
        <v>0</v>
      </c>
      <c r="D80" s="85">
        <f t="shared" si="1"/>
        <v>0</v>
      </c>
      <c r="E80" s="86">
        <f t="shared" si="2"/>
        <v>0</v>
      </c>
      <c r="F80" s="85">
        <f t="shared" si="3"/>
        <v>0</v>
      </c>
      <c r="G80" s="65">
        <f t="shared" si="4"/>
        <v>0</v>
      </c>
    </row>
    <row r="81" spans="1:7" ht="13.5" hidden="1" thickBot="1">
      <c r="A81" s="70">
        <f t="shared" si="5"/>
        <v>61</v>
      </c>
      <c r="B81" s="85">
        <f t="shared" si="6"/>
        <v>0</v>
      </c>
      <c r="C81" s="85">
        <f t="shared" si="0"/>
        <v>0</v>
      </c>
      <c r="D81" s="85">
        <f t="shared" si="1"/>
        <v>0</v>
      </c>
      <c r="E81" s="86">
        <f t="shared" si="2"/>
        <v>0</v>
      </c>
      <c r="F81" s="85">
        <f t="shared" si="3"/>
        <v>0</v>
      </c>
      <c r="G81" s="65">
        <f t="shared" si="4"/>
        <v>0</v>
      </c>
    </row>
    <row r="82" spans="1:7" ht="13.5" hidden="1" thickBot="1">
      <c r="A82" s="70">
        <f t="shared" si="5"/>
        <v>62</v>
      </c>
      <c r="B82" s="85">
        <f t="shared" si="6"/>
        <v>0</v>
      </c>
      <c r="C82" s="85">
        <f t="shared" si="0"/>
        <v>0</v>
      </c>
      <c r="D82" s="85">
        <f t="shared" si="1"/>
        <v>0</v>
      </c>
      <c r="E82" s="86">
        <f t="shared" si="2"/>
        <v>0</v>
      </c>
      <c r="F82" s="85">
        <f t="shared" si="3"/>
        <v>0</v>
      </c>
      <c r="G82" s="65">
        <f t="shared" si="4"/>
        <v>0</v>
      </c>
    </row>
    <row r="83" spans="1:7" ht="13.5" hidden="1" thickBot="1">
      <c r="A83" s="70">
        <f t="shared" si="5"/>
        <v>63</v>
      </c>
      <c r="B83" s="85">
        <f t="shared" si="6"/>
        <v>0</v>
      </c>
      <c r="C83" s="85">
        <f t="shared" si="0"/>
        <v>0</v>
      </c>
      <c r="D83" s="85">
        <f t="shared" si="1"/>
        <v>0</v>
      </c>
      <c r="E83" s="86">
        <f t="shared" si="2"/>
        <v>0</v>
      </c>
      <c r="F83" s="85">
        <f t="shared" si="3"/>
        <v>0</v>
      </c>
      <c r="G83" s="65">
        <f t="shared" si="4"/>
        <v>0</v>
      </c>
    </row>
    <row r="84" spans="1:7" ht="13.5" hidden="1" thickBot="1">
      <c r="A84" s="70">
        <f t="shared" si="5"/>
        <v>64</v>
      </c>
      <c r="B84" s="85">
        <f t="shared" si="6"/>
        <v>0</v>
      </c>
      <c r="C84" s="85">
        <f t="shared" si="0"/>
        <v>0</v>
      </c>
      <c r="D84" s="85">
        <f t="shared" si="1"/>
        <v>0</v>
      </c>
      <c r="E84" s="86">
        <f t="shared" si="2"/>
        <v>0</v>
      </c>
      <c r="F84" s="85">
        <f t="shared" si="3"/>
        <v>0</v>
      </c>
      <c r="G84" s="65">
        <f t="shared" si="4"/>
        <v>0</v>
      </c>
    </row>
    <row r="85" spans="1:7" ht="13.5" hidden="1" thickBot="1">
      <c r="A85" s="70">
        <f t="shared" si="5"/>
        <v>65</v>
      </c>
      <c r="B85" s="85">
        <f t="shared" si="6"/>
        <v>0</v>
      </c>
      <c r="C85" s="85">
        <f t="shared" ref="C85:C148" si="7">IF(A85&lt;=$D$9,$D$14*-1,0)</f>
        <v>0</v>
      </c>
      <c r="D85" s="85">
        <f t="shared" ref="D85:D148" si="8">IF(A85&gt;$D$9,0,$D$11*-1)</f>
        <v>0</v>
      </c>
      <c r="E85" s="86">
        <f t="shared" ref="E85:E148" si="9">B85*$D$10</f>
        <v>0</v>
      </c>
      <c r="F85" s="85">
        <f t="shared" ref="F85:F148" si="10">D85-E85</f>
        <v>0</v>
      </c>
      <c r="G85" s="65">
        <f t="shared" ref="G85:G148" si="11">B85-F85</f>
        <v>0</v>
      </c>
    </row>
    <row r="86" spans="1:7" ht="13.5" hidden="1" thickBot="1">
      <c r="A86" s="70">
        <f t="shared" ref="A86:A149" si="12">A85+1</f>
        <v>66</v>
      </c>
      <c r="B86" s="85">
        <f t="shared" ref="B86:B149" si="13">IF(A86&lt;=$D$9,G85,0)</f>
        <v>0</v>
      </c>
      <c r="C86" s="85">
        <f t="shared" si="7"/>
        <v>0</v>
      </c>
      <c r="D86" s="85">
        <f t="shared" si="8"/>
        <v>0</v>
      </c>
      <c r="E86" s="86">
        <f t="shared" si="9"/>
        <v>0</v>
      </c>
      <c r="F86" s="85">
        <f t="shared" si="10"/>
        <v>0</v>
      </c>
      <c r="G86" s="65">
        <f t="shared" si="11"/>
        <v>0</v>
      </c>
    </row>
    <row r="87" spans="1:7" ht="13.5" hidden="1" thickBot="1">
      <c r="A87" s="70">
        <f t="shared" si="12"/>
        <v>67</v>
      </c>
      <c r="B87" s="85">
        <f t="shared" si="13"/>
        <v>0</v>
      </c>
      <c r="C87" s="85">
        <f t="shared" si="7"/>
        <v>0</v>
      </c>
      <c r="D87" s="85">
        <f t="shared" si="8"/>
        <v>0</v>
      </c>
      <c r="E87" s="86">
        <f t="shared" si="9"/>
        <v>0</v>
      </c>
      <c r="F87" s="85">
        <f t="shared" si="10"/>
        <v>0</v>
      </c>
      <c r="G87" s="65">
        <f t="shared" si="11"/>
        <v>0</v>
      </c>
    </row>
    <row r="88" spans="1:7" ht="13.5" hidden="1" thickBot="1">
      <c r="A88" s="70">
        <f t="shared" si="12"/>
        <v>68</v>
      </c>
      <c r="B88" s="85">
        <f t="shared" si="13"/>
        <v>0</v>
      </c>
      <c r="C88" s="85">
        <f t="shared" si="7"/>
        <v>0</v>
      </c>
      <c r="D88" s="85">
        <f t="shared" si="8"/>
        <v>0</v>
      </c>
      <c r="E88" s="86">
        <f t="shared" si="9"/>
        <v>0</v>
      </c>
      <c r="F88" s="85">
        <f t="shared" si="10"/>
        <v>0</v>
      </c>
      <c r="G88" s="65">
        <f t="shared" si="11"/>
        <v>0</v>
      </c>
    </row>
    <row r="89" spans="1:7" ht="13.5" hidden="1" thickBot="1">
      <c r="A89" s="70">
        <f t="shared" si="12"/>
        <v>69</v>
      </c>
      <c r="B89" s="85">
        <f t="shared" si="13"/>
        <v>0</v>
      </c>
      <c r="C89" s="85">
        <f t="shared" si="7"/>
        <v>0</v>
      </c>
      <c r="D89" s="85">
        <f t="shared" si="8"/>
        <v>0</v>
      </c>
      <c r="E89" s="86">
        <f t="shared" si="9"/>
        <v>0</v>
      </c>
      <c r="F89" s="85">
        <f t="shared" si="10"/>
        <v>0</v>
      </c>
      <c r="G89" s="65">
        <f t="shared" si="11"/>
        <v>0</v>
      </c>
    </row>
    <row r="90" spans="1:7" ht="13.5" hidden="1" thickBot="1">
      <c r="A90" s="70">
        <f t="shared" si="12"/>
        <v>70</v>
      </c>
      <c r="B90" s="85">
        <f t="shared" si="13"/>
        <v>0</v>
      </c>
      <c r="C90" s="85">
        <f t="shared" si="7"/>
        <v>0</v>
      </c>
      <c r="D90" s="85">
        <f t="shared" si="8"/>
        <v>0</v>
      </c>
      <c r="E90" s="86">
        <f t="shared" si="9"/>
        <v>0</v>
      </c>
      <c r="F90" s="85">
        <f t="shared" si="10"/>
        <v>0</v>
      </c>
      <c r="G90" s="65">
        <f t="shared" si="11"/>
        <v>0</v>
      </c>
    </row>
    <row r="91" spans="1:7" ht="13.5" hidden="1" thickBot="1">
      <c r="A91" s="70">
        <f t="shared" si="12"/>
        <v>71</v>
      </c>
      <c r="B91" s="85">
        <f t="shared" si="13"/>
        <v>0</v>
      </c>
      <c r="C91" s="85">
        <f t="shared" si="7"/>
        <v>0</v>
      </c>
      <c r="D91" s="85">
        <f t="shared" si="8"/>
        <v>0</v>
      </c>
      <c r="E91" s="86">
        <f t="shared" si="9"/>
        <v>0</v>
      </c>
      <c r="F91" s="85">
        <f t="shared" si="10"/>
        <v>0</v>
      </c>
      <c r="G91" s="65">
        <f t="shared" si="11"/>
        <v>0</v>
      </c>
    </row>
    <row r="92" spans="1:7" ht="13.5" hidden="1" thickBot="1">
      <c r="A92" s="70">
        <f t="shared" si="12"/>
        <v>72</v>
      </c>
      <c r="B92" s="85">
        <f t="shared" si="13"/>
        <v>0</v>
      </c>
      <c r="C92" s="85">
        <f t="shared" si="7"/>
        <v>0</v>
      </c>
      <c r="D92" s="85">
        <f t="shared" si="8"/>
        <v>0</v>
      </c>
      <c r="E92" s="86">
        <f t="shared" si="9"/>
        <v>0</v>
      </c>
      <c r="F92" s="85">
        <f t="shared" si="10"/>
        <v>0</v>
      </c>
      <c r="G92" s="65">
        <f t="shared" si="11"/>
        <v>0</v>
      </c>
    </row>
    <row r="93" spans="1:7" ht="13.5" hidden="1" thickBot="1">
      <c r="A93" s="70">
        <f t="shared" si="12"/>
        <v>73</v>
      </c>
      <c r="B93" s="85">
        <f t="shared" si="13"/>
        <v>0</v>
      </c>
      <c r="C93" s="85">
        <f t="shared" si="7"/>
        <v>0</v>
      </c>
      <c r="D93" s="85">
        <f t="shared" si="8"/>
        <v>0</v>
      </c>
      <c r="E93" s="86">
        <f t="shared" si="9"/>
        <v>0</v>
      </c>
      <c r="F93" s="85">
        <f t="shared" si="10"/>
        <v>0</v>
      </c>
      <c r="G93" s="65">
        <f t="shared" si="11"/>
        <v>0</v>
      </c>
    </row>
    <row r="94" spans="1:7" ht="13.5" hidden="1" thickBot="1">
      <c r="A94" s="70">
        <f t="shared" si="12"/>
        <v>74</v>
      </c>
      <c r="B94" s="85">
        <f t="shared" si="13"/>
        <v>0</v>
      </c>
      <c r="C94" s="85">
        <f t="shared" si="7"/>
        <v>0</v>
      </c>
      <c r="D94" s="85">
        <f t="shared" si="8"/>
        <v>0</v>
      </c>
      <c r="E94" s="86">
        <f t="shared" si="9"/>
        <v>0</v>
      </c>
      <c r="F94" s="85">
        <f t="shared" si="10"/>
        <v>0</v>
      </c>
      <c r="G94" s="65">
        <f t="shared" si="11"/>
        <v>0</v>
      </c>
    </row>
    <row r="95" spans="1:7" ht="13.5" hidden="1" thickBot="1">
      <c r="A95" s="70">
        <f t="shared" si="12"/>
        <v>75</v>
      </c>
      <c r="B95" s="85">
        <f t="shared" si="13"/>
        <v>0</v>
      </c>
      <c r="C95" s="85">
        <f t="shared" si="7"/>
        <v>0</v>
      </c>
      <c r="D95" s="85">
        <f t="shared" si="8"/>
        <v>0</v>
      </c>
      <c r="E95" s="86">
        <f t="shared" si="9"/>
        <v>0</v>
      </c>
      <c r="F95" s="85">
        <f t="shared" si="10"/>
        <v>0</v>
      </c>
      <c r="G95" s="65">
        <f t="shared" si="11"/>
        <v>0</v>
      </c>
    </row>
    <row r="96" spans="1:7" ht="13.5" hidden="1" thickBot="1">
      <c r="A96" s="70">
        <f t="shared" si="12"/>
        <v>76</v>
      </c>
      <c r="B96" s="85">
        <f t="shared" si="13"/>
        <v>0</v>
      </c>
      <c r="C96" s="85">
        <f t="shared" si="7"/>
        <v>0</v>
      </c>
      <c r="D96" s="85">
        <f t="shared" si="8"/>
        <v>0</v>
      </c>
      <c r="E96" s="86">
        <f t="shared" si="9"/>
        <v>0</v>
      </c>
      <c r="F96" s="85">
        <f t="shared" si="10"/>
        <v>0</v>
      </c>
      <c r="G96" s="65">
        <f t="shared" si="11"/>
        <v>0</v>
      </c>
    </row>
    <row r="97" spans="1:7" ht="13.5" hidden="1" thickBot="1">
      <c r="A97" s="70">
        <f t="shared" si="12"/>
        <v>77</v>
      </c>
      <c r="B97" s="85">
        <f t="shared" si="13"/>
        <v>0</v>
      </c>
      <c r="C97" s="85">
        <f t="shared" si="7"/>
        <v>0</v>
      </c>
      <c r="D97" s="85">
        <f t="shared" si="8"/>
        <v>0</v>
      </c>
      <c r="E97" s="86">
        <f t="shared" si="9"/>
        <v>0</v>
      </c>
      <c r="F97" s="85">
        <f t="shared" si="10"/>
        <v>0</v>
      </c>
      <c r="G97" s="65">
        <f t="shared" si="11"/>
        <v>0</v>
      </c>
    </row>
    <row r="98" spans="1:7" ht="13.5" hidden="1" thickBot="1">
      <c r="A98" s="70">
        <f t="shared" si="12"/>
        <v>78</v>
      </c>
      <c r="B98" s="85">
        <f t="shared" si="13"/>
        <v>0</v>
      </c>
      <c r="C98" s="85">
        <f t="shared" si="7"/>
        <v>0</v>
      </c>
      <c r="D98" s="85">
        <f t="shared" si="8"/>
        <v>0</v>
      </c>
      <c r="E98" s="86">
        <f t="shared" si="9"/>
        <v>0</v>
      </c>
      <c r="F98" s="85">
        <f t="shared" si="10"/>
        <v>0</v>
      </c>
      <c r="G98" s="65">
        <f t="shared" si="11"/>
        <v>0</v>
      </c>
    </row>
    <row r="99" spans="1:7" ht="13.5" hidden="1" thickBot="1">
      <c r="A99" s="70">
        <f t="shared" si="12"/>
        <v>79</v>
      </c>
      <c r="B99" s="85">
        <f t="shared" si="13"/>
        <v>0</v>
      </c>
      <c r="C99" s="85">
        <f t="shared" si="7"/>
        <v>0</v>
      </c>
      <c r="D99" s="85">
        <f t="shared" si="8"/>
        <v>0</v>
      </c>
      <c r="E99" s="86">
        <f t="shared" si="9"/>
        <v>0</v>
      </c>
      <c r="F99" s="85">
        <f t="shared" si="10"/>
        <v>0</v>
      </c>
      <c r="G99" s="65">
        <f t="shared" si="11"/>
        <v>0</v>
      </c>
    </row>
    <row r="100" spans="1:7" ht="13.5" hidden="1" thickBot="1">
      <c r="A100" s="70">
        <f t="shared" si="12"/>
        <v>80</v>
      </c>
      <c r="B100" s="85">
        <f t="shared" si="13"/>
        <v>0</v>
      </c>
      <c r="C100" s="85">
        <f t="shared" si="7"/>
        <v>0</v>
      </c>
      <c r="D100" s="85">
        <f t="shared" si="8"/>
        <v>0</v>
      </c>
      <c r="E100" s="86">
        <f t="shared" si="9"/>
        <v>0</v>
      </c>
      <c r="F100" s="85">
        <f t="shared" si="10"/>
        <v>0</v>
      </c>
      <c r="G100" s="65">
        <f t="shared" si="11"/>
        <v>0</v>
      </c>
    </row>
    <row r="101" spans="1:7" ht="13.5" hidden="1" thickBot="1">
      <c r="A101" s="70">
        <f t="shared" si="12"/>
        <v>81</v>
      </c>
      <c r="B101" s="85">
        <f t="shared" si="13"/>
        <v>0</v>
      </c>
      <c r="C101" s="85">
        <f t="shared" si="7"/>
        <v>0</v>
      </c>
      <c r="D101" s="85">
        <f t="shared" si="8"/>
        <v>0</v>
      </c>
      <c r="E101" s="86">
        <f t="shared" si="9"/>
        <v>0</v>
      </c>
      <c r="F101" s="85">
        <f t="shared" si="10"/>
        <v>0</v>
      </c>
      <c r="G101" s="65">
        <f t="shared" si="11"/>
        <v>0</v>
      </c>
    </row>
    <row r="102" spans="1:7" ht="13.5" hidden="1" thickBot="1">
      <c r="A102" s="70">
        <f t="shared" si="12"/>
        <v>82</v>
      </c>
      <c r="B102" s="85">
        <f t="shared" si="13"/>
        <v>0</v>
      </c>
      <c r="C102" s="85">
        <f t="shared" si="7"/>
        <v>0</v>
      </c>
      <c r="D102" s="85">
        <f t="shared" si="8"/>
        <v>0</v>
      </c>
      <c r="E102" s="86">
        <f t="shared" si="9"/>
        <v>0</v>
      </c>
      <c r="F102" s="85">
        <f t="shared" si="10"/>
        <v>0</v>
      </c>
      <c r="G102" s="65">
        <f t="shared" si="11"/>
        <v>0</v>
      </c>
    </row>
    <row r="103" spans="1:7" ht="13.5" hidden="1" thickBot="1">
      <c r="A103" s="70">
        <f t="shared" si="12"/>
        <v>83</v>
      </c>
      <c r="B103" s="85">
        <f t="shared" si="13"/>
        <v>0</v>
      </c>
      <c r="C103" s="85">
        <f t="shared" si="7"/>
        <v>0</v>
      </c>
      <c r="D103" s="85">
        <f t="shared" si="8"/>
        <v>0</v>
      </c>
      <c r="E103" s="86">
        <f t="shared" si="9"/>
        <v>0</v>
      </c>
      <c r="F103" s="85">
        <f t="shared" si="10"/>
        <v>0</v>
      </c>
      <c r="G103" s="65">
        <f t="shared" si="11"/>
        <v>0</v>
      </c>
    </row>
    <row r="104" spans="1:7" ht="13.5" hidden="1" thickBot="1">
      <c r="A104" s="70">
        <f t="shared" si="12"/>
        <v>84</v>
      </c>
      <c r="B104" s="85">
        <f t="shared" si="13"/>
        <v>0</v>
      </c>
      <c r="C104" s="85">
        <f t="shared" si="7"/>
        <v>0</v>
      </c>
      <c r="D104" s="85">
        <f t="shared" si="8"/>
        <v>0</v>
      </c>
      <c r="E104" s="86">
        <f t="shared" si="9"/>
        <v>0</v>
      </c>
      <c r="F104" s="85">
        <f t="shared" si="10"/>
        <v>0</v>
      </c>
      <c r="G104" s="65">
        <f t="shared" si="11"/>
        <v>0</v>
      </c>
    </row>
    <row r="105" spans="1:7" ht="13.5" hidden="1" thickBot="1">
      <c r="A105" s="70">
        <f t="shared" si="12"/>
        <v>85</v>
      </c>
      <c r="B105" s="85">
        <f t="shared" si="13"/>
        <v>0</v>
      </c>
      <c r="C105" s="85">
        <f t="shared" si="7"/>
        <v>0</v>
      </c>
      <c r="D105" s="85">
        <f t="shared" si="8"/>
        <v>0</v>
      </c>
      <c r="E105" s="86">
        <f t="shared" si="9"/>
        <v>0</v>
      </c>
      <c r="F105" s="85">
        <f t="shared" si="10"/>
        <v>0</v>
      </c>
      <c r="G105" s="65">
        <f t="shared" si="11"/>
        <v>0</v>
      </c>
    </row>
    <row r="106" spans="1:7" ht="13.5" hidden="1" thickBot="1">
      <c r="A106" s="70">
        <f t="shared" si="12"/>
        <v>86</v>
      </c>
      <c r="B106" s="85">
        <f t="shared" si="13"/>
        <v>0</v>
      </c>
      <c r="C106" s="85">
        <f t="shared" si="7"/>
        <v>0</v>
      </c>
      <c r="D106" s="85">
        <f t="shared" si="8"/>
        <v>0</v>
      </c>
      <c r="E106" s="86">
        <f t="shared" si="9"/>
        <v>0</v>
      </c>
      <c r="F106" s="85">
        <f t="shared" si="10"/>
        <v>0</v>
      </c>
      <c r="G106" s="65">
        <f t="shared" si="11"/>
        <v>0</v>
      </c>
    </row>
    <row r="107" spans="1:7" ht="13.5" hidden="1" thickBot="1">
      <c r="A107" s="70">
        <f t="shared" si="12"/>
        <v>87</v>
      </c>
      <c r="B107" s="85">
        <f t="shared" si="13"/>
        <v>0</v>
      </c>
      <c r="C107" s="85">
        <f t="shared" si="7"/>
        <v>0</v>
      </c>
      <c r="D107" s="85">
        <f t="shared" si="8"/>
        <v>0</v>
      </c>
      <c r="E107" s="86">
        <f t="shared" si="9"/>
        <v>0</v>
      </c>
      <c r="F107" s="85">
        <f t="shared" si="10"/>
        <v>0</v>
      </c>
      <c r="G107" s="65">
        <f t="shared" si="11"/>
        <v>0</v>
      </c>
    </row>
    <row r="108" spans="1:7" ht="13.5" hidden="1" thickBot="1">
      <c r="A108" s="70">
        <f t="shared" si="12"/>
        <v>88</v>
      </c>
      <c r="B108" s="85">
        <f t="shared" si="13"/>
        <v>0</v>
      </c>
      <c r="C108" s="85">
        <f t="shared" si="7"/>
        <v>0</v>
      </c>
      <c r="D108" s="85">
        <f t="shared" si="8"/>
        <v>0</v>
      </c>
      <c r="E108" s="86">
        <f t="shared" si="9"/>
        <v>0</v>
      </c>
      <c r="F108" s="85">
        <f t="shared" si="10"/>
        <v>0</v>
      </c>
      <c r="G108" s="65">
        <f t="shared" si="11"/>
        <v>0</v>
      </c>
    </row>
    <row r="109" spans="1:7" ht="13.5" hidden="1" thickBot="1">
      <c r="A109" s="70">
        <f t="shared" si="12"/>
        <v>89</v>
      </c>
      <c r="B109" s="85">
        <f t="shared" si="13"/>
        <v>0</v>
      </c>
      <c r="C109" s="85">
        <f t="shared" si="7"/>
        <v>0</v>
      </c>
      <c r="D109" s="85">
        <f t="shared" si="8"/>
        <v>0</v>
      </c>
      <c r="E109" s="86">
        <f t="shared" si="9"/>
        <v>0</v>
      </c>
      <c r="F109" s="85">
        <f t="shared" si="10"/>
        <v>0</v>
      </c>
      <c r="G109" s="65">
        <f t="shared" si="11"/>
        <v>0</v>
      </c>
    </row>
    <row r="110" spans="1:7" ht="13.5" hidden="1" thickBot="1">
      <c r="A110" s="70">
        <f t="shared" si="12"/>
        <v>90</v>
      </c>
      <c r="B110" s="85">
        <f t="shared" si="13"/>
        <v>0</v>
      </c>
      <c r="C110" s="85">
        <f t="shared" si="7"/>
        <v>0</v>
      </c>
      <c r="D110" s="85">
        <f t="shared" si="8"/>
        <v>0</v>
      </c>
      <c r="E110" s="86">
        <f t="shared" si="9"/>
        <v>0</v>
      </c>
      <c r="F110" s="85">
        <f t="shared" si="10"/>
        <v>0</v>
      </c>
      <c r="G110" s="65">
        <f t="shared" si="11"/>
        <v>0</v>
      </c>
    </row>
    <row r="111" spans="1:7" ht="13.5" hidden="1" thickBot="1">
      <c r="A111" s="70">
        <f t="shared" si="12"/>
        <v>91</v>
      </c>
      <c r="B111" s="85">
        <f t="shared" si="13"/>
        <v>0</v>
      </c>
      <c r="C111" s="85">
        <f t="shared" si="7"/>
        <v>0</v>
      </c>
      <c r="D111" s="85">
        <f t="shared" si="8"/>
        <v>0</v>
      </c>
      <c r="E111" s="86">
        <f t="shared" si="9"/>
        <v>0</v>
      </c>
      <c r="F111" s="85">
        <f t="shared" si="10"/>
        <v>0</v>
      </c>
      <c r="G111" s="65">
        <f t="shared" si="11"/>
        <v>0</v>
      </c>
    </row>
    <row r="112" spans="1:7" ht="13.5" hidden="1" thickBot="1">
      <c r="A112" s="70">
        <f t="shared" si="12"/>
        <v>92</v>
      </c>
      <c r="B112" s="85">
        <f t="shared" si="13"/>
        <v>0</v>
      </c>
      <c r="C112" s="85">
        <f t="shared" si="7"/>
        <v>0</v>
      </c>
      <c r="D112" s="85">
        <f t="shared" si="8"/>
        <v>0</v>
      </c>
      <c r="E112" s="86">
        <f t="shared" si="9"/>
        <v>0</v>
      </c>
      <c r="F112" s="85">
        <f t="shared" si="10"/>
        <v>0</v>
      </c>
      <c r="G112" s="65">
        <f t="shared" si="11"/>
        <v>0</v>
      </c>
    </row>
    <row r="113" spans="1:7" ht="13.5" hidden="1" thickBot="1">
      <c r="A113" s="70">
        <f t="shared" si="12"/>
        <v>93</v>
      </c>
      <c r="B113" s="85">
        <f t="shared" si="13"/>
        <v>0</v>
      </c>
      <c r="C113" s="85">
        <f t="shared" si="7"/>
        <v>0</v>
      </c>
      <c r="D113" s="85">
        <f t="shared" si="8"/>
        <v>0</v>
      </c>
      <c r="E113" s="86">
        <f t="shared" si="9"/>
        <v>0</v>
      </c>
      <c r="F113" s="85">
        <f t="shared" si="10"/>
        <v>0</v>
      </c>
      <c r="G113" s="65">
        <f t="shared" si="11"/>
        <v>0</v>
      </c>
    </row>
    <row r="114" spans="1:7" ht="13.5" hidden="1" thickBot="1">
      <c r="A114" s="70">
        <f t="shared" si="12"/>
        <v>94</v>
      </c>
      <c r="B114" s="85">
        <f t="shared" si="13"/>
        <v>0</v>
      </c>
      <c r="C114" s="85">
        <f t="shared" si="7"/>
        <v>0</v>
      </c>
      <c r="D114" s="85">
        <f t="shared" si="8"/>
        <v>0</v>
      </c>
      <c r="E114" s="86">
        <f t="shared" si="9"/>
        <v>0</v>
      </c>
      <c r="F114" s="85">
        <f t="shared" si="10"/>
        <v>0</v>
      </c>
      <c r="G114" s="65">
        <f t="shared" si="11"/>
        <v>0</v>
      </c>
    </row>
    <row r="115" spans="1:7" ht="13.5" hidden="1" thickBot="1">
      <c r="A115" s="70">
        <f t="shared" si="12"/>
        <v>95</v>
      </c>
      <c r="B115" s="85">
        <f t="shared" si="13"/>
        <v>0</v>
      </c>
      <c r="C115" s="85">
        <f t="shared" si="7"/>
        <v>0</v>
      </c>
      <c r="D115" s="85">
        <f t="shared" si="8"/>
        <v>0</v>
      </c>
      <c r="E115" s="86">
        <f t="shared" si="9"/>
        <v>0</v>
      </c>
      <c r="F115" s="85">
        <f t="shared" si="10"/>
        <v>0</v>
      </c>
      <c r="G115" s="65">
        <f t="shared" si="11"/>
        <v>0</v>
      </c>
    </row>
    <row r="116" spans="1:7" ht="13.5" hidden="1" thickBot="1">
      <c r="A116" s="70">
        <f t="shared" si="12"/>
        <v>96</v>
      </c>
      <c r="B116" s="85">
        <f t="shared" si="13"/>
        <v>0</v>
      </c>
      <c r="C116" s="85">
        <f t="shared" si="7"/>
        <v>0</v>
      </c>
      <c r="D116" s="85">
        <f t="shared" si="8"/>
        <v>0</v>
      </c>
      <c r="E116" s="86">
        <f t="shared" si="9"/>
        <v>0</v>
      </c>
      <c r="F116" s="85">
        <f t="shared" si="10"/>
        <v>0</v>
      </c>
      <c r="G116" s="65">
        <f t="shared" si="11"/>
        <v>0</v>
      </c>
    </row>
    <row r="117" spans="1:7" ht="13.5" hidden="1" thickBot="1">
      <c r="A117" s="70">
        <f t="shared" si="12"/>
        <v>97</v>
      </c>
      <c r="B117" s="85">
        <f t="shared" si="13"/>
        <v>0</v>
      </c>
      <c r="C117" s="85">
        <f t="shared" si="7"/>
        <v>0</v>
      </c>
      <c r="D117" s="85">
        <f t="shared" si="8"/>
        <v>0</v>
      </c>
      <c r="E117" s="86">
        <f t="shared" si="9"/>
        <v>0</v>
      </c>
      <c r="F117" s="85">
        <f t="shared" si="10"/>
        <v>0</v>
      </c>
      <c r="G117" s="65">
        <f t="shared" si="11"/>
        <v>0</v>
      </c>
    </row>
    <row r="118" spans="1:7" ht="13.5" hidden="1" thickBot="1">
      <c r="A118" s="70">
        <f t="shared" si="12"/>
        <v>98</v>
      </c>
      <c r="B118" s="85">
        <f t="shared" si="13"/>
        <v>0</v>
      </c>
      <c r="C118" s="85">
        <f t="shared" si="7"/>
        <v>0</v>
      </c>
      <c r="D118" s="85">
        <f t="shared" si="8"/>
        <v>0</v>
      </c>
      <c r="E118" s="86">
        <f t="shared" si="9"/>
        <v>0</v>
      </c>
      <c r="F118" s="85">
        <f t="shared" si="10"/>
        <v>0</v>
      </c>
      <c r="G118" s="65">
        <f t="shared" si="11"/>
        <v>0</v>
      </c>
    </row>
    <row r="119" spans="1:7" ht="13.5" hidden="1" thickBot="1">
      <c r="A119" s="70">
        <f t="shared" si="12"/>
        <v>99</v>
      </c>
      <c r="B119" s="85">
        <f t="shared" si="13"/>
        <v>0</v>
      </c>
      <c r="C119" s="85">
        <f t="shared" si="7"/>
        <v>0</v>
      </c>
      <c r="D119" s="85">
        <f t="shared" si="8"/>
        <v>0</v>
      </c>
      <c r="E119" s="86">
        <f t="shared" si="9"/>
        <v>0</v>
      </c>
      <c r="F119" s="85">
        <f t="shared" si="10"/>
        <v>0</v>
      </c>
      <c r="G119" s="65">
        <f t="shared" si="11"/>
        <v>0</v>
      </c>
    </row>
    <row r="120" spans="1:7" ht="13.5" hidden="1" thickBot="1">
      <c r="A120" s="70">
        <f t="shared" si="12"/>
        <v>100</v>
      </c>
      <c r="B120" s="85">
        <f t="shared" si="13"/>
        <v>0</v>
      </c>
      <c r="C120" s="85">
        <f t="shared" si="7"/>
        <v>0</v>
      </c>
      <c r="D120" s="85">
        <f t="shared" si="8"/>
        <v>0</v>
      </c>
      <c r="E120" s="86">
        <f t="shared" si="9"/>
        <v>0</v>
      </c>
      <c r="F120" s="85">
        <f t="shared" si="10"/>
        <v>0</v>
      </c>
      <c r="G120" s="65">
        <f t="shared" si="11"/>
        <v>0</v>
      </c>
    </row>
    <row r="121" spans="1:7" ht="13.5" hidden="1" thickBot="1">
      <c r="A121" s="70">
        <f t="shared" si="12"/>
        <v>101</v>
      </c>
      <c r="B121" s="85">
        <f t="shared" si="13"/>
        <v>0</v>
      </c>
      <c r="C121" s="85">
        <f t="shared" si="7"/>
        <v>0</v>
      </c>
      <c r="D121" s="85">
        <f t="shared" si="8"/>
        <v>0</v>
      </c>
      <c r="E121" s="86">
        <f t="shared" si="9"/>
        <v>0</v>
      </c>
      <c r="F121" s="85">
        <f t="shared" si="10"/>
        <v>0</v>
      </c>
      <c r="G121" s="65">
        <f t="shared" si="11"/>
        <v>0</v>
      </c>
    </row>
    <row r="122" spans="1:7" ht="13.5" hidden="1" thickBot="1">
      <c r="A122" s="70">
        <f t="shared" si="12"/>
        <v>102</v>
      </c>
      <c r="B122" s="85">
        <f t="shared" si="13"/>
        <v>0</v>
      </c>
      <c r="C122" s="85">
        <f t="shared" si="7"/>
        <v>0</v>
      </c>
      <c r="D122" s="85">
        <f t="shared" si="8"/>
        <v>0</v>
      </c>
      <c r="E122" s="86">
        <f t="shared" si="9"/>
        <v>0</v>
      </c>
      <c r="F122" s="85">
        <f t="shared" si="10"/>
        <v>0</v>
      </c>
      <c r="G122" s="65">
        <f t="shared" si="11"/>
        <v>0</v>
      </c>
    </row>
    <row r="123" spans="1:7" ht="13.5" hidden="1" thickBot="1">
      <c r="A123" s="70">
        <f t="shared" si="12"/>
        <v>103</v>
      </c>
      <c r="B123" s="85">
        <f t="shared" si="13"/>
        <v>0</v>
      </c>
      <c r="C123" s="85">
        <f t="shared" si="7"/>
        <v>0</v>
      </c>
      <c r="D123" s="85">
        <f t="shared" si="8"/>
        <v>0</v>
      </c>
      <c r="E123" s="86">
        <f t="shared" si="9"/>
        <v>0</v>
      </c>
      <c r="F123" s="85">
        <f t="shared" si="10"/>
        <v>0</v>
      </c>
      <c r="G123" s="65">
        <f t="shared" si="11"/>
        <v>0</v>
      </c>
    </row>
    <row r="124" spans="1:7" ht="13.5" hidden="1" thickBot="1">
      <c r="A124" s="70">
        <f t="shared" si="12"/>
        <v>104</v>
      </c>
      <c r="B124" s="85">
        <f t="shared" si="13"/>
        <v>0</v>
      </c>
      <c r="C124" s="85">
        <f t="shared" si="7"/>
        <v>0</v>
      </c>
      <c r="D124" s="85">
        <f t="shared" si="8"/>
        <v>0</v>
      </c>
      <c r="E124" s="86">
        <f t="shared" si="9"/>
        <v>0</v>
      </c>
      <c r="F124" s="85">
        <f t="shared" si="10"/>
        <v>0</v>
      </c>
      <c r="G124" s="65">
        <f t="shared" si="11"/>
        <v>0</v>
      </c>
    </row>
    <row r="125" spans="1:7" ht="13.5" hidden="1" thickBot="1">
      <c r="A125" s="70">
        <f t="shared" si="12"/>
        <v>105</v>
      </c>
      <c r="B125" s="85">
        <f t="shared" si="13"/>
        <v>0</v>
      </c>
      <c r="C125" s="85">
        <f t="shared" si="7"/>
        <v>0</v>
      </c>
      <c r="D125" s="85">
        <f t="shared" si="8"/>
        <v>0</v>
      </c>
      <c r="E125" s="86">
        <f t="shared" si="9"/>
        <v>0</v>
      </c>
      <c r="F125" s="85">
        <f t="shared" si="10"/>
        <v>0</v>
      </c>
      <c r="G125" s="65">
        <f t="shared" si="11"/>
        <v>0</v>
      </c>
    </row>
    <row r="126" spans="1:7" ht="13.5" hidden="1" thickBot="1">
      <c r="A126" s="70">
        <f t="shared" si="12"/>
        <v>106</v>
      </c>
      <c r="B126" s="85">
        <f t="shared" si="13"/>
        <v>0</v>
      </c>
      <c r="C126" s="85">
        <f t="shared" si="7"/>
        <v>0</v>
      </c>
      <c r="D126" s="85">
        <f t="shared" si="8"/>
        <v>0</v>
      </c>
      <c r="E126" s="86">
        <f t="shared" si="9"/>
        <v>0</v>
      </c>
      <c r="F126" s="85">
        <f t="shared" si="10"/>
        <v>0</v>
      </c>
      <c r="G126" s="65">
        <f t="shared" si="11"/>
        <v>0</v>
      </c>
    </row>
    <row r="127" spans="1:7" ht="13.5" hidden="1" thickBot="1">
      <c r="A127" s="70">
        <f t="shared" si="12"/>
        <v>107</v>
      </c>
      <c r="B127" s="85">
        <f t="shared" si="13"/>
        <v>0</v>
      </c>
      <c r="C127" s="85">
        <f t="shared" si="7"/>
        <v>0</v>
      </c>
      <c r="D127" s="85">
        <f t="shared" si="8"/>
        <v>0</v>
      </c>
      <c r="E127" s="86">
        <f t="shared" si="9"/>
        <v>0</v>
      </c>
      <c r="F127" s="85">
        <f t="shared" si="10"/>
        <v>0</v>
      </c>
      <c r="G127" s="65">
        <f t="shared" si="11"/>
        <v>0</v>
      </c>
    </row>
    <row r="128" spans="1:7" ht="13.5" hidden="1" thickBot="1">
      <c r="A128" s="70">
        <f t="shared" si="12"/>
        <v>108</v>
      </c>
      <c r="B128" s="85">
        <f t="shared" si="13"/>
        <v>0</v>
      </c>
      <c r="C128" s="85">
        <f t="shared" si="7"/>
        <v>0</v>
      </c>
      <c r="D128" s="85">
        <f t="shared" si="8"/>
        <v>0</v>
      </c>
      <c r="E128" s="86">
        <f t="shared" si="9"/>
        <v>0</v>
      </c>
      <c r="F128" s="85">
        <f t="shared" si="10"/>
        <v>0</v>
      </c>
      <c r="G128" s="65">
        <f t="shared" si="11"/>
        <v>0</v>
      </c>
    </row>
    <row r="129" spans="1:7" ht="13.5" hidden="1" thickBot="1">
      <c r="A129" s="70">
        <f t="shared" si="12"/>
        <v>109</v>
      </c>
      <c r="B129" s="85">
        <f t="shared" si="13"/>
        <v>0</v>
      </c>
      <c r="C129" s="85">
        <f t="shared" si="7"/>
        <v>0</v>
      </c>
      <c r="D129" s="85">
        <f t="shared" si="8"/>
        <v>0</v>
      </c>
      <c r="E129" s="86">
        <f t="shared" si="9"/>
        <v>0</v>
      </c>
      <c r="F129" s="85">
        <f t="shared" si="10"/>
        <v>0</v>
      </c>
      <c r="G129" s="65">
        <f t="shared" si="11"/>
        <v>0</v>
      </c>
    </row>
    <row r="130" spans="1:7" ht="13.5" hidden="1" thickBot="1">
      <c r="A130" s="70">
        <f t="shared" si="12"/>
        <v>110</v>
      </c>
      <c r="B130" s="85">
        <f t="shared" si="13"/>
        <v>0</v>
      </c>
      <c r="C130" s="85">
        <f t="shared" si="7"/>
        <v>0</v>
      </c>
      <c r="D130" s="85">
        <f t="shared" si="8"/>
        <v>0</v>
      </c>
      <c r="E130" s="86">
        <f t="shared" si="9"/>
        <v>0</v>
      </c>
      <c r="F130" s="85">
        <f t="shared" si="10"/>
        <v>0</v>
      </c>
      <c r="G130" s="65">
        <f t="shared" si="11"/>
        <v>0</v>
      </c>
    </row>
    <row r="131" spans="1:7" ht="13.5" hidden="1" thickBot="1">
      <c r="A131" s="70">
        <f t="shared" si="12"/>
        <v>111</v>
      </c>
      <c r="B131" s="85">
        <f t="shared" si="13"/>
        <v>0</v>
      </c>
      <c r="C131" s="85">
        <f t="shared" si="7"/>
        <v>0</v>
      </c>
      <c r="D131" s="85">
        <f t="shared" si="8"/>
        <v>0</v>
      </c>
      <c r="E131" s="86">
        <f t="shared" si="9"/>
        <v>0</v>
      </c>
      <c r="F131" s="85">
        <f t="shared" si="10"/>
        <v>0</v>
      </c>
      <c r="G131" s="65">
        <f t="shared" si="11"/>
        <v>0</v>
      </c>
    </row>
    <row r="132" spans="1:7" ht="13.5" hidden="1" thickBot="1">
      <c r="A132" s="70">
        <f t="shared" si="12"/>
        <v>112</v>
      </c>
      <c r="B132" s="85">
        <f t="shared" si="13"/>
        <v>0</v>
      </c>
      <c r="C132" s="85">
        <f t="shared" si="7"/>
        <v>0</v>
      </c>
      <c r="D132" s="85">
        <f t="shared" si="8"/>
        <v>0</v>
      </c>
      <c r="E132" s="86">
        <f t="shared" si="9"/>
        <v>0</v>
      </c>
      <c r="F132" s="85">
        <f t="shared" si="10"/>
        <v>0</v>
      </c>
      <c r="G132" s="65">
        <f t="shared" si="11"/>
        <v>0</v>
      </c>
    </row>
    <row r="133" spans="1:7" ht="13.5" hidden="1" thickBot="1">
      <c r="A133" s="70">
        <f t="shared" si="12"/>
        <v>113</v>
      </c>
      <c r="B133" s="85">
        <f t="shared" si="13"/>
        <v>0</v>
      </c>
      <c r="C133" s="85">
        <f t="shared" si="7"/>
        <v>0</v>
      </c>
      <c r="D133" s="85">
        <f t="shared" si="8"/>
        <v>0</v>
      </c>
      <c r="E133" s="86">
        <f t="shared" si="9"/>
        <v>0</v>
      </c>
      <c r="F133" s="85">
        <f t="shared" si="10"/>
        <v>0</v>
      </c>
      <c r="G133" s="65">
        <f t="shared" si="11"/>
        <v>0</v>
      </c>
    </row>
    <row r="134" spans="1:7" ht="13.5" hidden="1" thickBot="1">
      <c r="A134" s="70">
        <f t="shared" si="12"/>
        <v>114</v>
      </c>
      <c r="B134" s="85">
        <f t="shared" si="13"/>
        <v>0</v>
      </c>
      <c r="C134" s="85">
        <f t="shared" si="7"/>
        <v>0</v>
      </c>
      <c r="D134" s="85">
        <f t="shared" si="8"/>
        <v>0</v>
      </c>
      <c r="E134" s="86">
        <f t="shared" si="9"/>
        <v>0</v>
      </c>
      <c r="F134" s="85">
        <f t="shared" si="10"/>
        <v>0</v>
      </c>
      <c r="G134" s="65">
        <f t="shared" si="11"/>
        <v>0</v>
      </c>
    </row>
    <row r="135" spans="1:7" ht="13.5" hidden="1" thickBot="1">
      <c r="A135" s="70">
        <f t="shared" si="12"/>
        <v>115</v>
      </c>
      <c r="B135" s="85">
        <f t="shared" si="13"/>
        <v>0</v>
      </c>
      <c r="C135" s="85">
        <f t="shared" si="7"/>
        <v>0</v>
      </c>
      <c r="D135" s="85">
        <f t="shared" si="8"/>
        <v>0</v>
      </c>
      <c r="E135" s="86">
        <f t="shared" si="9"/>
        <v>0</v>
      </c>
      <c r="F135" s="85">
        <f t="shared" si="10"/>
        <v>0</v>
      </c>
      <c r="G135" s="65">
        <f t="shared" si="11"/>
        <v>0</v>
      </c>
    </row>
    <row r="136" spans="1:7" ht="13.5" hidden="1" thickBot="1">
      <c r="A136" s="70">
        <f t="shared" si="12"/>
        <v>116</v>
      </c>
      <c r="B136" s="85">
        <f t="shared" si="13"/>
        <v>0</v>
      </c>
      <c r="C136" s="85">
        <f t="shared" si="7"/>
        <v>0</v>
      </c>
      <c r="D136" s="85">
        <f t="shared" si="8"/>
        <v>0</v>
      </c>
      <c r="E136" s="86">
        <f t="shared" si="9"/>
        <v>0</v>
      </c>
      <c r="F136" s="85">
        <f t="shared" si="10"/>
        <v>0</v>
      </c>
      <c r="G136" s="65">
        <f t="shared" si="11"/>
        <v>0</v>
      </c>
    </row>
    <row r="137" spans="1:7" ht="13.5" hidden="1" thickBot="1">
      <c r="A137" s="70">
        <f t="shared" si="12"/>
        <v>117</v>
      </c>
      <c r="B137" s="85">
        <f t="shared" si="13"/>
        <v>0</v>
      </c>
      <c r="C137" s="85">
        <f t="shared" si="7"/>
        <v>0</v>
      </c>
      <c r="D137" s="85">
        <f t="shared" si="8"/>
        <v>0</v>
      </c>
      <c r="E137" s="86">
        <f t="shared" si="9"/>
        <v>0</v>
      </c>
      <c r="F137" s="85">
        <f t="shared" si="10"/>
        <v>0</v>
      </c>
      <c r="G137" s="65">
        <f t="shared" si="11"/>
        <v>0</v>
      </c>
    </row>
    <row r="138" spans="1:7" ht="13.5" hidden="1" thickBot="1">
      <c r="A138" s="70">
        <f t="shared" si="12"/>
        <v>118</v>
      </c>
      <c r="B138" s="85">
        <f t="shared" si="13"/>
        <v>0</v>
      </c>
      <c r="C138" s="85">
        <f t="shared" si="7"/>
        <v>0</v>
      </c>
      <c r="D138" s="85">
        <f t="shared" si="8"/>
        <v>0</v>
      </c>
      <c r="E138" s="86">
        <f t="shared" si="9"/>
        <v>0</v>
      </c>
      <c r="F138" s="85">
        <f t="shared" si="10"/>
        <v>0</v>
      </c>
      <c r="G138" s="65">
        <f t="shared" si="11"/>
        <v>0</v>
      </c>
    </row>
    <row r="139" spans="1:7" ht="13.5" hidden="1" thickBot="1">
      <c r="A139" s="70">
        <f t="shared" si="12"/>
        <v>119</v>
      </c>
      <c r="B139" s="85">
        <f t="shared" si="13"/>
        <v>0</v>
      </c>
      <c r="C139" s="85">
        <f t="shared" si="7"/>
        <v>0</v>
      </c>
      <c r="D139" s="85">
        <f t="shared" si="8"/>
        <v>0</v>
      </c>
      <c r="E139" s="86">
        <f t="shared" si="9"/>
        <v>0</v>
      </c>
      <c r="F139" s="85">
        <f t="shared" si="10"/>
        <v>0</v>
      </c>
      <c r="G139" s="65">
        <f t="shared" si="11"/>
        <v>0</v>
      </c>
    </row>
    <row r="140" spans="1:7" ht="13.5" hidden="1" thickBot="1">
      <c r="A140" s="70">
        <f t="shared" si="12"/>
        <v>120</v>
      </c>
      <c r="B140" s="85">
        <f t="shared" si="13"/>
        <v>0</v>
      </c>
      <c r="C140" s="85">
        <f t="shared" si="7"/>
        <v>0</v>
      </c>
      <c r="D140" s="85">
        <f t="shared" si="8"/>
        <v>0</v>
      </c>
      <c r="E140" s="86">
        <f t="shared" si="9"/>
        <v>0</v>
      </c>
      <c r="F140" s="85">
        <f t="shared" si="10"/>
        <v>0</v>
      </c>
      <c r="G140" s="65">
        <f t="shared" si="11"/>
        <v>0</v>
      </c>
    </row>
    <row r="141" spans="1:7" ht="13.5" hidden="1" thickBot="1">
      <c r="A141" s="70">
        <f t="shared" si="12"/>
        <v>121</v>
      </c>
      <c r="B141" s="85">
        <f t="shared" si="13"/>
        <v>0</v>
      </c>
      <c r="C141" s="85">
        <f t="shared" si="7"/>
        <v>0</v>
      </c>
      <c r="D141" s="85">
        <f t="shared" si="8"/>
        <v>0</v>
      </c>
      <c r="E141" s="86">
        <f t="shared" si="9"/>
        <v>0</v>
      </c>
      <c r="F141" s="85">
        <f t="shared" si="10"/>
        <v>0</v>
      </c>
      <c r="G141" s="65">
        <f t="shared" si="11"/>
        <v>0</v>
      </c>
    </row>
    <row r="142" spans="1:7" ht="13.5" hidden="1" thickBot="1">
      <c r="A142" s="70">
        <f t="shared" si="12"/>
        <v>122</v>
      </c>
      <c r="B142" s="85">
        <f t="shared" si="13"/>
        <v>0</v>
      </c>
      <c r="C142" s="85">
        <f t="shared" si="7"/>
        <v>0</v>
      </c>
      <c r="D142" s="85">
        <f t="shared" si="8"/>
        <v>0</v>
      </c>
      <c r="E142" s="86">
        <f t="shared" si="9"/>
        <v>0</v>
      </c>
      <c r="F142" s="85">
        <f t="shared" si="10"/>
        <v>0</v>
      </c>
      <c r="G142" s="65">
        <f t="shared" si="11"/>
        <v>0</v>
      </c>
    </row>
    <row r="143" spans="1:7" ht="13.5" hidden="1" thickBot="1">
      <c r="A143" s="70">
        <f t="shared" si="12"/>
        <v>123</v>
      </c>
      <c r="B143" s="85">
        <f t="shared" si="13"/>
        <v>0</v>
      </c>
      <c r="C143" s="85">
        <f t="shared" si="7"/>
        <v>0</v>
      </c>
      <c r="D143" s="85">
        <f t="shared" si="8"/>
        <v>0</v>
      </c>
      <c r="E143" s="86">
        <f t="shared" si="9"/>
        <v>0</v>
      </c>
      <c r="F143" s="85">
        <f t="shared" si="10"/>
        <v>0</v>
      </c>
      <c r="G143" s="65">
        <f t="shared" si="11"/>
        <v>0</v>
      </c>
    </row>
    <row r="144" spans="1:7" ht="13.5" hidden="1" thickBot="1">
      <c r="A144" s="70">
        <f t="shared" si="12"/>
        <v>124</v>
      </c>
      <c r="B144" s="85">
        <f t="shared" si="13"/>
        <v>0</v>
      </c>
      <c r="C144" s="85">
        <f t="shared" si="7"/>
        <v>0</v>
      </c>
      <c r="D144" s="85">
        <f t="shared" si="8"/>
        <v>0</v>
      </c>
      <c r="E144" s="86">
        <f t="shared" si="9"/>
        <v>0</v>
      </c>
      <c r="F144" s="85">
        <f t="shared" si="10"/>
        <v>0</v>
      </c>
      <c r="G144" s="65">
        <f t="shared" si="11"/>
        <v>0</v>
      </c>
    </row>
    <row r="145" spans="1:7" ht="13.5" hidden="1" thickBot="1">
      <c r="A145" s="70">
        <f t="shared" si="12"/>
        <v>125</v>
      </c>
      <c r="B145" s="85">
        <f t="shared" si="13"/>
        <v>0</v>
      </c>
      <c r="C145" s="85">
        <f t="shared" si="7"/>
        <v>0</v>
      </c>
      <c r="D145" s="85">
        <f t="shared" si="8"/>
        <v>0</v>
      </c>
      <c r="E145" s="86">
        <f t="shared" si="9"/>
        <v>0</v>
      </c>
      <c r="F145" s="85">
        <f t="shared" si="10"/>
        <v>0</v>
      </c>
      <c r="G145" s="65">
        <f t="shared" si="11"/>
        <v>0</v>
      </c>
    </row>
    <row r="146" spans="1:7" ht="13.5" hidden="1" thickBot="1">
      <c r="A146" s="70">
        <f t="shared" si="12"/>
        <v>126</v>
      </c>
      <c r="B146" s="85">
        <f t="shared" si="13"/>
        <v>0</v>
      </c>
      <c r="C146" s="85">
        <f t="shared" si="7"/>
        <v>0</v>
      </c>
      <c r="D146" s="85">
        <f t="shared" si="8"/>
        <v>0</v>
      </c>
      <c r="E146" s="86">
        <f t="shared" si="9"/>
        <v>0</v>
      </c>
      <c r="F146" s="85">
        <f t="shared" si="10"/>
        <v>0</v>
      </c>
      <c r="G146" s="65">
        <f t="shared" si="11"/>
        <v>0</v>
      </c>
    </row>
    <row r="147" spans="1:7" ht="13.5" hidden="1" thickBot="1">
      <c r="A147" s="70">
        <f t="shared" si="12"/>
        <v>127</v>
      </c>
      <c r="B147" s="85">
        <f t="shared" si="13"/>
        <v>0</v>
      </c>
      <c r="C147" s="85">
        <f t="shared" si="7"/>
        <v>0</v>
      </c>
      <c r="D147" s="85">
        <f t="shared" si="8"/>
        <v>0</v>
      </c>
      <c r="E147" s="86">
        <f t="shared" si="9"/>
        <v>0</v>
      </c>
      <c r="F147" s="85">
        <f t="shared" si="10"/>
        <v>0</v>
      </c>
      <c r="G147" s="65">
        <f t="shared" si="11"/>
        <v>0</v>
      </c>
    </row>
    <row r="148" spans="1:7" ht="13.5" hidden="1" thickBot="1">
      <c r="A148" s="70">
        <f t="shared" si="12"/>
        <v>128</v>
      </c>
      <c r="B148" s="85">
        <f t="shared" si="13"/>
        <v>0</v>
      </c>
      <c r="C148" s="85">
        <f t="shared" si="7"/>
        <v>0</v>
      </c>
      <c r="D148" s="85">
        <f t="shared" si="8"/>
        <v>0</v>
      </c>
      <c r="E148" s="86">
        <f t="shared" si="9"/>
        <v>0</v>
      </c>
      <c r="F148" s="85">
        <f t="shared" si="10"/>
        <v>0</v>
      </c>
      <c r="G148" s="65">
        <f t="shared" si="11"/>
        <v>0</v>
      </c>
    </row>
    <row r="149" spans="1:7" ht="13.5" hidden="1" thickBot="1">
      <c r="A149" s="70">
        <f t="shared" si="12"/>
        <v>129</v>
      </c>
      <c r="B149" s="85">
        <f t="shared" si="13"/>
        <v>0</v>
      </c>
      <c r="C149" s="85">
        <f t="shared" ref="C149:C212" si="14">IF(A149&lt;=$D$9,$D$14*-1,0)</f>
        <v>0</v>
      </c>
      <c r="D149" s="85">
        <f t="shared" ref="D149:D212" si="15">IF(A149&gt;$D$9,0,$D$11*-1)</f>
        <v>0</v>
      </c>
      <c r="E149" s="86">
        <f t="shared" ref="E149:E212" si="16">B149*$D$10</f>
        <v>0</v>
      </c>
      <c r="F149" s="85">
        <f t="shared" ref="F149:F212" si="17">D149-E149</f>
        <v>0</v>
      </c>
      <c r="G149" s="65">
        <f t="shared" ref="G149:G212" si="18">B149-F149</f>
        <v>0</v>
      </c>
    </row>
    <row r="150" spans="1:7" ht="13.5" hidden="1" thickBot="1">
      <c r="A150" s="70">
        <f t="shared" ref="A150:A213" si="19">A149+1</f>
        <v>130</v>
      </c>
      <c r="B150" s="85">
        <f t="shared" ref="B150:B213" si="20">IF(A150&lt;=$D$9,G149,0)</f>
        <v>0</v>
      </c>
      <c r="C150" s="85">
        <f t="shared" si="14"/>
        <v>0</v>
      </c>
      <c r="D150" s="85">
        <f t="shared" si="15"/>
        <v>0</v>
      </c>
      <c r="E150" s="86">
        <f t="shared" si="16"/>
        <v>0</v>
      </c>
      <c r="F150" s="85">
        <f t="shared" si="17"/>
        <v>0</v>
      </c>
      <c r="G150" s="65">
        <f t="shared" si="18"/>
        <v>0</v>
      </c>
    </row>
    <row r="151" spans="1:7" ht="13.5" hidden="1" thickBot="1">
      <c r="A151" s="70">
        <f t="shared" si="19"/>
        <v>131</v>
      </c>
      <c r="B151" s="85">
        <f t="shared" si="20"/>
        <v>0</v>
      </c>
      <c r="C151" s="85">
        <f t="shared" si="14"/>
        <v>0</v>
      </c>
      <c r="D151" s="85">
        <f t="shared" si="15"/>
        <v>0</v>
      </c>
      <c r="E151" s="86">
        <f t="shared" si="16"/>
        <v>0</v>
      </c>
      <c r="F151" s="85">
        <f t="shared" si="17"/>
        <v>0</v>
      </c>
      <c r="G151" s="65">
        <f t="shared" si="18"/>
        <v>0</v>
      </c>
    </row>
    <row r="152" spans="1:7" ht="13.5" hidden="1" thickBot="1">
      <c r="A152" s="70">
        <f t="shared" si="19"/>
        <v>132</v>
      </c>
      <c r="B152" s="85">
        <f t="shared" si="20"/>
        <v>0</v>
      </c>
      <c r="C152" s="85">
        <f t="shared" si="14"/>
        <v>0</v>
      </c>
      <c r="D152" s="85">
        <f t="shared" si="15"/>
        <v>0</v>
      </c>
      <c r="E152" s="86">
        <f t="shared" si="16"/>
        <v>0</v>
      </c>
      <c r="F152" s="85">
        <f t="shared" si="17"/>
        <v>0</v>
      </c>
      <c r="G152" s="65">
        <f t="shared" si="18"/>
        <v>0</v>
      </c>
    </row>
    <row r="153" spans="1:7" ht="13.5" hidden="1" thickBot="1">
      <c r="A153" s="70">
        <f t="shared" si="19"/>
        <v>133</v>
      </c>
      <c r="B153" s="85">
        <f t="shared" si="20"/>
        <v>0</v>
      </c>
      <c r="C153" s="85">
        <f t="shared" si="14"/>
        <v>0</v>
      </c>
      <c r="D153" s="85">
        <f t="shared" si="15"/>
        <v>0</v>
      </c>
      <c r="E153" s="86">
        <f t="shared" si="16"/>
        <v>0</v>
      </c>
      <c r="F153" s="85">
        <f t="shared" si="17"/>
        <v>0</v>
      </c>
      <c r="G153" s="65">
        <f t="shared" si="18"/>
        <v>0</v>
      </c>
    </row>
    <row r="154" spans="1:7" ht="13.5" hidden="1" thickBot="1">
      <c r="A154" s="70">
        <f t="shared" si="19"/>
        <v>134</v>
      </c>
      <c r="B154" s="85">
        <f t="shared" si="20"/>
        <v>0</v>
      </c>
      <c r="C154" s="85">
        <f t="shared" si="14"/>
        <v>0</v>
      </c>
      <c r="D154" s="85">
        <f t="shared" si="15"/>
        <v>0</v>
      </c>
      <c r="E154" s="86">
        <f t="shared" si="16"/>
        <v>0</v>
      </c>
      <c r="F154" s="85">
        <f t="shared" si="17"/>
        <v>0</v>
      </c>
      <c r="G154" s="65">
        <f t="shared" si="18"/>
        <v>0</v>
      </c>
    </row>
    <row r="155" spans="1:7" ht="13.5" hidden="1" thickBot="1">
      <c r="A155" s="70">
        <f t="shared" si="19"/>
        <v>135</v>
      </c>
      <c r="B155" s="85">
        <f t="shared" si="20"/>
        <v>0</v>
      </c>
      <c r="C155" s="85">
        <f t="shared" si="14"/>
        <v>0</v>
      </c>
      <c r="D155" s="85">
        <f t="shared" si="15"/>
        <v>0</v>
      </c>
      <c r="E155" s="86">
        <f t="shared" si="16"/>
        <v>0</v>
      </c>
      <c r="F155" s="85">
        <f t="shared" si="17"/>
        <v>0</v>
      </c>
      <c r="G155" s="65">
        <f t="shared" si="18"/>
        <v>0</v>
      </c>
    </row>
    <row r="156" spans="1:7" ht="13.5" hidden="1" thickBot="1">
      <c r="A156" s="70">
        <f t="shared" si="19"/>
        <v>136</v>
      </c>
      <c r="B156" s="85">
        <f t="shared" si="20"/>
        <v>0</v>
      </c>
      <c r="C156" s="85">
        <f t="shared" si="14"/>
        <v>0</v>
      </c>
      <c r="D156" s="85">
        <f t="shared" si="15"/>
        <v>0</v>
      </c>
      <c r="E156" s="86">
        <f t="shared" si="16"/>
        <v>0</v>
      </c>
      <c r="F156" s="85">
        <f t="shared" si="17"/>
        <v>0</v>
      </c>
      <c r="G156" s="65">
        <f t="shared" si="18"/>
        <v>0</v>
      </c>
    </row>
    <row r="157" spans="1:7" ht="13.5" hidden="1" thickBot="1">
      <c r="A157" s="70">
        <f t="shared" si="19"/>
        <v>137</v>
      </c>
      <c r="B157" s="85">
        <f t="shared" si="20"/>
        <v>0</v>
      </c>
      <c r="C157" s="85">
        <f t="shared" si="14"/>
        <v>0</v>
      </c>
      <c r="D157" s="85">
        <f t="shared" si="15"/>
        <v>0</v>
      </c>
      <c r="E157" s="86">
        <f t="shared" si="16"/>
        <v>0</v>
      </c>
      <c r="F157" s="85">
        <f t="shared" si="17"/>
        <v>0</v>
      </c>
      <c r="G157" s="65">
        <f t="shared" si="18"/>
        <v>0</v>
      </c>
    </row>
    <row r="158" spans="1:7" ht="13.5" hidden="1" thickBot="1">
      <c r="A158" s="70">
        <f t="shared" si="19"/>
        <v>138</v>
      </c>
      <c r="B158" s="85">
        <f t="shared" si="20"/>
        <v>0</v>
      </c>
      <c r="C158" s="85">
        <f t="shared" si="14"/>
        <v>0</v>
      </c>
      <c r="D158" s="85">
        <f t="shared" si="15"/>
        <v>0</v>
      </c>
      <c r="E158" s="86">
        <f t="shared" si="16"/>
        <v>0</v>
      </c>
      <c r="F158" s="85">
        <f t="shared" si="17"/>
        <v>0</v>
      </c>
      <c r="G158" s="65">
        <f t="shared" si="18"/>
        <v>0</v>
      </c>
    </row>
    <row r="159" spans="1:7" ht="13.5" hidden="1" thickBot="1">
      <c r="A159" s="70">
        <f t="shared" si="19"/>
        <v>139</v>
      </c>
      <c r="B159" s="85">
        <f t="shared" si="20"/>
        <v>0</v>
      </c>
      <c r="C159" s="85">
        <f t="shared" si="14"/>
        <v>0</v>
      </c>
      <c r="D159" s="85">
        <f t="shared" si="15"/>
        <v>0</v>
      </c>
      <c r="E159" s="86">
        <f t="shared" si="16"/>
        <v>0</v>
      </c>
      <c r="F159" s="85">
        <f t="shared" si="17"/>
        <v>0</v>
      </c>
      <c r="G159" s="65">
        <f t="shared" si="18"/>
        <v>0</v>
      </c>
    </row>
    <row r="160" spans="1:7" ht="13.5" hidden="1" thickBot="1">
      <c r="A160" s="70">
        <f t="shared" si="19"/>
        <v>140</v>
      </c>
      <c r="B160" s="85">
        <f t="shared" si="20"/>
        <v>0</v>
      </c>
      <c r="C160" s="85">
        <f t="shared" si="14"/>
        <v>0</v>
      </c>
      <c r="D160" s="85">
        <f t="shared" si="15"/>
        <v>0</v>
      </c>
      <c r="E160" s="86">
        <f t="shared" si="16"/>
        <v>0</v>
      </c>
      <c r="F160" s="85">
        <f t="shared" si="17"/>
        <v>0</v>
      </c>
      <c r="G160" s="65">
        <f t="shared" si="18"/>
        <v>0</v>
      </c>
    </row>
    <row r="161" spans="1:7" ht="13.5" hidden="1" thickBot="1">
      <c r="A161" s="70">
        <f t="shared" si="19"/>
        <v>141</v>
      </c>
      <c r="B161" s="85">
        <f t="shared" si="20"/>
        <v>0</v>
      </c>
      <c r="C161" s="85">
        <f t="shared" si="14"/>
        <v>0</v>
      </c>
      <c r="D161" s="85">
        <f t="shared" si="15"/>
        <v>0</v>
      </c>
      <c r="E161" s="86">
        <f t="shared" si="16"/>
        <v>0</v>
      </c>
      <c r="F161" s="85">
        <f t="shared" si="17"/>
        <v>0</v>
      </c>
      <c r="G161" s="65">
        <f t="shared" si="18"/>
        <v>0</v>
      </c>
    </row>
    <row r="162" spans="1:7" ht="13.5" hidden="1" thickBot="1">
      <c r="A162" s="70">
        <f t="shared" si="19"/>
        <v>142</v>
      </c>
      <c r="B162" s="85">
        <f t="shared" si="20"/>
        <v>0</v>
      </c>
      <c r="C162" s="85">
        <f t="shared" si="14"/>
        <v>0</v>
      </c>
      <c r="D162" s="85">
        <f t="shared" si="15"/>
        <v>0</v>
      </c>
      <c r="E162" s="86">
        <f t="shared" si="16"/>
        <v>0</v>
      </c>
      <c r="F162" s="85">
        <f t="shared" si="17"/>
        <v>0</v>
      </c>
      <c r="G162" s="65">
        <f t="shared" si="18"/>
        <v>0</v>
      </c>
    </row>
    <row r="163" spans="1:7" ht="13.5" hidden="1" thickBot="1">
      <c r="A163" s="70">
        <f t="shared" si="19"/>
        <v>143</v>
      </c>
      <c r="B163" s="85">
        <f t="shared" si="20"/>
        <v>0</v>
      </c>
      <c r="C163" s="85">
        <f t="shared" si="14"/>
        <v>0</v>
      </c>
      <c r="D163" s="85">
        <f t="shared" si="15"/>
        <v>0</v>
      </c>
      <c r="E163" s="86">
        <f t="shared" si="16"/>
        <v>0</v>
      </c>
      <c r="F163" s="85">
        <f t="shared" si="17"/>
        <v>0</v>
      </c>
      <c r="G163" s="65">
        <f t="shared" si="18"/>
        <v>0</v>
      </c>
    </row>
    <row r="164" spans="1:7" ht="13.5" hidden="1" thickBot="1">
      <c r="A164" s="70">
        <f t="shared" si="19"/>
        <v>144</v>
      </c>
      <c r="B164" s="85">
        <f t="shared" si="20"/>
        <v>0</v>
      </c>
      <c r="C164" s="85">
        <f t="shared" si="14"/>
        <v>0</v>
      </c>
      <c r="D164" s="85">
        <f t="shared" si="15"/>
        <v>0</v>
      </c>
      <c r="E164" s="86">
        <f t="shared" si="16"/>
        <v>0</v>
      </c>
      <c r="F164" s="85">
        <f t="shared" si="17"/>
        <v>0</v>
      </c>
      <c r="G164" s="65">
        <f t="shared" si="18"/>
        <v>0</v>
      </c>
    </row>
    <row r="165" spans="1:7" ht="13.5" hidden="1" thickBot="1">
      <c r="A165" s="70">
        <f t="shared" si="19"/>
        <v>145</v>
      </c>
      <c r="B165" s="85">
        <f t="shared" si="20"/>
        <v>0</v>
      </c>
      <c r="C165" s="85">
        <f t="shared" si="14"/>
        <v>0</v>
      </c>
      <c r="D165" s="85">
        <f t="shared" si="15"/>
        <v>0</v>
      </c>
      <c r="E165" s="86">
        <f t="shared" si="16"/>
        <v>0</v>
      </c>
      <c r="F165" s="85">
        <f t="shared" si="17"/>
        <v>0</v>
      </c>
      <c r="G165" s="65">
        <f t="shared" si="18"/>
        <v>0</v>
      </c>
    </row>
    <row r="166" spans="1:7" ht="13.5" hidden="1" thickBot="1">
      <c r="A166" s="70">
        <f t="shared" si="19"/>
        <v>146</v>
      </c>
      <c r="B166" s="85">
        <f t="shared" si="20"/>
        <v>0</v>
      </c>
      <c r="C166" s="85">
        <f t="shared" si="14"/>
        <v>0</v>
      </c>
      <c r="D166" s="85">
        <f t="shared" si="15"/>
        <v>0</v>
      </c>
      <c r="E166" s="86">
        <f t="shared" si="16"/>
        <v>0</v>
      </c>
      <c r="F166" s="85">
        <f t="shared" si="17"/>
        <v>0</v>
      </c>
      <c r="G166" s="65">
        <f t="shared" si="18"/>
        <v>0</v>
      </c>
    </row>
    <row r="167" spans="1:7" ht="13.5" hidden="1" thickBot="1">
      <c r="A167" s="70">
        <f t="shared" si="19"/>
        <v>147</v>
      </c>
      <c r="B167" s="85">
        <f t="shared" si="20"/>
        <v>0</v>
      </c>
      <c r="C167" s="85">
        <f t="shared" si="14"/>
        <v>0</v>
      </c>
      <c r="D167" s="85">
        <f t="shared" si="15"/>
        <v>0</v>
      </c>
      <c r="E167" s="86">
        <f t="shared" si="16"/>
        <v>0</v>
      </c>
      <c r="F167" s="85">
        <f t="shared" si="17"/>
        <v>0</v>
      </c>
      <c r="G167" s="65">
        <f t="shared" si="18"/>
        <v>0</v>
      </c>
    </row>
    <row r="168" spans="1:7" ht="13.5" hidden="1" thickBot="1">
      <c r="A168" s="70">
        <f t="shared" si="19"/>
        <v>148</v>
      </c>
      <c r="B168" s="85">
        <f t="shared" si="20"/>
        <v>0</v>
      </c>
      <c r="C168" s="85">
        <f t="shared" si="14"/>
        <v>0</v>
      </c>
      <c r="D168" s="85">
        <f t="shared" si="15"/>
        <v>0</v>
      </c>
      <c r="E168" s="86">
        <f t="shared" si="16"/>
        <v>0</v>
      </c>
      <c r="F168" s="85">
        <f t="shared" si="17"/>
        <v>0</v>
      </c>
      <c r="G168" s="65">
        <f t="shared" si="18"/>
        <v>0</v>
      </c>
    </row>
    <row r="169" spans="1:7" ht="13.5" hidden="1" thickBot="1">
      <c r="A169" s="70">
        <f t="shared" si="19"/>
        <v>149</v>
      </c>
      <c r="B169" s="85">
        <f t="shared" si="20"/>
        <v>0</v>
      </c>
      <c r="C169" s="85">
        <f t="shared" si="14"/>
        <v>0</v>
      </c>
      <c r="D169" s="85">
        <f t="shared" si="15"/>
        <v>0</v>
      </c>
      <c r="E169" s="86">
        <f t="shared" si="16"/>
        <v>0</v>
      </c>
      <c r="F169" s="85">
        <f t="shared" si="17"/>
        <v>0</v>
      </c>
      <c r="G169" s="65">
        <f t="shared" si="18"/>
        <v>0</v>
      </c>
    </row>
    <row r="170" spans="1:7" ht="13.5" hidden="1" thickBot="1">
      <c r="A170" s="70">
        <f t="shared" si="19"/>
        <v>150</v>
      </c>
      <c r="B170" s="85">
        <f t="shared" si="20"/>
        <v>0</v>
      </c>
      <c r="C170" s="85">
        <f t="shared" si="14"/>
        <v>0</v>
      </c>
      <c r="D170" s="85">
        <f t="shared" si="15"/>
        <v>0</v>
      </c>
      <c r="E170" s="86">
        <f t="shared" si="16"/>
        <v>0</v>
      </c>
      <c r="F170" s="85">
        <f t="shared" si="17"/>
        <v>0</v>
      </c>
      <c r="G170" s="65">
        <f t="shared" si="18"/>
        <v>0</v>
      </c>
    </row>
    <row r="171" spans="1:7" ht="13.5" hidden="1" thickBot="1">
      <c r="A171" s="70">
        <f t="shared" si="19"/>
        <v>151</v>
      </c>
      <c r="B171" s="85">
        <f t="shared" si="20"/>
        <v>0</v>
      </c>
      <c r="C171" s="85">
        <f t="shared" si="14"/>
        <v>0</v>
      </c>
      <c r="D171" s="85">
        <f t="shared" si="15"/>
        <v>0</v>
      </c>
      <c r="E171" s="86">
        <f t="shared" si="16"/>
        <v>0</v>
      </c>
      <c r="F171" s="85">
        <f t="shared" si="17"/>
        <v>0</v>
      </c>
      <c r="G171" s="65">
        <f t="shared" si="18"/>
        <v>0</v>
      </c>
    </row>
    <row r="172" spans="1:7" ht="13.5" hidden="1" thickBot="1">
      <c r="A172" s="70">
        <f t="shared" si="19"/>
        <v>152</v>
      </c>
      <c r="B172" s="85">
        <f t="shared" si="20"/>
        <v>0</v>
      </c>
      <c r="C172" s="85">
        <f t="shared" si="14"/>
        <v>0</v>
      </c>
      <c r="D172" s="85">
        <f t="shared" si="15"/>
        <v>0</v>
      </c>
      <c r="E172" s="86">
        <f t="shared" si="16"/>
        <v>0</v>
      </c>
      <c r="F172" s="85">
        <f t="shared" si="17"/>
        <v>0</v>
      </c>
      <c r="G172" s="65">
        <f t="shared" si="18"/>
        <v>0</v>
      </c>
    </row>
    <row r="173" spans="1:7" ht="13.5" hidden="1" thickBot="1">
      <c r="A173" s="70">
        <f t="shared" si="19"/>
        <v>153</v>
      </c>
      <c r="B173" s="85">
        <f t="shared" si="20"/>
        <v>0</v>
      </c>
      <c r="C173" s="85">
        <f t="shared" si="14"/>
        <v>0</v>
      </c>
      <c r="D173" s="85">
        <f t="shared" si="15"/>
        <v>0</v>
      </c>
      <c r="E173" s="86">
        <f t="shared" si="16"/>
        <v>0</v>
      </c>
      <c r="F173" s="85">
        <f t="shared" si="17"/>
        <v>0</v>
      </c>
      <c r="G173" s="65">
        <f t="shared" si="18"/>
        <v>0</v>
      </c>
    </row>
    <row r="174" spans="1:7" ht="13.5" hidden="1" thickBot="1">
      <c r="A174" s="70">
        <f t="shared" si="19"/>
        <v>154</v>
      </c>
      <c r="B174" s="85">
        <f t="shared" si="20"/>
        <v>0</v>
      </c>
      <c r="C174" s="85">
        <f t="shared" si="14"/>
        <v>0</v>
      </c>
      <c r="D174" s="85">
        <f t="shared" si="15"/>
        <v>0</v>
      </c>
      <c r="E174" s="86">
        <f t="shared" si="16"/>
        <v>0</v>
      </c>
      <c r="F174" s="85">
        <f t="shared" si="17"/>
        <v>0</v>
      </c>
      <c r="G174" s="65">
        <f t="shared" si="18"/>
        <v>0</v>
      </c>
    </row>
    <row r="175" spans="1:7" ht="13.5" hidden="1" thickBot="1">
      <c r="A175" s="70">
        <f t="shared" si="19"/>
        <v>155</v>
      </c>
      <c r="B175" s="85">
        <f t="shared" si="20"/>
        <v>0</v>
      </c>
      <c r="C175" s="85">
        <f t="shared" si="14"/>
        <v>0</v>
      </c>
      <c r="D175" s="85">
        <f t="shared" si="15"/>
        <v>0</v>
      </c>
      <c r="E175" s="86">
        <f t="shared" si="16"/>
        <v>0</v>
      </c>
      <c r="F175" s="85">
        <f t="shared" si="17"/>
        <v>0</v>
      </c>
      <c r="G175" s="65">
        <f t="shared" si="18"/>
        <v>0</v>
      </c>
    </row>
    <row r="176" spans="1:7" ht="13.5" hidden="1" thickBot="1">
      <c r="A176" s="70">
        <f t="shared" si="19"/>
        <v>156</v>
      </c>
      <c r="B176" s="85">
        <f t="shared" si="20"/>
        <v>0</v>
      </c>
      <c r="C176" s="85">
        <f t="shared" si="14"/>
        <v>0</v>
      </c>
      <c r="D176" s="85">
        <f t="shared" si="15"/>
        <v>0</v>
      </c>
      <c r="E176" s="86">
        <f t="shared" si="16"/>
        <v>0</v>
      </c>
      <c r="F176" s="85">
        <f t="shared" si="17"/>
        <v>0</v>
      </c>
      <c r="G176" s="65">
        <f t="shared" si="18"/>
        <v>0</v>
      </c>
    </row>
    <row r="177" spans="1:7" ht="13.5" hidden="1" thickBot="1">
      <c r="A177" s="70">
        <f t="shared" si="19"/>
        <v>157</v>
      </c>
      <c r="B177" s="85">
        <f t="shared" si="20"/>
        <v>0</v>
      </c>
      <c r="C177" s="85">
        <f t="shared" si="14"/>
        <v>0</v>
      </c>
      <c r="D177" s="85">
        <f t="shared" si="15"/>
        <v>0</v>
      </c>
      <c r="E177" s="86">
        <f t="shared" si="16"/>
        <v>0</v>
      </c>
      <c r="F177" s="85">
        <f t="shared" si="17"/>
        <v>0</v>
      </c>
      <c r="G177" s="65">
        <f t="shared" si="18"/>
        <v>0</v>
      </c>
    </row>
    <row r="178" spans="1:7" ht="13.5" hidden="1" thickBot="1">
      <c r="A178" s="70">
        <f t="shared" si="19"/>
        <v>158</v>
      </c>
      <c r="B178" s="85">
        <f t="shared" si="20"/>
        <v>0</v>
      </c>
      <c r="C178" s="85">
        <f t="shared" si="14"/>
        <v>0</v>
      </c>
      <c r="D178" s="85">
        <f t="shared" si="15"/>
        <v>0</v>
      </c>
      <c r="E178" s="86">
        <f t="shared" si="16"/>
        <v>0</v>
      </c>
      <c r="F178" s="85">
        <f t="shared" si="17"/>
        <v>0</v>
      </c>
      <c r="G178" s="65">
        <f t="shared" si="18"/>
        <v>0</v>
      </c>
    </row>
    <row r="179" spans="1:7" ht="13.5" hidden="1" thickBot="1">
      <c r="A179" s="70">
        <f t="shared" si="19"/>
        <v>159</v>
      </c>
      <c r="B179" s="85">
        <f t="shared" si="20"/>
        <v>0</v>
      </c>
      <c r="C179" s="85">
        <f t="shared" si="14"/>
        <v>0</v>
      </c>
      <c r="D179" s="85">
        <f t="shared" si="15"/>
        <v>0</v>
      </c>
      <c r="E179" s="86">
        <f t="shared" si="16"/>
        <v>0</v>
      </c>
      <c r="F179" s="85">
        <f t="shared" si="17"/>
        <v>0</v>
      </c>
      <c r="G179" s="65">
        <f t="shared" si="18"/>
        <v>0</v>
      </c>
    </row>
    <row r="180" spans="1:7" ht="13.5" hidden="1" thickBot="1">
      <c r="A180" s="70">
        <f t="shared" si="19"/>
        <v>160</v>
      </c>
      <c r="B180" s="85">
        <f t="shared" si="20"/>
        <v>0</v>
      </c>
      <c r="C180" s="85">
        <f t="shared" si="14"/>
        <v>0</v>
      </c>
      <c r="D180" s="85">
        <f t="shared" si="15"/>
        <v>0</v>
      </c>
      <c r="E180" s="86">
        <f t="shared" si="16"/>
        <v>0</v>
      </c>
      <c r="F180" s="85">
        <f t="shared" si="17"/>
        <v>0</v>
      </c>
      <c r="G180" s="65">
        <f t="shared" si="18"/>
        <v>0</v>
      </c>
    </row>
    <row r="181" spans="1:7" ht="13.5" hidden="1" thickBot="1">
      <c r="A181" s="70">
        <f t="shared" si="19"/>
        <v>161</v>
      </c>
      <c r="B181" s="85">
        <f t="shared" si="20"/>
        <v>0</v>
      </c>
      <c r="C181" s="85">
        <f t="shared" si="14"/>
        <v>0</v>
      </c>
      <c r="D181" s="85">
        <f t="shared" si="15"/>
        <v>0</v>
      </c>
      <c r="E181" s="86">
        <f t="shared" si="16"/>
        <v>0</v>
      </c>
      <c r="F181" s="85">
        <f t="shared" si="17"/>
        <v>0</v>
      </c>
      <c r="G181" s="65">
        <f t="shared" si="18"/>
        <v>0</v>
      </c>
    </row>
    <row r="182" spans="1:7" ht="13.5" hidden="1" thickBot="1">
      <c r="A182" s="70">
        <f t="shared" si="19"/>
        <v>162</v>
      </c>
      <c r="B182" s="85">
        <f t="shared" si="20"/>
        <v>0</v>
      </c>
      <c r="C182" s="85">
        <f t="shared" si="14"/>
        <v>0</v>
      </c>
      <c r="D182" s="85">
        <f t="shared" si="15"/>
        <v>0</v>
      </c>
      <c r="E182" s="86">
        <f t="shared" si="16"/>
        <v>0</v>
      </c>
      <c r="F182" s="85">
        <f t="shared" si="17"/>
        <v>0</v>
      </c>
      <c r="G182" s="65">
        <f t="shared" si="18"/>
        <v>0</v>
      </c>
    </row>
    <row r="183" spans="1:7" ht="13.5" hidden="1" thickBot="1">
      <c r="A183" s="70">
        <f t="shared" si="19"/>
        <v>163</v>
      </c>
      <c r="B183" s="85">
        <f t="shared" si="20"/>
        <v>0</v>
      </c>
      <c r="C183" s="85">
        <f t="shared" si="14"/>
        <v>0</v>
      </c>
      <c r="D183" s="85">
        <f t="shared" si="15"/>
        <v>0</v>
      </c>
      <c r="E183" s="86">
        <f t="shared" si="16"/>
        <v>0</v>
      </c>
      <c r="F183" s="85">
        <f t="shared" si="17"/>
        <v>0</v>
      </c>
      <c r="G183" s="65">
        <f t="shared" si="18"/>
        <v>0</v>
      </c>
    </row>
    <row r="184" spans="1:7" ht="13.5" hidden="1" thickBot="1">
      <c r="A184" s="70">
        <f t="shared" si="19"/>
        <v>164</v>
      </c>
      <c r="B184" s="85">
        <f t="shared" si="20"/>
        <v>0</v>
      </c>
      <c r="C184" s="85">
        <f t="shared" si="14"/>
        <v>0</v>
      </c>
      <c r="D184" s="85">
        <f t="shared" si="15"/>
        <v>0</v>
      </c>
      <c r="E184" s="86">
        <f t="shared" si="16"/>
        <v>0</v>
      </c>
      <c r="F184" s="85">
        <f t="shared" si="17"/>
        <v>0</v>
      </c>
      <c r="G184" s="65">
        <f t="shared" si="18"/>
        <v>0</v>
      </c>
    </row>
    <row r="185" spans="1:7" ht="13.5" hidden="1" thickBot="1">
      <c r="A185" s="70">
        <f t="shared" si="19"/>
        <v>165</v>
      </c>
      <c r="B185" s="85">
        <f t="shared" si="20"/>
        <v>0</v>
      </c>
      <c r="C185" s="85">
        <f t="shared" si="14"/>
        <v>0</v>
      </c>
      <c r="D185" s="85">
        <f t="shared" si="15"/>
        <v>0</v>
      </c>
      <c r="E185" s="86">
        <f t="shared" si="16"/>
        <v>0</v>
      </c>
      <c r="F185" s="85">
        <f t="shared" si="17"/>
        <v>0</v>
      </c>
      <c r="G185" s="65">
        <f t="shared" si="18"/>
        <v>0</v>
      </c>
    </row>
    <row r="186" spans="1:7" ht="13.5" hidden="1" thickBot="1">
      <c r="A186" s="70">
        <f t="shared" si="19"/>
        <v>166</v>
      </c>
      <c r="B186" s="85">
        <f t="shared" si="20"/>
        <v>0</v>
      </c>
      <c r="C186" s="85">
        <f t="shared" si="14"/>
        <v>0</v>
      </c>
      <c r="D186" s="85">
        <f t="shared" si="15"/>
        <v>0</v>
      </c>
      <c r="E186" s="86">
        <f t="shared" si="16"/>
        <v>0</v>
      </c>
      <c r="F186" s="85">
        <f t="shared" si="17"/>
        <v>0</v>
      </c>
      <c r="G186" s="65">
        <f t="shared" si="18"/>
        <v>0</v>
      </c>
    </row>
    <row r="187" spans="1:7" ht="13.5" hidden="1" thickBot="1">
      <c r="A187" s="70">
        <f t="shared" si="19"/>
        <v>167</v>
      </c>
      <c r="B187" s="85">
        <f t="shared" si="20"/>
        <v>0</v>
      </c>
      <c r="C187" s="85">
        <f t="shared" si="14"/>
        <v>0</v>
      </c>
      <c r="D187" s="85">
        <f t="shared" si="15"/>
        <v>0</v>
      </c>
      <c r="E187" s="86">
        <f t="shared" si="16"/>
        <v>0</v>
      </c>
      <c r="F187" s="85">
        <f t="shared" si="17"/>
        <v>0</v>
      </c>
      <c r="G187" s="65">
        <f t="shared" si="18"/>
        <v>0</v>
      </c>
    </row>
    <row r="188" spans="1:7" ht="13.5" hidden="1" thickBot="1">
      <c r="A188" s="70">
        <f t="shared" si="19"/>
        <v>168</v>
      </c>
      <c r="B188" s="85">
        <f t="shared" si="20"/>
        <v>0</v>
      </c>
      <c r="C188" s="85">
        <f t="shared" si="14"/>
        <v>0</v>
      </c>
      <c r="D188" s="85">
        <f t="shared" si="15"/>
        <v>0</v>
      </c>
      <c r="E188" s="86">
        <f t="shared" si="16"/>
        <v>0</v>
      </c>
      <c r="F188" s="85">
        <f t="shared" si="17"/>
        <v>0</v>
      </c>
      <c r="G188" s="65">
        <f t="shared" si="18"/>
        <v>0</v>
      </c>
    </row>
    <row r="189" spans="1:7" ht="13.5" hidden="1" thickBot="1">
      <c r="A189" s="70">
        <f t="shared" si="19"/>
        <v>169</v>
      </c>
      <c r="B189" s="85">
        <f t="shared" si="20"/>
        <v>0</v>
      </c>
      <c r="C189" s="85">
        <f t="shared" si="14"/>
        <v>0</v>
      </c>
      <c r="D189" s="85">
        <f t="shared" si="15"/>
        <v>0</v>
      </c>
      <c r="E189" s="86">
        <f t="shared" si="16"/>
        <v>0</v>
      </c>
      <c r="F189" s="85">
        <f t="shared" si="17"/>
        <v>0</v>
      </c>
      <c r="G189" s="65">
        <f t="shared" si="18"/>
        <v>0</v>
      </c>
    </row>
    <row r="190" spans="1:7" ht="13.5" hidden="1" thickBot="1">
      <c r="A190" s="70">
        <f t="shared" si="19"/>
        <v>170</v>
      </c>
      <c r="B190" s="85">
        <f t="shared" si="20"/>
        <v>0</v>
      </c>
      <c r="C190" s="85">
        <f t="shared" si="14"/>
        <v>0</v>
      </c>
      <c r="D190" s="85">
        <f t="shared" si="15"/>
        <v>0</v>
      </c>
      <c r="E190" s="86">
        <f t="shared" si="16"/>
        <v>0</v>
      </c>
      <c r="F190" s="85">
        <f t="shared" si="17"/>
        <v>0</v>
      </c>
      <c r="G190" s="65">
        <f t="shared" si="18"/>
        <v>0</v>
      </c>
    </row>
    <row r="191" spans="1:7" ht="13.5" hidden="1" thickBot="1">
      <c r="A191" s="70">
        <f t="shared" si="19"/>
        <v>171</v>
      </c>
      <c r="B191" s="85">
        <f t="shared" si="20"/>
        <v>0</v>
      </c>
      <c r="C191" s="85">
        <f t="shared" si="14"/>
        <v>0</v>
      </c>
      <c r="D191" s="85">
        <f t="shared" si="15"/>
        <v>0</v>
      </c>
      <c r="E191" s="86">
        <f t="shared" si="16"/>
        <v>0</v>
      </c>
      <c r="F191" s="85">
        <f t="shared" si="17"/>
        <v>0</v>
      </c>
      <c r="G191" s="65">
        <f t="shared" si="18"/>
        <v>0</v>
      </c>
    </row>
    <row r="192" spans="1:7" ht="13.5" hidden="1" thickBot="1">
      <c r="A192" s="70">
        <f t="shared" si="19"/>
        <v>172</v>
      </c>
      <c r="B192" s="85">
        <f t="shared" si="20"/>
        <v>0</v>
      </c>
      <c r="C192" s="85">
        <f t="shared" si="14"/>
        <v>0</v>
      </c>
      <c r="D192" s="85">
        <f t="shared" si="15"/>
        <v>0</v>
      </c>
      <c r="E192" s="86">
        <f t="shared" si="16"/>
        <v>0</v>
      </c>
      <c r="F192" s="85">
        <f t="shared" si="17"/>
        <v>0</v>
      </c>
      <c r="G192" s="65">
        <f t="shared" si="18"/>
        <v>0</v>
      </c>
    </row>
    <row r="193" spans="1:7" ht="13.5" hidden="1" thickBot="1">
      <c r="A193" s="70">
        <f t="shared" si="19"/>
        <v>173</v>
      </c>
      <c r="B193" s="85">
        <f t="shared" si="20"/>
        <v>0</v>
      </c>
      <c r="C193" s="85">
        <f t="shared" si="14"/>
        <v>0</v>
      </c>
      <c r="D193" s="85">
        <f t="shared" si="15"/>
        <v>0</v>
      </c>
      <c r="E193" s="86">
        <f t="shared" si="16"/>
        <v>0</v>
      </c>
      <c r="F193" s="85">
        <f t="shared" si="17"/>
        <v>0</v>
      </c>
      <c r="G193" s="65">
        <f t="shared" si="18"/>
        <v>0</v>
      </c>
    </row>
    <row r="194" spans="1:7" ht="13.5" hidden="1" thickBot="1">
      <c r="A194" s="70">
        <f t="shared" si="19"/>
        <v>174</v>
      </c>
      <c r="B194" s="85">
        <f t="shared" si="20"/>
        <v>0</v>
      </c>
      <c r="C194" s="85">
        <f t="shared" si="14"/>
        <v>0</v>
      </c>
      <c r="D194" s="85">
        <f t="shared" si="15"/>
        <v>0</v>
      </c>
      <c r="E194" s="86">
        <f t="shared" si="16"/>
        <v>0</v>
      </c>
      <c r="F194" s="85">
        <f t="shared" si="17"/>
        <v>0</v>
      </c>
      <c r="G194" s="65">
        <f t="shared" si="18"/>
        <v>0</v>
      </c>
    </row>
    <row r="195" spans="1:7" ht="13.5" hidden="1" thickBot="1">
      <c r="A195" s="70">
        <f t="shared" si="19"/>
        <v>175</v>
      </c>
      <c r="B195" s="85">
        <f t="shared" si="20"/>
        <v>0</v>
      </c>
      <c r="C195" s="85">
        <f t="shared" si="14"/>
        <v>0</v>
      </c>
      <c r="D195" s="85">
        <f t="shared" si="15"/>
        <v>0</v>
      </c>
      <c r="E195" s="86">
        <f t="shared" si="16"/>
        <v>0</v>
      </c>
      <c r="F195" s="85">
        <f t="shared" si="17"/>
        <v>0</v>
      </c>
      <c r="G195" s="65">
        <f t="shared" si="18"/>
        <v>0</v>
      </c>
    </row>
    <row r="196" spans="1:7" ht="13.5" hidden="1" thickBot="1">
      <c r="A196" s="70">
        <f t="shared" si="19"/>
        <v>176</v>
      </c>
      <c r="B196" s="85">
        <f t="shared" si="20"/>
        <v>0</v>
      </c>
      <c r="C196" s="85">
        <f t="shared" si="14"/>
        <v>0</v>
      </c>
      <c r="D196" s="85">
        <f t="shared" si="15"/>
        <v>0</v>
      </c>
      <c r="E196" s="86">
        <f t="shared" si="16"/>
        <v>0</v>
      </c>
      <c r="F196" s="85">
        <f t="shared" si="17"/>
        <v>0</v>
      </c>
      <c r="G196" s="65">
        <f t="shared" si="18"/>
        <v>0</v>
      </c>
    </row>
    <row r="197" spans="1:7" ht="13.5" hidden="1" thickBot="1">
      <c r="A197" s="70">
        <f t="shared" si="19"/>
        <v>177</v>
      </c>
      <c r="B197" s="85">
        <f t="shared" si="20"/>
        <v>0</v>
      </c>
      <c r="C197" s="85">
        <f t="shared" si="14"/>
        <v>0</v>
      </c>
      <c r="D197" s="85">
        <f t="shared" si="15"/>
        <v>0</v>
      </c>
      <c r="E197" s="86">
        <f t="shared" si="16"/>
        <v>0</v>
      </c>
      <c r="F197" s="85">
        <f t="shared" si="17"/>
        <v>0</v>
      </c>
      <c r="G197" s="65">
        <f t="shared" si="18"/>
        <v>0</v>
      </c>
    </row>
    <row r="198" spans="1:7" ht="13.5" hidden="1" thickBot="1">
      <c r="A198" s="70">
        <f t="shared" si="19"/>
        <v>178</v>
      </c>
      <c r="B198" s="85">
        <f t="shared" si="20"/>
        <v>0</v>
      </c>
      <c r="C198" s="85">
        <f t="shared" si="14"/>
        <v>0</v>
      </c>
      <c r="D198" s="85">
        <f t="shared" si="15"/>
        <v>0</v>
      </c>
      <c r="E198" s="86">
        <f t="shared" si="16"/>
        <v>0</v>
      </c>
      <c r="F198" s="85">
        <f t="shared" si="17"/>
        <v>0</v>
      </c>
      <c r="G198" s="65">
        <f t="shared" si="18"/>
        <v>0</v>
      </c>
    </row>
    <row r="199" spans="1:7" ht="13.5" hidden="1" thickBot="1">
      <c r="A199" s="70">
        <f t="shared" si="19"/>
        <v>179</v>
      </c>
      <c r="B199" s="85">
        <f t="shared" si="20"/>
        <v>0</v>
      </c>
      <c r="C199" s="85">
        <f t="shared" si="14"/>
        <v>0</v>
      </c>
      <c r="D199" s="85">
        <f t="shared" si="15"/>
        <v>0</v>
      </c>
      <c r="E199" s="86">
        <f t="shared" si="16"/>
        <v>0</v>
      </c>
      <c r="F199" s="85">
        <f t="shared" si="17"/>
        <v>0</v>
      </c>
      <c r="G199" s="65">
        <f t="shared" si="18"/>
        <v>0</v>
      </c>
    </row>
    <row r="200" spans="1:7" ht="13.5" hidden="1" thickBot="1">
      <c r="A200" s="70">
        <f t="shared" si="19"/>
        <v>180</v>
      </c>
      <c r="B200" s="85">
        <f t="shared" si="20"/>
        <v>0</v>
      </c>
      <c r="C200" s="85">
        <f t="shared" si="14"/>
        <v>0</v>
      </c>
      <c r="D200" s="85">
        <f t="shared" si="15"/>
        <v>0</v>
      </c>
      <c r="E200" s="86">
        <f t="shared" si="16"/>
        <v>0</v>
      </c>
      <c r="F200" s="85">
        <f t="shared" si="17"/>
        <v>0</v>
      </c>
      <c r="G200" s="65">
        <f t="shared" si="18"/>
        <v>0</v>
      </c>
    </row>
    <row r="201" spans="1:7" ht="13.5" hidden="1" thickBot="1">
      <c r="A201" s="70">
        <f t="shared" si="19"/>
        <v>181</v>
      </c>
      <c r="B201" s="85">
        <f t="shared" si="20"/>
        <v>0</v>
      </c>
      <c r="C201" s="85">
        <f t="shared" si="14"/>
        <v>0</v>
      </c>
      <c r="D201" s="85">
        <f t="shared" si="15"/>
        <v>0</v>
      </c>
      <c r="E201" s="86">
        <f t="shared" si="16"/>
        <v>0</v>
      </c>
      <c r="F201" s="85">
        <f t="shared" si="17"/>
        <v>0</v>
      </c>
      <c r="G201" s="65">
        <f t="shared" si="18"/>
        <v>0</v>
      </c>
    </row>
    <row r="202" spans="1:7" ht="13.5" hidden="1" thickBot="1">
      <c r="A202" s="70">
        <f t="shared" si="19"/>
        <v>182</v>
      </c>
      <c r="B202" s="85">
        <f t="shared" si="20"/>
        <v>0</v>
      </c>
      <c r="C202" s="85">
        <f t="shared" si="14"/>
        <v>0</v>
      </c>
      <c r="D202" s="85">
        <f t="shared" si="15"/>
        <v>0</v>
      </c>
      <c r="E202" s="86">
        <f t="shared" si="16"/>
        <v>0</v>
      </c>
      <c r="F202" s="85">
        <f t="shared" si="17"/>
        <v>0</v>
      </c>
      <c r="G202" s="65">
        <f t="shared" si="18"/>
        <v>0</v>
      </c>
    </row>
    <row r="203" spans="1:7" ht="13.5" hidden="1" thickBot="1">
      <c r="A203" s="70">
        <f t="shared" si="19"/>
        <v>183</v>
      </c>
      <c r="B203" s="85">
        <f t="shared" si="20"/>
        <v>0</v>
      </c>
      <c r="C203" s="85">
        <f t="shared" si="14"/>
        <v>0</v>
      </c>
      <c r="D203" s="85">
        <f t="shared" si="15"/>
        <v>0</v>
      </c>
      <c r="E203" s="86">
        <f t="shared" si="16"/>
        <v>0</v>
      </c>
      <c r="F203" s="85">
        <f t="shared" si="17"/>
        <v>0</v>
      </c>
      <c r="G203" s="65">
        <f t="shared" si="18"/>
        <v>0</v>
      </c>
    </row>
    <row r="204" spans="1:7" ht="13.5" hidden="1" thickBot="1">
      <c r="A204" s="70">
        <f t="shared" si="19"/>
        <v>184</v>
      </c>
      <c r="B204" s="85">
        <f t="shared" si="20"/>
        <v>0</v>
      </c>
      <c r="C204" s="85">
        <f t="shared" si="14"/>
        <v>0</v>
      </c>
      <c r="D204" s="85">
        <f t="shared" si="15"/>
        <v>0</v>
      </c>
      <c r="E204" s="86">
        <f t="shared" si="16"/>
        <v>0</v>
      </c>
      <c r="F204" s="85">
        <f t="shared" si="17"/>
        <v>0</v>
      </c>
      <c r="G204" s="65">
        <f t="shared" si="18"/>
        <v>0</v>
      </c>
    </row>
    <row r="205" spans="1:7" ht="13.5" hidden="1" thickBot="1">
      <c r="A205" s="70">
        <f t="shared" si="19"/>
        <v>185</v>
      </c>
      <c r="B205" s="85">
        <f t="shared" si="20"/>
        <v>0</v>
      </c>
      <c r="C205" s="85">
        <f t="shared" si="14"/>
        <v>0</v>
      </c>
      <c r="D205" s="85">
        <f t="shared" si="15"/>
        <v>0</v>
      </c>
      <c r="E205" s="86">
        <f t="shared" si="16"/>
        <v>0</v>
      </c>
      <c r="F205" s="85">
        <f t="shared" si="17"/>
        <v>0</v>
      </c>
      <c r="G205" s="65">
        <f t="shared" si="18"/>
        <v>0</v>
      </c>
    </row>
    <row r="206" spans="1:7" ht="13.5" hidden="1" thickBot="1">
      <c r="A206" s="70">
        <f t="shared" si="19"/>
        <v>186</v>
      </c>
      <c r="B206" s="85">
        <f t="shared" si="20"/>
        <v>0</v>
      </c>
      <c r="C206" s="85">
        <f t="shared" si="14"/>
        <v>0</v>
      </c>
      <c r="D206" s="85">
        <f t="shared" si="15"/>
        <v>0</v>
      </c>
      <c r="E206" s="86">
        <f t="shared" si="16"/>
        <v>0</v>
      </c>
      <c r="F206" s="85">
        <f t="shared" si="17"/>
        <v>0</v>
      </c>
      <c r="G206" s="65">
        <f t="shared" si="18"/>
        <v>0</v>
      </c>
    </row>
    <row r="207" spans="1:7" ht="13.5" hidden="1" thickBot="1">
      <c r="A207" s="70">
        <f t="shared" si="19"/>
        <v>187</v>
      </c>
      <c r="B207" s="85">
        <f t="shared" si="20"/>
        <v>0</v>
      </c>
      <c r="C207" s="85">
        <f t="shared" si="14"/>
        <v>0</v>
      </c>
      <c r="D207" s="85">
        <f t="shared" si="15"/>
        <v>0</v>
      </c>
      <c r="E207" s="86">
        <f t="shared" si="16"/>
        <v>0</v>
      </c>
      <c r="F207" s="85">
        <f t="shared" si="17"/>
        <v>0</v>
      </c>
      <c r="G207" s="65">
        <f t="shared" si="18"/>
        <v>0</v>
      </c>
    </row>
    <row r="208" spans="1:7" ht="13.5" hidden="1" thickBot="1">
      <c r="A208" s="70">
        <f t="shared" si="19"/>
        <v>188</v>
      </c>
      <c r="B208" s="85">
        <f t="shared" si="20"/>
        <v>0</v>
      </c>
      <c r="C208" s="85">
        <f t="shared" si="14"/>
        <v>0</v>
      </c>
      <c r="D208" s="85">
        <f t="shared" si="15"/>
        <v>0</v>
      </c>
      <c r="E208" s="86">
        <f t="shared" si="16"/>
        <v>0</v>
      </c>
      <c r="F208" s="85">
        <f t="shared" si="17"/>
        <v>0</v>
      </c>
      <c r="G208" s="65">
        <f t="shared" si="18"/>
        <v>0</v>
      </c>
    </row>
    <row r="209" spans="1:7" ht="13.5" hidden="1" thickBot="1">
      <c r="A209" s="70">
        <f t="shared" si="19"/>
        <v>189</v>
      </c>
      <c r="B209" s="85">
        <f t="shared" si="20"/>
        <v>0</v>
      </c>
      <c r="C209" s="85">
        <f t="shared" si="14"/>
        <v>0</v>
      </c>
      <c r="D209" s="85">
        <f t="shared" si="15"/>
        <v>0</v>
      </c>
      <c r="E209" s="86">
        <f t="shared" si="16"/>
        <v>0</v>
      </c>
      <c r="F209" s="85">
        <f t="shared" si="17"/>
        <v>0</v>
      </c>
      <c r="G209" s="65">
        <f t="shared" si="18"/>
        <v>0</v>
      </c>
    </row>
    <row r="210" spans="1:7" ht="13.5" hidden="1" thickBot="1">
      <c r="A210" s="70">
        <f t="shared" si="19"/>
        <v>190</v>
      </c>
      <c r="B210" s="85">
        <f t="shared" si="20"/>
        <v>0</v>
      </c>
      <c r="C210" s="85">
        <f t="shared" si="14"/>
        <v>0</v>
      </c>
      <c r="D210" s="85">
        <f t="shared" si="15"/>
        <v>0</v>
      </c>
      <c r="E210" s="86">
        <f t="shared" si="16"/>
        <v>0</v>
      </c>
      <c r="F210" s="85">
        <f t="shared" si="17"/>
        <v>0</v>
      </c>
      <c r="G210" s="65">
        <f t="shared" si="18"/>
        <v>0</v>
      </c>
    </row>
    <row r="211" spans="1:7" ht="13.5" hidden="1" thickBot="1">
      <c r="A211" s="70">
        <f t="shared" si="19"/>
        <v>191</v>
      </c>
      <c r="B211" s="85">
        <f t="shared" si="20"/>
        <v>0</v>
      </c>
      <c r="C211" s="85">
        <f t="shared" si="14"/>
        <v>0</v>
      </c>
      <c r="D211" s="85">
        <f t="shared" si="15"/>
        <v>0</v>
      </c>
      <c r="E211" s="86">
        <f t="shared" si="16"/>
        <v>0</v>
      </c>
      <c r="F211" s="85">
        <f t="shared" si="17"/>
        <v>0</v>
      </c>
      <c r="G211" s="65">
        <f t="shared" si="18"/>
        <v>0</v>
      </c>
    </row>
    <row r="212" spans="1:7" ht="13.5" hidden="1" thickBot="1">
      <c r="A212" s="70">
        <f t="shared" si="19"/>
        <v>192</v>
      </c>
      <c r="B212" s="85">
        <f t="shared" si="20"/>
        <v>0</v>
      </c>
      <c r="C212" s="85">
        <f t="shared" si="14"/>
        <v>0</v>
      </c>
      <c r="D212" s="85">
        <f t="shared" si="15"/>
        <v>0</v>
      </c>
      <c r="E212" s="86">
        <f t="shared" si="16"/>
        <v>0</v>
      </c>
      <c r="F212" s="85">
        <f t="shared" si="17"/>
        <v>0</v>
      </c>
      <c r="G212" s="65">
        <f t="shared" si="18"/>
        <v>0</v>
      </c>
    </row>
    <row r="213" spans="1:7" ht="13.5" hidden="1" thickBot="1">
      <c r="A213" s="70">
        <f t="shared" si="19"/>
        <v>193</v>
      </c>
      <c r="B213" s="85">
        <f t="shared" si="20"/>
        <v>0</v>
      </c>
      <c r="C213" s="85">
        <f t="shared" ref="C213:C276" si="21">IF(A213&lt;=$D$9,$D$14*-1,0)</f>
        <v>0</v>
      </c>
      <c r="D213" s="85">
        <f t="shared" ref="D213:D276" si="22">IF(A213&gt;$D$9,0,$D$11*-1)</f>
        <v>0</v>
      </c>
      <c r="E213" s="86">
        <f t="shared" ref="E213:E276" si="23">B213*$D$10</f>
        <v>0</v>
      </c>
      <c r="F213" s="85">
        <f t="shared" ref="F213:F276" si="24">D213-E213</f>
        <v>0</v>
      </c>
      <c r="G213" s="65">
        <f t="shared" ref="G213:G276" si="25">B213-F213</f>
        <v>0</v>
      </c>
    </row>
    <row r="214" spans="1:7" ht="13.5" hidden="1" thickBot="1">
      <c r="A214" s="70">
        <f t="shared" ref="A214:A277" si="26">A213+1</f>
        <v>194</v>
      </c>
      <c r="B214" s="85">
        <f t="shared" ref="B214:B277" si="27">IF(A214&lt;=$D$9,G213,0)</f>
        <v>0</v>
      </c>
      <c r="C214" s="85">
        <f t="shared" si="21"/>
        <v>0</v>
      </c>
      <c r="D214" s="85">
        <f t="shared" si="22"/>
        <v>0</v>
      </c>
      <c r="E214" s="86">
        <f t="shared" si="23"/>
        <v>0</v>
      </c>
      <c r="F214" s="85">
        <f t="shared" si="24"/>
        <v>0</v>
      </c>
      <c r="G214" s="65">
        <f t="shared" si="25"/>
        <v>0</v>
      </c>
    </row>
    <row r="215" spans="1:7" ht="13.5" hidden="1" thickBot="1">
      <c r="A215" s="70">
        <f t="shared" si="26"/>
        <v>195</v>
      </c>
      <c r="B215" s="85">
        <f t="shared" si="27"/>
        <v>0</v>
      </c>
      <c r="C215" s="85">
        <f t="shared" si="21"/>
        <v>0</v>
      </c>
      <c r="D215" s="85">
        <f t="shared" si="22"/>
        <v>0</v>
      </c>
      <c r="E215" s="86">
        <f t="shared" si="23"/>
        <v>0</v>
      </c>
      <c r="F215" s="85">
        <f t="shared" si="24"/>
        <v>0</v>
      </c>
      <c r="G215" s="65">
        <f t="shared" si="25"/>
        <v>0</v>
      </c>
    </row>
    <row r="216" spans="1:7" ht="13.5" hidden="1" thickBot="1">
      <c r="A216" s="70">
        <f t="shared" si="26"/>
        <v>196</v>
      </c>
      <c r="B216" s="85">
        <f t="shared" si="27"/>
        <v>0</v>
      </c>
      <c r="C216" s="85">
        <f t="shared" si="21"/>
        <v>0</v>
      </c>
      <c r="D216" s="85">
        <f t="shared" si="22"/>
        <v>0</v>
      </c>
      <c r="E216" s="86">
        <f t="shared" si="23"/>
        <v>0</v>
      </c>
      <c r="F216" s="85">
        <f t="shared" si="24"/>
        <v>0</v>
      </c>
      <c r="G216" s="65">
        <f t="shared" si="25"/>
        <v>0</v>
      </c>
    </row>
    <row r="217" spans="1:7" ht="13.5" hidden="1" thickBot="1">
      <c r="A217" s="70">
        <f t="shared" si="26"/>
        <v>197</v>
      </c>
      <c r="B217" s="85">
        <f t="shared" si="27"/>
        <v>0</v>
      </c>
      <c r="C217" s="85">
        <f t="shared" si="21"/>
        <v>0</v>
      </c>
      <c r="D217" s="85">
        <f t="shared" si="22"/>
        <v>0</v>
      </c>
      <c r="E217" s="86">
        <f t="shared" si="23"/>
        <v>0</v>
      </c>
      <c r="F217" s="85">
        <f t="shared" si="24"/>
        <v>0</v>
      </c>
      <c r="G217" s="65">
        <f t="shared" si="25"/>
        <v>0</v>
      </c>
    </row>
    <row r="218" spans="1:7" ht="13.5" hidden="1" thickBot="1">
      <c r="A218" s="70">
        <f t="shared" si="26"/>
        <v>198</v>
      </c>
      <c r="B218" s="85">
        <f t="shared" si="27"/>
        <v>0</v>
      </c>
      <c r="C218" s="85">
        <f t="shared" si="21"/>
        <v>0</v>
      </c>
      <c r="D218" s="85">
        <f t="shared" si="22"/>
        <v>0</v>
      </c>
      <c r="E218" s="86">
        <f t="shared" si="23"/>
        <v>0</v>
      </c>
      <c r="F218" s="85">
        <f t="shared" si="24"/>
        <v>0</v>
      </c>
      <c r="G218" s="65">
        <f t="shared" si="25"/>
        <v>0</v>
      </c>
    </row>
    <row r="219" spans="1:7" ht="13.5" hidden="1" thickBot="1">
      <c r="A219" s="70">
        <f t="shared" si="26"/>
        <v>199</v>
      </c>
      <c r="B219" s="85">
        <f t="shared" si="27"/>
        <v>0</v>
      </c>
      <c r="C219" s="85">
        <f t="shared" si="21"/>
        <v>0</v>
      </c>
      <c r="D219" s="85">
        <f t="shared" si="22"/>
        <v>0</v>
      </c>
      <c r="E219" s="86">
        <f t="shared" si="23"/>
        <v>0</v>
      </c>
      <c r="F219" s="85">
        <f t="shared" si="24"/>
        <v>0</v>
      </c>
      <c r="G219" s="65">
        <f t="shared" si="25"/>
        <v>0</v>
      </c>
    </row>
    <row r="220" spans="1:7" ht="13.5" hidden="1" thickBot="1">
      <c r="A220" s="70">
        <f t="shared" si="26"/>
        <v>200</v>
      </c>
      <c r="B220" s="85">
        <f t="shared" si="27"/>
        <v>0</v>
      </c>
      <c r="C220" s="85">
        <f t="shared" si="21"/>
        <v>0</v>
      </c>
      <c r="D220" s="85">
        <f t="shared" si="22"/>
        <v>0</v>
      </c>
      <c r="E220" s="86">
        <f t="shared" si="23"/>
        <v>0</v>
      </c>
      <c r="F220" s="85">
        <f t="shared" si="24"/>
        <v>0</v>
      </c>
      <c r="G220" s="65">
        <f t="shared" si="25"/>
        <v>0</v>
      </c>
    </row>
    <row r="221" spans="1:7" ht="13.5" hidden="1" thickBot="1">
      <c r="A221" s="70">
        <f t="shared" si="26"/>
        <v>201</v>
      </c>
      <c r="B221" s="85">
        <f t="shared" si="27"/>
        <v>0</v>
      </c>
      <c r="C221" s="85">
        <f t="shared" si="21"/>
        <v>0</v>
      </c>
      <c r="D221" s="85">
        <f t="shared" si="22"/>
        <v>0</v>
      </c>
      <c r="E221" s="86">
        <f t="shared" si="23"/>
        <v>0</v>
      </c>
      <c r="F221" s="85">
        <f t="shared" si="24"/>
        <v>0</v>
      </c>
      <c r="G221" s="65">
        <f t="shared" si="25"/>
        <v>0</v>
      </c>
    </row>
    <row r="222" spans="1:7" ht="13.5" hidden="1" thickBot="1">
      <c r="A222" s="70">
        <f t="shared" si="26"/>
        <v>202</v>
      </c>
      <c r="B222" s="85">
        <f t="shared" si="27"/>
        <v>0</v>
      </c>
      <c r="C222" s="85">
        <f t="shared" si="21"/>
        <v>0</v>
      </c>
      <c r="D222" s="85">
        <f t="shared" si="22"/>
        <v>0</v>
      </c>
      <c r="E222" s="86">
        <f t="shared" si="23"/>
        <v>0</v>
      </c>
      <c r="F222" s="85">
        <f t="shared" si="24"/>
        <v>0</v>
      </c>
      <c r="G222" s="65">
        <f t="shared" si="25"/>
        <v>0</v>
      </c>
    </row>
    <row r="223" spans="1:7" ht="13.5" hidden="1" thickBot="1">
      <c r="A223" s="70">
        <f t="shared" si="26"/>
        <v>203</v>
      </c>
      <c r="B223" s="85">
        <f t="shared" si="27"/>
        <v>0</v>
      </c>
      <c r="C223" s="85">
        <f t="shared" si="21"/>
        <v>0</v>
      </c>
      <c r="D223" s="85">
        <f t="shared" si="22"/>
        <v>0</v>
      </c>
      <c r="E223" s="86">
        <f t="shared" si="23"/>
        <v>0</v>
      </c>
      <c r="F223" s="85">
        <f t="shared" si="24"/>
        <v>0</v>
      </c>
      <c r="G223" s="65">
        <f t="shared" si="25"/>
        <v>0</v>
      </c>
    </row>
    <row r="224" spans="1:7" ht="13.5" hidden="1" thickBot="1">
      <c r="A224" s="70">
        <f t="shared" si="26"/>
        <v>204</v>
      </c>
      <c r="B224" s="85">
        <f t="shared" si="27"/>
        <v>0</v>
      </c>
      <c r="C224" s="85">
        <f t="shared" si="21"/>
        <v>0</v>
      </c>
      <c r="D224" s="85">
        <f t="shared" si="22"/>
        <v>0</v>
      </c>
      <c r="E224" s="86">
        <f t="shared" si="23"/>
        <v>0</v>
      </c>
      <c r="F224" s="85">
        <f t="shared" si="24"/>
        <v>0</v>
      </c>
      <c r="G224" s="65">
        <f t="shared" si="25"/>
        <v>0</v>
      </c>
    </row>
    <row r="225" spans="1:7" ht="13.5" hidden="1" thickBot="1">
      <c r="A225" s="70">
        <f t="shared" si="26"/>
        <v>205</v>
      </c>
      <c r="B225" s="85">
        <f t="shared" si="27"/>
        <v>0</v>
      </c>
      <c r="C225" s="85">
        <f t="shared" si="21"/>
        <v>0</v>
      </c>
      <c r="D225" s="85">
        <f t="shared" si="22"/>
        <v>0</v>
      </c>
      <c r="E225" s="86">
        <f t="shared" si="23"/>
        <v>0</v>
      </c>
      <c r="F225" s="85">
        <f t="shared" si="24"/>
        <v>0</v>
      </c>
      <c r="G225" s="65">
        <f t="shared" si="25"/>
        <v>0</v>
      </c>
    </row>
    <row r="226" spans="1:7" ht="13.5" hidden="1" thickBot="1">
      <c r="A226" s="70">
        <f t="shared" si="26"/>
        <v>206</v>
      </c>
      <c r="B226" s="85">
        <f t="shared" si="27"/>
        <v>0</v>
      </c>
      <c r="C226" s="85">
        <f t="shared" si="21"/>
        <v>0</v>
      </c>
      <c r="D226" s="85">
        <f t="shared" si="22"/>
        <v>0</v>
      </c>
      <c r="E226" s="86">
        <f t="shared" si="23"/>
        <v>0</v>
      </c>
      <c r="F226" s="85">
        <f t="shared" si="24"/>
        <v>0</v>
      </c>
      <c r="G226" s="65">
        <f t="shared" si="25"/>
        <v>0</v>
      </c>
    </row>
    <row r="227" spans="1:7" ht="13.5" hidden="1" thickBot="1">
      <c r="A227" s="70">
        <f t="shared" si="26"/>
        <v>207</v>
      </c>
      <c r="B227" s="85">
        <f t="shared" si="27"/>
        <v>0</v>
      </c>
      <c r="C227" s="85">
        <f t="shared" si="21"/>
        <v>0</v>
      </c>
      <c r="D227" s="85">
        <f t="shared" si="22"/>
        <v>0</v>
      </c>
      <c r="E227" s="86">
        <f t="shared" si="23"/>
        <v>0</v>
      </c>
      <c r="F227" s="85">
        <f t="shared" si="24"/>
        <v>0</v>
      </c>
      <c r="G227" s="65">
        <f t="shared" si="25"/>
        <v>0</v>
      </c>
    </row>
    <row r="228" spans="1:7" ht="13.5" hidden="1" thickBot="1">
      <c r="A228" s="70">
        <f t="shared" si="26"/>
        <v>208</v>
      </c>
      <c r="B228" s="85">
        <f t="shared" si="27"/>
        <v>0</v>
      </c>
      <c r="C228" s="85">
        <f t="shared" si="21"/>
        <v>0</v>
      </c>
      <c r="D228" s="85">
        <f t="shared" si="22"/>
        <v>0</v>
      </c>
      <c r="E228" s="86">
        <f t="shared" si="23"/>
        <v>0</v>
      </c>
      <c r="F228" s="85">
        <f t="shared" si="24"/>
        <v>0</v>
      </c>
      <c r="G228" s="65">
        <f t="shared" si="25"/>
        <v>0</v>
      </c>
    </row>
    <row r="229" spans="1:7" ht="13.5" hidden="1" thickBot="1">
      <c r="A229" s="70">
        <f t="shared" si="26"/>
        <v>209</v>
      </c>
      <c r="B229" s="85">
        <f t="shared" si="27"/>
        <v>0</v>
      </c>
      <c r="C229" s="85">
        <f t="shared" si="21"/>
        <v>0</v>
      </c>
      <c r="D229" s="85">
        <f t="shared" si="22"/>
        <v>0</v>
      </c>
      <c r="E229" s="86">
        <f t="shared" si="23"/>
        <v>0</v>
      </c>
      <c r="F229" s="85">
        <f t="shared" si="24"/>
        <v>0</v>
      </c>
      <c r="G229" s="65">
        <f t="shared" si="25"/>
        <v>0</v>
      </c>
    </row>
    <row r="230" spans="1:7" ht="13.5" hidden="1" thickBot="1">
      <c r="A230" s="70">
        <f t="shared" si="26"/>
        <v>210</v>
      </c>
      <c r="B230" s="85">
        <f t="shared" si="27"/>
        <v>0</v>
      </c>
      <c r="C230" s="85">
        <f t="shared" si="21"/>
        <v>0</v>
      </c>
      <c r="D230" s="85">
        <f t="shared" si="22"/>
        <v>0</v>
      </c>
      <c r="E230" s="86">
        <f t="shared" si="23"/>
        <v>0</v>
      </c>
      <c r="F230" s="85">
        <f t="shared" si="24"/>
        <v>0</v>
      </c>
      <c r="G230" s="65">
        <f t="shared" si="25"/>
        <v>0</v>
      </c>
    </row>
    <row r="231" spans="1:7" ht="13.5" hidden="1" thickBot="1">
      <c r="A231" s="70">
        <f t="shared" si="26"/>
        <v>211</v>
      </c>
      <c r="B231" s="85">
        <f t="shared" si="27"/>
        <v>0</v>
      </c>
      <c r="C231" s="85">
        <f t="shared" si="21"/>
        <v>0</v>
      </c>
      <c r="D231" s="85">
        <f t="shared" si="22"/>
        <v>0</v>
      </c>
      <c r="E231" s="86">
        <f t="shared" si="23"/>
        <v>0</v>
      </c>
      <c r="F231" s="85">
        <f t="shared" si="24"/>
        <v>0</v>
      </c>
      <c r="G231" s="65">
        <f t="shared" si="25"/>
        <v>0</v>
      </c>
    </row>
    <row r="232" spans="1:7" ht="13.5" hidden="1" thickBot="1">
      <c r="A232" s="70">
        <f t="shared" si="26"/>
        <v>212</v>
      </c>
      <c r="B232" s="85">
        <f t="shared" si="27"/>
        <v>0</v>
      </c>
      <c r="C232" s="85">
        <f t="shared" si="21"/>
        <v>0</v>
      </c>
      <c r="D232" s="85">
        <f t="shared" si="22"/>
        <v>0</v>
      </c>
      <c r="E232" s="86">
        <f t="shared" si="23"/>
        <v>0</v>
      </c>
      <c r="F232" s="85">
        <f t="shared" si="24"/>
        <v>0</v>
      </c>
      <c r="G232" s="65">
        <f t="shared" si="25"/>
        <v>0</v>
      </c>
    </row>
    <row r="233" spans="1:7" ht="13.5" hidden="1" thickBot="1">
      <c r="A233" s="70">
        <f t="shared" si="26"/>
        <v>213</v>
      </c>
      <c r="B233" s="85">
        <f t="shared" si="27"/>
        <v>0</v>
      </c>
      <c r="C233" s="85">
        <f t="shared" si="21"/>
        <v>0</v>
      </c>
      <c r="D233" s="85">
        <f t="shared" si="22"/>
        <v>0</v>
      </c>
      <c r="E233" s="86">
        <f t="shared" si="23"/>
        <v>0</v>
      </c>
      <c r="F233" s="85">
        <f t="shared" si="24"/>
        <v>0</v>
      </c>
      <c r="G233" s="65">
        <f t="shared" si="25"/>
        <v>0</v>
      </c>
    </row>
    <row r="234" spans="1:7" ht="13.5" hidden="1" thickBot="1">
      <c r="A234" s="70">
        <f t="shared" si="26"/>
        <v>214</v>
      </c>
      <c r="B234" s="85">
        <f t="shared" si="27"/>
        <v>0</v>
      </c>
      <c r="C234" s="85">
        <f t="shared" si="21"/>
        <v>0</v>
      </c>
      <c r="D234" s="85">
        <f t="shared" si="22"/>
        <v>0</v>
      </c>
      <c r="E234" s="86">
        <f t="shared" si="23"/>
        <v>0</v>
      </c>
      <c r="F234" s="85">
        <f t="shared" si="24"/>
        <v>0</v>
      </c>
      <c r="G234" s="65">
        <f t="shared" si="25"/>
        <v>0</v>
      </c>
    </row>
    <row r="235" spans="1:7" ht="13.5" hidden="1" thickBot="1">
      <c r="A235" s="70">
        <f t="shared" si="26"/>
        <v>215</v>
      </c>
      <c r="B235" s="85">
        <f t="shared" si="27"/>
        <v>0</v>
      </c>
      <c r="C235" s="85">
        <f t="shared" si="21"/>
        <v>0</v>
      </c>
      <c r="D235" s="85">
        <f t="shared" si="22"/>
        <v>0</v>
      </c>
      <c r="E235" s="86">
        <f t="shared" si="23"/>
        <v>0</v>
      </c>
      <c r="F235" s="85">
        <f t="shared" si="24"/>
        <v>0</v>
      </c>
      <c r="G235" s="65">
        <f t="shared" si="25"/>
        <v>0</v>
      </c>
    </row>
    <row r="236" spans="1:7" ht="13.5" hidden="1" thickBot="1">
      <c r="A236" s="70">
        <f t="shared" si="26"/>
        <v>216</v>
      </c>
      <c r="B236" s="85">
        <f t="shared" si="27"/>
        <v>0</v>
      </c>
      <c r="C236" s="85">
        <f t="shared" si="21"/>
        <v>0</v>
      </c>
      <c r="D236" s="85">
        <f t="shared" si="22"/>
        <v>0</v>
      </c>
      <c r="E236" s="86">
        <f t="shared" si="23"/>
        <v>0</v>
      </c>
      <c r="F236" s="85">
        <f t="shared" si="24"/>
        <v>0</v>
      </c>
      <c r="G236" s="65">
        <f t="shared" si="25"/>
        <v>0</v>
      </c>
    </row>
    <row r="237" spans="1:7" ht="13.5" hidden="1" thickBot="1">
      <c r="A237" s="70">
        <f t="shared" si="26"/>
        <v>217</v>
      </c>
      <c r="B237" s="85">
        <f t="shared" si="27"/>
        <v>0</v>
      </c>
      <c r="C237" s="85">
        <f t="shared" si="21"/>
        <v>0</v>
      </c>
      <c r="D237" s="85">
        <f t="shared" si="22"/>
        <v>0</v>
      </c>
      <c r="E237" s="86">
        <f t="shared" si="23"/>
        <v>0</v>
      </c>
      <c r="F237" s="85">
        <f t="shared" si="24"/>
        <v>0</v>
      </c>
      <c r="G237" s="65">
        <f t="shared" si="25"/>
        <v>0</v>
      </c>
    </row>
    <row r="238" spans="1:7" ht="13.5" hidden="1" thickBot="1">
      <c r="A238" s="70">
        <f t="shared" si="26"/>
        <v>218</v>
      </c>
      <c r="B238" s="85">
        <f t="shared" si="27"/>
        <v>0</v>
      </c>
      <c r="C238" s="85">
        <f t="shared" si="21"/>
        <v>0</v>
      </c>
      <c r="D238" s="85">
        <f t="shared" si="22"/>
        <v>0</v>
      </c>
      <c r="E238" s="86">
        <f t="shared" si="23"/>
        <v>0</v>
      </c>
      <c r="F238" s="85">
        <f t="shared" si="24"/>
        <v>0</v>
      </c>
      <c r="G238" s="65">
        <f t="shared" si="25"/>
        <v>0</v>
      </c>
    </row>
    <row r="239" spans="1:7" ht="13.5" hidden="1" thickBot="1">
      <c r="A239" s="70">
        <f t="shared" si="26"/>
        <v>219</v>
      </c>
      <c r="B239" s="85">
        <f t="shared" si="27"/>
        <v>0</v>
      </c>
      <c r="C239" s="85">
        <f t="shared" si="21"/>
        <v>0</v>
      </c>
      <c r="D239" s="85">
        <f t="shared" si="22"/>
        <v>0</v>
      </c>
      <c r="E239" s="86">
        <f t="shared" si="23"/>
        <v>0</v>
      </c>
      <c r="F239" s="85">
        <f t="shared" si="24"/>
        <v>0</v>
      </c>
      <c r="G239" s="65">
        <f t="shared" si="25"/>
        <v>0</v>
      </c>
    </row>
    <row r="240" spans="1:7" ht="13.5" hidden="1" thickBot="1">
      <c r="A240" s="70">
        <f t="shared" si="26"/>
        <v>220</v>
      </c>
      <c r="B240" s="85">
        <f t="shared" si="27"/>
        <v>0</v>
      </c>
      <c r="C240" s="85">
        <f t="shared" si="21"/>
        <v>0</v>
      </c>
      <c r="D240" s="85">
        <f t="shared" si="22"/>
        <v>0</v>
      </c>
      <c r="E240" s="86">
        <f t="shared" si="23"/>
        <v>0</v>
      </c>
      <c r="F240" s="85">
        <f t="shared" si="24"/>
        <v>0</v>
      </c>
      <c r="G240" s="65">
        <f t="shared" si="25"/>
        <v>0</v>
      </c>
    </row>
    <row r="241" spans="1:7" ht="13.5" hidden="1" thickBot="1">
      <c r="A241" s="70">
        <f t="shared" si="26"/>
        <v>221</v>
      </c>
      <c r="B241" s="85">
        <f t="shared" si="27"/>
        <v>0</v>
      </c>
      <c r="C241" s="85">
        <f t="shared" si="21"/>
        <v>0</v>
      </c>
      <c r="D241" s="85">
        <f t="shared" si="22"/>
        <v>0</v>
      </c>
      <c r="E241" s="86">
        <f t="shared" si="23"/>
        <v>0</v>
      </c>
      <c r="F241" s="85">
        <f t="shared" si="24"/>
        <v>0</v>
      </c>
      <c r="G241" s="65">
        <f t="shared" si="25"/>
        <v>0</v>
      </c>
    </row>
    <row r="242" spans="1:7" ht="13.5" hidden="1" thickBot="1">
      <c r="A242" s="70">
        <f t="shared" si="26"/>
        <v>222</v>
      </c>
      <c r="B242" s="85">
        <f t="shared" si="27"/>
        <v>0</v>
      </c>
      <c r="C242" s="85">
        <f t="shared" si="21"/>
        <v>0</v>
      </c>
      <c r="D242" s="85">
        <f t="shared" si="22"/>
        <v>0</v>
      </c>
      <c r="E242" s="86">
        <f t="shared" si="23"/>
        <v>0</v>
      </c>
      <c r="F242" s="85">
        <f t="shared" si="24"/>
        <v>0</v>
      </c>
      <c r="G242" s="65">
        <f t="shared" si="25"/>
        <v>0</v>
      </c>
    </row>
    <row r="243" spans="1:7" ht="13.5" hidden="1" thickBot="1">
      <c r="A243" s="70">
        <f t="shared" si="26"/>
        <v>223</v>
      </c>
      <c r="B243" s="85">
        <f t="shared" si="27"/>
        <v>0</v>
      </c>
      <c r="C243" s="85">
        <f t="shared" si="21"/>
        <v>0</v>
      </c>
      <c r="D243" s="85">
        <f t="shared" si="22"/>
        <v>0</v>
      </c>
      <c r="E243" s="86">
        <f t="shared" si="23"/>
        <v>0</v>
      </c>
      <c r="F243" s="85">
        <f t="shared" si="24"/>
        <v>0</v>
      </c>
      <c r="G243" s="65">
        <f t="shared" si="25"/>
        <v>0</v>
      </c>
    </row>
    <row r="244" spans="1:7" ht="13.5" hidden="1" thickBot="1">
      <c r="A244" s="70">
        <f t="shared" si="26"/>
        <v>224</v>
      </c>
      <c r="B244" s="85">
        <f t="shared" si="27"/>
        <v>0</v>
      </c>
      <c r="C244" s="85">
        <f t="shared" si="21"/>
        <v>0</v>
      </c>
      <c r="D244" s="85">
        <f t="shared" si="22"/>
        <v>0</v>
      </c>
      <c r="E244" s="86">
        <f t="shared" si="23"/>
        <v>0</v>
      </c>
      <c r="F244" s="85">
        <f t="shared" si="24"/>
        <v>0</v>
      </c>
      <c r="G244" s="65">
        <f t="shared" si="25"/>
        <v>0</v>
      </c>
    </row>
    <row r="245" spans="1:7" ht="13.5" hidden="1" thickBot="1">
      <c r="A245" s="70">
        <f t="shared" si="26"/>
        <v>225</v>
      </c>
      <c r="B245" s="85">
        <f t="shared" si="27"/>
        <v>0</v>
      </c>
      <c r="C245" s="85">
        <f t="shared" si="21"/>
        <v>0</v>
      </c>
      <c r="D245" s="85">
        <f t="shared" si="22"/>
        <v>0</v>
      </c>
      <c r="E245" s="86">
        <f t="shared" si="23"/>
        <v>0</v>
      </c>
      <c r="F245" s="85">
        <f t="shared" si="24"/>
        <v>0</v>
      </c>
      <c r="G245" s="65">
        <f t="shared" si="25"/>
        <v>0</v>
      </c>
    </row>
    <row r="246" spans="1:7" ht="13.5" hidden="1" thickBot="1">
      <c r="A246" s="70">
        <f t="shared" si="26"/>
        <v>226</v>
      </c>
      <c r="B246" s="85">
        <f t="shared" si="27"/>
        <v>0</v>
      </c>
      <c r="C246" s="85">
        <f t="shared" si="21"/>
        <v>0</v>
      </c>
      <c r="D246" s="85">
        <f t="shared" si="22"/>
        <v>0</v>
      </c>
      <c r="E246" s="86">
        <f t="shared" si="23"/>
        <v>0</v>
      </c>
      <c r="F246" s="85">
        <f t="shared" si="24"/>
        <v>0</v>
      </c>
      <c r="G246" s="65">
        <f t="shared" si="25"/>
        <v>0</v>
      </c>
    </row>
    <row r="247" spans="1:7" ht="13.5" hidden="1" thickBot="1">
      <c r="A247" s="70">
        <f t="shared" si="26"/>
        <v>227</v>
      </c>
      <c r="B247" s="85">
        <f t="shared" si="27"/>
        <v>0</v>
      </c>
      <c r="C247" s="85">
        <f t="shared" si="21"/>
        <v>0</v>
      </c>
      <c r="D247" s="85">
        <f t="shared" si="22"/>
        <v>0</v>
      </c>
      <c r="E247" s="86">
        <f t="shared" si="23"/>
        <v>0</v>
      </c>
      <c r="F247" s="85">
        <f t="shared" si="24"/>
        <v>0</v>
      </c>
      <c r="G247" s="65">
        <f t="shared" si="25"/>
        <v>0</v>
      </c>
    </row>
    <row r="248" spans="1:7" ht="13.5" hidden="1" thickBot="1">
      <c r="A248" s="70">
        <f t="shared" si="26"/>
        <v>228</v>
      </c>
      <c r="B248" s="85">
        <f t="shared" si="27"/>
        <v>0</v>
      </c>
      <c r="C248" s="85">
        <f t="shared" si="21"/>
        <v>0</v>
      </c>
      <c r="D248" s="85">
        <f t="shared" si="22"/>
        <v>0</v>
      </c>
      <c r="E248" s="86">
        <f t="shared" si="23"/>
        <v>0</v>
      </c>
      <c r="F248" s="85">
        <f t="shared" si="24"/>
        <v>0</v>
      </c>
      <c r="G248" s="65">
        <f t="shared" si="25"/>
        <v>0</v>
      </c>
    </row>
    <row r="249" spans="1:7" ht="13.5" hidden="1" thickBot="1">
      <c r="A249" s="70">
        <f t="shared" si="26"/>
        <v>229</v>
      </c>
      <c r="B249" s="85">
        <f t="shared" si="27"/>
        <v>0</v>
      </c>
      <c r="C249" s="85">
        <f t="shared" si="21"/>
        <v>0</v>
      </c>
      <c r="D249" s="85">
        <f t="shared" si="22"/>
        <v>0</v>
      </c>
      <c r="E249" s="86">
        <f t="shared" si="23"/>
        <v>0</v>
      </c>
      <c r="F249" s="85">
        <f t="shared" si="24"/>
        <v>0</v>
      </c>
      <c r="G249" s="65">
        <f t="shared" si="25"/>
        <v>0</v>
      </c>
    </row>
    <row r="250" spans="1:7" ht="13.5" hidden="1" thickBot="1">
      <c r="A250" s="70">
        <f t="shared" si="26"/>
        <v>230</v>
      </c>
      <c r="B250" s="85">
        <f t="shared" si="27"/>
        <v>0</v>
      </c>
      <c r="C250" s="85">
        <f t="shared" si="21"/>
        <v>0</v>
      </c>
      <c r="D250" s="85">
        <f t="shared" si="22"/>
        <v>0</v>
      </c>
      <c r="E250" s="86">
        <f t="shared" si="23"/>
        <v>0</v>
      </c>
      <c r="F250" s="85">
        <f t="shared" si="24"/>
        <v>0</v>
      </c>
      <c r="G250" s="65">
        <f t="shared" si="25"/>
        <v>0</v>
      </c>
    </row>
    <row r="251" spans="1:7" ht="13.5" hidden="1" thickBot="1">
      <c r="A251" s="70">
        <f t="shared" si="26"/>
        <v>231</v>
      </c>
      <c r="B251" s="85">
        <f t="shared" si="27"/>
        <v>0</v>
      </c>
      <c r="C251" s="85">
        <f t="shared" si="21"/>
        <v>0</v>
      </c>
      <c r="D251" s="85">
        <f t="shared" si="22"/>
        <v>0</v>
      </c>
      <c r="E251" s="86">
        <f t="shared" si="23"/>
        <v>0</v>
      </c>
      <c r="F251" s="85">
        <f t="shared" si="24"/>
        <v>0</v>
      </c>
      <c r="G251" s="65">
        <f t="shared" si="25"/>
        <v>0</v>
      </c>
    </row>
    <row r="252" spans="1:7" ht="13.5" hidden="1" thickBot="1">
      <c r="A252" s="70">
        <f t="shared" si="26"/>
        <v>232</v>
      </c>
      <c r="B252" s="85">
        <f t="shared" si="27"/>
        <v>0</v>
      </c>
      <c r="C252" s="85">
        <f t="shared" si="21"/>
        <v>0</v>
      </c>
      <c r="D252" s="85">
        <f t="shared" si="22"/>
        <v>0</v>
      </c>
      <c r="E252" s="86">
        <f t="shared" si="23"/>
        <v>0</v>
      </c>
      <c r="F252" s="85">
        <f t="shared" si="24"/>
        <v>0</v>
      </c>
      <c r="G252" s="65">
        <f t="shared" si="25"/>
        <v>0</v>
      </c>
    </row>
    <row r="253" spans="1:7" ht="13.5" hidden="1" thickBot="1">
      <c r="A253" s="70">
        <f t="shared" si="26"/>
        <v>233</v>
      </c>
      <c r="B253" s="85">
        <f t="shared" si="27"/>
        <v>0</v>
      </c>
      <c r="C253" s="85">
        <f t="shared" si="21"/>
        <v>0</v>
      </c>
      <c r="D253" s="85">
        <f t="shared" si="22"/>
        <v>0</v>
      </c>
      <c r="E253" s="86">
        <f t="shared" si="23"/>
        <v>0</v>
      </c>
      <c r="F253" s="85">
        <f t="shared" si="24"/>
        <v>0</v>
      </c>
      <c r="G253" s="65">
        <f t="shared" si="25"/>
        <v>0</v>
      </c>
    </row>
    <row r="254" spans="1:7" ht="13.5" hidden="1" thickBot="1">
      <c r="A254" s="70">
        <f t="shared" si="26"/>
        <v>234</v>
      </c>
      <c r="B254" s="85">
        <f t="shared" si="27"/>
        <v>0</v>
      </c>
      <c r="C254" s="85">
        <f t="shared" si="21"/>
        <v>0</v>
      </c>
      <c r="D254" s="85">
        <f t="shared" si="22"/>
        <v>0</v>
      </c>
      <c r="E254" s="86">
        <f t="shared" si="23"/>
        <v>0</v>
      </c>
      <c r="F254" s="85">
        <f t="shared" si="24"/>
        <v>0</v>
      </c>
      <c r="G254" s="65">
        <f t="shared" si="25"/>
        <v>0</v>
      </c>
    </row>
    <row r="255" spans="1:7" ht="13.5" hidden="1" thickBot="1">
      <c r="A255" s="70">
        <f t="shared" si="26"/>
        <v>235</v>
      </c>
      <c r="B255" s="85">
        <f t="shared" si="27"/>
        <v>0</v>
      </c>
      <c r="C255" s="85">
        <f t="shared" si="21"/>
        <v>0</v>
      </c>
      <c r="D255" s="85">
        <f t="shared" si="22"/>
        <v>0</v>
      </c>
      <c r="E255" s="86">
        <f t="shared" si="23"/>
        <v>0</v>
      </c>
      <c r="F255" s="85">
        <f t="shared" si="24"/>
        <v>0</v>
      </c>
      <c r="G255" s="65">
        <f t="shared" si="25"/>
        <v>0</v>
      </c>
    </row>
    <row r="256" spans="1:7" ht="13.5" hidden="1" thickBot="1">
      <c r="A256" s="70">
        <f t="shared" si="26"/>
        <v>236</v>
      </c>
      <c r="B256" s="85">
        <f t="shared" si="27"/>
        <v>0</v>
      </c>
      <c r="C256" s="85">
        <f t="shared" si="21"/>
        <v>0</v>
      </c>
      <c r="D256" s="85">
        <f t="shared" si="22"/>
        <v>0</v>
      </c>
      <c r="E256" s="86">
        <f t="shared" si="23"/>
        <v>0</v>
      </c>
      <c r="F256" s="85">
        <f t="shared" si="24"/>
        <v>0</v>
      </c>
      <c r="G256" s="65">
        <f t="shared" si="25"/>
        <v>0</v>
      </c>
    </row>
    <row r="257" spans="1:7" ht="13.5" hidden="1" thickBot="1">
      <c r="A257" s="70">
        <f t="shared" si="26"/>
        <v>237</v>
      </c>
      <c r="B257" s="85">
        <f t="shared" si="27"/>
        <v>0</v>
      </c>
      <c r="C257" s="85">
        <f t="shared" si="21"/>
        <v>0</v>
      </c>
      <c r="D257" s="85">
        <f t="shared" si="22"/>
        <v>0</v>
      </c>
      <c r="E257" s="86">
        <f t="shared" si="23"/>
        <v>0</v>
      </c>
      <c r="F257" s="85">
        <f t="shared" si="24"/>
        <v>0</v>
      </c>
      <c r="G257" s="65">
        <f t="shared" si="25"/>
        <v>0</v>
      </c>
    </row>
    <row r="258" spans="1:7" ht="13.5" hidden="1" thickBot="1">
      <c r="A258" s="70">
        <f t="shared" si="26"/>
        <v>238</v>
      </c>
      <c r="B258" s="85">
        <f t="shared" si="27"/>
        <v>0</v>
      </c>
      <c r="C258" s="85">
        <f t="shared" si="21"/>
        <v>0</v>
      </c>
      <c r="D258" s="85">
        <f t="shared" si="22"/>
        <v>0</v>
      </c>
      <c r="E258" s="86">
        <f t="shared" si="23"/>
        <v>0</v>
      </c>
      <c r="F258" s="85">
        <f t="shared" si="24"/>
        <v>0</v>
      </c>
      <c r="G258" s="65">
        <f t="shared" si="25"/>
        <v>0</v>
      </c>
    </row>
    <row r="259" spans="1:7" ht="13.5" hidden="1" thickBot="1">
      <c r="A259" s="70">
        <f t="shared" si="26"/>
        <v>239</v>
      </c>
      <c r="B259" s="85">
        <f t="shared" si="27"/>
        <v>0</v>
      </c>
      <c r="C259" s="85">
        <f t="shared" si="21"/>
        <v>0</v>
      </c>
      <c r="D259" s="85">
        <f t="shared" si="22"/>
        <v>0</v>
      </c>
      <c r="E259" s="86">
        <f t="shared" si="23"/>
        <v>0</v>
      </c>
      <c r="F259" s="85">
        <f t="shared" si="24"/>
        <v>0</v>
      </c>
      <c r="G259" s="65">
        <f t="shared" si="25"/>
        <v>0</v>
      </c>
    </row>
    <row r="260" spans="1:7" ht="13.5" hidden="1" thickBot="1">
      <c r="A260" s="70">
        <f t="shared" si="26"/>
        <v>240</v>
      </c>
      <c r="B260" s="85">
        <f t="shared" si="27"/>
        <v>0</v>
      </c>
      <c r="C260" s="85">
        <f t="shared" si="21"/>
        <v>0</v>
      </c>
      <c r="D260" s="85">
        <f t="shared" si="22"/>
        <v>0</v>
      </c>
      <c r="E260" s="86">
        <f t="shared" si="23"/>
        <v>0</v>
      </c>
      <c r="F260" s="85">
        <f t="shared" si="24"/>
        <v>0</v>
      </c>
      <c r="G260" s="65">
        <f t="shared" si="25"/>
        <v>0</v>
      </c>
    </row>
    <row r="261" spans="1:7" ht="13.5" hidden="1" thickBot="1">
      <c r="A261" s="70">
        <f t="shared" si="26"/>
        <v>241</v>
      </c>
      <c r="B261" s="85">
        <f t="shared" si="27"/>
        <v>0</v>
      </c>
      <c r="C261" s="85">
        <f t="shared" si="21"/>
        <v>0</v>
      </c>
      <c r="D261" s="85">
        <f t="shared" si="22"/>
        <v>0</v>
      </c>
      <c r="E261" s="86">
        <f t="shared" si="23"/>
        <v>0</v>
      </c>
      <c r="F261" s="85">
        <f t="shared" si="24"/>
        <v>0</v>
      </c>
      <c r="G261" s="65">
        <f t="shared" si="25"/>
        <v>0</v>
      </c>
    </row>
    <row r="262" spans="1:7" ht="13.5" hidden="1" thickBot="1">
      <c r="A262" s="70">
        <f t="shared" si="26"/>
        <v>242</v>
      </c>
      <c r="B262" s="85">
        <f t="shared" si="27"/>
        <v>0</v>
      </c>
      <c r="C262" s="85">
        <f t="shared" si="21"/>
        <v>0</v>
      </c>
      <c r="D262" s="85">
        <f t="shared" si="22"/>
        <v>0</v>
      </c>
      <c r="E262" s="86">
        <f t="shared" si="23"/>
        <v>0</v>
      </c>
      <c r="F262" s="85">
        <f t="shared" si="24"/>
        <v>0</v>
      </c>
      <c r="G262" s="65">
        <f t="shared" si="25"/>
        <v>0</v>
      </c>
    </row>
    <row r="263" spans="1:7" ht="13.5" hidden="1" thickBot="1">
      <c r="A263" s="70">
        <f t="shared" si="26"/>
        <v>243</v>
      </c>
      <c r="B263" s="85">
        <f t="shared" si="27"/>
        <v>0</v>
      </c>
      <c r="C263" s="85">
        <f t="shared" si="21"/>
        <v>0</v>
      </c>
      <c r="D263" s="85">
        <f t="shared" si="22"/>
        <v>0</v>
      </c>
      <c r="E263" s="86">
        <f t="shared" si="23"/>
        <v>0</v>
      </c>
      <c r="F263" s="85">
        <f t="shared" si="24"/>
        <v>0</v>
      </c>
      <c r="G263" s="65">
        <f t="shared" si="25"/>
        <v>0</v>
      </c>
    </row>
    <row r="264" spans="1:7" ht="13.5" hidden="1" thickBot="1">
      <c r="A264" s="70">
        <f t="shared" si="26"/>
        <v>244</v>
      </c>
      <c r="B264" s="85">
        <f t="shared" si="27"/>
        <v>0</v>
      </c>
      <c r="C264" s="85">
        <f t="shared" si="21"/>
        <v>0</v>
      </c>
      <c r="D264" s="85">
        <f t="shared" si="22"/>
        <v>0</v>
      </c>
      <c r="E264" s="86">
        <f t="shared" si="23"/>
        <v>0</v>
      </c>
      <c r="F264" s="85">
        <f t="shared" si="24"/>
        <v>0</v>
      </c>
      <c r="G264" s="65">
        <f t="shared" si="25"/>
        <v>0</v>
      </c>
    </row>
    <row r="265" spans="1:7" ht="13.5" hidden="1" thickBot="1">
      <c r="A265" s="70">
        <f t="shared" si="26"/>
        <v>245</v>
      </c>
      <c r="B265" s="85">
        <f t="shared" si="27"/>
        <v>0</v>
      </c>
      <c r="C265" s="85">
        <f t="shared" si="21"/>
        <v>0</v>
      </c>
      <c r="D265" s="85">
        <f t="shared" si="22"/>
        <v>0</v>
      </c>
      <c r="E265" s="86">
        <f t="shared" si="23"/>
        <v>0</v>
      </c>
      <c r="F265" s="85">
        <f t="shared" si="24"/>
        <v>0</v>
      </c>
      <c r="G265" s="65">
        <f t="shared" si="25"/>
        <v>0</v>
      </c>
    </row>
    <row r="266" spans="1:7" ht="13.5" hidden="1" thickBot="1">
      <c r="A266" s="70">
        <f t="shared" si="26"/>
        <v>246</v>
      </c>
      <c r="B266" s="85">
        <f t="shared" si="27"/>
        <v>0</v>
      </c>
      <c r="C266" s="85">
        <f t="shared" si="21"/>
        <v>0</v>
      </c>
      <c r="D266" s="85">
        <f t="shared" si="22"/>
        <v>0</v>
      </c>
      <c r="E266" s="86">
        <f t="shared" si="23"/>
        <v>0</v>
      </c>
      <c r="F266" s="85">
        <f t="shared" si="24"/>
        <v>0</v>
      </c>
      <c r="G266" s="65">
        <f t="shared" si="25"/>
        <v>0</v>
      </c>
    </row>
    <row r="267" spans="1:7" ht="13.5" hidden="1" thickBot="1">
      <c r="A267" s="70">
        <f t="shared" si="26"/>
        <v>247</v>
      </c>
      <c r="B267" s="85">
        <f t="shared" si="27"/>
        <v>0</v>
      </c>
      <c r="C267" s="85">
        <f t="shared" si="21"/>
        <v>0</v>
      </c>
      <c r="D267" s="85">
        <f t="shared" si="22"/>
        <v>0</v>
      </c>
      <c r="E267" s="86">
        <f t="shared" si="23"/>
        <v>0</v>
      </c>
      <c r="F267" s="85">
        <f t="shared" si="24"/>
        <v>0</v>
      </c>
      <c r="G267" s="65">
        <f t="shared" si="25"/>
        <v>0</v>
      </c>
    </row>
    <row r="268" spans="1:7" ht="13.5" hidden="1" thickBot="1">
      <c r="A268" s="70">
        <f t="shared" si="26"/>
        <v>248</v>
      </c>
      <c r="B268" s="85">
        <f t="shared" si="27"/>
        <v>0</v>
      </c>
      <c r="C268" s="85">
        <f t="shared" si="21"/>
        <v>0</v>
      </c>
      <c r="D268" s="85">
        <f t="shared" si="22"/>
        <v>0</v>
      </c>
      <c r="E268" s="86">
        <f t="shared" si="23"/>
        <v>0</v>
      </c>
      <c r="F268" s="85">
        <f t="shared" si="24"/>
        <v>0</v>
      </c>
      <c r="G268" s="65">
        <f t="shared" si="25"/>
        <v>0</v>
      </c>
    </row>
    <row r="269" spans="1:7" ht="13.5" hidden="1" thickBot="1">
      <c r="A269" s="70">
        <f t="shared" si="26"/>
        <v>249</v>
      </c>
      <c r="B269" s="85">
        <f t="shared" si="27"/>
        <v>0</v>
      </c>
      <c r="C269" s="85">
        <f t="shared" si="21"/>
        <v>0</v>
      </c>
      <c r="D269" s="85">
        <f t="shared" si="22"/>
        <v>0</v>
      </c>
      <c r="E269" s="86">
        <f t="shared" si="23"/>
        <v>0</v>
      </c>
      <c r="F269" s="85">
        <f t="shared" si="24"/>
        <v>0</v>
      </c>
      <c r="G269" s="65">
        <f t="shared" si="25"/>
        <v>0</v>
      </c>
    </row>
    <row r="270" spans="1:7" ht="13.5" hidden="1" thickBot="1">
      <c r="A270" s="70">
        <f t="shared" si="26"/>
        <v>250</v>
      </c>
      <c r="B270" s="85">
        <f t="shared" si="27"/>
        <v>0</v>
      </c>
      <c r="C270" s="85">
        <f t="shared" si="21"/>
        <v>0</v>
      </c>
      <c r="D270" s="85">
        <f t="shared" si="22"/>
        <v>0</v>
      </c>
      <c r="E270" s="86">
        <f t="shared" si="23"/>
        <v>0</v>
      </c>
      <c r="F270" s="85">
        <f t="shared" si="24"/>
        <v>0</v>
      </c>
      <c r="G270" s="65">
        <f t="shared" si="25"/>
        <v>0</v>
      </c>
    </row>
    <row r="271" spans="1:7" ht="13.5" hidden="1" thickBot="1">
      <c r="A271" s="70">
        <f t="shared" si="26"/>
        <v>251</v>
      </c>
      <c r="B271" s="85">
        <f t="shared" si="27"/>
        <v>0</v>
      </c>
      <c r="C271" s="85">
        <f t="shared" si="21"/>
        <v>0</v>
      </c>
      <c r="D271" s="85">
        <f t="shared" si="22"/>
        <v>0</v>
      </c>
      <c r="E271" s="86">
        <f t="shared" si="23"/>
        <v>0</v>
      </c>
      <c r="F271" s="85">
        <f t="shared" si="24"/>
        <v>0</v>
      </c>
      <c r="G271" s="65">
        <f t="shared" si="25"/>
        <v>0</v>
      </c>
    </row>
    <row r="272" spans="1:7" ht="13.5" hidden="1" thickBot="1">
      <c r="A272" s="70">
        <f t="shared" si="26"/>
        <v>252</v>
      </c>
      <c r="B272" s="85">
        <f t="shared" si="27"/>
        <v>0</v>
      </c>
      <c r="C272" s="85">
        <f t="shared" si="21"/>
        <v>0</v>
      </c>
      <c r="D272" s="85">
        <f t="shared" si="22"/>
        <v>0</v>
      </c>
      <c r="E272" s="86">
        <f t="shared" si="23"/>
        <v>0</v>
      </c>
      <c r="F272" s="85">
        <f t="shared" si="24"/>
        <v>0</v>
      </c>
      <c r="G272" s="65">
        <f t="shared" si="25"/>
        <v>0</v>
      </c>
    </row>
    <row r="273" spans="1:7" ht="13.5" hidden="1" thickBot="1">
      <c r="A273" s="70">
        <f t="shared" si="26"/>
        <v>253</v>
      </c>
      <c r="B273" s="85">
        <f t="shared" si="27"/>
        <v>0</v>
      </c>
      <c r="C273" s="85">
        <f t="shared" si="21"/>
        <v>0</v>
      </c>
      <c r="D273" s="85">
        <f t="shared" si="22"/>
        <v>0</v>
      </c>
      <c r="E273" s="86">
        <f t="shared" si="23"/>
        <v>0</v>
      </c>
      <c r="F273" s="85">
        <f t="shared" si="24"/>
        <v>0</v>
      </c>
      <c r="G273" s="65">
        <f t="shared" si="25"/>
        <v>0</v>
      </c>
    </row>
    <row r="274" spans="1:7" ht="13.5" hidden="1" thickBot="1">
      <c r="A274" s="70">
        <f t="shared" si="26"/>
        <v>254</v>
      </c>
      <c r="B274" s="85">
        <f t="shared" si="27"/>
        <v>0</v>
      </c>
      <c r="C274" s="85">
        <f t="shared" si="21"/>
        <v>0</v>
      </c>
      <c r="D274" s="85">
        <f t="shared" si="22"/>
        <v>0</v>
      </c>
      <c r="E274" s="86">
        <f t="shared" si="23"/>
        <v>0</v>
      </c>
      <c r="F274" s="85">
        <f t="shared" si="24"/>
        <v>0</v>
      </c>
      <c r="G274" s="65">
        <f t="shared" si="25"/>
        <v>0</v>
      </c>
    </row>
    <row r="275" spans="1:7" ht="13.5" hidden="1" thickBot="1">
      <c r="A275" s="70">
        <f t="shared" si="26"/>
        <v>255</v>
      </c>
      <c r="B275" s="85">
        <f t="shared" si="27"/>
        <v>0</v>
      </c>
      <c r="C275" s="85">
        <f t="shared" si="21"/>
        <v>0</v>
      </c>
      <c r="D275" s="85">
        <f t="shared" si="22"/>
        <v>0</v>
      </c>
      <c r="E275" s="86">
        <f t="shared" si="23"/>
        <v>0</v>
      </c>
      <c r="F275" s="85">
        <f t="shared" si="24"/>
        <v>0</v>
      </c>
      <c r="G275" s="65">
        <f t="shared" si="25"/>
        <v>0</v>
      </c>
    </row>
    <row r="276" spans="1:7" ht="13.5" hidden="1" thickBot="1">
      <c r="A276" s="70">
        <f t="shared" si="26"/>
        <v>256</v>
      </c>
      <c r="B276" s="85">
        <f t="shared" si="27"/>
        <v>0</v>
      </c>
      <c r="C276" s="85">
        <f t="shared" si="21"/>
        <v>0</v>
      </c>
      <c r="D276" s="85">
        <f t="shared" si="22"/>
        <v>0</v>
      </c>
      <c r="E276" s="86">
        <f t="shared" si="23"/>
        <v>0</v>
      </c>
      <c r="F276" s="85">
        <f t="shared" si="24"/>
        <v>0</v>
      </c>
      <c r="G276" s="65">
        <f t="shared" si="25"/>
        <v>0</v>
      </c>
    </row>
    <row r="277" spans="1:7" ht="13.5" hidden="1" thickBot="1">
      <c r="A277" s="70">
        <f t="shared" si="26"/>
        <v>257</v>
      </c>
      <c r="B277" s="85">
        <f t="shared" si="27"/>
        <v>0</v>
      </c>
      <c r="C277" s="85">
        <f t="shared" ref="C277:C340" si="28">IF(A277&lt;=$D$9,$D$14*-1,0)</f>
        <v>0</v>
      </c>
      <c r="D277" s="85">
        <f t="shared" ref="D277:D340" si="29">IF(A277&gt;$D$9,0,$D$11*-1)</f>
        <v>0</v>
      </c>
      <c r="E277" s="86">
        <f t="shared" ref="E277:E340" si="30">B277*$D$10</f>
        <v>0</v>
      </c>
      <c r="F277" s="85">
        <f t="shared" ref="F277:F340" si="31">D277-E277</f>
        <v>0</v>
      </c>
      <c r="G277" s="65">
        <f t="shared" ref="G277:G340" si="32">B277-F277</f>
        <v>0</v>
      </c>
    </row>
    <row r="278" spans="1:7" ht="13.5" hidden="1" thickBot="1">
      <c r="A278" s="70">
        <f t="shared" ref="A278:A341" si="33">A277+1</f>
        <v>258</v>
      </c>
      <c r="B278" s="85">
        <f t="shared" ref="B278:B341" si="34">IF(A278&lt;=$D$9,G277,0)</f>
        <v>0</v>
      </c>
      <c r="C278" s="85">
        <f t="shared" si="28"/>
        <v>0</v>
      </c>
      <c r="D278" s="85">
        <f t="shared" si="29"/>
        <v>0</v>
      </c>
      <c r="E278" s="86">
        <f t="shared" si="30"/>
        <v>0</v>
      </c>
      <c r="F278" s="85">
        <f t="shared" si="31"/>
        <v>0</v>
      </c>
      <c r="G278" s="65">
        <f t="shared" si="32"/>
        <v>0</v>
      </c>
    </row>
    <row r="279" spans="1:7" ht="13.5" hidden="1" thickBot="1">
      <c r="A279" s="70">
        <f t="shared" si="33"/>
        <v>259</v>
      </c>
      <c r="B279" s="85">
        <f t="shared" si="34"/>
        <v>0</v>
      </c>
      <c r="C279" s="85">
        <f t="shared" si="28"/>
        <v>0</v>
      </c>
      <c r="D279" s="85">
        <f t="shared" si="29"/>
        <v>0</v>
      </c>
      <c r="E279" s="86">
        <f t="shared" si="30"/>
        <v>0</v>
      </c>
      <c r="F279" s="85">
        <f t="shared" si="31"/>
        <v>0</v>
      </c>
      <c r="G279" s="65">
        <f t="shared" si="32"/>
        <v>0</v>
      </c>
    </row>
    <row r="280" spans="1:7" ht="13.5" hidden="1" thickBot="1">
      <c r="A280" s="70">
        <f t="shared" si="33"/>
        <v>260</v>
      </c>
      <c r="B280" s="85">
        <f t="shared" si="34"/>
        <v>0</v>
      </c>
      <c r="C280" s="85">
        <f t="shared" si="28"/>
        <v>0</v>
      </c>
      <c r="D280" s="85">
        <f t="shared" si="29"/>
        <v>0</v>
      </c>
      <c r="E280" s="86">
        <f t="shared" si="30"/>
        <v>0</v>
      </c>
      <c r="F280" s="85">
        <f t="shared" si="31"/>
        <v>0</v>
      </c>
      <c r="G280" s="65">
        <f t="shared" si="32"/>
        <v>0</v>
      </c>
    </row>
    <row r="281" spans="1:7" ht="13.5" hidden="1" thickBot="1">
      <c r="A281" s="70">
        <f t="shared" si="33"/>
        <v>261</v>
      </c>
      <c r="B281" s="85">
        <f t="shared" si="34"/>
        <v>0</v>
      </c>
      <c r="C281" s="85">
        <f t="shared" si="28"/>
        <v>0</v>
      </c>
      <c r="D281" s="85">
        <f t="shared" si="29"/>
        <v>0</v>
      </c>
      <c r="E281" s="86">
        <f t="shared" si="30"/>
        <v>0</v>
      </c>
      <c r="F281" s="85">
        <f t="shared" si="31"/>
        <v>0</v>
      </c>
      <c r="G281" s="65">
        <f t="shared" si="32"/>
        <v>0</v>
      </c>
    </row>
    <row r="282" spans="1:7" ht="13.5" hidden="1" thickBot="1">
      <c r="A282" s="70">
        <f t="shared" si="33"/>
        <v>262</v>
      </c>
      <c r="B282" s="85">
        <f t="shared" si="34"/>
        <v>0</v>
      </c>
      <c r="C282" s="85">
        <f t="shared" si="28"/>
        <v>0</v>
      </c>
      <c r="D282" s="85">
        <f t="shared" si="29"/>
        <v>0</v>
      </c>
      <c r="E282" s="86">
        <f t="shared" si="30"/>
        <v>0</v>
      </c>
      <c r="F282" s="85">
        <f t="shared" si="31"/>
        <v>0</v>
      </c>
      <c r="G282" s="65">
        <f t="shared" si="32"/>
        <v>0</v>
      </c>
    </row>
    <row r="283" spans="1:7" ht="13.5" hidden="1" thickBot="1">
      <c r="A283" s="70">
        <f t="shared" si="33"/>
        <v>263</v>
      </c>
      <c r="B283" s="85">
        <f t="shared" si="34"/>
        <v>0</v>
      </c>
      <c r="C283" s="85">
        <f t="shared" si="28"/>
        <v>0</v>
      </c>
      <c r="D283" s="85">
        <f t="shared" si="29"/>
        <v>0</v>
      </c>
      <c r="E283" s="86">
        <f t="shared" si="30"/>
        <v>0</v>
      </c>
      <c r="F283" s="85">
        <f t="shared" si="31"/>
        <v>0</v>
      </c>
      <c r="G283" s="65">
        <f t="shared" si="32"/>
        <v>0</v>
      </c>
    </row>
    <row r="284" spans="1:7" ht="13.5" hidden="1" thickBot="1">
      <c r="A284" s="70">
        <f t="shared" si="33"/>
        <v>264</v>
      </c>
      <c r="B284" s="85">
        <f t="shared" si="34"/>
        <v>0</v>
      </c>
      <c r="C284" s="85">
        <f t="shared" si="28"/>
        <v>0</v>
      </c>
      <c r="D284" s="85">
        <f t="shared" si="29"/>
        <v>0</v>
      </c>
      <c r="E284" s="86">
        <f t="shared" si="30"/>
        <v>0</v>
      </c>
      <c r="F284" s="85">
        <f t="shared" si="31"/>
        <v>0</v>
      </c>
      <c r="G284" s="65">
        <f t="shared" si="32"/>
        <v>0</v>
      </c>
    </row>
    <row r="285" spans="1:7" ht="13.5" hidden="1" thickBot="1">
      <c r="A285" s="70">
        <f t="shared" si="33"/>
        <v>265</v>
      </c>
      <c r="B285" s="85">
        <f t="shared" si="34"/>
        <v>0</v>
      </c>
      <c r="C285" s="85">
        <f t="shared" si="28"/>
        <v>0</v>
      </c>
      <c r="D285" s="85">
        <f t="shared" si="29"/>
        <v>0</v>
      </c>
      <c r="E285" s="86">
        <f t="shared" si="30"/>
        <v>0</v>
      </c>
      <c r="F285" s="85">
        <f t="shared" si="31"/>
        <v>0</v>
      </c>
      <c r="G285" s="65">
        <f t="shared" si="32"/>
        <v>0</v>
      </c>
    </row>
    <row r="286" spans="1:7" ht="13.5" hidden="1" thickBot="1">
      <c r="A286" s="70">
        <f t="shared" si="33"/>
        <v>266</v>
      </c>
      <c r="B286" s="85">
        <f t="shared" si="34"/>
        <v>0</v>
      </c>
      <c r="C286" s="85">
        <f t="shared" si="28"/>
        <v>0</v>
      </c>
      <c r="D286" s="85">
        <f t="shared" si="29"/>
        <v>0</v>
      </c>
      <c r="E286" s="86">
        <f t="shared" si="30"/>
        <v>0</v>
      </c>
      <c r="F286" s="85">
        <f t="shared" si="31"/>
        <v>0</v>
      </c>
      <c r="G286" s="65">
        <f t="shared" si="32"/>
        <v>0</v>
      </c>
    </row>
    <row r="287" spans="1:7" ht="13.5" hidden="1" thickBot="1">
      <c r="A287" s="70">
        <f t="shared" si="33"/>
        <v>267</v>
      </c>
      <c r="B287" s="85">
        <f t="shared" si="34"/>
        <v>0</v>
      </c>
      <c r="C287" s="85">
        <f t="shared" si="28"/>
        <v>0</v>
      </c>
      <c r="D287" s="85">
        <f t="shared" si="29"/>
        <v>0</v>
      </c>
      <c r="E287" s="86">
        <f t="shared" si="30"/>
        <v>0</v>
      </c>
      <c r="F287" s="85">
        <f t="shared" si="31"/>
        <v>0</v>
      </c>
      <c r="G287" s="65">
        <f t="shared" si="32"/>
        <v>0</v>
      </c>
    </row>
    <row r="288" spans="1:7" ht="13.5" hidden="1" thickBot="1">
      <c r="A288" s="70">
        <f t="shared" si="33"/>
        <v>268</v>
      </c>
      <c r="B288" s="85">
        <f t="shared" si="34"/>
        <v>0</v>
      </c>
      <c r="C288" s="85">
        <f t="shared" si="28"/>
        <v>0</v>
      </c>
      <c r="D288" s="85">
        <f t="shared" si="29"/>
        <v>0</v>
      </c>
      <c r="E288" s="86">
        <f t="shared" si="30"/>
        <v>0</v>
      </c>
      <c r="F288" s="85">
        <f t="shared" si="31"/>
        <v>0</v>
      </c>
      <c r="G288" s="65">
        <f t="shared" si="32"/>
        <v>0</v>
      </c>
    </row>
    <row r="289" spans="1:7" ht="13.5" hidden="1" thickBot="1">
      <c r="A289" s="70">
        <f t="shared" si="33"/>
        <v>269</v>
      </c>
      <c r="B289" s="85">
        <f t="shared" si="34"/>
        <v>0</v>
      </c>
      <c r="C289" s="85">
        <f t="shared" si="28"/>
        <v>0</v>
      </c>
      <c r="D289" s="85">
        <f t="shared" si="29"/>
        <v>0</v>
      </c>
      <c r="E289" s="86">
        <f t="shared" si="30"/>
        <v>0</v>
      </c>
      <c r="F289" s="85">
        <f t="shared" si="31"/>
        <v>0</v>
      </c>
      <c r="G289" s="65">
        <f t="shared" si="32"/>
        <v>0</v>
      </c>
    </row>
    <row r="290" spans="1:7" ht="13.5" hidden="1" thickBot="1">
      <c r="A290" s="70">
        <f t="shared" si="33"/>
        <v>270</v>
      </c>
      <c r="B290" s="85">
        <f t="shared" si="34"/>
        <v>0</v>
      </c>
      <c r="C290" s="85">
        <f t="shared" si="28"/>
        <v>0</v>
      </c>
      <c r="D290" s="85">
        <f t="shared" si="29"/>
        <v>0</v>
      </c>
      <c r="E290" s="86">
        <f t="shared" si="30"/>
        <v>0</v>
      </c>
      <c r="F290" s="85">
        <f t="shared" si="31"/>
        <v>0</v>
      </c>
      <c r="G290" s="65">
        <f t="shared" si="32"/>
        <v>0</v>
      </c>
    </row>
    <row r="291" spans="1:7" ht="13.5" hidden="1" thickBot="1">
      <c r="A291" s="70">
        <f t="shared" si="33"/>
        <v>271</v>
      </c>
      <c r="B291" s="85">
        <f t="shared" si="34"/>
        <v>0</v>
      </c>
      <c r="C291" s="85">
        <f t="shared" si="28"/>
        <v>0</v>
      </c>
      <c r="D291" s="85">
        <f t="shared" si="29"/>
        <v>0</v>
      </c>
      <c r="E291" s="86">
        <f t="shared" si="30"/>
        <v>0</v>
      </c>
      <c r="F291" s="85">
        <f t="shared" si="31"/>
        <v>0</v>
      </c>
      <c r="G291" s="65">
        <f t="shared" si="32"/>
        <v>0</v>
      </c>
    </row>
    <row r="292" spans="1:7" ht="13.5" hidden="1" thickBot="1">
      <c r="A292" s="70">
        <f t="shared" si="33"/>
        <v>272</v>
      </c>
      <c r="B292" s="85">
        <f t="shared" si="34"/>
        <v>0</v>
      </c>
      <c r="C292" s="85">
        <f t="shared" si="28"/>
        <v>0</v>
      </c>
      <c r="D292" s="85">
        <f t="shared" si="29"/>
        <v>0</v>
      </c>
      <c r="E292" s="86">
        <f t="shared" si="30"/>
        <v>0</v>
      </c>
      <c r="F292" s="85">
        <f t="shared" si="31"/>
        <v>0</v>
      </c>
      <c r="G292" s="65">
        <f t="shared" si="32"/>
        <v>0</v>
      </c>
    </row>
    <row r="293" spans="1:7" ht="13.5" hidden="1" thickBot="1">
      <c r="A293" s="70">
        <f t="shared" si="33"/>
        <v>273</v>
      </c>
      <c r="B293" s="85">
        <f t="shared" si="34"/>
        <v>0</v>
      </c>
      <c r="C293" s="85">
        <f t="shared" si="28"/>
        <v>0</v>
      </c>
      <c r="D293" s="85">
        <f t="shared" si="29"/>
        <v>0</v>
      </c>
      <c r="E293" s="86">
        <f t="shared" si="30"/>
        <v>0</v>
      </c>
      <c r="F293" s="85">
        <f t="shared" si="31"/>
        <v>0</v>
      </c>
      <c r="G293" s="65">
        <f t="shared" si="32"/>
        <v>0</v>
      </c>
    </row>
    <row r="294" spans="1:7" ht="13.5" hidden="1" thickBot="1">
      <c r="A294" s="70">
        <f t="shared" si="33"/>
        <v>274</v>
      </c>
      <c r="B294" s="85">
        <f t="shared" si="34"/>
        <v>0</v>
      </c>
      <c r="C294" s="85">
        <f t="shared" si="28"/>
        <v>0</v>
      </c>
      <c r="D294" s="85">
        <f t="shared" si="29"/>
        <v>0</v>
      </c>
      <c r="E294" s="86">
        <f t="shared" si="30"/>
        <v>0</v>
      </c>
      <c r="F294" s="85">
        <f t="shared" si="31"/>
        <v>0</v>
      </c>
      <c r="G294" s="65">
        <f t="shared" si="32"/>
        <v>0</v>
      </c>
    </row>
    <row r="295" spans="1:7" ht="13.5" hidden="1" thickBot="1">
      <c r="A295" s="70">
        <f t="shared" si="33"/>
        <v>275</v>
      </c>
      <c r="B295" s="85">
        <f t="shared" si="34"/>
        <v>0</v>
      </c>
      <c r="C295" s="85">
        <f t="shared" si="28"/>
        <v>0</v>
      </c>
      <c r="D295" s="85">
        <f t="shared" si="29"/>
        <v>0</v>
      </c>
      <c r="E295" s="86">
        <f t="shared" si="30"/>
        <v>0</v>
      </c>
      <c r="F295" s="85">
        <f t="shared" si="31"/>
        <v>0</v>
      </c>
      <c r="G295" s="65">
        <f t="shared" si="32"/>
        <v>0</v>
      </c>
    </row>
    <row r="296" spans="1:7" ht="13.5" hidden="1" thickBot="1">
      <c r="A296" s="70">
        <f t="shared" si="33"/>
        <v>276</v>
      </c>
      <c r="B296" s="85">
        <f t="shared" si="34"/>
        <v>0</v>
      </c>
      <c r="C296" s="85">
        <f t="shared" si="28"/>
        <v>0</v>
      </c>
      <c r="D296" s="85">
        <f t="shared" si="29"/>
        <v>0</v>
      </c>
      <c r="E296" s="86">
        <f t="shared" si="30"/>
        <v>0</v>
      </c>
      <c r="F296" s="85">
        <f t="shared" si="31"/>
        <v>0</v>
      </c>
      <c r="G296" s="65">
        <f t="shared" si="32"/>
        <v>0</v>
      </c>
    </row>
    <row r="297" spans="1:7" ht="13.5" hidden="1" thickBot="1">
      <c r="A297" s="70">
        <f t="shared" si="33"/>
        <v>277</v>
      </c>
      <c r="B297" s="85">
        <f t="shared" si="34"/>
        <v>0</v>
      </c>
      <c r="C297" s="85">
        <f t="shared" si="28"/>
        <v>0</v>
      </c>
      <c r="D297" s="85">
        <f t="shared" si="29"/>
        <v>0</v>
      </c>
      <c r="E297" s="86">
        <f t="shared" si="30"/>
        <v>0</v>
      </c>
      <c r="F297" s="85">
        <f t="shared" si="31"/>
        <v>0</v>
      </c>
      <c r="G297" s="65">
        <f t="shared" si="32"/>
        <v>0</v>
      </c>
    </row>
    <row r="298" spans="1:7" ht="13.5" hidden="1" thickBot="1">
      <c r="A298" s="70">
        <f t="shared" si="33"/>
        <v>278</v>
      </c>
      <c r="B298" s="85">
        <f t="shared" si="34"/>
        <v>0</v>
      </c>
      <c r="C298" s="85">
        <f t="shared" si="28"/>
        <v>0</v>
      </c>
      <c r="D298" s="85">
        <f t="shared" si="29"/>
        <v>0</v>
      </c>
      <c r="E298" s="86">
        <f t="shared" si="30"/>
        <v>0</v>
      </c>
      <c r="F298" s="85">
        <f t="shared" si="31"/>
        <v>0</v>
      </c>
      <c r="G298" s="65">
        <f t="shared" si="32"/>
        <v>0</v>
      </c>
    </row>
    <row r="299" spans="1:7" ht="13.5" hidden="1" thickBot="1">
      <c r="A299" s="70">
        <f t="shared" si="33"/>
        <v>279</v>
      </c>
      <c r="B299" s="85">
        <f t="shared" si="34"/>
        <v>0</v>
      </c>
      <c r="C299" s="85">
        <f t="shared" si="28"/>
        <v>0</v>
      </c>
      <c r="D299" s="85">
        <f t="shared" si="29"/>
        <v>0</v>
      </c>
      <c r="E299" s="86">
        <f t="shared" si="30"/>
        <v>0</v>
      </c>
      <c r="F299" s="85">
        <f t="shared" si="31"/>
        <v>0</v>
      </c>
      <c r="G299" s="65">
        <f t="shared" si="32"/>
        <v>0</v>
      </c>
    </row>
    <row r="300" spans="1:7" ht="13.5" hidden="1" thickBot="1">
      <c r="A300" s="70">
        <f t="shared" si="33"/>
        <v>280</v>
      </c>
      <c r="B300" s="85">
        <f t="shared" si="34"/>
        <v>0</v>
      </c>
      <c r="C300" s="85">
        <f t="shared" si="28"/>
        <v>0</v>
      </c>
      <c r="D300" s="85">
        <f t="shared" si="29"/>
        <v>0</v>
      </c>
      <c r="E300" s="86">
        <f t="shared" si="30"/>
        <v>0</v>
      </c>
      <c r="F300" s="85">
        <f t="shared" si="31"/>
        <v>0</v>
      </c>
      <c r="G300" s="65">
        <f t="shared" si="32"/>
        <v>0</v>
      </c>
    </row>
    <row r="301" spans="1:7" ht="13.5" hidden="1" thickBot="1">
      <c r="A301" s="70">
        <f t="shared" si="33"/>
        <v>281</v>
      </c>
      <c r="B301" s="85">
        <f t="shared" si="34"/>
        <v>0</v>
      </c>
      <c r="C301" s="85">
        <f t="shared" si="28"/>
        <v>0</v>
      </c>
      <c r="D301" s="85">
        <f t="shared" si="29"/>
        <v>0</v>
      </c>
      <c r="E301" s="86">
        <f t="shared" si="30"/>
        <v>0</v>
      </c>
      <c r="F301" s="85">
        <f t="shared" si="31"/>
        <v>0</v>
      </c>
      <c r="G301" s="65">
        <f t="shared" si="32"/>
        <v>0</v>
      </c>
    </row>
    <row r="302" spans="1:7" ht="13.5" hidden="1" thickBot="1">
      <c r="A302" s="70">
        <f t="shared" si="33"/>
        <v>282</v>
      </c>
      <c r="B302" s="85">
        <f t="shared" si="34"/>
        <v>0</v>
      </c>
      <c r="C302" s="85">
        <f t="shared" si="28"/>
        <v>0</v>
      </c>
      <c r="D302" s="85">
        <f t="shared" si="29"/>
        <v>0</v>
      </c>
      <c r="E302" s="86">
        <f t="shared" si="30"/>
        <v>0</v>
      </c>
      <c r="F302" s="85">
        <f t="shared" si="31"/>
        <v>0</v>
      </c>
      <c r="G302" s="65">
        <f t="shared" si="32"/>
        <v>0</v>
      </c>
    </row>
    <row r="303" spans="1:7" ht="13.5" hidden="1" thickBot="1">
      <c r="A303" s="70">
        <f t="shared" si="33"/>
        <v>283</v>
      </c>
      <c r="B303" s="85">
        <f t="shared" si="34"/>
        <v>0</v>
      </c>
      <c r="C303" s="85">
        <f t="shared" si="28"/>
        <v>0</v>
      </c>
      <c r="D303" s="85">
        <f t="shared" si="29"/>
        <v>0</v>
      </c>
      <c r="E303" s="86">
        <f t="shared" si="30"/>
        <v>0</v>
      </c>
      <c r="F303" s="85">
        <f t="shared" si="31"/>
        <v>0</v>
      </c>
      <c r="G303" s="65">
        <f t="shared" si="32"/>
        <v>0</v>
      </c>
    </row>
    <row r="304" spans="1:7" ht="13.5" hidden="1" thickBot="1">
      <c r="A304" s="70">
        <f t="shared" si="33"/>
        <v>284</v>
      </c>
      <c r="B304" s="85">
        <f t="shared" si="34"/>
        <v>0</v>
      </c>
      <c r="C304" s="85">
        <f t="shared" si="28"/>
        <v>0</v>
      </c>
      <c r="D304" s="85">
        <f t="shared" si="29"/>
        <v>0</v>
      </c>
      <c r="E304" s="86">
        <f t="shared" si="30"/>
        <v>0</v>
      </c>
      <c r="F304" s="85">
        <f t="shared" si="31"/>
        <v>0</v>
      </c>
      <c r="G304" s="65">
        <f t="shared" si="32"/>
        <v>0</v>
      </c>
    </row>
    <row r="305" spans="1:7" ht="13.5" hidden="1" thickBot="1">
      <c r="A305" s="70">
        <f t="shared" si="33"/>
        <v>285</v>
      </c>
      <c r="B305" s="85">
        <f t="shared" si="34"/>
        <v>0</v>
      </c>
      <c r="C305" s="85">
        <f t="shared" si="28"/>
        <v>0</v>
      </c>
      <c r="D305" s="85">
        <f t="shared" si="29"/>
        <v>0</v>
      </c>
      <c r="E305" s="86">
        <f t="shared" si="30"/>
        <v>0</v>
      </c>
      <c r="F305" s="85">
        <f t="shared" si="31"/>
        <v>0</v>
      </c>
      <c r="G305" s="65">
        <f t="shared" si="32"/>
        <v>0</v>
      </c>
    </row>
    <row r="306" spans="1:7" ht="13.5" hidden="1" thickBot="1">
      <c r="A306" s="70">
        <f t="shared" si="33"/>
        <v>286</v>
      </c>
      <c r="B306" s="85">
        <f t="shared" si="34"/>
        <v>0</v>
      </c>
      <c r="C306" s="85">
        <f t="shared" si="28"/>
        <v>0</v>
      </c>
      <c r="D306" s="85">
        <f t="shared" si="29"/>
        <v>0</v>
      </c>
      <c r="E306" s="86">
        <f t="shared" si="30"/>
        <v>0</v>
      </c>
      <c r="F306" s="85">
        <f t="shared" si="31"/>
        <v>0</v>
      </c>
      <c r="G306" s="65">
        <f t="shared" si="32"/>
        <v>0</v>
      </c>
    </row>
    <row r="307" spans="1:7" ht="13.5" hidden="1" thickBot="1">
      <c r="A307" s="70">
        <f t="shared" si="33"/>
        <v>287</v>
      </c>
      <c r="B307" s="85">
        <f t="shared" si="34"/>
        <v>0</v>
      </c>
      <c r="C307" s="85">
        <f t="shared" si="28"/>
        <v>0</v>
      </c>
      <c r="D307" s="85">
        <f t="shared" si="29"/>
        <v>0</v>
      </c>
      <c r="E307" s="86">
        <f t="shared" si="30"/>
        <v>0</v>
      </c>
      <c r="F307" s="85">
        <f t="shared" si="31"/>
        <v>0</v>
      </c>
      <c r="G307" s="65">
        <f t="shared" si="32"/>
        <v>0</v>
      </c>
    </row>
    <row r="308" spans="1:7" ht="13.5" hidden="1" thickBot="1">
      <c r="A308" s="70">
        <f t="shared" si="33"/>
        <v>288</v>
      </c>
      <c r="B308" s="85">
        <f t="shared" si="34"/>
        <v>0</v>
      </c>
      <c r="C308" s="85">
        <f t="shared" si="28"/>
        <v>0</v>
      </c>
      <c r="D308" s="85">
        <f t="shared" si="29"/>
        <v>0</v>
      </c>
      <c r="E308" s="86">
        <f t="shared" si="30"/>
        <v>0</v>
      </c>
      <c r="F308" s="85">
        <f t="shared" si="31"/>
        <v>0</v>
      </c>
      <c r="G308" s="65">
        <f t="shared" si="32"/>
        <v>0</v>
      </c>
    </row>
    <row r="309" spans="1:7" ht="13.5" hidden="1" thickBot="1">
      <c r="A309" s="70">
        <f t="shared" si="33"/>
        <v>289</v>
      </c>
      <c r="B309" s="85">
        <f t="shared" si="34"/>
        <v>0</v>
      </c>
      <c r="C309" s="85">
        <f t="shared" si="28"/>
        <v>0</v>
      </c>
      <c r="D309" s="85">
        <f t="shared" si="29"/>
        <v>0</v>
      </c>
      <c r="E309" s="86">
        <f t="shared" si="30"/>
        <v>0</v>
      </c>
      <c r="F309" s="85">
        <f t="shared" si="31"/>
        <v>0</v>
      </c>
      <c r="G309" s="65">
        <f t="shared" si="32"/>
        <v>0</v>
      </c>
    </row>
    <row r="310" spans="1:7" ht="13.5" hidden="1" thickBot="1">
      <c r="A310" s="70">
        <f t="shared" si="33"/>
        <v>290</v>
      </c>
      <c r="B310" s="85">
        <f t="shared" si="34"/>
        <v>0</v>
      </c>
      <c r="C310" s="85">
        <f t="shared" si="28"/>
        <v>0</v>
      </c>
      <c r="D310" s="85">
        <f t="shared" si="29"/>
        <v>0</v>
      </c>
      <c r="E310" s="86">
        <f t="shared" si="30"/>
        <v>0</v>
      </c>
      <c r="F310" s="85">
        <f t="shared" si="31"/>
        <v>0</v>
      </c>
      <c r="G310" s="65">
        <f t="shared" si="32"/>
        <v>0</v>
      </c>
    </row>
    <row r="311" spans="1:7" ht="13.5" hidden="1" thickBot="1">
      <c r="A311" s="70">
        <f t="shared" si="33"/>
        <v>291</v>
      </c>
      <c r="B311" s="85">
        <f t="shared" si="34"/>
        <v>0</v>
      </c>
      <c r="C311" s="85">
        <f t="shared" si="28"/>
        <v>0</v>
      </c>
      <c r="D311" s="85">
        <f t="shared" si="29"/>
        <v>0</v>
      </c>
      <c r="E311" s="86">
        <f t="shared" si="30"/>
        <v>0</v>
      </c>
      <c r="F311" s="85">
        <f t="shared" si="31"/>
        <v>0</v>
      </c>
      <c r="G311" s="65">
        <f t="shared" si="32"/>
        <v>0</v>
      </c>
    </row>
    <row r="312" spans="1:7" ht="13.5" hidden="1" thickBot="1">
      <c r="A312" s="70">
        <f t="shared" si="33"/>
        <v>292</v>
      </c>
      <c r="B312" s="85">
        <f t="shared" si="34"/>
        <v>0</v>
      </c>
      <c r="C312" s="85">
        <f t="shared" si="28"/>
        <v>0</v>
      </c>
      <c r="D312" s="85">
        <f t="shared" si="29"/>
        <v>0</v>
      </c>
      <c r="E312" s="86">
        <f t="shared" si="30"/>
        <v>0</v>
      </c>
      <c r="F312" s="85">
        <f t="shared" si="31"/>
        <v>0</v>
      </c>
      <c r="G312" s="65">
        <f t="shared" si="32"/>
        <v>0</v>
      </c>
    </row>
    <row r="313" spans="1:7" ht="13.5" hidden="1" thickBot="1">
      <c r="A313" s="70">
        <f t="shared" si="33"/>
        <v>293</v>
      </c>
      <c r="B313" s="85">
        <f t="shared" si="34"/>
        <v>0</v>
      </c>
      <c r="C313" s="85">
        <f t="shared" si="28"/>
        <v>0</v>
      </c>
      <c r="D313" s="85">
        <f t="shared" si="29"/>
        <v>0</v>
      </c>
      <c r="E313" s="86">
        <f t="shared" si="30"/>
        <v>0</v>
      </c>
      <c r="F313" s="85">
        <f t="shared" si="31"/>
        <v>0</v>
      </c>
      <c r="G313" s="65">
        <f t="shared" si="32"/>
        <v>0</v>
      </c>
    </row>
    <row r="314" spans="1:7" ht="13.5" hidden="1" thickBot="1">
      <c r="A314" s="70">
        <f t="shared" si="33"/>
        <v>294</v>
      </c>
      <c r="B314" s="85">
        <f t="shared" si="34"/>
        <v>0</v>
      </c>
      <c r="C314" s="85">
        <f t="shared" si="28"/>
        <v>0</v>
      </c>
      <c r="D314" s="85">
        <f t="shared" si="29"/>
        <v>0</v>
      </c>
      <c r="E314" s="86">
        <f t="shared" si="30"/>
        <v>0</v>
      </c>
      <c r="F314" s="85">
        <f t="shared" si="31"/>
        <v>0</v>
      </c>
      <c r="G314" s="65">
        <f t="shared" si="32"/>
        <v>0</v>
      </c>
    </row>
    <row r="315" spans="1:7" ht="13.5" hidden="1" thickBot="1">
      <c r="A315" s="70">
        <f t="shared" si="33"/>
        <v>295</v>
      </c>
      <c r="B315" s="85">
        <f t="shared" si="34"/>
        <v>0</v>
      </c>
      <c r="C315" s="85">
        <f t="shared" si="28"/>
        <v>0</v>
      </c>
      <c r="D315" s="85">
        <f t="shared" si="29"/>
        <v>0</v>
      </c>
      <c r="E315" s="86">
        <f t="shared" si="30"/>
        <v>0</v>
      </c>
      <c r="F315" s="85">
        <f t="shared" si="31"/>
        <v>0</v>
      </c>
      <c r="G315" s="65">
        <f t="shared" si="32"/>
        <v>0</v>
      </c>
    </row>
    <row r="316" spans="1:7" ht="13.5" hidden="1" thickBot="1">
      <c r="A316" s="70">
        <f t="shared" si="33"/>
        <v>296</v>
      </c>
      <c r="B316" s="85">
        <f t="shared" si="34"/>
        <v>0</v>
      </c>
      <c r="C316" s="85">
        <f t="shared" si="28"/>
        <v>0</v>
      </c>
      <c r="D316" s="85">
        <f t="shared" si="29"/>
        <v>0</v>
      </c>
      <c r="E316" s="86">
        <f t="shared" si="30"/>
        <v>0</v>
      </c>
      <c r="F316" s="85">
        <f t="shared" si="31"/>
        <v>0</v>
      </c>
      <c r="G316" s="65">
        <f t="shared" si="32"/>
        <v>0</v>
      </c>
    </row>
    <row r="317" spans="1:7" ht="13.5" hidden="1" thickBot="1">
      <c r="A317" s="70">
        <f t="shared" si="33"/>
        <v>297</v>
      </c>
      <c r="B317" s="85">
        <f t="shared" si="34"/>
        <v>0</v>
      </c>
      <c r="C317" s="85">
        <f t="shared" si="28"/>
        <v>0</v>
      </c>
      <c r="D317" s="85">
        <f t="shared" si="29"/>
        <v>0</v>
      </c>
      <c r="E317" s="86">
        <f t="shared" si="30"/>
        <v>0</v>
      </c>
      <c r="F317" s="85">
        <f t="shared" si="31"/>
        <v>0</v>
      </c>
      <c r="G317" s="65">
        <f t="shared" si="32"/>
        <v>0</v>
      </c>
    </row>
    <row r="318" spans="1:7" ht="13.5" hidden="1" thickBot="1">
      <c r="A318" s="70">
        <f t="shared" si="33"/>
        <v>298</v>
      </c>
      <c r="B318" s="85">
        <f t="shared" si="34"/>
        <v>0</v>
      </c>
      <c r="C318" s="85">
        <f t="shared" si="28"/>
        <v>0</v>
      </c>
      <c r="D318" s="85">
        <f t="shared" si="29"/>
        <v>0</v>
      </c>
      <c r="E318" s="86">
        <f t="shared" si="30"/>
        <v>0</v>
      </c>
      <c r="F318" s="85">
        <f t="shared" si="31"/>
        <v>0</v>
      </c>
      <c r="G318" s="65">
        <f t="shared" si="32"/>
        <v>0</v>
      </c>
    </row>
    <row r="319" spans="1:7" ht="13.5" hidden="1" thickBot="1">
      <c r="A319" s="70">
        <f t="shared" si="33"/>
        <v>299</v>
      </c>
      <c r="B319" s="85">
        <f t="shared" si="34"/>
        <v>0</v>
      </c>
      <c r="C319" s="85">
        <f t="shared" si="28"/>
        <v>0</v>
      </c>
      <c r="D319" s="85">
        <f t="shared" si="29"/>
        <v>0</v>
      </c>
      <c r="E319" s="86">
        <f t="shared" si="30"/>
        <v>0</v>
      </c>
      <c r="F319" s="85">
        <f t="shared" si="31"/>
        <v>0</v>
      </c>
      <c r="G319" s="65">
        <f t="shared" si="32"/>
        <v>0</v>
      </c>
    </row>
    <row r="320" spans="1:7" ht="13.5" hidden="1" thickBot="1">
      <c r="A320" s="70">
        <f t="shared" si="33"/>
        <v>300</v>
      </c>
      <c r="B320" s="85">
        <f t="shared" si="34"/>
        <v>0</v>
      </c>
      <c r="C320" s="85">
        <f t="shared" si="28"/>
        <v>0</v>
      </c>
      <c r="D320" s="85">
        <f t="shared" si="29"/>
        <v>0</v>
      </c>
      <c r="E320" s="86">
        <f t="shared" si="30"/>
        <v>0</v>
      </c>
      <c r="F320" s="85">
        <f t="shared" si="31"/>
        <v>0</v>
      </c>
      <c r="G320" s="65">
        <f t="shared" si="32"/>
        <v>0</v>
      </c>
    </row>
    <row r="321" spans="1:7" ht="13.5" hidden="1" thickBot="1">
      <c r="A321" s="70">
        <f t="shared" si="33"/>
        <v>301</v>
      </c>
      <c r="B321" s="85">
        <f t="shared" si="34"/>
        <v>0</v>
      </c>
      <c r="C321" s="85">
        <f t="shared" si="28"/>
        <v>0</v>
      </c>
      <c r="D321" s="85">
        <f t="shared" si="29"/>
        <v>0</v>
      </c>
      <c r="E321" s="86">
        <f t="shared" si="30"/>
        <v>0</v>
      </c>
      <c r="F321" s="85">
        <f t="shared" si="31"/>
        <v>0</v>
      </c>
      <c r="G321" s="65">
        <f t="shared" si="32"/>
        <v>0</v>
      </c>
    </row>
    <row r="322" spans="1:7" ht="13.5" hidden="1" thickBot="1">
      <c r="A322" s="70">
        <f t="shared" si="33"/>
        <v>302</v>
      </c>
      <c r="B322" s="85">
        <f t="shared" si="34"/>
        <v>0</v>
      </c>
      <c r="C322" s="85">
        <f t="shared" si="28"/>
        <v>0</v>
      </c>
      <c r="D322" s="85">
        <f t="shared" si="29"/>
        <v>0</v>
      </c>
      <c r="E322" s="86">
        <f t="shared" si="30"/>
        <v>0</v>
      </c>
      <c r="F322" s="85">
        <f t="shared" si="31"/>
        <v>0</v>
      </c>
      <c r="G322" s="65">
        <f t="shared" si="32"/>
        <v>0</v>
      </c>
    </row>
    <row r="323" spans="1:7" ht="13.5" hidden="1" thickBot="1">
      <c r="A323" s="70">
        <f t="shared" si="33"/>
        <v>303</v>
      </c>
      <c r="B323" s="85">
        <f t="shared" si="34"/>
        <v>0</v>
      </c>
      <c r="C323" s="85">
        <f t="shared" si="28"/>
        <v>0</v>
      </c>
      <c r="D323" s="85">
        <f t="shared" si="29"/>
        <v>0</v>
      </c>
      <c r="E323" s="86">
        <f t="shared" si="30"/>
        <v>0</v>
      </c>
      <c r="F323" s="85">
        <f t="shared" si="31"/>
        <v>0</v>
      </c>
      <c r="G323" s="65">
        <f t="shared" si="32"/>
        <v>0</v>
      </c>
    </row>
    <row r="324" spans="1:7" ht="13.5" hidden="1" thickBot="1">
      <c r="A324" s="70">
        <f t="shared" si="33"/>
        <v>304</v>
      </c>
      <c r="B324" s="85">
        <f t="shared" si="34"/>
        <v>0</v>
      </c>
      <c r="C324" s="85">
        <f t="shared" si="28"/>
        <v>0</v>
      </c>
      <c r="D324" s="85">
        <f t="shared" si="29"/>
        <v>0</v>
      </c>
      <c r="E324" s="86">
        <f t="shared" si="30"/>
        <v>0</v>
      </c>
      <c r="F324" s="85">
        <f t="shared" si="31"/>
        <v>0</v>
      </c>
      <c r="G324" s="65">
        <f t="shared" si="32"/>
        <v>0</v>
      </c>
    </row>
    <row r="325" spans="1:7" ht="13.5" hidden="1" thickBot="1">
      <c r="A325" s="70">
        <f t="shared" si="33"/>
        <v>305</v>
      </c>
      <c r="B325" s="85">
        <f t="shared" si="34"/>
        <v>0</v>
      </c>
      <c r="C325" s="85">
        <f t="shared" si="28"/>
        <v>0</v>
      </c>
      <c r="D325" s="85">
        <f t="shared" si="29"/>
        <v>0</v>
      </c>
      <c r="E325" s="86">
        <f t="shared" si="30"/>
        <v>0</v>
      </c>
      <c r="F325" s="85">
        <f t="shared" si="31"/>
        <v>0</v>
      </c>
      <c r="G325" s="65">
        <f t="shared" si="32"/>
        <v>0</v>
      </c>
    </row>
    <row r="326" spans="1:7" ht="13.5" hidden="1" thickBot="1">
      <c r="A326" s="70">
        <f t="shared" si="33"/>
        <v>306</v>
      </c>
      <c r="B326" s="85">
        <f t="shared" si="34"/>
        <v>0</v>
      </c>
      <c r="C326" s="85">
        <f t="shared" si="28"/>
        <v>0</v>
      </c>
      <c r="D326" s="85">
        <f t="shared" si="29"/>
        <v>0</v>
      </c>
      <c r="E326" s="86">
        <f t="shared" si="30"/>
        <v>0</v>
      </c>
      <c r="F326" s="85">
        <f t="shared" si="31"/>
        <v>0</v>
      </c>
      <c r="G326" s="65">
        <f t="shared" si="32"/>
        <v>0</v>
      </c>
    </row>
    <row r="327" spans="1:7" ht="13.5" hidden="1" thickBot="1">
      <c r="A327" s="70">
        <f t="shared" si="33"/>
        <v>307</v>
      </c>
      <c r="B327" s="85">
        <f t="shared" si="34"/>
        <v>0</v>
      </c>
      <c r="C327" s="85">
        <f t="shared" si="28"/>
        <v>0</v>
      </c>
      <c r="D327" s="85">
        <f t="shared" si="29"/>
        <v>0</v>
      </c>
      <c r="E327" s="86">
        <f t="shared" si="30"/>
        <v>0</v>
      </c>
      <c r="F327" s="85">
        <f t="shared" si="31"/>
        <v>0</v>
      </c>
      <c r="G327" s="65">
        <f t="shared" si="32"/>
        <v>0</v>
      </c>
    </row>
    <row r="328" spans="1:7" ht="13.5" hidden="1" thickBot="1">
      <c r="A328" s="70">
        <f t="shared" si="33"/>
        <v>308</v>
      </c>
      <c r="B328" s="85">
        <f t="shared" si="34"/>
        <v>0</v>
      </c>
      <c r="C328" s="85">
        <f t="shared" si="28"/>
        <v>0</v>
      </c>
      <c r="D328" s="85">
        <f t="shared" si="29"/>
        <v>0</v>
      </c>
      <c r="E328" s="86">
        <f t="shared" si="30"/>
        <v>0</v>
      </c>
      <c r="F328" s="85">
        <f t="shared" si="31"/>
        <v>0</v>
      </c>
      <c r="G328" s="65">
        <f t="shared" si="32"/>
        <v>0</v>
      </c>
    </row>
    <row r="329" spans="1:7" ht="13.5" hidden="1" thickBot="1">
      <c r="A329" s="70">
        <f t="shared" si="33"/>
        <v>309</v>
      </c>
      <c r="B329" s="85">
        <f t="shared" si="34"/>
        <v>0</v>
      </c>
      <c r="C329" s="85">
        <f t="shared" si="28"/>
        <v>0</v>
      </c>
      <c r="D329" s="85">
        <f t="shared" si="29"/>
        <v>0</v>
      </c>
      <c r="E329" s="86">
        <f t="shared" si="30"/>
        <v>0</v>
      </c>
      <c r="F329" s="85">
        <f t="shared" si="31"/>
        <v>0</v>
      </c>
      <c r="G329" s="65">
        <f t="shared" si="32"/>
        <v>0</v>
      </c>
    </row>
    <row r="330" spans="1:7" ht="13.5" hidden="1" thickBot="1">
      <c r="A330" s="70">
        <f t="shared" si="33"/>
        <v>310</v>
      </c>
      <c r="B330" s="85">
        <f t="shared" si="34"/>
        <v>0</v>
      </c>
      <c r="C330" s="85">
        <f t="shared" si="28"/>
        <v>0</v>
      </c>
      <c r="D330" s="85">
        <f t="shared" si="29"/>
        <v>0</v>
      </c>
      <c r="E330" s="86">
        <f t="shared" si="30"/>
        <v>0</v>
      </c>
      <c r="F330" s="85">
        <f t="shared" si="31"/>
        <v>0</v>
      </c>
      <c r="G330" s="65">
        <f t="shared" si="32"/>
        <v>0</v>
      </c>
    </row>
    <row r="331" spans="1:7" ht="13.5" hidden="1" thickBot="1">
      <c r="A331" s="70">
        <f t="shared" si="33"/>
        <v>311</v>
      </c>
      <c r="B331" s="85">
        <f t="shared" si="34"/>
        <v>0</v>
      </c>
      <c r="C331" s="85">
        <f t="shared" si="28"/>
        <v>0</v>
      </c>
      <c r="D331" s="85">
        <f t="shared" si="29"/>
        <v>0</v>
      </c>
      <c r="E331" s="86">
        <f t="shared" si="30"/>
        <v>0</v>
      </c>
      <c r="F331" s="85">
        <f t="shared" si="31"/>
        <v>0</v>
      </c>
      <c r="G331" s="65">
        <f t="shared" si="32"/>
        <v>0</v>
      </c>
    </row>
    <row r="332" spans="1:7" ht="13.5" hidden="1" thickBot="1">
      <c r="A332" s="70">
        <f t="shared" si="33"/>
        <v>312</v>
      </c>
      <c r="B332" s="85">
        <f t="shared" si="34"/>
        <v>0</v>
      </c>
      <c r="C332" s="85">
        <f t="shared" si="28"/>
        <v>0</v>
      </c>
      <c r="D332" s="85">
        <f t="shared" si="29"/>
        <v>0</v>
      </c>
      <c r="E332" s="86">
        <f t="shared" si="30"/>
        <v>0</v>
      </c>
      <c r="F332" s="85">
        <f t="shared" si="31"/>
        <v>0</v>
      </c>
      <c r="G332" s="65">
        <f t="shared" si="32"/>
        <v>0</v>
      </c>
    </row>
    <row r="333" spans="1:7" ht="13.5" hidden="1" thickBot="1">
      <c r="A333" s="70">
        <f t="shared" si="33"/>
        <v>313</v>
      </c>
      <c r="B333" s="85">
        <f t="shared" si="34"/>
        <v>0</v>
      </c>
      <c r="C333" s="85">
        <f t="shared" si="28"/>
        <v>0</v>
      </c>
      <c r="D333" s="85">
        <f t="shared" si="29"/>
        <v>0</v>
      </c>
      <c r="E333" s="86">
        <f t="shared" si="30"/>
        <v>0</v>
      </c>
      <c r="F333" s="85">
        <f t="shared" si="31"/>
        <v>0</v>
      </c>
      <c r="G333" s="65">
        <f t="shared" si="32"/>
        <v>0</v>
      </c>
    </row>
    <row r="334" spans="1:7" ht="13.5" hidden="1" thickBot="1">
      <c r="A334" s="70">
        <f t="shared" si="33"/>
        <v>314</v>
      </c>
      <c r="B334" s="85">
        <f t="shared" si="34"/>
        <v>0</v>
      </c>
      <c r="C334" s="85">
        <f t="shared" si="28"/>
        <v>0</v>
      </c>
      <c r="D334" s="85">
        <f t="shared" si="29"/>
        <v>0</v>
      </c>
      <c r="E334" s="86">
        <f t="shared" si="30"/>
        <v>0</v>
      </c>
      <c r="F334" s="85">
        <f t="shared" si="31"/>
        <v>0</v>
      </c>
      <c r="G334" s="65">
        <f t="shared" si="32"/>
        <v>0</v>
      </c>
    </row>
    <row r="335" spans="1:7" ht="13.5" hidden="1" thickBot="1">
      <c r="A335" s="70">
        <f t="shared" si="33"/>
        <v>315</v>
      </c>
      <c r="B335" s="85">
        <f t="shared" si="34"/>
        <v>0</v>
      </c>
      <c r="C335" s="85">
        <f t="shared" si="28"/>
        <v>0</v>
      </c>
      <c r="D335" s="85">
        <f t="shared" si="29"/>
        <v>0</v>
      </c>
      <c r="E335" s="86">
        <f t="shared" si="30"/>
        <v>0</v>
      </c>
      <c r="F335" s="85">
        <f t="shared" si="31"/>
        <v>0</v>
      </c>
      <c r="G335" s="65">
        <f t="shared" si="32"/>
        <v>0</v>
      </c>
    </row>
    <row r="336" spans="1:7" ht="13.5" hidden="1" thickBot="1">
      <c r="A336" s="70">
        <f t="shared" si="33"/>
        <v>316</v>
      </c>
      <c r="B336" s="85">
        <f t="shared" si="34"/>
        <v>0</v>
      </c>
      <c r="C336" s="85">
        <f t="shared" si="28"/>
        <v>0</v>
      </c>
      <c r="D336" s="85">
        <f t="shared" si="29"/>
        <v>0</v>
      </c>
      <c r="E336" s="86">
        <f t="shared" si="30"/>
        <v>0</v>
      </c>
      <c r="F336" s="85">
        <f t="shared" si="31"/>
        <v>0</v>
      </c>
      <c r="G336" s="65">
        <f t="shared" si="32"/>
        <v>0</v>
      </c>
    </row>
    <row r="337" spans="1:7" ht="13.5" hidden="1" thickBot="1">
      <c r="A337" s="70">
        <f t="shared" si="33"/>
        <v>317</v>
      </c>
      <c r="B337" s="85">
        <f t="shared" si="34"/>
        <v>0</v>
      </c>
      <c r="C337" s="85">
        <f t="shared" si="28"/>
        <v>0</v>
      </c>
      <c r="D337" s="85">
        <f t="shared" si="29"/>
        <v>0</v>
      </c>
      <c r="E337" s="86">
        <f t="shared" si="30"/>
        <v>0</v>
      </c>
      <c r="F337" s="85">
        <f t="shared" si="31"/>
        <v>0</v>
      </c>
      <c r="G337" s="65">
        <f t="shared" si="32"/>
        <v>0</v>
      </c>
    </row>
    <row r="338" spans="1:7" ht="13.5" hidden="1" thickBot="1">
      <c r="A338" s="70">
        <f t="shared" si="33"/>
        <v>318</v>
      </c>
      <c r="B338" s="85">
        <f t="shared" si="34"/>
        <v>0</v>
      </c>
      <c r="C338" s="85">
        <f t="shared" si="28"/>
        <v>0</v>
      </c>
      <c r="D338" s="85">
        <f t="shared" si="29"/>
        <v>0</v>
      </c>
      <c r="E338" s="86">
        <f t="shared" si="30"/>
        <v>0</v>
      </c>
      <c r="F338" s="85">
        <f t="shared" si="31"/>
        <v>0</v>
      </c>
      <c r="G338" s="65">
        <f t="shared" si="32"/>
        <v>0</v>
      </c>
    </row>
    <row r="339" spans="1:7" ht="13.5" hidden="1" thickBot="1">
      <c r="A339" s="70">
        <f t="shared" si="33"/>
        <v>319</v>
      </c>
      <c r="B339" s="85">
        <f t="shared" si="34"/>
        <v>0</v>
      </c>
      <c r="C339" s="85">
        <f t="shared" si="28"/>
        <v>0</v>
      </c>
      <c r="D339" s="85">
        <f t="shared" si="29"/>
        <v>0</v>
      </c>
      <c r="E339" s="86">
        <f t="shared" si="30"/>
        <v>0</v>
      </c>
      <c r="F339" s="85">
        <f t="shared" si="31"/>
        <v>0</v>
      </c>
      <c r="G339" s="65">
        <f t="shared" si="32"/>
        <v>0</v>
      </c>
    </row>
    <row r="340" spans="1:7" ht="13.5" hidden="1" thickBot="1">
      <c r="A340" s="70">
        <f t="shared" si="33"/>
        <v>320</v>
      </c>
      <c r="B340" s="85">
        <f t="shared" si="34"/>
        <v>0</v>
      </c>
      <c r="C340" s="85">
        <f t="shared" si="28"/>
        <v>0</v>
      </c>
      <c r="D340" s="85">
        <f t="shared" si="29"/>
        <v>0</v>
      </c>
      <c r="E340" s="86">
        <f t="shared" si="30"/>
        <v>0</v>
      </c>
      <c r="F340" s="85">
        <f t="shared" si="31"/>
        <v>0</v>
      </c>
      <c r="G340" s="65">
        <f t="shared" si="32"/>
        <v>0</v>
      </c>
    </row>
    <row r="341" spans="1:7" ht="13.5" hidden="1" thickBot="1">
      <c r="A341" s="70">
        <f t="shared" si="33"/>
        <v>321</v>
      </c>
      <c r="B341" s="85">
        <f t="shared" si="34"/>
        <v>0</v>
      </c>
      <c r="C341" s="85">
        <f t="shared" ref="C341:C380" si="35">IF(A341&lt;=$D$9,$D$14*-1,0)</f>
        <v>0</v>
      </c>
      <c r="D341" s="85">
        <f t="shared" ref="D341:D380" si="36">IF(A341&gt;$D$9,0,$D$11*-1)</f>
        <v>0</v>
      </c>
      <c r="E341" s="86">
        <f t="shared" ref="E341:E380" si="37">B341*$D$10</f>
        <v>0</v>
      </c>
      <c r="F341" s="85">
        <f t="shared" ref="F341:F380" si="38">D341-E341</f>
        <v>0</v>
      </c>
      <c r="G341" s="65">
        <f t="shared" ref="G341:G380" si="39">B341-F341</f>
        <v>0</v>
      </c>
    </row>
    <row r="342" spans="1:7" ht="13.5" hidden="1" thickBot="1">
      <c r="A342" s="70">
        <f t="shared" ref="A342:A380" si="40">A341+1</f>
        <v>322</v>
      </c>
      <c r="B342" s="85">
        <f t="shared" ref="B342:B380" si="41">IF(A342&lt;=$D$9,G341,0)</f>
        <v>0</v>
      </c>
      <c r="C342" s="85">
        <f t="shared" si="35"/>
        <v>0</v>
      </c>
      <c r="D342" s="85">
        <f t="shared" si="36"/>
        <v>0</v>
      </c>
      <c r="E342" s="86">
        <f t="shared" si="37"/>
        <v>0</v>
      </c>
      <c r="F342" s="85">
        <f t="shared" si="38"/>
        <v>0</v>
      </c>
      <c r="G342" s="65">
        <f t="shared" si="39"/>
        <v>0</v>
      </c>
    </row>
    <row r="343" spans="1:7" ht="13.5" hidden="1" thickBot="1">
      <c r="A343" s="70">
        <f t="shared" si="40"/>
        <v>323</v>
      </c>
      <c r="B343" s="85">
        <f t="shared" si="41"/>
        <v>0</v>
      </c>
      <c r="C343" s="85">
        <f t="shared" si="35"/>
        <v>0</v>
      </c>
      <c r="D343" s="85">
        <f t="shared" si="36"/>
        <v>0</v>
      </c>
      <c r="E343" s="86">
        <f t="shared" si="37"/>
        <v>0</v>
      </c>
      <c r="F343" s="85">
        <f t="shared" si="38"/>
        <v>0</v>
      </c>
      <c r="G343" s="65">
        <f t="shared" si="39"/>
        <v>0</v>
      </c>
    </row>
    <row r="344" spans="1:7" ht="13.5" hidden="1" thickBot="1">
      <c r="A344" s="70">
        <f t="shared" si="40"/>
        <v>324</v>
      </c>
      <c r="B344" s="85">
        <f t="shared" si="41"/>
        <v>0</v>
      </c>
      <c r="C344" s="85">
        <f t="shared" si="35"/>
        <v>0</v>
      </c>
      <c r="D344" s="85">
        <f t="shared" si="36"/>
        <v>0</v>
      </c>
      <c r="E344" s="86">
        <f t="shared" si="37"/>
        <v>0</v>
      </c>
      <c r="F344" s="85">
        <f t="shared" si="38"/>
        <v>0</v>
      </c>
      <c r="G344" s="65">
        <f t="shared" si="39"/>
        <v>0</v>
      </c>
    </row>
    <row r="345" spans="1:7" ht="13.5" hidden="1" thickBot="1">
      <c r="A345" s="70">
        <f t="shared" si="40"/>
        <v>325</v>
      </c>
      <c r="B345" s="85">
        <f t="shared" si="41"/>
        <v>0</v>
      </c>
      <c r="C345" s="85">
        <f t="shared" si="35"/>
        <v>0</v>
      </c>
      <c r="D345" s="85">
        <f t="shared" si="36"/>
        <v>0</v>
      </c>
      <c r="E345" s="86">
        <f t="shared" si="37"/>
        <v>0</v>
      </c>
      <c r="F345" s="85">
        <f t="shared" si="38"/>
        <v>0</v>
      </c>
      <c r="G345" s="65">
        <f t="shared" si="39"/>
        <v>0</v>
      </c>
    </row>
    <row r="346" spans="1:7" ht="13.5" hidden="1" thickBot="1">
      <c r="A346" s="70">
        <f t="shared" si="40"/>
        <v>326</v>
      </c>
      <c r="B346" s="85">
        <f t="shared" si="41"/>
        <v>0</v>
      </c>
      <c r="C346" s="85">
        <f t="shared" si="35"/>
        <v>0</v>
      </c>
      <c r="D346" s="85">
        <f t="shared" si="36"/>
        <v>0</v>
      </c>
      <c r="E346" s="86">
        <f t="shared" si="37"/>
        <v>0</v>
      </c>
      <c r="F346" s="85">
        <f t="shared" si="38"/>
        <v>0</v>
      </c>
      <c r="G346" s="65">
        <f t="shared" si="39"/>
        <v>0</v>
      </c>
    </row>
    <row r="347" spans="1:7" ht="13.5" hidden="1" thickBot="1">
      <c r="A347" s="70">
        <f t="shared" si="40"/>
        <v>327</v>
      </c>
      <c r="B347" s="85">
        <f t="shared" si="41"/>
        <v>0</v>
      </c>
      <c r="C347" s="85">
        <f t="shared" si="35"/>
        <v>0</v>
      </c>
      <c r="D347" s="85">
        <f t="shared" si="36"/>
        <v>0</v>
      </c>
      <c r="E347" s="86">
        <f t="shared" si="37"/>
        <v>0</v>
      </c>
      <c r="F347" s="85">
        <f t="shared" si="38"/>
        <v>0</v>
      </c>
      <c r="G347" s="65">
        <f t="shared" si="39"/>
        <v>0</v>
      </c>
    </row>
    <row r="348" spans="1:7" ht="13.5" hidden="1" thickBot="1">
      <c r="A348" s="70">
        <f t="shared" si="40"/>
        <v>328</v>
      </c>
      <c r="B348" s="85">
        <f t="shared" si="41"/>
        <v>0</v>
      </c>
      <c r="C348" s="85">
        <f t="shared" si="35"/>
        <v>0</v>
      </c>
      <c r="D348" s="85">
        <f t="shared" si="36"/>
        <v>0</v>
      </c>
      <c r="E348" s="86">
        <f t="shared" si="37"/>
        <v>0</v>
      </c>
      <c r="F348" s="85">
        <f t="shared" si="38"/>
        <v>0</v>
      </c>
      <c r="G348" s="65">
        <f t="shared" si="39"/>
        <v>0</v>
      </c>
    </row>
    <row r="349" spans="1:7" ht="13.5" hidden="1" thickBot="1">
      <c r="A349" s="70">
        <f t="shared" si="40"/>
        <v>329</v>
      </c>
      <c r="B349" s="85">
        <f t="shared" si="41"/>
        <v>0</v>
      </c>
      <c r="C349" s="85">
        <f t="shared" si="35"/>
        <v>0</v>
      </c>
      <c r="D349" s="85">
        <f t="shared" si="36"/>
        <v>0</v>
      </c>
      <c r="E349" s="86">
        <f t="shared" si="37"/>
        <v>0</v>
      </c>
      <c r="F349" s="85">
        <f t="shared" si="38"/>
        <v>0</v>
      </c>
      <c r="G349" s="65">
        <f t="shared" si="39"/>
        <v>0</v>
      </c>
    </row>
    <row r="350" spans="1:7" ht="13.5" hidden="1" thickBot="1">
      <c r="A350" s="70">
        <f t="shared" si="40"/>
        <v>330</v>
      </c>
      <c r="B350" s="85">
        <f t="shared" si="41"/>
        <v>0</v>
      </c>
      <c r="C350" s="85">
        <f t="shared" si="35"/>
        <v>0</v>
      </c>
      <c r="D350" s="85">
        <f t="shared" si="36"/>
        <v>0</v>
      </c>
      <c r="E350" s="86">
        <f t="shared" si="37"/>
        <v>0</v>
      </c>
      <c r="F350" s="85">
        <f t="shared" si="38"/>
        <v>0</v>
      </c>
      <c r="G350" s="65">
        <f t="shared" si="39"/>
        <v>0</v>
      </c>
    </row>
    <row r="351" spans="1:7" ht="13.5" hidden="1" thickBot="1">
      <c r="A351" s="70">
        <f t="shared" si="40"/>
        <v>331</v>
      </c>
      <c r="B351" s="85">
        <f t="shared" si="41"/>
        <v>0</v>
      </c>
      <c r="C351" s="85">
        <f t="shared" si="35"/>
        <v>0</v>
      </c>
      <c r="D351" s="85">
        <f t="shared" si="36"/>
        <v>0</v>
      </c>
      <c r="E351" s="86">
        <f t="shared" si="37"/>
        <v>0</v>
      </c>
      <c r="F351" s="85">
        <f t="shared" si="38"/>
        <v>0</v>
      </c>
      <c r="G351" s="65">
        <f t="shared" si="39"/>
        <v>0</v>
      </c>
    </row>
    <row r="352" spans="1:7" ht="13.5" hidden="1" thickBot="1">
      <c r="A352" s="70">
        <f t="shared" si="40"/>
        <v>332</v>
      </c>
      <c r="B352" s="85">
        <f t="shared" si="41"/>
        <v>0</v>
      </c>
      <c r="C352" s="85">
        <f t="shared" si="35"/>
        <v>0</v>
      </c>
      <c r="D352" s="85">
        <f t="shared" si="36"/>
        <v>0</v>
      </c>
      <c r="E352" s="86">
        <f t="shared" si="37"/>
        <v>0</v>
      </c>
      <c r="F352" s="85">
        <f t="shared" si="38"/>
        <v>0</v>
      </c>
      <c r="G352" s="65">
        <f t="shared" si="39"/>
        <v>0</v>
      </c>
    </row>
    <row r="353" spans="1:7" ht="13.5" hidden="1" thickBot="1">
      <c r="A353" s="70">
        <f t="shared" si="40"/>
        <v>333</v>
      </c>
      <c r="B353" s="85">
        <f t="shared" si="41"/>
        <v>0</v>
      </c>
      <c r="C353" s="85">
        <f t="shared" si="35"/>
        <v>0</v>
      </c>
      <c r="D353" s="85">
        <f t="shared" si="36"/>
        <v>0</v>
      </c>
      <c r="E353" s="86">
        <f t="shared" si="37"/>
        <v>0</v>
      </c>
      <c r="F353" s="85">
        <f t="shared" si="38"/>
        <v>0</v>
      </c>
      <c r="G353" s="65">
        <f t="shared" si="39"/>
        <v>0</v>
      </c>
    </row>
    <row r="354" spans="1:7" ht="13.5" hidden="1" thickBot="1">
      <c r="A354" s="70">
        <f t="shared" si="40"/>
        <v>334</v>
      </c>
      <c r="B354" s="85">
        <f t="shared" si="41"/>
        <v>0</v>
      </c>
      <c r="C354" s="85">
        <f t="shared" si="35"/>
        <v>0</v>
      </c>
      <c r="D354" s="85">
        <f t="shared" si="36"/>
        <v>0</v>
      </c>
      <c r="E354" s="86">
        <f t="shared" si="37"/>
        <v>0</v>
      </c>
      <c r="F354" s="85">
        <f t="shared" si="38"/>
        <v>0</v>
      </c>
      <c r="G354" s="65">
        <f t="shared" si="39"/>
        <v>0</v>
      </c>
    </row>
    <row r="355" spans="1:7" ht="13.5" hidden="1" thickBot="1">
      <c r="A355" s="70">
        <f t="shared" si="40"/>
        <v>335</v>
      </c>
      <c r="B355" s="85">
        <f t="shared" si="41"/>
        <v>0</v>
      </c>
      <c r="C355" s="85">
        <f t="shared" si="35"/>
        <v>0</v>
      </c>
      <c r="D355" s="85">
        <f t="shared" si="36"/>
        <v>0</v>
      </c>
      <c r="E355" s="86">
        <f t="shared" si="37"/>
        <v>0</v>
      </c>
      <c r="F355" s="85">
        <f t="shared" si="38"/>
        <v>0</v>
      </c>
      <c r="G355" s="65">
        <f t="shared" si="39"/>
        <v>0</v>
      </c>
    </row>
    <row r="356" spans="1:7" ht="13.5" hidden="1" thickBot="1">
      <c r="A356" s="70">
        <f t="shared" si="40"/>
        <v>336</v>
      </c>
      <c r="B356" s="85">
        <f t="shared" si="41"/>
        <v>0</v>
      </c>
      <c r="C356" s="85">
        <f t="shared" si="35"/>
        <v>0</v>
      </c>
      <c r="D356" s="85">
        <f t="shared" si="36"/>
        <v>0</v>
      </c>
      <c r="E356" s="86">
        <f t="shared" si="37"/>
        <v>0</v>
      </c>
      <c r="F356" s="85">
        <f t="shared" si="38"/>
        <v>0</v>
      </c>
      <c r="G356" s="65">
        <f t="shared" si="39"/>
        <v>0</v>
      </c>
    </row>
    <row r="357" spans="1:7" ht="13.5" hidden="1" thickBot="1">
      <c r="A357" s="70">
        <f t="shared" si="40"/>
        <v>337</v>
      </c>
      <c r="B357" s="85">
        <f t="shared" si="41"/>
        <v>0</v>
      </c>
      <c r="C357" s="85">
        <f t="shared" si="35"/>
        <v>0</v>
      </c>
      <c r="D357" s="85">
        <f t="shared" si="36"/>
        <v>0</v>
      </c>
      <c r="E357" s="86">
        <f t="shared" si="37"/>
        <v>0</v>
      </c>
      <c r="F357" s="85">
        <f t="shared" si="38"/>
        <v>0</v>
      </c>
      <c r="G357" s="65">
        <f t="shared" si="39"/>
        <v>0</v>
      </c>
    </row>
    <row r="358" spans="1:7" ht="13.5" hidden="1" thickBot="1">
      <c r="A358" s="70">
        <f t="shared" si="40"/>
        <v>338</v>
      </c>
      <c r="B358" s="85">
        <f t="shared" si="41"/>
        <v>0</v>
      </c>
      <c r="C358" s="85">
        <f t="shared" si="35"/>
        <v>0</v>
      </c>
      <c r="D358" s="85">
        <f t="shared" si="36"/>
        <v>0</v>
      </c>
      <c r="E358" s="86">
        <f t="shared" si="37"/>
        <v>0</v>
      </c>
      <c r="F358" s="85">
        <f t="shared" si="38"/>
        <v>0</v>
      </c>
      <c r="G358" s="65">
        <f t="shared" si="39"/>
        <v>0</v>
      </c>
    </row>
    <row r="359" spans="1:7" ht="13.5" hidden="1" thickBot="1">
      <c r="A359" s="70">
        <f t="shared" si="40"/>
        <v>339</v>
      </c>
      <c r="B359" s="85">
        <f t="shared" si="41"/>
        <v>0</v>
      </c>
      <c r="C359" s="85">
        <f t="shared" si="35"/>
        <v>0</v>
      </c>
      <c r="D359" s="85">
        <f t="shared" si="36"/>
        <v>0</v>
      </c>
      <c r="E359" s="86">
        <f t="shared" si="37"/>
        <v>0</v>
      </c>
      <c r="F359" s="85">
        <f t="shared" si="38"/>
        <v>0</v>
      </c>
      <c r="G359" s="65">
        <f t="shared" si="39"/>
        <v>0</v>
      </c>
    </row>
    <row r="360" spans="1:7" ht="13.5" hidden="1" thickBot="1">
      <c r="A360" s="70">
        <f t="shared" si="40"/>
        <v>340</v>
      </c>
      <c r="B360" s="85">
        <f t="shared" si="41"/>
        <v>0</v>
      </c>
      <c r="C360" s="85">
        <f t="shared" si="35"/>
        <v>0</v>
      </c>
      <c r="D360" s="85">
        <f t="shared" si="36"/>
        <v>0</v>
      </c>
      <c r="E360" s="86">
        <f t="shared" si="37"/>
        <v>0</v>
      </c>
      <c r="F360" s="85">
        <f t="shared" si="38"/>
        <v>0</v>
      </c>
      <c r="G360" s="65">
        <f t="shared" si="39"/>
        <v>0</v>
      </c>
    </row>
    <row r="361" spans="1:7" ht="13.5" hidden="1" thickBot="1">
      <c r="A361" s="70">
        <f t="shared" si="40"/>
        <v>341</v>
      </c>
      <c r="B361" s="85">
        <f t="shared" si="41"/>
        <v>0</v>
      </c>
      <c r="C361" s="85">
        <f t="shared" si="35"/>
        <v>0</v>
      </c>
      <c r="D361" s="85">
        <f t="shared" si="36"/>
        <v>0</v>
      </c>
      <c r="E361" s="86">
        <f t="shared" si="37"/>
        <v>0</v>
      </c>
      <c r="F361" s="85">
        <f t="shared" si="38"/>
        <v>0</v>
      </c>
      <c r="G361" s="65">
        <f t="shared" si="39"/>
        <v>0</v>
      </c>
    </row>
    <row r="362" spans="1:7" ht="13.5" hidden="1" thickBot="1">
      <c r="A362" s="70">
        <f t="shared" si="40"/>
        <v>342</v>
      </c>
      <c r="B362" s="85">
        <f t="shared" si="41"/>
        <v>0</v>
      </c>
      <c r="C362" s="85">
        <f t="shared" si="35"/>
        <v>0</v>
      </c>
      <c r="D362" s="85">
        <f t="shared" si="36"/>
        <v>0</v>
      </c>
      <c r="E362" s="86">
        <f t="shared" si="37"/>
        <v>0</v>
      </c>
      <c r="F362" s="85">
        <f t="shared" si="38"/>
        <v>0</v>
      </c>
      <c r="G362" s="65">
        <f t="shared" si="39"/>
        <v>0</v>
      </c>
    </row>
    <row r="363" spans="1:7" ht="13.5" hidden="1" thickBot="1">
      <c r="A363" s="70">
        <f t="shared" si="40"/>
        <v>343</v>
      </c>
      <c r="B363" s="85">
        <f t="shared" si="41"/>
        <v>0</v>
      </c>
      <c r="C363" s="85">
        <f t="shared" si="35"/>
        <v>0</v>
      </c>
      <c r="D363" s="85">
        <f t="shared" si="36"/>
        <v>0</v>
      </c>
      <c r="E363" s="86">
        <f t="shared" si="37"/>
        <v>0</v>
      </c>
      <c r="F363" s="85">
        <f t="shared" si="38"/>
        <v>0</v>
      </c>
      <c r="G363" s="65">
        <f t="shared" si="39"/>
        <v>0</v>
      </c>
    </row>
    <row r="364" spans="1:7" ht="13.5" hidden="1" thickBot="1">
      <c r="A364" s="70">
        <f t="shared" si="40"/>
        <v>344</v>
      </c>
      <c r="B364" s="85">
        <f t="shared" si="41"/>
        <v>0</v>
      </c>
      <c r="C364" s="85">
        <f t="shared" si="35"/>
        <v>0</v>
      </c>
      <c r="D364" s="85">
        <f t="shared" si="36"/>
        <v>0</v>
      </c>
      <c r="E364" s="86">
        <f t="shared" si="37"/>
        <v>0</v>
      </c>
      <c r="F364" s="85">
        <f t="shared" si="38"/>
        <v>0</v>
      </c>
      <c r="G364" s="65">
        <f t="shared" si="39"/>
        <v>0</v>
      </c>
    </row>
    <row r="365" spans="1:7" ht="13.5" hidden="1" thickBot="1">
      <c r="A365" s="70">
        <f t="shared" si="40"/>
        <v>345</v>
      </c>
      <c r="B365" s="85">
        <f t="shared" si="41"/>
        <v>0</v>
      </c>
      <c r="C365" s="85">
        <f t="shared" si="35"/>
        <v>0</v>
      </c>
      <c r="D365" s="85">
        <f t="shared" si="36"/>
        <v>0</v>
      </c>
      <c r="E365" s="86">
        <f t="shared" si="37"/>
        <v>0</v>
      </c>
      <c r="F365" s="85">
        <f t="shared" si="38"/>
        <v>0</v>
      </c>
      <c r="G365" s="65">
        <f t="shared" si="39"/>
        <v>0</v>
      </c>
    </row>
    <row r="366" spans="1:7" ht="13.5" hidden="1" thickBot="1">
      <c r="A366" s="70">
        <f t="shared" si="40"/>
        <v>346</v>
      </c>
      <c r="B366" s="85">
        <f t="shared" si="41"/>
        <v>0</v>
      </c>
      <c r="C366" s="85">
        <f t="shared" si="35"/>
        <v>0</v>
      </c>
      <c r="D366" s="85">
        <f t="shared" si="36"/>
        <v>0</v>
      </c>
      <c r="E366" s="86">
        <f t="shared" si="37"/>
        <v>0</v>
      </c>
      <c r="F366" s="85">
        <f t="shared" si="38"/>
        <v>0</v>
      </c>
      <c r="G366" s="65">
        <f t="shared" si="39"/>
        <v>0</v>
      </c>
    </row>
    <row r="367" spans="1:7" ht="13.5" hidden="1" thickBot="1">
      <c r="A367" s="70">
        <f t="shared" si="40"/>
        <v>347</v>
      </c>
      <c r="B367" s="85">
        <f t="shared" si="41"/>
        <v>0</v>
      </c>
      <c r="C367" s="85">
        <f t="shared" si="35"/>
        <v>0</v>
      </c>
      <c r="D367" s="85">
        <f t="shared" si="36"/>
        <v>0</v>
      </c>
      <c r="E367" s="86">
        <f t="shared" si="37"/>
        <v>0</v>
      </c>
      <c r="F367" s="85">
        <f t="shared" si="38"/>
        <v>0</v>
      </c>
      <c r="G367" s="65">
        <f t="shared" si="39"/>
        <v>0</v>
      </c>
    </row>
    <row r="368" spans="1:7" ht="13.5" hidden="1" thickBot="1">
      <c r="A368" s="70">
        <f t="shared" si="40"/>
        <v>348</v>
      </c>
      <c r="B368" s="85">
        <f t="shared" si="41"/>
        <v>0</v>
      </c>
      <c r="C368" s="85">
        <f t="shared" si="35"/>
        <v>0</v>
      </c>
      <c r="D368" s="85">
        <f t="shared" si="36"/>
        <v>0</v>
      </c>
      <c r="E368" s="86">
        <f t="shared" si="37"/>
        <v>0</v>
      </c>
      <c r="F368" s="85">
        <f t="shared" si="38"/>
        <v>0</v>
      </c>
      <c r="G368" s="65">
        <f t="shared" si="39"/>
        <v>0</v>
      </c>
    </row>
    <row r="369" spans="1:7" ht="13.5" hidden="1" thickBot="1">
      <c r="A369" s="70">
        <f t="shared" si="40"/>
        <v>349</v>
      </c>
      <c r="B369" s="85">
        <f t="shared" si="41"/>
        <v>0</v>
      </c>
      <c r="C369" s="85">
        <f t="shared" si="35"/>
        <v>0</v>
      </c>
      <c r="D369" s="85">
        <f t="shared" si="36"/>
        <v>0</v>
      </c>
      <c r="E369" s="86">
        <f t="shared" si="37"/>
        <v>0</v>
      </c>
      <c r="F369" s="85">
        <f t="shared" si="38"/>
        <v>0</v>
      </c>
      <c r="G369" s="65">
        <f t="shared" si="39"/>
        <v>0</v>
      </c>
    </row>
    <row r="370" spans="1:7" ht="13.5" hidden="1" thickBot="1">
      <c r="A370" s="70">
        <f t="shared" si="40"/>
        <v>350</v>
      </c>
      <c r="B370" s="85">
        <f t="shared" si="41"/>
        <v>0</v>
      </c>
      <c r="C370" s="85">
        <f t="shared" si="35"/>
        <v>0</v>
      </c>
      <c r="D370" s="85">
        <f t="shared" si="36"/>
        <v>0</v>
      </c>
      <c r="E370" s="86">
        <f t="shared" si="37"/>
        <v>0</v>
      </c>
      <c r="F370" s="85">
        <f t="shared" si="38"/>
        <v>0</v>
      </c>
      <c r="G370" s="65">
        <f t="shared" si="39"/>
        <v>0</v>
      </c>
    </row>
    <row r="371" spans="1:7" ht="13.5" hidden="1" thickBot="1">
      <c r="A371" s="70">
        <f t="shared" si="40"/>
        <v>351</v>
      </c>
      <c r="B371" s="85">
        <f t="shared" si="41"/>
        <v>0</v>
      </c>
      <c r="C371" s="85">
        <f t="shared" si="35"/>
        <v>0</v>
      </c>
      <c r="D371" s="85">
        <f t="shared" si="36"/>
        <v>0</v>
      </c>
      <c r="E371" s="86">
        <f t="shared" si="37"/>
        <v>0</v>
      </c>
      <c r="F371" s="85">
        <f t="shared" si="38"/>
        <v>0</v>
      </c>
      <c r="G371" s="65">
        <f t="shared" si="39"/>
        <v>0</v>
      </c>
    </row>
    <row r="372" spans="1:7" ht="13.5" hidden="1" thickBot="1">
      <c r="A372" s="70">
        <f t="shared" si="40"/>
        <v>352</v>
      </c>
      <c r="B372" s="85">
        <f t="shared" si="41"/>
        <v>0</v>
      </c>
      <c r="C372" s="85">
        <f t="shared" si="35"/>
        <v>0</v>
      </c>
      <c r="D372" s="85">
        <f t="shared" si="36"/>
        <v>0</v>
      </c>
      <c r="E372" s="86">
        <f t="shared" si="37"/>
        <v>0</v>
      </c>
      <c r="F372" s="85">
        <f t="shared" si="38"/>
        <v>0</v>
      </c>
      <c r="G372" s="65">
        <f t="shared" si="39"/>
        <v>0</v>
      </c>
    </row>
    <row r="373" spans="1:7" ht="13.5" hidden="1" thickBot="1">
      <c r="A373" s="70">
        <f t="shared" si="40"/>
        <v>353</v>
      </c>
      <c r="B373" s="85">
        <f t="shared" si="41"/>
        <v>0</v>
      </c>
      <c r="C373" s="85">
        <f t="shared" si="35"/>
        <v>0</v>
      </c>
      <c r="D373" s="85">
        <f t="shared" si="36"/>
        <v>0</v>
      </c>
      <c r="E373" s="86">
        <f t="shared" si="37"/>
        <v>0</v>
      </c>
      <c r="F373" s="85">
        <f t="shared" si="38"/>
        <v>0</v>
      </c>
      <c r="G373" s="65">
        <f t="shared" si="39"/>
        <v>0</v>
      </c>
    </row>
    <row r="374" spans="1:7" ht="13.5" hidden="1" thickBot="1">
      <c r="A374" s="70">
        <f t="shared" si="40"/>
        <v>354</v>
      </c>
      <c r="B374" s="85">
        <f t="shared" si="41"/>
        <v>0</v>
      </c>
      <c r="C374" s="85">
        <f t="shared" si="35"/>
        <v>0</v>
      </c>
      <c r="D374" s="85">
        <f t="shared" si="36"/>
        <v>0</v>
      </c>
      <c r="E374" s="86">
        <f t="shared" si="37"/>
        <v>0</v>
      </c>
      <c r="F374" s="85">
        <f t="shared" si="38"/>
        <v>0</v>
      </c>
      <c r="G374" s="65">
        <f t="shared" si="39"/>
        <v>0</v>
      </c>
    </row>
    <row r="375" spans="1:7" ht="13.5" hidden="1" thickBot="1">
      <c r="A375" s="70">
        <f t="shared" si="40"/>
        <v>355</v>
      </c>
      <c r="B375" s="85">
        <f t="shared" si="41"/>
        <v>0</v>
      </c>
      <c r="C375" s="85">
        <f t="shared" si="35"/>
        <v>0</v>
      </c>
      <c r="D375" s="85">
        <f t="shared" si="36"/>
        <v>0</v>
      </c>
      <c r="E375" s="86">
        <f t="shared" si="37"/>
        <v>0</v>
      </c>
      <c r="F375" s="85">
        <f t="shared" si="38"/>
        <v>0</v>
      </c>
      <c r="G375" s="65">
        <f t="shared" si="39"/>
        <v>0</v>
      </c>
    </row>
    <row r="376" spans="1:7" ht="13.5" hidden="1" thickBot="1">
      <c r="A376" s="70">
        <f t="shared" si="40"/>
        <v>356</v>
      </c>
      <c r="B376" s="85">
        <f t="shared" si="41"/>
        <v>0</v>
      </c>
      <c r="C376" s="85">
        <f t="shared" si="35"/>
        <v>0</v>
      </c>
      <c r="D376" s="85">
        <f t="shared" si="36"/>
        <v>0</v>
      </c>
      <c r="E376" s="86">
        <f t="shared" si="37"/>
        <v>0</v>
      </c>
      <c r="F376" s="85">
        <f t="shared" si="38"/>
        <v>0</v>
      </c>
      <c r="G376" s="65">
        <f t="shared" si="39"/>
        <v>0</v>
      </c>
    </row>
    <row r="377" spans="1:7" ht="13.5" hidden="1" thickBot="1">
      <c r="A377" s="70">
        <f t="shared" si="40"/>
        <v>357</v>
      </c>
      <c r="B377" s="85">
        <f t="shared" si="41"/>
        <v>0</v>
      </c>
      <c r="C377" s="85">
        <f t="shared" si="35"/>
        <v>0</v>
      </c>
      <c r="D377" s="85">
        <f t="shared" si="36"/>
        <v>0</v>
      </c>
      <c r="E377" s="86">
        <f t="shared" si="37"/>
        <v>0</v>
      </c>
      <c r="F377" s="85">
        <f t="shared" si="38"/>
        <v>0</v>
      </c>
      <c r="G377" s="65">
        <f t="shared" si="39"/>
        <v>0</v>
      </c>
    </row>
    <row r="378" spans="1:7" ht="13.5" hidden="1" thickBot="1">
      <c r="A378" s="70">
        <f t="shared" si="40"/>
        <v>358</v>
      </c>
      <c r="B378" s="85">
        <f t="shared" si="41"/>
        <v>0</v>
      </c>
      <c r="C378" s="85">
        <f t="shared" si="35"/>
        <v>0</v>
      </c>
      <c r="D378" s="85">
        <f t="shared" si="36"/>
        <v>0</v>
      </c>
      <c r="E378" s="86">
        <f t="shared" si="37"/>
        <v>0</v>
      </c>
      <c r="F378" s="85">
        <f t="shared" si="38"/>
        <v>0</v>
      </c>
      <c r="G378" s="65">
        <f t="shared" si="39"/>
        <v>0</v>
      </c>
    </row>
    <row r="379" spans="1:7" ht="13.5" hidden="1" thickBot="1">
      <c r="A379" s="70">
        <f t="shared" si="40"/>
        <v>359</v>
      </c>
      <c r="B379" s="85">
        <f t="shared" si="41"/>
        <v>0</v>
      </c>
      <c r="C379" s="85">
        <f t="shared" si="35"/>
        <v>0</v>
      </c>
      <c r="D379" s="85">
        <f t="shared" si="36"/>
        <v>0</v>
      </c>
      <c r="E379" s="86">
        <f t="shared" si="37"/>
        <v>0</v>
      </c>
      <c r="F379" s="85">
        <f t="shared" si="38"/>
        <v>0</v>
      </c>
      <c r="G379" s="65">
        <f t="shared" si="39"/>
        <v>0</v>
      </c>
    </row>
    <row r="380" spans="1:7" ht="13.5" hidden="1" thickBot="1">
      <c r="A380" s="70">
        <f t="shared" si="40"/>
        <v>360</v>
      </c>
      <c r="B380" s="85">
        <f t="shared" si="41"/>
        <v>0</v>
      </c>
      <c r="C380" s="85">
        <f t="shared" si="35"/>
        <v>0</v>
      </c>
      <c r="D380" s="85">
        <f t="shared" si="36"/>
        <v>0</v>
      </c>
      <c r="E380" s="86">
        <f t="shared" si="37"/>
        <v>0</v>
      </c>
      <c r="F380" s="85">
        <f t="shared" si="38"/>
        <v>0</v>
      </c>
      <c r="G380" s="65">
        <f t="shared" si="39"/>
        <v>0</v>
      </c>
    </row>
    <row r="381" spans="1:7" ht="13.5" thickBot="1">
      <c r="A381" s="87" t="s">
        <v>51</v>
      </c>
      <c r="B381" s="88"/>
      <c r="C381" s="88">
        <f>SUM(C21:C380)</f>
        <v>482448.88029253605</v>
      </c>
      <c r="D381" s="88">
        <f>SUM(D21:D380)</f>
        <v>482448.88029253605</v>
      </c>
      <c r="E381" s="88">
        <f>SUM(E21:E380)</f>
        <v>50448.880292535971</v>
      </c>
      <c r="F381" s="88">
        <f>SUM(F21:F380)</f>
        <v>432000.00000000006</v>
      </c>
      <c r="G381" s="89"/>
    </row>
    <row r="382" spans="1:7">
      <c r="A382" s="56"/>
      <c r="B382" s="85"/>
      <c r="C382" s="85"/>
      <c r="D382" s="85"/>
      <c r="E382" s="86"/>
      <c r="F382" s="85"/>
      <c r="G382" s="85"/>
    </row>
    <row r="383" spans="1:7">
      <c r="A383" s="56"/>
    </row>
    <row r="384" spans="1:7">
      <c r="A384" s="56"/>
    </row>
    <row r="385" spans="1:1">
      <c r="A385" s="56"/>
    </row>
    <row r="386" spans="1:1">
      <c r="A386" s="56"/>
    </row>
    <row r="387" spans="1:1">
      <c r="A387" s="56"/>
    </row>
  </sheetData>
  <mergeCells count="16">
    <mergeCell ref="A13:D13"/>
    <mergeCell ref="A16:C16"/>
    <mergeCell ref="E16:G16"/>
    <mergeCell ref="A17:D17"/>
    <mergeCell ref="A7:C7"/>
    <mergeCell ref="A8:C8"/>
    <mergeCell ref="A9:C9"/>
    <mergeCell ref="A10:C10"/>
    <mergeCell ref="A11:C11"/>
    <mergeCell ref="A12:C12"/>
    <mergeCell ref="A6:C6"/>
    <mergeCell ref="A1:G1"/>
    <mergeCell ref="A2:C2"/>
    <mergeCell ref="A3:C3"/>
    <mergeCell ref="A4:C4"/>
    <mergeCell ref="A5:C5"/>
  </mergeCells>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140" workbookViewId="0">
      <selection activeCell="C381" sqref="C381"/>
    </sheetView>
  </sheetViews>
  <sheetFormatPr defaultRowHeight="12.75"/>
  <cols>
    <col min="1" max="1" width="21.7109375" style="54" customWidth="1"/>
    <col min="2" max="2" width="5.28515625" style="54" customWidth="1"/>
    <col min="3" max="3" width="3.28515625" style="54" customWidth="1"/>
    <col min="4" max="4" width="19.7109375" style="54" customWidth="1"/>
    <col min="5" max="5" width="9.7109375" style="54" customWidth="1"/>
    <col min="6" max="6" width="4.28515625" style="54" customWidth="1"/>
    <col min="7" max="7" width="22" style="54" customWidth="1"/>
    <col min="8" max="16384" width="9.140625" style="54"/>
  </cols>
  <sheetData>
    <row r="1" spans="1:8" ht="50.25" customHeight="1">
      <c r="A1" s="340" t="s">
        <v>52</v>
      </c>
      <c r="B1" s="341"/>
      <c r="C1" s="341"/>
      <c r="D1" s="341"/>
      <c r="E1" s="341"/>
      <c r="F1" s="341"/>
      <c r="G1" s="341"/>
    </row>
    <row r="2" spans="1:8" ht="54.75" customHeight="1">
      <c r="A2" s="342" t="s">
        <v>53</v>
      </c>
      <c r="B2" s="342"/>
      <c r="C2" s="342"/>
      <c r="D2" s="342"/>
      <c r="E2" s="342"/>
      <c r="F2" s="342"/>
      <c r="G2" s="342"/>
    </row>
    <row r="3" spans="1:8" ht="20.25" customHeight="1">
      <c r="A3" s="340" t="s">
        <v>54</v>
      </c>
      <c r="B3" s="340"/>
      <c r="C3" s="340"/>
      <c r="D3" s="340"/>
      <c r="E3" s="340"/>
      <c r="F3" s="340"/>
      <c r="G3" s="340"/>
    </row>
    <row r="4" spans="1:8" ht="42" customHeight="1" thickBot="1">
      <c r="A4" s="343" t="s">
        <v>55</v>
      </c>
      <c r="B4" s="345" t="s">
        <v>56</v>
      </c>
      <c r="C4" s="90"/>
      <c r="D4" s="91" t="s">
        <v>57</v>
      </c>
      <c r="E4" s="92" t="s">
        <v>58</v>
      </c>
      <c r="F4" s="346" t="s">
        <v>59</v>
      </c>
      <c r="G4" s="347" t="s">
        <v>60</v>
      </c>
    </row>
    <row r="5" spans="1:8" ht="27.75" customHeight="1">
      <c r="A5" s="344"/>
      <c r="B5" s="345"/>
      <c r="C5" s="90"/>
      <c r="D5" s="348" t="s">
        <v>61</v>
      </c>
      <c r="E5" s="348"/>
      <c r="F5" s="346"/>
      <c r="G5" s="347"/>
    </row>
    <row r="6" spans="1:8" ht="39" customHeight="1" thickBot="1">
      <c r="A6" s="349">
        <f>'3.1 Effektiv rente annuitetslån'!D2</f>
        <v>432000</v>
      </c>
      <c r="B6" s="345" t="s">
        <v>56</v>
      </c>
      <c r="C6" s="90"/>
      <c r="D6" s="91" t="str">
        <f>CONCATENATE("1-(1+",D7,")")</f>
        <v>1-(1+0,0325)</v>
      </c>
      <c r="E6" s="93">
        <f>-'3.1 Effektiv rente annuitetslån'!D9</f>
        <v>-6</v>
      </c>
      <c r="F6" s="346" t="s">
        <v>59</v>
      </c>
      <c r="G6" s="347" t="s">
        <v>60</v>
      </c>
    </row>
    <row r="7" spans="1:8" ht="20.25" customHeight="1">
      <c r="A7" s="350"/>
      <c r="B7" s="345"/>
      <c r="C7" s="90"/>
      <c r="D7" s="351">
        <f>'3.1 Effektiv rente annuitetslån'!D10</f>
        <v>3.2500000000000001E-2</v>
      </c>
      <c r="E7" s="351"/>
      <c r="F7" s="346"/>
      <c r="G7" s="347"/>
    </row>
    <row r="8" spans="1:8" ht="30" customHeight="1">
      <c r="A8" s="94">
        <f>A6</f>
        <v>432000</v>
      </c>
      <c r="B8" s="90" t="s">
        <v>56</v>
      </c>
      <c r="C8" s="90"/>
      <c r="D8" s="339">
        <f>ROUNDUP(A6/'3.1 Effektiv rente annuitetslån'!D11*-1,6)</f>
        <v>5.3725899999999998</v>
      </c>
      <c r="E8" s="339"/>
      <c r="F8" s="95" t="s">
        <v>59</v>
      </c>
      <c r="G8" s="96" t="s">
        <v>60</v>
      </c>
    </row>
    <row r="9" spans="1:8" ht="33.75" customHeight="1">
      <c r="A9" s="97" t="s">
        <v>60</v>
      </c>
      <c r="B9" s="90" t="s">
        <v>56</v>
      </c>
      <c r="C9" s="90"/>
      <c r="D9" s="98">
        <f>'3.1 Effektiv rente annuitetslån'!D11*-1</f>
        <v>80408.14671542267</v>
      </c>
      <c r="E9" s="98"/>
      <c r="F9" s="98"/>
      <c r="G9" s="98"/>
    </row>
    <row r="10" spans="1:8" ht="23.25" customHeight="1">
      <c r="A10" s="352" t="s">
        <v>62</v>
      </c>
      <c r="B10" s="352"/>
      <c r="C10" s="352"/>
      <c r="D10" s="352"/>
      <c r="E10" s="352"/>
      <c r="F10" s="352"/>
      <c r="G10" s="352"/>
    </row>
    <row r="11" spans="1:8" ht="42" customHeight="1" thickBot="1">
      <c r="A11" s="353" t="s">
        <v>63</v>
      </c>
      <c r="B11" s="345" t="s">
        <v>56</v>
      </c>
      <c r="C11" s="90"/>
      <c r="D11" s="91" t="s">
        <v>57</v>
      </c>
      <c r="E11" s="92" t="s">
        <v>58</v>
      </c>
      <c r="F11" s="346" t="s">
        <v>59</v>
      </c>
      <c r="G11" s="347" t="str">
        <f>IF('3.1 Effektiv rente annuitetslån'!D12=0,"b","b+gebyr")</f>
        <v>b</v>
      </c>
      <c r="H11" s="99"/>
    </row>
    <row r="12" spans="1:8" ht="21.6" customHeight="1">
      <c r="A12" s="350"/>
      <c r="B12" s="345"/>
      <c r="C12" s="90"/>
      <c r="D12" s="348" t="s">
        <v>61</v>
      </c>
      <c r="E12" s="348"/>
      <c r="F12" s="346"/>
      <c r="G12" s="347"/>
      <c r="H12" s="99"/>
    </row>
    <row r="13" spans="1:8" ht="21.6" customHeight="1">
      <c r="A13" s="354" t="s">
        <v>64</v>
      </c>
      <c r="B13" s="354"/>
      <c r="C13" s="354"/>
      <c r="D13" s="354"/>
      <c r="E13" s="354"/>
      <c r="F13" s="354"/>
      <c r="G13" s="354"/>
    </row>
    <row r="14" spans="1:8" ht="27.75" thickBot="1">
      <c r="A14" s="355">
        <f>'3.1 Effektiv rente annuitetslån'!D5</f>
        <v>417000</v>
      </c>
      <c r="B14" s="345" t="s">
        <v>56</v>
      </c>
      <c r="C14" s="90"/>
      <c r="D14" s="91" t="str">
        <f>D11</f>
        <v>1-(1+ r)</v>
      </c>
      <c r="E14" s="100">
        <f>-'3.1 Effektiv rente annuitetslån'!D9</f>
        <v>-6</v>
      </c>
      <c r="F14" s="356" t="str">
        <f>F11</f>
        <v>*</v>
      </c>
      <c r="G14" s="358">
        <f>('3.1 Effektiv rente annuitetslån'!D11-'3.1 Effektiv rente annuitetslån'!D12)*-1</f>
        <v>80408.14671542267</v>
      </c>
    </row>
    <row r="15" spans="1:8" ht="27">
      <c r="A15" s="355"/>
      <c r="B15" s="345"/>
      <c r="C15" s="90"/>
      <c r="D15" s="348" t="str">
        <f>D12</f>
        <v>r</v>
      </c>
      <c r="E15" s="348"/>
      <c r="F15" s="357"/>
      <c r="G15" s="358"/>
    </row>
    <row r="16" spans="1:8" ht="15.75">
      <c r="A16" s="360" t="s">
        <v>65</v>
      </c>
      <c r="B16" s="360"/>
      <c r="C16" s="360"/>
      <c r="D16" s="360"/>
      <c r="E16" s="360"/>
      <c r="F16" s="360"/>
      <c r="G16" s="360"/>
    </row>
    <row r="17" spans="1:7" ht="38.450000000000003" customHeight="1" thickBot="1">
      <c r="A17" s="361">
        <f>A14/G14</f>
        <v>5.1860416765459085</v>
      </c>
      <c r="B17" s="362" t="str">
        <f>B14</f>
        <v>=</v>
      </c>
      <c r="C17" s="101"/>
      <c r="D17" s="91" t="str">
        <f>D14</f>
        <v>1-(1+ r)</v>
      </c>
      <c r="E17" s="100">
        <f>E14</f>
        <v>-6</v>
      </c>
    </row>
    <row r="18" spans="1:7" ht="31.9" customHeight="1">
      <c r="A18" s="361"/>
      <c r="B18" s="362"/>
      <c r="C18" s="101"/>
      <c r="D18" s="363" t="str">
        <f>D15</f>
        <v>r</v>
      </c>
      <c r="E18" s="363"/>
    </row>
    <row r="19" spans="1:7" ht="15.75">
      <c r="A19" s="360" t="s">
        <v>66</v>
      </c>
      <c r="B19" s="360"/>
      <c r="C19" s="360"/>
      <c r="D19" s="360"/>
      <c r="E19" s="360"/>
      <c r="F19" s="360"/>
      <c r="G19" s="360"/>
    </row>
    <row r="20" spans="1:7" ht="27">
      <c r="A20" s="102" t="str">
        <f>D18</f>
        <v>r</v>
      </c>
      <c r="B20" s="103" t="str">
        <f>B17</f>
        <v>=</v>
      </c>
      <c r="C20" s="103"/>
      <c r="D20" s="104">
        <f>RATE('3.1 Effektiv rente annuitetslån'!D9,'3.1 Effektiv rente annuitetslån'!D14,'3.1 Effektiv rente annuitetslån'!D5)</f>
        <v>4.3314509399579787E-2</v>
      </c>
    </row>
    <row r="21" spans="1:7" ht="15.75">
      <c r="A21" s="360" t="s">
        <v>67</v>
      </c>
      <c r="B21" s="360"/>
      <c r="C21" s="360"/>
      <c r="D21" s="360"/>
      <c r="E21" s="360"/>
      <c r="F21" s="360"/>
      <c r="G21" s="360"/>
    </row>
    <row r="22" spans="1:7" ht="28.5" thickBot="1">
      <c r="A22" s="105" t="str">
        <f>A20</f>
        <v>r</v>
      </c>
      <c r="B22" s="106" t="str">
        <f>B20</f>
        <v>=</v>
      </c>
      <c r="C22" s="106"/>
      <c r="D22" s="107">
        <f>D20</f>
        <v>4.3314509399579787E-2</v>
      </c>
      <c r="E22" s="364" t="str">
        <f>IF('3.1 Effektiv rente annuitetslån'!D8=1,"Årlig rente"," ")</f>
        <v>Årlig rente</v>
      </c>
      <c r="F22" s="364"/>
      <c r="G22" s="364"/>
    </row>
    <row r="23" spans="1:7" ht="13.5" thickTop="1"/>
    <row r="24" spans="1:7" ht="18.600000000000001" customHeight="1">
      <c r="A24" s="360" t="str">
        <f>IF('3.1 Effektiv rente annuitetslån'!D8=1," ",CONCATENATE("Da terminerne på lånet er ",'3.1 Effektiv rente annuitetslån'!D8," gange pr. år skal følgende beregning foretages:"))</f>
        <v xml:space="preserve"> </v>
      </c>
      <c r="B24" s="360"/>
      <c r="C24" s="360"/>
      <c r="D24" s="360"/>
      <c r="E24" s="360"/>
      <c r="F24" s="360"/>
      <c r="G24" s="360"/>
    </row>
    <row r="25" spans="1:7" ht="21">
      <c r="A25" s="108" t="str">
        <f>IF('3.1 Effektiv rente annuitetslån'!$D$8=1,"","(1+r)")</f>
        <v/>
      </c>
      <c r="B25" s="109" t="str">
        <f>IF('3.1 Effektiv rente annuitetslån'!D8=1,"",'3.1 Effektiv rente annuitetslån'!D8)</f>
        <v/>
      </c>
      <c r="C25" s="108" t="str">
        <f>IF('3.1 Effektiv rente annuitetslån'!$D$8=1,"","-1")</f>
        <v/>
      </c>
      <c r="D25" s="110" t="str">
        <f>IF('3.1 Effektiv rente annuitetslån'!$D$8=1,"",CONCATENATE("="," Årlig rente"))</f>
        <v/>
      </c>
      <c r="E25" s="110"/>
      <c r="F25" s="110"/>
      <c r="G25" s="110"/>
    </row>
    <row r="26" spans="1:7" ht="22.15" customHeight="1">
      <c r="A26" s="365" t="str">
        <f>IF('3.1 Effektiv rente annuitetslån'!$D$8=1,"","Ved at indsætte fås:")</f>
        <v/>
      </c>
      <c r="B26" s="365"/>
      <c r="C26" s="365"/>
      <c r="D26" s="365"/>
      <c r="E26" s="365"/>
      <c r="F26" s="365"/>
      <c r="G26" s="365"/>
    </row>
    <row r="27" spans="1:7" ht="33" customHeight="1">
      <c r="A27" s="111" t="str">
        <f>IF('3.1 Effektiv rente annuitetslån'!D8=1,"",CONCATENATE("(1+",ROUND(D20,4),")"))</f>
        <v/>
      </c>
      <c r="B27" s="112" t="str">
        <f>B25</f>
        <v/>
      </c>
      <c r="C27" s="108" t="str">
        <f>IF('3.1 Effektiv rente annuitetslån'!$D$8=1,"","-1")</f>
        <v/>
      </c>
      <c r="D27" s="110" t="str">
        <f>D25</f>
        <v/>
      </c>
      <c r="E27" s="110"/>
      <c r="F27" s="110"/>
      <c r="G27" s="110"/>
    </row>
    <row r="28" spans="1:7" ht="33.6" customHeight="1">
      <c r="A28" s="366" t="str">
        <f>IF('3.1 Effektiv rente annuitetslån'!D8=1,"",'3.1 Effektiv rente annuitetslån'!D16)</f>
        <v/>
      </c>
      <c r="B28" s="366"/>
      <c r="C28" s="366"/>
      <c r="D28" s="110" t="str">
        <f>D27</f>
        <v/>
      </c>
      <c r="E28" s="113"/>
      <c r="G28" s="114"/>
    </row>
    <row r="29" spans="1:7" ht="15.75">
      <c r="A29" s="367" t="str">
        <f>IF('3.1 Effektiv rente annuitetslån'!D8=1,"","Eller udtrykt i procent:")</f>
        <v/>
      </c>
      <c r="B29" s="367"/>
      <c r="C29" s="367"/>
      <c r="D29" s="367"/>
      <c r="E29" s="367"/>
      <c r="F29" s="367"/>
      <c r="G29" s="367"/>
    </row>
    <row r="30" spans="1:7" ht="21" customHeight="1">
      <c r="A30" s="359" t="str">
        <f>IF('3.1 Effektiv rente annuitetslån'!$D$8=1,"",CONCATENATE("Årlig rente = ",ROUND('3.1 Effektiv rente annuitetslån'!D16*100,2),"%"))</f>
        <v/>
      </c>
      <c r="B30" s="359"/>
      <c r="C30" s="359"/>
      <c r="D30" s="359"/>
    </row>
  </sheetData>
  <mergeCells count="38">
    <mergeCell ref="A30:D30"/>
    <mergeCell ref="A16:G16"/>
    <mergeCell ref="A17:A18"/>
    <mergeCell ref="B17:B18"/>
    <mergeCell ref="D18:E18"/>
    <mergeCell ref="A19:G19"/>
    <mergeCell ref="A21:G21"/>
    <mergeCell ref="E22:G22"/>
    <mergeCell ref="A24:G24"/>
    <mergeCell ref="A26:G26"/>
    <mergeCell ref="A28:C28"/>
    <mergeCell ref="A29:G29"/>
    <mergeCell ref="A13:G13"/>
    <mergeCell ref="A14:A15"/>
    <mergeCell ref="B14:B15"/>
    <mergeCell ref="F14:F15"/>
    <mergeCell ref="G14:G15"/>
    <mergeCell ref="D15:E15"/>
    <mergeCell ref="A10:G10"/>
    <mergeCell ref="A11:A12"/>
    <mergeCell ref="B11:B12"/>
    <mergeCell ref="F11:F12"/>
    <mergeCell ref="G11:G12"/>
    <mergeCell ref="D12:E12"/>
    <mergeCell ref="D8:E8"/>
    <mergeCell ref="A1:G1"/>
    <mergeCell ref="A2:G2"/>
    <mergeCell ref="A3:G3"/>
    <mergeCell ref="A4:A5"/>
    <mergeCell ref="B4:B5"/>
    <mergeCell ref="F4:F5"/>
    <mergeCell ref="G4:G5"/>
    <mergeCell ref="D5:E5"/>
    <mergeCell ref="A6:A7"/>
    <mergeCell ref="B6:B7"/>
    <mergeCell ref="F6:F7"/>
    <mergeCell ref="G6:G7"/>
    <mergeCell ref="D7:E7"/>
  </mergeCells>
  <pageMargins left="0.75" right="0.75" top="1" bottom="1" header="0" footer="0"/>
  <pageSetup paperSize="9" scale="8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K395"/>
  <sheetViews>
    <sheetView zoomScaleNormal="100" workbookViewId="0">
      <selection activeCell="E382" sqref="E382"/>
    </sheetView>
  </sheetViews>
  <sheetFormatPr defaultRowHeight="12.75"/>
  <cols>
    <col min="1" max="1" width="6" style="54" customWidth="1"/>
    <col min="2" max="2" width="14.5703125" style="54" customWidth="1"/>
    <col min="3" max="3" width="16.140625" style="54" customWidth="1"/>
    <col min="4" max="4" width="13.42578125" style="54" customWidth="1"/>
    <col min="5" max="5" width="11.7109375" style="54" customWidth="1"/>
    <col min="6" max="6" width="12.140625" style="54" customWidth="1"/>
    <col min="7" max="7" width="14.28515625" style="54" customWidth="1"/>
    <col min="8" max="16384" width="9.140625" style="54"/>
  </cols>
  <sheetData>
    <row r="1" spans="1:11" ht="27" thickBot="1">
      <c r="A1" s="325" t="s">
        <v>120</v>
      </c>
      <c r="B1" s="326"/>
      <c r="C1" s="326"/>
      <c r="D1" s="326"/>
      <c r="E1" s="326"/>
      <c r="F1" s="326"/>
      <c r="G1" s="327"/>
    </row>
    <row r="2" spans="1:11">
      <c r="A2" s="328" t="s">
        <v>68</v>
      </c>
      <c r="B2" s="329"/>
      <c r="C2" s="329"/>
      <c r="D2" s="115">
        <v>432000</v>
      </c>
      <c r="E2" s="56"/>
      <c r="F2" s="56"/>
      <c r="G2" s="57"/>
    </row>
    <row r="3" spans="1:11" hidden="1">
      <c r="A3" s="66" t="s">
        <v>69</v>
      </c>
      <c r="B3" s="67"/>
      <c r="C3" s="67"/>
      <c r="D3" s="116">
        <f>D2*-1</f>
        <v>-432000</v>
      </c>
      <c r="E3" s="56"/>
      <c r="F3" s="56"/>
      <c r="G3" s="57"/>
    </row>
    <row r="4" spans="1:11">
      <c r="A4" s="323" t="s">
        <v>32</v>
      </c>
      <c r="B4" s="324"/>
      <c r="C4" s="324"/>
      <c r="D4" s="117">
        <v>98</v>
      </c>
      <c r="E4" s="56"/>
      <c r="F4" s="56"/>
      <c r="G4" s="57"/>
    </row>
    <row r="5" spans="1:11">
      <c r="A5" s="323" t="s">
        <v>70</v>
      </c>
      <c r="B5" s="324"/>
      <c r="C5" s="324"/>
      <c r="D5" s="118">
        <v>6300</v>
      </c>
      <c r="E5" s="56"/>
      <c r="F5" s="56"/>
      <c r="G5" s="57"/>
    </row>
    <row r="6" spans="1:11" ht="13.5" thickBot="1">
      <c r="A6" s="323" t="s">
        <v>34</v>
      </c>
      <c r="B6" s="324"/>
      <c r="C6" s="324"/>
      <c r="D6" s="119">
        <f>(D2*(D4/100))-D5</f>
        <v>417060</v>
      </c>
      <c r="E6" s="56"/>
      <c r="F6" s="56"/>
      <c r="G6" s="57"/>
    </row>
    <row r="7" spans="1:11" ht="13.5" thickTop="1">
      <c r="A7" s="333" t="s">
        <v>35</v>
      </c>
      <c r="B7" s="334"/>
      <c r="C7" s="334"/>
      <c r="D7" s="120">
        <v>2.75E-2</v>
      </c>
      <c r="E7" s="56"/>
      <c r="F7" s="56"/>
      <c r="G7" s="57"/>
    </row>
    <row r="8" spans="1:11">
      <c r="A8" s="323" t="s">
        <v>36</v>
      </c>
      <c r="B8" s="324"/>
      <c r="C8" s="324"/>
      <c r="D8" s="116">
        <v>6</v>
      </c>
      <c r="E8" s="56"/>
      <c r="F8" s="56"/>
      <c r="G8" s="57"/>
    </row>
    <row r="9" spans="1:11">
      <c r="A9" s="323" t="s">
        <v>37</v>
      </c>
      <c r="B9" s="324"/>
      <c r="C9" s="324"/>
      <c r="D9" s="116">
        <v>1</v>
      </c>
      <c r="E9" s="56"/>
      <c r="F9" s="56"/>
      <c r="G9" s="57"/>
    </row>
    <row r="10" spans="1:11">
      <c r="A10" s="323" t="s">
        <v>71</v>
      </c>
      <c r="B10" s="324"/>
      <c r="C10" s="324"/>
      <c r="D10" s="121">
        <f>D8*D9</f>
        <v>6</v>
      </c>
      <c r="E10" s="56"/>
      <c r="F10" s="56"/>
      <c r="G10" s="57"/>
    </row>
    <row r="11" spans="1:11">
      <c r="A11" s="323" t="s">
        <v>39</v>
      </c>
      <c r="B11" s="324"/>
      <c r="C11" s="324"/>
      <c r="D11" s="64">
        <f>D7/D9</f>
        <v>2.75E-2</v>
      </c>
      <c r="E11" s="56"/>
      <c r="F11" s="56"/>
      <c r="G11" s="57"/>
    </row>
    <row r="12" spans="1:11">
      <c r="A12" s="323" t="s">
        <v>49</v>
      </c>
      <c r="B12" s="324"/>
      <c r="C12" s="324"/>
      <c r="D12" s="65">
        <f>D3/D10</f>
        <v>-72000</v>
      </c>
      <c r="E12" s="66" t="s">
        <v>72</v>
      </c>
      <c r="F12" s="67"/>
      <c r="G12" s="68"/>
    </row>
    <row r="13" spans="1:11" hidden="1">
      <c r="A13" s="323" t="s">
        <v>42</v>
      </c>
      <c r="B13" s="324"/>
      <c r="C13" s="324"/>
      <c r="D13" s="118">
        <v>0</v>
      </c>
      <c r="E13" s="56"/>
      <c r="F13" s="56"/>
      <c r="G13" s="57"/>
    </row>
    <row r="14" spans="1:11">
      <c r="A14" s="330"/>
      <c r="B14" s="331"/>
      <c r="C14" s="331"/>
      <c r="D14" s="332"/>
      <c r="E14" s="56"/>
      <c r="F14" s="56"/>
      <c r="G14" s="57"/>
    </row>
    <row r="15" spans="1:11" ht="18">
      <c r="A15" s="333" t="s">
        <v>73</v>
      </c>
      <c r="B15" s="334"/>
      <c r="C15" s="334"/>
      <c r="D15" s="122">
        <f>(POWER(IRR(C20:C380)+1,D9)-1)</f>
        <v>3.8408616856107747E-2</v>
      </c>
      <c r="E15" s="123" t="str">
        <f>E12</f>
        <v>(Beregning: se note til serielån)</v>
      </c>
      <c r="F15" s="124"/>
      <c r="G15" s="125"/>
      <c r="H15" s="72"/>
      <c r="I15" s="72"/>
      <c r="J15" s="72"/>
      <c r="K15" s="72"/>
    </row>
    <row r="16" spans="1:11" ht="13.5" thickBot="1">
      <c r="A16" s="336"/>
      <c r="B16" s="337"/>
      <c r="C16" s="337"/>
      <c r="D16" s="338"/>
      <c r="E16" s="73"/>
      <c r="F16" s="73"/>
      <c r="G16" s="74"/>
      <c r="H16" s="72"/>
      <c r="I16" s="72"/>
      <c r="J16" s="72"/>
      <c r="K16" s="72"/>
    </row>
    <row r="17" spans="1:11" ht="13.5" thickBot="1">
      <c r="A17" s="75"/>
      <c r="B17" s="126"/>
      <c r="C17" s="126"/>
      <c r="D17" s="77"/>
      <c r="E17" s="77"/>
      <c r="F17" s="77"/>
      <c r="G17" s="78"/>
      <c r="H17" s="72"/>
      <c r="I17" s="72"/>
      <c r="J17" s="72"/>
      <c r="K17" s="72"/>
    </row>
    <row r="18" spans="1:11">
      <c r="A18" s="127" t="str">
        <f>CONCATENATE("Amortisationstabel for serielån (",D10," terminer)")</f>
        <v>Amortisationstabel for serielån (6 terminer)</v>
      </c>
      <c r="B18" s="128"/>
      <c r="C18" s="128"/>
      <c r="D18" s="128"/>
      <c r="E18" s="128"/>
      <c r="F18" s="128"/>
      <c r="G18" s="129"/>
      <c r="H18" s="72"/>
      <c r="I18" s="72"/>
      <c r="J18" s="72"/>
      <c r="K18" s="72"/>
    </row>
    <row r="19" spans="1:11">
      <c r="A19" s="130" t="s">
        <v>44</v>
      </c>
      <c r="B19" s="73" t="s">
        <v>45</v>
      </c>
      <c r="C19" s="73" t="s">
        <v>74</v>
      </c>
      <c r="D19" s="131" t="s">
        <v>75</v>
      </c>
      <c r="E19" s="73" t="s">
        <v>48</v>
      </c>
      <c r="F19" s="73" t="s">
        <v>49</v>
      </c>
      <c r="G19" s="74" t="s">
        <v>50</v>
      </c>
      <c r="H19" s="72"/>
      <c r="I19" s="72"/>
      <c r="J19" s="72"/>
      <c r="K19" s="72"/>
    </row>
    <row r="20" spans="1:11">
      <c r="A20" s="130"/>
      <c r="B20" s="132"/>
      <c r="C20" s="132">
        <f>D20</f>
        <v>-417060</v>
      </c>
      <c r="D20" s="132">
        <f>D6*-1</f>
        <v>-417060</v>
      </c>
      <c r="E20" s="132"/>
      <c r="F20" s="132"/>
      <c r="G20" s="133"/>
      <c r="H20" s="72"/>
      <c r="I20" s="72"/>
      <c r="J20" s="72"/>
      <c r="K20" s="72"/>
    </row>
    <row r="21" spans="1:11">
      <c r="A21" s="130">
        <v>1</v>
      </c>
      <c r="B21" s="132">
        <f>D2</f>
        <v>432000</v>
      </c>
      <c r="C21" s="132">
        <f t="shared" ref="C21:C84" si="0">IF(A21&lt;=$D$10,D21+$D$13,0)</f>
        <v>83880</v>
      </c>
      <c r="D21" s="132">
        <f t="shared" ref="D21:D84" si="1">E21+F21</f>
        <v>83880</v>
      </c>
      <c r="E21" s="132">
        <f t="shared" ref="E21:E84" si="2">B21*$D$11</f>
        <v>11880</v>
      </c>
      <c r="F21" s="85">
        <f t="shared" ref="F21:F84" si="3">IF(A21&lt;=$D$10,$D$12*-1,0)</f>
        <v>72000</v>
      </c>
      <c r="G21" s="133">
        <f t="shared" ref="G21:G84" si="4">B21-F21</f>
        <v>360000</v>
      </c>
      <c r="H21" s="72"/>
      <c r="I21" s="72"/>
      <c r="J21" s="72"/>
      <c r="K21" s="72"/>
    </row>
    <row r="22" spans="1:11">
      <c r="A22" s="70">
        <f t="shared" ref="A22:A85" si="5">A21+1</f>
        <v>2</v>
      </c>
      <c r="B22" s="85">
        <f t="shared" ref="B22:B85" si="6">B21-F21</f>
        <v>360000</v>
      </c>
      <c r="C22" s="132">
        <f t="shared" si="0"/>
        <v>81900</v>
      </c>
      <c r="D22" s="132">
        <f t="shared" si="1"/>
        <v>81900</v>
      </c>
      <c r="E22" s="132">
        <f t="shared" si="2"/>
        <v>9900</v>
      </c>
      <c r="F22" s="85">
        <f t="shared" si="3"/>
        <v>72000</v>
      </c>
      <c r="G22" s="133">
        <f t="shared" si="4"/>
        <v>288000</v>
      </c>
    </row>
    <row r="23" spans="1:11">
      <c r="A23" s="70">
        <f t="shared" si="5"/>
        <v>3</v>
      </c>
      <c r="B23" s="85">
        <f t="shared" si="6"/>
        <v>288000</v>
      </c>
      <c r="C23" s="132">
        <f t="shared" si="0"/>
        <v>79920</v>
      </c>
      <c r="D23" s="132">
        <f t="shared" si="1"/>
        <v>79920</v>
      </c>
      <c r="E23" s="132">
        <f t="shared" si="2"/>
        <v>7920</v>
      </c>
      <c r="F23" s="85">
        <f t="shared" si="3"/>
        <v>72000</v>
      </c>
      <c r="G23" s="133">
        <f t="shared" si="4"/>
        <v>216000</v>
      </c>
    </row>
    <row r="24" spans="1:11">
      <c r="A24" s="70">
        <f t="shared" si="5"/>
        <v>4</v>
      </c>
      <c r="B24" s="85">
        <f t="shared" si="6"/>
        <v>216000</v>
      </c>
      <c r="C24" s="132">
        <f t="shared" si="0"/>
        <v>77940</v>
      </c>
      <c r="D24" s="132">
        <f t="shared" si="1"/>
        <v>77940</v>
      </c>
      <c r="E24" s="132">
        <f t="shared" si="2"/>
        <v>5940</v>
      </c>
      <c r="F24" s="85">
        <f t="shared" si="3"/>
        <v>72000</v>
      </c>
      <c r="G24" s="133">
        <f t="shared" si="4"/>
        <v>144000</v>
      </c>
    </row>
    <row r="25" spans="1:11">
      <c r="A25" s="70">
        <f t="shared" si="5"/>
        <v>5</v>
      </c>
      <c r="B25" s="85">
        <f t="shared" si="6"/>
        <v>144000</v>
      </c>
      <c r="C25" s="132">
        <f t="shared" si="0"/>
        <v>75960</v>
      </c>
      <c r="D25" s="132">
        <f t="shared" si="1"/>
        <v>75960</v>
      </c>
      <c r="E25" s="132">
        <f t="shared" si="2"/>
        <v>3960</v>
      </c>
      <c r="F25" s="85">
        <f t="shared" si="3"/>
        <v>72000</v>
      </c>
      <c r="G25" s="133">
        <f t="shared" si="4"/>
        <v>72000</v>
      </c>
    </row>
    <row r="26" spans="1:11" ht="13.5" thickBot="1">
      <c r="A26" s="70">
        <f t="shared" si="5"/>
        <v>6</v>
      </c>
      <c r="B26" s="85">
        <f t="shared" si="6"/>
        <v>72000</v>
      </c>
      <c r="C26" s="132">
        <f t="shared" si="0"/>
        <v>73980</v>
      </c>
      <c r="D26" s="132">
        <f t="shared" si="1"/>
        <v>73980</v>
      </c>
      <c r="E26" s="132">
        <f t="shared" si="2"/>
        <v>1980</v>
      </c>
      <c r="F26" s="85">
        <f t="shared" si="3"/>
        <v>72000</v>
      </c>
      <c r="G26" s="133">
        <f t="shared" si="4"/>
        <v>0</v>
      </c>
    </row>
    <row r="27" spans="1:11" ht="13.5" hidden="1" thickBot="1">
      <c r="A27" s="70">
        <f t="shared" si="5"/>
        <v>7</v>
      </c>
      <c r="B27" s="85">
        <f t="shared" si="6"/>
        <v>0</v>
      </c>
      <c r="C27" s="132">
        <f t="shared" si="0"/>
        <v>0</v>
      </c>
      <c r="D27" s="132">
        <f t="shared" si="1"/>
        <v>0</v>
      </c>
      <c r="E27" s="132">
        <f t="shared" si="2"/>
        <v>0</v>
      </c>
      <c r="F27" s="85">
        <f t="shared" si="3"/>
        <v>0</v>
      </c>
      <c r="G27" s="133">
        <f t="shared" si="4"/>
        <v>0</v>
      </c>
    </row>
    <row r="28" spans="1:11" ht="13.5" hidden="1" thickBot="1">
      <c r="A28" s="70">
        <f t="shared" si="5"/>
        <v>8</v>
      </c>
      <c r="B28" s="85">
        <f t="shared" si="6"/>
        <v>0</v>
      </c>
      <c r="C28" s="132">
        <f t="shared" si="0"/>
        <v>0</v>
      </c>
      <c r="D28" s="132">
        <f t="shared" si="1"/>
        <v>0</v>
      </c>
      <c r="E28" s="132">
        <f t="shared" si="2"/>
        <v>0</v>
      </c>
      <c r="F28" s="85">
        <f t="shared" si="3"/>
        <v>0</v>
      </c>
      <c r="G28" s="133">
        <f t="shared" si="4"/>
        <v>0</v>
      </c>
    </row>
    <row r="29" spans="1:11" ht="13.5" hidden="1" thickBot="1">
      <c r="A29" s="70">
        <f t="shared" si="5"/>
        <v>9</v>
      </c>
      <c r="B29" s="85">
        <f t="shared" si="6"/>
        <v>0</v>
      </c>
      <c r="C29" s="132">
        <f t="shared" si="0"/>
        <v>0</v>
      </c>
      <c r="D29" s="132">
        <f t="shared" si="1"/>
        <v>0</v>
      </c>
      <c r="E29" s="132">
        <f t="shared" si="2"/>
        <v>0</v>
      </c>
      <c r="F29" s="85">
        <f t="shared" si="3"/>
        <v>0</v>
      </c>
      <c r="G29" s="133">
        <f t="shared" si="4"/>
        <v>0</v>
      </c>
    </row>
    <row r="30" spans="1:11" ht="13.5" hidden="1" thickBot="1">
      <c r="A30" s="70">
        <f t="shared" si="5"/>
        <v>10</v>
      </c>
      <c r="B30" s="85">
        <f t="shared" si="6"/>
        <v>0</v>
      </c>
      <c r="C30" s="132">
        <f t="shared" si="0"/>
        <v>0</v>
      </c>
      <c r="D30" s="132">
        <f t="shared" si="1"/>
        <v>0</v>
      </c>
      <c r="E30" s="132">
        <f t="shared" si="2"/>
        <v>0</v>
      </c>
      <c r="F30" s="85">
        <f t="shared" si="3"/>
        <v>0</v>
      </c>
      <c r="G30" s="133">
        <f t="shared" si="4"/>
        <v>0</v>
      </c>
    </row>
    <row r="31" spans="1:11" ht="13.5" hidden="1" thickBot="1">
      <c r="A31" s="70">
        <f t="shared" si="5"/>
        <v>11</v>
      </c>
      <c r="B31" s="85">
        <f t="shared" si="6"/>
        <v>0</v>
      </c>
      <c r="C31" s="132">
        <f t="shared" si="0"/>
        <v>0</v>
      </c>
      <c r="D31" s="132">
        <f t="shared" si="1"/>
        <v>0</v>
      </c>
      <c r="E31" s="132">
        <f t="shared" si="2"/>
        <v>0</v>
      </c>
      <c r="F31" s="85">
        <f t="shared" si="3"/>
        <v>0</v>
      </c>
      <c r="G31" s="133">
        <f t="shared" si="4"/>
        <v>0</v>
      </c>
    </row>
    <row r="32" spans="1:11" ht="13.5" hidden="1" thickBot="1">
      <c r="A32" s="70">
        <f t="shared" si="5"/>
        <v>12</v>
      </c>
      <c r="B32" s="85">
        <f t="shared" si="6"/>
        <v>0</v>
      </c>
      <c r="C32" s="132">
        <f t="shared" si="0"/>
        <v>0</v>
      </c>
      <c r="D32" s="132">
        <f t="shared" si="1"/>
        <v>0</v>
      </c>
      <c r="E32" s="132">
        <f t="shared" si="2"/>
        <v>0</v>
      </c>
      <c r="F32" s="85">
        <f t="shared" si="3"/>
        <v>0</v>
      </c>
      <c r="G32" s="133">
        <f t="shared" si="4"/>
        <v>0</v>
      </c>
    </row>
    <row r="33" spans="1:7" ht="13.5" hidden="1" thickBot="1">
      <c r="A33" s="70">
        <f t="shared" si="5"/>
        <v>13</v>
      </c>
      <c r="B33" s="85">
        <f t="shared" si="6"/>
        <v>0</v>
      </c>
      <c r="C33" s="132">
        <f t="shared" si="0"/>
        <v>0</v>
      </c>
      <c r="D33" s="132">
        <f t="shared" si="1"/>
        <v>0</v>
      </c>
      <c r="E33" s="132">
        <f t="shared" si="2"/>
        <v>0</v>
      </c>
      <c r="F33" s="85">
        <f t="shared" si="3"/>
        <v>0</v>
      </c>
      <c r="G33" s="133">
        <f t="shared" si="4"/>
        <v>0</v>
      </c>
    </row>
    <row r="34" spans="1:7" ht="13.5" hidden="1" thickBot="1">
      <c r="A34" s="70">
        <f t="shared" si="5"/>
        <v>14</v>
      </c>
      <c r="B34" s="85">
        <f t="shared" si="6"/>
        <v>0</v>
      </c>
      <c r="C34" s="132">
        <f t="shared" si="0"/>
        <v>0</v>
      </c>
      <c r="D34" s="132">
        <f t="shared" si="1"/>
        <v>0</v>
      </c>
      <c r="E34" s="132">
        <f t="shared" si="2"/>
        <v>0</v>
      </c>
      <c r="F34" s="85">
        <f t="shared" si="3"/>
        <v>0</v>
      </c>
      <c r="G34" s="133">
        <f t="shared" si="4"/>
        <v>0</v>
      </c>
    </row>
    <row r="35" spans="1:7" ht="13.5" hidden="1" thickBot="1">
      <c r="A35" s="70">
        <f t="shared" si="5"/>
        <v>15</v>
      </c>
      <c r="B35" s="85">
        <f t="shared" si="6"/>
        <v>0</v>
      </c>
      <c r="C35" s="132">
        <f t="shared" si="0"/>
        <v>0</v>
      </c>
      <c r="D35" s="132">
        <f t="shared" si="1"/>
        <v>0</v>
      </c>
      <c r="E35" s="132">
        <f t="shared" si="2"/>
        <v>0</v>
      </c>
      <c r="F35" s="85">
        <f t="shared" si="3"/>
        <v>0</v>
      </c>
      <c r="G35" s="133">
        <f t="shared" si="4"/>
        <v>0</v>
      </c>
    </row>
    <row r="36" spans="1:7" ht="13.5" hidden="1" thickBot="1">
      <c r="A36" s="70">
        <f t="shared" si="5"/>
        <v>16</v>
      </c>
      <c r="B36" s="85">
        <f t="shared" si="6"/>
        <v>0</v>
      </c>
      <c r="C36" s="132">
        <f t="shared" si="0"/>
        <v>0</v>
      </c>
      <c r="D36" s="132">
        <f t="shared" si="1"/>
        <v>0</v>
      </c>
      <c r="E36" s="132">
        <f t="shared" si="2"/>
        <v>0</v>
      </c>
      <c r="F36" s="85">
        <f t="shared" si="3"/>
        <v>0</v>
      </c>
      <c r="G36" s="133">
        <f t="shared" si="4"/>
        <v>0</v>
      </c>
    </row>
    <row r="37" spans="1:7" ht="13.5" hidden="1" thickBot="1">
      <c r="A37" s="70">
        <f t="shared" si="5"/>
        <v>17</v>
      </c>
      <c r="B37" s="85">
        <f t="shared" si="6"/>
        <v>0</v>
      </c>
      <c r="C37" s="132">
        <f t="shared" si="0"/>
        <v>0</v>
      </c>
      <c r="D37" s="132">
        <f t="shared" si="1"/>
        <v>0</v>
      </c>
      <c r="E37" s="132">
        <f t="shared" si="2"/>
        <v>0</v>
      </c>
      <c r="F37" s="85">
        <f t="shared" si="3"/>
        <v>0</v>
      </c>
      <c r="G37" s="133">
        <f t="shared" si="4"/>
        <v>0</v>
      </c>
    </row>
    <row r="38" spans="1:7" ht="13.5" hidden="1" thickBot="1">
      <c r="A38" s="70">
        <f t="shared" si="5"/>
        <v>18</v>
      </c>
      <c r="B38" s="85">
        <f t="shared" si="6"/>
        <v>0</v>
      </c>
      <c r="C38" s="132">
        <f t="shared" si="0"/>
        <v>0</v>
      </c>
      <c r="D38" s="132">
        <f t="shared" si="1"/>
        <v>0</v>
      </c>
      <c r="E38" s="132">
        <f t="shared" si="2"/>
        <v>0</v>
      </c>
      <c r="F38" s="85">
        <f t="shared" si="3"/>
        <v>0</v>
      </c>
      <c r="G38" s="133">
        <f t="shared" si="4"/>
        <v>0</v>
      </c>
    </row>
    <row r="39" spans="1:7" ht="13.5" hidden="1" thickBot="1">
      <c r="A39" s="70">
        <f t="shared" si="5"/>
        <v>19</v>
      </c>
      <c r="B39" s="85">
        <f t="shared" si="6"/>
        <v>0</v>
      </c>
      <c r="C39" s="132">
        <f t="shared" si="0"/>
        <v>0</v>
      </c>
      <c r="D39" s="132">
        <f t="shared" si="1"/>
        <v>0</v>
      </c>
      <c r="E39" s="132">
        <f t="shared" si="2"/>
        <v>0</v>
      </c>
      <c r="F39" s="85">
        <f t="shared" si="3"/>
        <v>0</v>
      </c>
      <c r="G39" s="133">
        <f t="shared" si="4"/>
        <v>0</v>
      </c>
    </row>
    <row r="40" spans="1:7" ht="13.5" hidden="1" thickBot="1">
      <c r="A40" s="70">
        <f t="shared" si="5"/>
        <v>20</v>
      </c>
      <c r="B40" s="85">
        <f t="shared" si="6"/>
        <v>0</v>
      </c>
      <c r="C40" s="132">
        <f t="shared" si="0"/>
        <v>0</v>
      </c>
      <c r="D40" s="132">
        <f t="shared" si="1"/>
        <v>0</v>
      </c>
      <c r="E40" s="132">
        <f t="shared" si="2"/>
        <v>0</v>
      </c>
      <c r="F40" s="85">
        <f t="shared" si="3"/>
        <v>0</v>
      </c>
      <c r="G40" s="133">
        <f t="shared" si="4"/>
        <v>0</v>
      </c>
    </row>
    <row r="41" spans="1:7" ht="13.5" hidden="1" thickBot="1">
      <c r="A41" s="70">
        <f t="shared" si="5"/>
        <v>21</v>
      </c>
      <c r="B41" s="85">
        <f t="shared" si="6"/>
        <v>0</v>
      </c>
      <c r="C41" s="132">
        <f t="shared" si="0"/>
        <v>0</v>
      </c>
      <c r="D41" s="132">
        <f t="shared" si="1"/>
        <v>0</v>
      </c>
      <c r="E41" s="132">
        <f t="shared" si="2"/>
        <v>0</v>
      </c>
      <c r="F41" s="85">
        <f t="shared" si="3"/>
        <v>0</v>
      </c>
      <c r="G41" s="133">
        <f t="shared" si="4"/>
        <v>0</v>
      </c>
    </row>
    <row r="42" spans="1:7" ht="13.5" hidden="1" thickBot="1">
      <c r="A42" s="70">
        <f t="shared" si="5"/>
        <v>22</v>
      </c>
      <c r="B42" s="85">
        <f t="shared" si="6"/>
        <v>0</v>
      </c>
      <c r="C42" s="132">
        <f t="shared" si="0"/>
        <v>0</v>
      </c>
      <c r="D42" s="132">
        <f t="shared" si="1"/>
        <v>0</v>
      </c>
      <c r="E42" s="132">
        <f t="shared" si="2"/>
        <v>0</v>
      </c>
      <c r="F42" s="85">
        <f t="shared" si="3"/>
        <v>0</v>
      </c>
      <c r="G42" s="133">
        <f t="shared" si="4"/>
        <v>0</v>
      </c>
    </row>
    <row r="43" spans="1:7" ht="13.5" hidden="1" thickBot="1">
      <c r="A43" s="70">
        <f t="shared" si="5"/>
        <v>23</v>
      </c>
      <c r="B43" s="85">
        <f t="shared" si="6"/>
        <v>0</v>
      </c>
      <c r="C43" s="132">
        <f t="shared" si="0"/>
        <v>0</v>
      </c>
      <c r="D43" s="132">
        <f t="shared" si="1"/>
        <v>0</v>
      </c>
      <c r="E43" s="132">
        <f t="shared" si="2"/>
        <v>0</v>
      </c>
      <c r="F43" s="85">
        <f t="shared" si="3"/>
        <v>0</v>
      </c>
      <c r="G43" s="133">
        <f t="shared" si="4"/>
        <v>0</v>
      </c>
    </row>
    <row r="44" spans="1:7" ht="13.5" hidden="1" thickBot="1">
      <c r="A44" s="70">
        <f t="shared" si="5"/>
        <v>24</v>
      </c>
      <c r="B44" s="85">
        <f t="shared" si="6"/>
        <v>0</v>
      </c>
      <c r="C44" s="132">
        <f t="shared" si="0"/>
        <v>0</v>
      </c>
      <c r="D44" s="132">
        <f t="shared" si="1"/>
        <v>0</v>
      </c>
      <c r="E44" s="132">
        <f t="shared" si="2"/>
        <v>0</v>
      </c>
      <c r="F44" s="85">
        <f t="shared" si="3"/>
        <v>0</v>
      </c>
      <c r="G44" s="133">
        <f t="shared" si="4"/>
        <v>0</v>
      </c>
    </row>
    <row r="45" spans="1:7" ht="13.5" hidden="1" thickBot="1">
      <c r="A45" s="70">
        <f t="shared" si="5"/>
        <v>25</v>
      </c>
      <c r="B45" s="85">
        <f t="shared" si="6"/>
        <v>0</v>
      </c>
      <c r="C45" s="132">
        <f t="shared" si="0"/>
        <v>0</v>
      </c>
      <c r="D45" s="132">
        <f t="shared" si="1"/>
        <v>0</v>
      </c>
      <c r="E45" s="132">
        <f t="shared" si="2"/>
        <v>0</v>
      </c>
      <c r="F45" s="85">
        <f t="shared" si="3"/>
        <v>0</v>
      </c>
      <c r="G45" s="133">
        <f t="shared" si="4"/>
        <v>0</v>
      </c>
    </row>
    <row r="46" spans="1:7" ht="13.5" hidden="1" thickBot="1">
      <c r="A46" s="70">
        <f t="shared" si="5"/>
        <v>26</v>
      </c>
      <c r="B46" s="85">
        <f t="shared" si="6"/>
        <v>0</v>
      </c>
      <c r="C46" s="132">
        <f t="shared" si="0"/>
        <v>0</v>
      </c>
      <c r="D46" s="132">
        <f t="shared" si="1"/>
        <v>0</v>
      </c>
      <c r="E46" s="132">
        <f t="shared" si="2"/>
        <v>0</v>
      </c>
      <c r="F46" s="85">
        <f t="shared" si="3"/>
        <v>0</v>
      </c>
      <c r="G46" s="133">
        <f t="shared" si="4"/>
        <v>0</v>
      </c>
    </row>
    <row r="47" spans="1:7" ht="13.5" hidden="1" thickBot="1">
      <c r="A47" s="70">
        <f t="shared" si="5"/>
        <v>27</v>
      </c>
      <c r="B47" s="85">
        <f t="shared" si="6"/>
        <v>0</v>
      </c>
      <c r="C47" s="132">
        <f t="shared" si="0"/>
        <v>0</v>
      </c>
      <c r="D47" s="132">
        <f t="shared" si="1"/>
        <v>0</v>
      </c>
      <c r="E47" s="132">
        <f t="shared" si="2"/>
        <v>0</v>
      </c>
      <c r="F47" s="85">
        <f t="shared" si="3"/>
        <v>0</v>
      </c>
      <c r="G47" s="133">
        <f t="shared" si="4"/>
        <v>0</v>
      </c>
    </row>
    <row r="48" spans="1:7" ht="13.5" hidden="1" thickBot="1">
      <c r="A48" s="70">
        <f t="shared" si="5"/>
        <v>28</v>
      </c>
      <c r="B48" s="85">
        <f t="shared" si="6"/>
        <v>0</v>
      </c>
      <c r="C48" s="132">
        <f t="shared" si="0"/>
        <v>0</v>
      </c>
      <c r="D48" s="132">
        <f t="shared" si="1"/>
        <v>0</v>
      </c>
      <c r="E48" s="132">
        <f t="shared" si="2"/>
        <v>0</v>
      </c>
      <c r="F48" s="85">
        <f t="shared" si="3"/>
        <v>0</v>
      </c>
      <c r="G48" s="133">
        <f t="shared" si="4"/>
        <v>0</v>
      </c>
    </row>
    <row r="49" spans="1:7" ht="13.5" hidden="1" thickBot="1">
      <c r="A49" s="70">
        <f t="shared" si="5"/>
        <v>29</v>
      </c>
      <c r="B49" s="85">
        <f t="shared" si="6"/>
        <v>0</v>
      </c>
      <c r="C49" s="132">
        <f t="shared" si="0"/>
        <v>0</v>
      </c>
      <c r="D49" s="132">
        <f t="shared" si="1"/>
        <v>0</v>
      </c>
      <c r="E49" s="132">
        <f t="shared" si="2"/>
        <v>0</v>
      </c>
      <c r="F49" s="85">
        <f t="shared" si="3"/>
        <v>0</v>
      </c>
      <c r="G49" s="133">
        <f t="shared" si="4"/>
        <v>0</v>
      </c>
    </row>
    <row r="50" spans="1:7" ht="13.5" hidden="1" thickBot="1">
      <c r="A50" s="70">
        <f t="shared" si="5"/>
        <v>30</v>
      </c>
      <c r="B50" s="85">
        <f t="shared" si="6"/>
        <v>0</v>
      </c>
      <c r="C50" s="132">
        <f t="shared" si="0"/>
        <v>0</v>
      </c>
      <c r="D50" s="132">
        <f t="shared" si="1"/>
        <v>0</v>
      </c>
      <c r="E50" s="132">
        <f t="shared" si="2"/>
        <v>0</v>
      </c>
      <c r="F50" s="85">
        <f t="shared" si="3"/>
        <v>0</v>
      </c>
      <c r="G50" s="133">
        <f t="shared" si="4"/>
        <v>0</v>
      </c>
    </row>
    <row r="51" spans="1:7" ht="13.5" hidden="1" thickBot="1">
      <c r="A51" s="70">
        <f t="shared" si="5"/>
        <v>31</v>
      </c>
      <c r="B51" s="85">
        <f t="shared" si="6"/>
        <v>0</v>
      </c>
      <c r="C51" s="132">
        <f t="shared" si="0"/>
        <v>0</v>
      </c>
      <c r="D51" s="132">
        <f t="shared" si="1"/>
        <v>0</v>
      </c>
      <c r="E51" s="132">
        <f t="shared" si="2"/>
        <v>0</v>
      </c>
      <c r="F51" s="85">
        <f t="shared" si="3"/>
        <v>0</v>
      </c>
      <c r="G51" s="133">
        <f t="shared" si="4"/>
        <v>0</v>
      </c>
    </row>
    <row r="52" spans="1:7" ht="13.5" hidden="1" thickBot="1">
      <c r="A52" s="70">
        <f t="shared" si="5"/>
        <v>32</v>
      </c>
      <c r="B52" s="85">
        <f t="shared" si="6"/>
        <v>0</v>
      </c>
      <c r="C52" s="132">
        <f t="shared" si="0"/>
        <v>0</v>
      </c>
      <c r="D52" s="132">
        <f t="shared" si="1"/>
        <v>0</v>
      </c>
      <c r="E52" s="132">
        <f t="shared" si="2"/>
        <v>0</v>
      </c>
      <c r="F52" s="85">
        <f t="shared" si="3"/>
        <v>0</v>
      </c>
      <c r="G52" s="133">
        <f t="shared" si="4"/>
        <v>0</v>
      </c>
    </row>
    <row r="53" spans="1:7" ht="13.5" hidden="1" thickBot="1">
      <c r="A53" s="70">
        <f t="shared" si="5"/>
        <v>33</v>
      </c>
      <c r="B53" s="85">
        <f t="shared" si="6"/>
        <v>0</v>
      </c>
      <c r="C53" s="132">
        <f t="shared" si="0"/>
        <v>0</v>
      </c>
      <c r="D53" s="132">
        <f t="shared" si="1"/>
        <v>0</v>
      </c>
      <c r="E53" s="132">
        <f t="shared" si="2"/>
        <v>0</v>
      </c>
      <c r="F53" s="85">
        <f t="shared" si="3"/>
        <v>0</v>
      </c>
      <c r="G53" s="133">
        <f t="shared" si="4"/>
        <v>0</v>
      </c>
    </row>
    <row r="54" spans="1:7" ht="13.5" hidden="1" thickBot="1">
      <c r="A54" s="70">
        <f t="shared" si="5"/>
        <v>34</v>
      </c>
      <c r="B54" s="85">
        <f t="shared" si="6"/>
        <v>0</v>
      </c>
      <c r="C54" s="132">
        <f t="shared" si="0"/>
        <v>0</v>
      </c>
      <c r="D54" s="132">
        <f t="shared" si="1"/>
        <v>0</v>
      </c>
      <c r="E54" s="132">
        <f t="shared" si="2"/>
        <v>0</v>
      </c>
      <c r="F54" s="85">
        <f t="shared" si="3"/>
        <v>0</v>
      </c>
      <c r="G54" s="133">
        <f t="shared" si="4"/>
        <v>0</v>
      </c>
    </row>
    <row r="55" spans="1:7" ht="13.5" hidden="1" thickBot="1">
      <c r="A55" s="70">
        <f t="shared" si="5"/>
        <v>35</v>
      </c>
      <c r="B55" s="85">
        <f t="shared" si="6"/>
        <v>0</v>
      </c>
      <c r="C55" s="132">
        <f t="shared" si="0"/>
        <v>0</v>
      </c>
      <c r="D55" s="132">
        <f t="shared" si="1"/>
        <v>0</v>
      </c>
      <c r="E55" s="132">
        <f t="shared" si="2"/>
        <v>0</v>
      </c>
      <c r="F55" s="85">
        <f t="shared" si="3"/>
        <v>0</v>
      </c>
      <c r="G55" s="133">
        <f t="shared" si="4"/>
        <v>0</v>
      </c>
    </row>
    <row r="56" spans="1:7" ht="13.5" hidden="1" thickBot="1">
      <c r="A56" s="70">
        <f t="shared" si="5"/>
        <v>36</v>
      </c>
      <c r="B56" s="85">
        <f t="shared" si="6"/>
        <v>0</v>
      </c>
      <c r="C56" s="132">
        <f t="shared" si="0"/>
        <v>0</v>
      </c>
      <c r="D56" s="132">
        <f t="shared" si="1"/>
        <v>0</v>
      </c>
      <c r="E56" s="132">
        <f t="shared" si="2"/>
        <v>0</v>
      </c>
      <c r="F56" s="85">
        <f t="shared" si="3"/>
        <v>0</v>
      </c>
      <c r="G56" s="133">
        <f t="shared" si="4"/>
        <v>0</v>
      </c>
    </row>
    <row r="57" spans="1:7" ht="13.5" hidden="1" thickBot="1">
      <c r="A57" s="70">
        <f t="shared" si="5"/>
        <v>37</v>
      </c>
      <c r="B57" s="85">
        <f t="shared" si="6"/>
        <v>0</v>
      </c>
      <c r="C57" s="132">
        <f t="shared" si="0"/>
        <v>0</v>
      </c>
      <c r="D57" s="132">
        <f t="shared" si="1"/>
        <v>0</v>
      </c>
      <c r="E57" s="132">
        <f t="shared" si="2"/>
        <v>0</v>
      </c>
      <c r="F57" s="85">
        <f t="shared" si="3"/>
        <v>0</v>
      </c>
      <c r="G57" s="133">
        <f t="shared" si="4"/>
        <v>0</v>
      </c>
    </row>
    <row r="58" spans="1:7" ht="13.5" hidden="1" thickBot="1">
      <c r="A58" s="70">
        <f t="shared" si="5"/>
        <v>38</v>
      </c>
      <c r="B58" s="85">
        <f t="shared" si="6"/>
        <v>0</v>
      </c>
      <c r="C58" s="132">
        <f t="shared" si="0"/>
        <v>0</v>
      </c>
      <c r="D58" s="132">
        <f t="shared" si="1"/>
        <v>0</v>
      </c>
      <c r="E58" s="132">
        <f t="shared" si="2"/>
        <v>0</v>
      </c>
      <c r="F58" s="85">
        <f t="shared" si="3"/>
        <v>0</v>
      </c>
      <c r="G58" s="133">
        <f t="shared" si="4"/>
        <v>0</v>
      </c>
    </row>
    <row r="59" spans="1:7" ht="13.5" hidden="1" thickBot="1">
      <c r="A59" s="70">
        <f t="shared" si="5"/>
        <v>39</v>
      </c>
      <c r="B59" s="85">
        <f t="shared" si="6"/>
        <v>0</v>
      </c>
      <c r="C59" s="132">
        <f t="shared" si="0"/>
        <v>0</v>
      </c>
      <c r="D59" s="132">
        <f t="shared" si="1"/>
        <v>0</v>
      </c>
      <c r="E59" s="132">
        <f t="shared" si="2"/>
        <v>0</v>
      </c>
      <c r="F59" s="85">
        <f t="shared" si="3"/>
        <v>0</v>
      </c>
      <c r="G59" s="133">
        <f t="shared" si="4"/>
        <v>0</v>
      </c>
    </row>
    <row r="60" spans="1:7" ht="13.5" hidden="1" thickBot="1">
      <c r="A60" s="70">
        <f t="shared" si="5"/>
        <v>40</v>
      </c>
      <c r="B60" s="85">
        <f t="shared" si="6"/>
        <v>0</v>
      </c>
      <c r="C60" s="132">
        <f t="shared" si="0"/>
        <v>0</v>
      </c>
      <c r="D60" s="132">
        <f t="shared" si="1"/>
        <v>0</v>
      </c>
      <c r="E60" s="132">
        <f t="shared" si="2"/>
        <v>0</v>
      </c>
      <c r="F60" s="85">
        <f t="shared" si="3"/>
        <v>0</v>
      </c>
      <c r="G60" s="133">
        <f t="shared" si="4"/>
        <v>0</v>
      </c>
    </row>
    <row r="61" spans="1:7" ht="13.5" hidden="1" thickBot="1">
      <c r="A61" s="70">
        <f t="shared" si="5"/>
        <v>41</v>
      </c>
      <c r="B61" s="85">
        <f t="shared" si="6"/>
        <v>0</v>
      </c>
      <c r="C61" s="132">
        <f t="shared" si="0"/>
        <v>0</v>
      </c>
      <c r="D61" s="132">
        <f t="shared" si="1"/>
        <v>0</v>
      </c>
      <c r="E61" s="132">
        <f t="shared" si="2"/>
        <v>0</v>
      </c>
      <c r="F61" s="85">
        <f t="shared" si="3"/>
        <v>0</v>
      </c>
      <c r="G61" s="133">
        <f t="shared" si="4"/>
        <v>0</v>
      </c>
    </row>
    <row r="62" spans="1:7" ht="13.5" hidden="1" thickBot="1">
      <c r="A62" s="70">
        <f t="shared" si="5"/>
        <v>42</v>
      </c>
      <c r="B62" s="85">
        <f t="shared" si="6"/>
        <v>0</v>
      </c>
      <c r="C62" s="132">
        <f t="shared" si="0"/>
        <v>0</v>
      </c>
      <c r="D62" s="132">
        <f t="shared" si="1"/>
        <v>0</v>
      </c>
      <c r="E62" s="132">
        <f t="shared" si="2"/>
        <v>0</v>
      </c>
      <c r="F62" s="85">
        <f t="shared" si="3"/>
        <v>0</v>
      </c>
      <c r="G62" s="133">
        <f t="shared" si="4"/>
        <v>0</v>
      </c>
    </row>
    <row r="63" spans="1:7" ht="13.5" hidden="1" thickBot="1">
      <c r="A63" s="70">
        <f t="shared" si="5"/>
        <v>43</v>
      </c>
      <c r="B63" s="85">
        <f t="shared" si="6"/>
        <v>0</v>
      </c>
      <c r="C63" s="132">
        <f t="shared" si="0"/>
        <v>0</v>
      </c>
      <c r="D63" s="132">
        <f t="shared" si="1"/>
        <v>0</v>
      </c>
      <c r="E63" s="132">
        <f t="shared" si="2"/>
        <v>0</v>
      </c>
      <c r="F63" s="85">
        <f t="shared" si="3"/>
        <v>0</v>
      </c>
      <c r="G63" s="133">
        <f t="shared" si="4"/>
        <v>0</v>
      </c>
    </row>
    <row r="64" spans="1:7" ht="13.5" hidden="1" thickBot="1">
      <c r="A64" s="70">
        <f t="shared" si="5"/>
        <v>44</v>
      </c>
      <c r="B64" s="85">
        <f t="shared" si="6"/>
        <v>0</v>
      </c>
      <c r="C64" s="132">
        <f t="shared" si="0"/>
        <v>0</v>
      </c>
      <c r="D64" s="132">
        <f t="shared" si="1"/>
        <v>0</v>
      </c>
      <c r="E64" s="132">
        <f t="shared" si="2"/>
        <v>0</v>
      </c>
      <c r="F64" s="85">
        <f t="shared" si="3"/>
        <v>0</v>
      </c>
      <c r="G64" s="133">
        <f t="shared" si="4"/>
        <v>0</v>
      </c>
    </row>
    <row r="65" spans="1:7" ht="13.5" hidden="1" thickBot="1">
      <c r="A65" s="70">
        <f t="shared" si="5"/>
        <v>45</v>
      </c>
      <c r="B65" s="85">
        <f t="shared" si="6"/>
        <v>0</v>
      </c>
      <c r="C65" s="132">
        <f t="shared" si="0"/>
        <v>0</v>
      </c>
      <c r="D65" s="132">
        <f t="shared" si="1"/>
        <v>0</v>
      </c>
      <c r="E65" s="132">
        <f t="shared" si="2"/>
        <v>0</v>
      </c>
      <c r="F65" s="85">
        <f t="shared" si="3"/>
        <v>0</v>
      </c>
      <c r="G65" s="133">
        <f t="shared" si="4"/>
        <v>0</v>
      </c>
    </row>
    <row r="66" spans="1:7" ht="13.5" hidden="1" thickBot="1">
      <c r="A66" s="70">
        <f t="shared" si="5"/>
        <v>46</v>
      </c>
      <c r="B66" s="85">
        <f t="shared" si="6"/>
        <v>0</v>
      </c>
      <c r="C66" s="132">
        <f t="shared" si="0"/>
        <v>0</v>
      </c>
      <c r="D66" s="132">
        <f t="shared" si="1"/>
        <v>0</v>
      </c>
      <c r="E66" s="132">
        <f t="shared" si="2"/>
        <v>0</v>
      </c>
      <c r="F66" s="85">
        <f t="shared" si="3"/>
        <v>0</v>
      </c>
      <c r="G66" s="133">
        <f t="shared" si="4"/>
        <v>0</v>
      </c>
    </row>
    <row r="67" spans="1:7" ht="13.5" hidden="1" thickBot="1">
      <c r="A67" s="70">
        <f t="shared" si="5"/>
        <v>47</v>
      </c>
      <c r="B67" s="85">
        <f t="shared" si="6"/>
        <v>0</v>
      </c>
      <c r="C67" s="132">
        <f t="shared" si="0"/>
        <v>0</v>
      </c>
      <c r="D67" s="132">
        <f t="shared" si="1"/>
        <v>0</v>
      </c>
      <c r="E67" s="132">
        <f t="shared" si="2"/>
        <v>0</v>
      </c>
      <c r="F67" s="85">
        <f t="shared" si="3"/>
        <v>0</v>
      </c>
      <c r="G67" s="133">
        <f t="shared" si="4"/>
        <v>0</v>
      </c>
    </row>
    <row r="68" spans="1:7" ht="13.5" hidden="1" thickBot="1">
      <c r="A68" s="70">
        <f t="shared" si="5"/>
        <v>48</v>
      </c>
      <c r="B68" s="85">
        <f t="shared" si="6"/>
        <v>0</v>
      </c>
      <c r="C68" s="132">
        <f t="shared" si="0"/>
        <v>0</v>
      </c>
      <c r="D68" s="132">
        <f t="shared" si="1"/>
        <v>0</v>
      </c>
      <c r="E68" s="132">
        <f t="shared" si="2"/>
        <v>0</v>
      </c>
      <c r="F68" s="85">
        <f t="shared" si="3"/>
        <v>0</v>
      </c>
      <c r="G68" s="133">
        <f t="shared" si="4"/>
        <v>0</v>
      </c>
    </row>
    <row r="69" spans="1:7" ht="13.5" hidden="1" thickBot="1">
      <c r="A69" s="70">
        <f t="shared" si="5"/>
        <v>49</v>
      </c>
      <c r="B69" s="85">
        <f t="shared" si="6"/>
        <v>0</v>
      </c>
      <c r="C69" s="132">
        <f t="shared" si="0"/>
        <v>0</v>
      </c>
      <c r="D69" s="132">
        <f t="shared" si="1"/>
        <v>0</v>
      </c>
      <c r="E69" s="132">
        <f t="shared" si="2"/>
        <v>0</v>
      </c>
      <c r="F69" s="85">
        <f t="shared" si="3"/>
        <v>0</v>
      </c>
      <c r="G69" s="133">
        <f t="shared" si="4"/>
        <v>0</v>
      </c>
    </row>
    <row r="70" spans="1:7" ht="13.5" hidden="1" thickBot="1">
      <c r="A70" s="70">
        <f t="shared" si="5"/>
        <v>50</v>
      </c>
      <c r="B70" s="85">
        <f t="shared" si="6"/>
        <v>0</v>
      </c>
      <c r="C70" s="132">
        <f t="shared" si="0"/>
        <v>0</v>
      </c>
      <c r="D70" s="132">
        <f t="shared" si="1"/>
        <v>0</v>
      </c>
      <c r="E70" s="132">
        <f t="shared" si="2"/>
        <v>0</v>
      </c>
      <c r="F70" s="85">
        <f t="shared" si="3"/>
        <v>0</v>
      </c>
      <c r="G70" s="133">
        <f t="shared" si="4"/>
        <v>0</v>
      </c>
    </row>
    <row r="71" spans="1:7" ht="13.5" hidden="1" thickBot="1">
      <c r="A71" s="70">
        <f t="shared" si="5"/>
        <v>51</v>
      </c>
      <c r="B71" s="85">
        <f t="shared" si="6"/>
        <v>0</v>
      </c>
      <c r="C71" s="132">
        <f t="shared" si="0"/>
        <v>0</v>
      </c>
      <c r="D71" s="132">
        <f t="shared" si="1"/>
        <v>0</v>
      </c>
      <c r="E71" s="132">
        <f t="shared" si="2"/>
        <v>0</v>
      </c>
      <c r="F71" s="85">
        <f t="shared" si="3"/>
        <v>0</v>
      </c>
      <c r="G71" s="133">
        <f t="shared" si="4"/>
        <v>0</v>
      </c>
    </row>
    <row r="72" spans="1:7" ht="13.5" hidden="1" thickBot="1">
      <c r="A72" s="70">
        <f t="shared" si="5"/>
        <v>52</v>
      </c>
      <c r="B72" s="85">
        <f t="shared" si="6"/>
        <v>0</v>
      </c>
      <c r="C72" s="132">
        <f t="shared" si="0"/>
        <v>0</v>
      </c>
      <c r="D72" s="132">
        <f t="shared" si="1"/>
        <v>0</v>
      </c>
      <c r="E72" s="132">
        <f t="shared" si="2"/>
        <v>0</v>
      </c>
      <c r="F72" s="85">
        <f t="shared" si="3"/>
        <v>0</v>
      </c>
      <c r="G72" s="133">
        <f t="shared" si="4"/>
        <v>0</v>
      </c>
    </row>
    <row r="73" spans="1:7" ht="13.5" hidden="1" thickBot="1">
      <c r="A73" s="70">
        <f t="shared" si="5"/>
        <v>53</v>
      </c>
      <c r="B73" s="85">
        <f t="shared" si="6"/>
        <v>0</v>
      </c>
      <c r="C73" s="132">
        <f t="shared" si="0"/>
        <v>0</v>
      </c>
      <c r="D73" s="132">
        <f t="shared" si="1"/>
        <v>0</v>
      </c>
      <c r="E73" s="132">
        <f t="shared" si="2"/>
        <v>0</v>
      </c>
      <c r="F73" s="85">
        <f t="shared" si="3"/>
        <v>0</v>
      </c>
      <c r="G73" s="133">
        <f t="shared" si="4"/>
        <v>0</v>
      </c>
    </row>
    <row r="74" spans="1:7" ht="13.5" hidden="1" thickBot="1">
      <c r="A74" s="70">
        <f t="shared" si="5"/>
        <v>54</v>
      </c>
      <c r="B74" s="85">
        <f t="shared" si="6"/>
        <v>0</v>
      </c>
      <c r="C74" s="132">
        <f t="shared" si="0"/>
        <v>0</v>
      </c>
      <c r="D74" s="132">
        <f t="shared" si="1"/>
        <v>0</v>
      </c>
      <c r="E74" s="132">
        <f t="shared" si="2"/>
        <v>0</v>
      </c>
      <c r="F74" s="85">
        <f t="shared" si="3"/>
        <v>0</v>
      </c>
      <c r="G74" s="133">
        <f t="shared" si="4"/>
        <v>0</v>
      </c>
    </row>
    <row r="75" spans="1:7" ht="13.5" hidden="1" thickBot="1">
      <c r="A75" s="70">
        <f t="shared" si="5"/>
        <v>55</v>
      </c>
      <c r="B75" s="85">
        <f t="shared" si="6"/>
        <v>0</v>
      </c>
      <c r="C75" s="132">
        <f t="shared" si="0"/>
        <v>0</v>
      </c>
      <c r="D75" s="132">
        <f t="shared" si="1"/>
        <v>0</v>
      </c>
      <c r="E75" s="132">
        <f t="shared" si="2"/>
        <v>0</v>
      </c>
      <c r="F75" s="85">
        <f t="shared" si="3"/>
        <v>0</v>
      </c>
      <c r="G75" s="133">
        <f t="shared" si="4"/>
        <v>0</v>
      </c>
    </row>
    <row r="76" spans="1:7" ht="13.5" hidden="1" thickBot="1">
      <c r="A76" s="70">
        <f t="shared" si="5"/>
        <v>56</v>
      </c>
      <c r="B76" s="85">
        <f t="shared" si="6"/>
        <v>0</v>
      </c>
      <c r="C76" s="132">
        <f t="shared" si="0"/>
        <v>0</v>
      </c>
      <c r="D76" s="132">
        <f t="shared" si="1"/>
        <v>0</v>
      </c>
      <c r="E76" s="132">
        <f t="shared" si="2"/>
        <v>0</v>
      </c>
      <c r="F76" s="85">
        <f t="shared" si="3"/>
        <v>0</v>
      </c>
      <c r="G76" s="133">
        <f t="shared" si="4"/>
        <v>0</v>
      </c>
    </row>
    <row r="77" spans="1:7" ht="13.5" hidden="1" thickBot="1">
      <c r="A77" s="70">
        <f t="shared" si="5"/>
        <v>57</v>
      </c>
      <c r="B77" s="85">
        <f t="shared" si="6"/>
        <v>0</v>
      </c>
      <c r="C77" s="132">
        <f t="shared" si="0"/>
        <v>0</v>
      </c>
      <c r="D77" s="132">
        <f t="shared" si="1"/>
        <v>0</v>
      </c>
      <c r="E77" s="132">
        <f t="shared" si="2"/>
        <v>0</v>
      </c>
      <c r="F77" s="85">
        <f t="shared" si="3"/>
        <v>0</v>
      </c>
      <c r="G77" s="133">
        <f t="shared" si="4"/>
        <v>0</v>
      </c>
    </row>
    <row r="78" spans="1:7" ht="13.5" hidden="1" thickBot="1">
      <c r="A78" s="70">
        <f t="shared" si="5"/>
        <v>58</v>
      </c>
      <c r="B78" s="85">
        <f t="shared" si="6"/>
        <v>0</v>
      </c>
      <c r="C78" s="132">
        <f t="shared" si="0"/>
        <v>0</v>
      </c>
      <c r="D78" s="132">
        <f t="shared" si="1"/>
        <v>0</v>
      </c>
      <c r="E78" s="132">
        <f t="shared" si="2"/>
        <v>0</v>
      </c>
      <c r="F78" s="85">
        <f t="shared" si="3"/>
        <v>0</v>
      </c>
      <c r="G78" s="133">
        <f t="shared" si="4"/>
        <v>0</v>
      </c>
    </row>
    <row r="79" spans="1:7" ht="13.5" hidden="1" thickBot="1">
      <c r="A79" s="70">
        <f t="shared" si="5"/>
        <v>59</v>
      </c>
      <c r="B79" s="85">
        <f t="shared" si="6"/>
        <v>0</v>
      </c>
      <c r="C79" s="132">
        <f t="shared" si="0"/>
        <v>0</v>
      </c>
      <c r="D79" s="132">
        <f t="shared" si="1"/>
        <v>0</v>
      </c>
      <c r="E79" s="132">
        <f t="shared" si="2"/>
        <v>0</v>
      </c>
      <c r="F79" s="85">
        <f t="shared" si="3"/>
        <v>0</v>
      </c>
      <c r="G79" s="133">
        <f t="shared" si="4"/>
        <v>0</v>
      </c>
    </row>
    <row r="80" spans="1:7" ht="13.5" hidden="1" thickBot="1">
      <c r="A80" s="70">
        <f t="shared" si="5"/>
        <v>60</v>
      </c>
      <c r="B80" s="85">
        <f t="shared" si="6"/>
        <v>0</v>
      </c>
      <c r="C80" s="132">
        <f t="shared" si="0"/>
        <v>0</v>
      </c>
      <c r="D80" s="132">
        <f t="shared" si="1"/>
        <v>0</v>
      </c>
      <c r="E80" s="132">
        <f t="shared" si="2"/>
        <v>0</v>
      </c>
      <c r="F80" s="85">
        <f t="shared" si="3"/>
        <v>0</v>
      </c>
      <c r="G80" s="133">
        <f t="shared" si="4"/>
        <v>0</v>
      </c>
    </row>
    <row r="81" spans="1:7" ht="13.5" hidden="1" thickBot="1">
      <c r="A81" s="70">
        <f t="shared" si="5"/>
        <v>61</v>
      </c>
      <c r="B81" s="85">
        <f t="shared" si="6"/>
        <v>0</v>
      </c>
      <c r="C81" s="132">
        <f t="shared" si="0"/>
        <v>0</v>
      </c>
      <c r="D81" s="132">
        <f t="shared" si="1"/>
        <v>0</v>
      </c>
      <c r="E81" s="132">
        <f t="shared" si="2"/>
        <v>0</v>
      </c>
      <c r="F81" s="85">
        <f t="shared" si="3"/>
        <v>0</v>
      </c>
      <c r="G81" s="133">
        <f t="shared" si="4"/>
        <v>0</v>
      </c>
    </row>
    <row r="82" spans="1:7" ht="13.5" hidden="1" thickBot="1">
      <c r="A82" s="70">
        <f t="shared" si="5"/>
        <v>62</v>
      </c>
      <c r="B82" s="85">
        <f t="shared" si="6"/>
        <v>0</v>
      </c>
      <c r="C82" s="132">
        <f t="shared" si="0"/>
        <v>0</v>
      </c>
      <c r="D82" s="132">
        <f t="shared" si="1"/>
        <v>0</v>
      </c>
      <c r="E82" s="132">
        <f t="shared" si="2"/>
        <v>0</v>
      </c>
      <c r="F82" s="85">
        <f t="shared" si="3"/>
        <v>0</v>
      </c>
      <c r="G82" s="133">
        <f t="shared" si="4"/>
        <v>0</v>
      </c>
    </row>
    <row r="83" spans="1:7" ht="13.5" hidden="1" thickBot="1">
      <c r="A83" s="70">
        <f t="shared" si="5"/>
        <v>63</v>
      </c>
      <c r="B83" s="85">
        <f t="shared" si="6"/>
        <v>0</v>
      </c>
      <c r="C83" s="132">
        <f t="shared" si="0"/>
        <v>0</v>
      </c>
      <c r="D83" s="132">
        <f t="shared" si="1"/>
        <v>0</v>
      </c>
      <c r="E83" s="132">
        <f t="shared" si="2"/>
        <v>0</v>
      </c>
      <c r="F83" s="85">
        <f t="shared" si="3"/>
        <v>0</v>
      </c>
      <c r="G83" s="133">
        <f t="shared" si="4"/>
        <v>0</v>
      </c>
    </row>
    <row r="84" spans="1:7" ht="13.5" hidden="1" thickBot="1">
      <c r="A84" s="70">
        <f t="shared" si="5"/>
        <v>64</v>
      </c>
      <c r="B84" s="85">
        <f t="shared" si="6"/>
        <v>0</v>
      </c>
      <c r="C84" s="132">
        <f t="shared" si="0"/>
        <v>0</v>
      </c>
      <c r="D84" s="132">
        <f t="shared" si="1"/>
        <v>0</v>
      </c>
      <c r="E84" s="132">
        <f t="shared" si="2"/>
        <v>0</v>
      </c>
      <c r="F84" s="85">
        <f t="shared" si="3"/>
        <v>0</v>
      </c>
      <c r="G84" s="133">
        <f t="shared" si="4"/>
        <v>0</v>
      </c>
    </row>
    <row r="85" spans="1:7" ht="13.5" hidden="1" thickBot="1">
      <c r="A85" s="70">
        <f t="shared" si="5"/>
        <v>65</v>
      </c>
      <c r="B85" s="85">
        <f t="shared" si="6"/>
        <v>0</v>
      </c>
      <c r="C85" s="132">
        <f t="shared" ref="C85:C148" si="7">IF(A85&lt;=$D$10,D85+$D$13,0)</f>
        <v>0</v>
      </c>
      <c r="D85" s="132">
        <f t="shared" ref="D85:D148" si="8">E85+F85</f>
        <v>0</v>
      </c>
      <c r="E85" s="132">
        <f t="shared" ref="E85:E148" si="9">B85*$D$11</f>
        <v>0</v>
      </c>
      <c r="F85" s="85">
        <f t="shared" ref="F85:F148" si="10">IF(A85&lt;=$D$10,$D$12*-1,0)</f>
        <v>0</v>
      </c>
      <c r="G85" s="133">
        <f t="shared" ref="G85:G148" si="11">B85-F85</f>
        <v>0</v>
      </c>
    </row>
    <row r="86" spans="1:7" ht="13.5" hidden="1" thickBot="1">
      <c r="A86" s="70">
        <f t="shared" ref="A86:A149" si="12">A85+1</f>
        <v>66</v>
      </c>
      <c r="B86" s="85">
        <f t="shared" ref="B86:B149" si="13">B85-F85</f>
        <v>0</v>
      </c>
      <c r="C86" s="132">
        <f t="shared" si="7"/>
        <v>0</v>
      </c>
      <c r="D86" s="132">
        <f t="shared" si="8"/>
        <v>0</v>
      </c>
      <c r="E86" s="132">
        <f t="shared" si="9"/>
        <v>0</v>
      </c>
      <c r="F86" s="85">
        <f t="shared" si="10"/>
        <v>0</v>
      </c>
      <c r="G86" s="133">
        <f t="shared" si="11"/>
        <v>0</v>
      </c>
    </row>
    <row r="87" spans="1:7" ht="13.5" hidden="1" thickBot="1">
      <c r="A87" s="70">
        <f t="shared" si="12"/>
        <v>67</v>
      </c>
      <c r="B87" s="85">
        <f t="shared" si="13"/>
        <v>0</v>
      </c>
      <c r="C87" s="132">
        <f t="shared" si="7"/>
        <v>0</v>
      </c>
      <c r="D87" s="132">
        <f t="shared" si="8"/>
        <v>0</v>
      </c>
      <c r="E87" s="132">
        <f t="shared" si="9"/>
        <v>0</v>
      </c>
      <c r="F87" s="85">
        <f t="shared" si="10"/>
        <v>0</v>
      </c>
      <c r="G87" s="133">
        <f t="shared" si="11"/>
        <v>0</v>
      </c>
    </row>
    <row r="88" spans="1:7" ht="13.5" hidden="1" thickBot="1">
      <c r="A88" s="70">
        <f t="shared" si="12"/>
        <v>68</v>
      </c>
      <c r="B88" s="85">
        <f t="shared" si="13"/>
        <v>0</v>
      </c>
      <c r="C88" s="132">
        <f t="shared" si="7"/>
        <v>0</v>
      </c>
      <c r="D88" s="132">
        <f t="shared" si="8"/>
        <v>0</v>
      </c>
      <c r="E88" s="132">
        <f t="shared" si="9"/>
        <v>0</v>
      </c>
      <c r="F88" s="85">
        <f t="shared" si="10"/>
        <v>0</v>
      </c>
      <c r="G88" s="133">
        <f t="shared" si="11"/>
        <v>0</v>
      </c>
    </row>
    <row r="89" spans="1:7" ht="13.5" hidden="1" thickBot="1">
      <c r="A89" s="70">
        <f t="shared" si="12"/>
        <v>69</v>
      </c>
      <c r="B89" s="85">
        <f t="shared" si="13"/>
        <v>0</v>
      </c>
      <c r="C89" s="132">
        <f t="shared" si="7"/>
        <v>0</v>
      </c>
      <c r="D89" s="132">
        <f t="shared" si="8"/>
        <v>0</v>
      </c>
      <c r="E89" s="132">
        <f t="shared" si="9"/>
        <v>0</v>
      </c>
      <c r="F89" s="85">
        <f t="shared" si="10"/>
        <v>0</v>
      </c>
      <c r="G89" s="133">
        <f t="shared" si="11"/>
        <v>0</v>
      </c>
    </row>
    <row r="90" spans="1:7" ht="13.5" hidden="1" thickBot="1">
      <c r="A90" s="70">
        <f t="shared" si="12"/>
        <v>70</v>
      </c>
      <c r="B90" s="85">
        <f t="shared" si="13"/>
        <v>0</v>
      </c>
      <c r="C90" s="132">
        <f t="shared" si="7"/>
        <v>0</v>
      </c>
      <c r="D90" s="132">
        <f t="shared" si="8"/>
        <v>0</v>
      </c>
      <c r="E90" s="132">
        <f t="shared" si="9"/>
        <v>0</v>
      </c>
      <c r="F90" s="85">
        <f t="shared" si="10"/>
        <v>0</v>
      </c>
      <c r="G90" s="133">
        <f t="shared" si="11"/>
        <v>0</v>
      </c>
    </row>
    <row r="91" spans="1:7" ht="13.5" hidden="1" thickBot="1">
      <c r="A91" s="70">
        <f t="shared" si="12"/>
        <v>71</v>
      </c>
      <c r="B91" s="85">
        <f t="shared" si="13"/>
        <v>0</v>
      </c>
      <c r="C91" s="132">
        <f t="shared" si="7"/>
        <v>0</v>
      </c>
      <c r="D91" s="132">
        <f t="shared" si="8"/>
        <v>0</v>
      </c>
      <c r="E91" s="132">
        <f t="shared" si="9"/>
        <v>0</v>
      </c>
      <c r="F91" s="85">
        <f t="shared" si="10"/>
        <v>0</v>
      </c>
      <c r="G91" s="133">
        <f t="shared" si="11"/>
        <v>0</v>
      </c>
    </row>
    <row r="92" spans="1:7" ht="13.5" hidden="1" thickBot="1">
      <c r="A92" s="70">
        <f t="shared" si="12"/>
        <v>72</v>
      </c>
      <c r="B92" s="85">
        <f t="shared" si="13"/>
        <v>0</v>
      </c>
      <c r="C92" s="132">
        <f t="shared" si="7"/>
        <v>0</v>
      </c>
      <c r="D92" s="132">
        <f t="shared" si="8"/>
        <v>0</v>
      </c>
      <c r="E92" s="132">
        <f t="shared" si="9"/>
        <v>0</v>
      </c>
      <c r="F92" s="85">
        <f t="shared" si="10"/>
        <v>0</v>
      </c>
      <c r="G92" s="133">
        <f t="shared" si="11"/>
        <v>0</v>
      </c>
    </row>
    <row r="93" spans="1:7" ht="13.5" hidden="1" thickBot="1">
      <c r="A93" s="70">
        <f t="shared" si="12"/>
        <v>73</v>
      </c>
      <c r="B93" s="85">
        <f t="shared" si="13"/>
        <v>0</v>
      </c>
      <c r="C93" s="132">
        <f t="shared" si="7"/>
        <v>0</v>
      </c>
      <c r="D93" s="132">
        <f t="shared" si="8"/>
        <v>0</v>
      </c>
      <c r="E93" s="132">
        <f t="shared" si="9"/>
        <v>0</v>
      </c>
      <c r="F93" s="85">
        <f t="shared" si="10"/>
        <v>0</v>
      </c>
      <c r="G93" s="133">
        <f t="shared" si="11"/>
        <v>0</v>
      </c>
    </row>
    <row r="94" spans="1:7" ht="13.5" hidden="1" thickBot="1">
      <c r="A94" s="70">
        <f t="shared" si="12"/>
        <v>74</v>
      </c>
      <c r="B94" s="85">
        <f t="shared" si="13"/>
        <v>0</v>
      </c>
      <c r="C94" s="132">
        <f t="shared" si="7"/>
        <v>0</v>
      </c>
      <c r="D94" s="132">
        <f t="shared" si="8"/>
        <v>0</v>
      </c>
      <c r="E94" s="132">
        <f t="shared" si="9"/>
        <v>0</v>
      </c>
      <c r="F94" s="85">
        <f t="shared" si="10"/>
        <v>0</v>
      </c>
      <c r="G94" s="133">
        <f t="shared" si="11"/>
        <v>0</v>
      </c>
    </row>
    <row r="95" spans="1:7" ht="13.5" hidden="1" thickBot="1">
      <c r="A95" s="70">
        <f t="shared" si="12"/>
        <v>75</v>
      </c>
      <c r="B95" s="85">
        <f t="shared" si="13"/>
        <v>0</v>
      </c>
      <c r="C95" s="132">
        <f t="shared" si="7"/>
        <v>0</v>
      </c>
      <c r="D95" s="132">
        <f t="shared" si="8"/>
        <v>0</v>
      </c>
      <c r="E95" s="132">
        <f t="shared" si="9"/>
        <v>0</v>
      </c>
      <c r="F95" s="85">
        <f t="shared" si="10"/>
        <v>0</v>
      </c>
      <c r="G95" s="133">
        <f t="shared" si="11"/>
        <v>0</v>
      </c>
    </row>
    <row r="96" spans="1:7" ht="13.5" hidden="1" thickBot="1">
      <c r="A96" s="70">
        <f t="shared" si="12"/>
        <v>76</v>
      </c>
      <c r="B96" s="85">
        <f t="shared" si="13"/>
        <v>0</v>
      </c>
      <c r="C96" s="132">
        <f t="shared" si="7"/>
        <v>0</v>
      </c>
      <c r="D96" s="132">
        <f t="shared" si="8"/>
        <v>0</v>
      </c>
      <c r="E96" s="132">
        <f t="shared" si="9"/>
        <v>0</v>
      </c>
      <c r="F96" s="85">
        <f t="shared" si="10"/>
        <v>0</v>
      </c>
      <c r="G96" s="133">
        <f t="shared" si="11"/>
        <v>0</v>
      </c>
    </row>
    <row r="97" spans="1:7" ht="13.5" hidden="1" thickBot="1">
      <c r="A97" s="70">
        <f t="shared" si="12"/>
        <v>77</v>
      </c>
      <c r="B97" s="85">
        <f t="shared" si="13"/>
        <v>0</v>
      </c>
      <c r="C97" s="132">
        <f t="shared" si="7"/>
        <v>0</v>
      </c>
      <c r="D97" s="132">
        <f t="shared" si="8"/>
        <v>0</v>
      </c>
      <c r="E97" s="132">
        <f t="shared" si="9"/>
        <v>0</v>
      </c>
      <c r="F97" s="85">
        <f t="shared" si="10"/>
        <v>0</v>
      </c>
      <c r="G97" s="133">
        <f t="shared" si="11"/>
        <v>0</v>
      </c>
    </row>
    <row r="98" spans="1:7" ht="13.5" hidden="1" thickBot="1">
      <c r="A98" s="70">
        <f t="shared" si="12"/>
        <v>78</v>
      </c>
      <c r="B98" s="85">
        <f t="shared" si="13"/>
        <v>0</v>
      </c>
      <c r="C98" s="132">
        <f t="shared" si="7"/>
        <v>0</v>
      </c>
      <c r="D98" s="132">
        <f t="shared" si="8"/>
        <v>0</v>
      </c>
      <c r="E98" s="132">
        <f t="shared" si="9"/>
        <v>0</v>
      </c>
      <c r="F98" s="85">
        <f t="shared" si="10"/>
        <v>0</v>
      </c>
      <c r="G98" s="133">
        <f t="shared" si="11"/>
        <v>0</v>
      </c>
    </row>
    <row r="99" spans="1:7" ht="13.5" hidden="1" thickBot="1">
      <c r="A99" s="70">
        <f t="shared" si="12"/>
        <v>79</v>
      </c>
      <c r="B99" s="85">
        <f t="shared" si="13"/>
        <v>0</v>
      </c>
      <c r="C99" s="132">
        <f t="shared" si="7"/>
        <v>0</v>
      </c>
      <c r="D99" s="132">
        <f t="shared" si="8"/>
        <v>0</v>
      </c>
      <c r="E99" s="132">
        <f t="shared" si="9"/>
        <v>0</v>
      </c>
      <c r="F99" s="85">
        <f t="shared" si="10"/>
        <v>0</v>
      </c>
      <c r="G99" s="133">
        <f t="shared" si="11"/>
        <v>0</v>
      </c>
    </row>
    <row r="100" spans="1:7" ht="13.5" hidden="1" thickBot="1">
      <c r="A100" s="70">
        <f t="shared" si="12"/>
        <v>80</v>
      </c>
      <c r="B100" s="85">
        <f t="shared" si="13"/>
        <v>0</v>
      </c>
      <c r="C100" s="132">
        <f t="shared" si="7"/>
        <v>0</v>
      </c>
      <c r="D100" s="132">
        <f t="shared" si="8"/>
        <v>0</v>
      </c>
      <c r="E100" s="132">
        <f t="shared" si="9"/>
        <v>0</v>
      </c>
      <c r="F100" s="85">
        <f t="shared" si="10"/>
        <v>0</v>
      </c>
      <c r="G100" s="133">
        <f t="shared" si="11"/>
        <v>0</v>
      </c>
    </row>
    <row r="101" spans="1:7" ht="13.5" hidden="1" thickBot="1">
      <c r="A101" s="70">
        <f t="shared" si="12"/>
        <v>81</v>
      </c>
      <c r="B101" s="85">
        <f t="shared" si="13"/>
        <v>0</v>
      </c>
      <c r="C101" s="132">
        <f t="shared" si="7"/>
        <v>0</v>
      </c>
      <c r="D101" s="132">
        <f t="shared" si="8"/>
        <v>0</v>
      </c>
      <c r="E101" s="132">
        <f t="shared" si="9"/>
        <v>0</v>
      </c>
      <c r="F101" s="85">
        <f t="shared" si="10"/>
        <v>0</v>
      </c>
      <c r="G101" s="133">
        <f t="shared" si="11"/>
        <v>0</v>
      </c>
    </row>
    <row r="102" spans="1:7" ht="13.5" hidden="1" thickBot="1">
      <c r="A102" s="70">
        <f t="shared" si="12"/>
        <v>82</v>
      </c>
      <c r="B102" s="85">
        <f t="shared" si="13"/>
        <v>0</v>
      </c>
      <c r="C102" s="132">
        <f t="shared" si="7"/>
        <v>0</v>
      </c>
      <c r="D102" s="132">
        <f t="shared" si="8"/>
        <v>0</v>
      </c>
      <c r="E102" s="132">
        <f t="shared" si="9"/>
        <v>0</v>
      </c>
      <c r="F102" s="85">
        <f t="shared" si="10"/>
        <v>0</v>
      </c>
      <c r="G102" s="133">
        <f t="shared" si="11"/>
        <v>0</v>
      </c>
    </row>
    <row r="103" spans="1:7" ht="13.5" hidden="1" thickBot="1">
      <c r="A103" s="70">
        <f t="shared" si="12"/>
        <v>83</v>
      </c>
      <c r="B103" s="85">
        <f t="shared" si="13"/>
        <v>0</v>
      </c>
      <c r="C103" s="132">
        <f t="shared" si="7"/>
        <v>0</v>
      </c>
      <c r="D103" s="132">
        <f t="shared" si="8"/>
        <v>0</v>
      </c>
      <c r="E103" s="132">
        <f t="shared" si="9"/>
        <v>0</v>
      </c>
      <c r="F103" s="85">
        <f t="shared" si="10"/>
        <v>0</v>
      </c>
      <c r="G103" s="133">
        <f t="shared" si="11"/>
        <v>0</v>
      </c>
    </row>
    <row r="104" spans="1:7" ht="13.5" hidden="1" thickBot="1">
      <c r="A104" s="70">
        <f t="shared" si="12"/>
        <v>84</v>
      </c>
      <c r="B104" s="85">
        <f t="shared" si="13"/>
        <v>0</v>
      </c>
      <c r="C104" s="132">
        <f t="shared" si="7"/>
        <v>0</v>
      </c>
      <c r="D104" s="132">
        <f t="shared" si="8"/>
        <v>0</v>
      </c>
      <c r="E104" s="132">
        <f t="shared" si="9"/>
        <v>0</v>
      </c>
      <c r="F104" s="85">
        <f t="shared" si="10"/>
        <v>0</v>
      </c>
      <c r="G104" s="133">
        <f t="shared" si="11"/>
        <v>0</v>
      </c>
    </row>
    <row r="105" spans="1:7" ht="13.5" hidden="1" thickBot="1">
      <c r="A105" s="70">
        <f t="shared" si="12"/>
        <v>85</v>
      </c>
      <c r="B105" s="85">
        <f t="shared" si="13"/>
        <v>0</v>
      </c>
      <c r="C105" s="132">
        <f t="shared" si="7"/>
        <v>0</v>
      </c>
      <c r="D105" s="132">
        <f t="shared" si="8"/>
        <v>0</v>
      </c>
      <c r="E105" s="132">
        <f t="shared" si="9"/>
        <v>0</v>
      </c>
      <c r="F105" s="85">
        <f t="shared" si="10"/>
        <v>0</v>
      </c>
      <c r="G105" s="133">
        <f t="shared" si="11"/>
        <v>0</v>
      </c>
    </row>
    <row r="106" spans="1:7" ht="13.5" hidden="1" thickBot="1">
      <c r="A106" s="70">
        <f t="shared" si="12"/>
        <v>86</v>
      </c>
      <c r="B106" s="85">
        <f t="shared" si="13"/>
        <v>0</v>
      </c>
      <c r="C106" s="132">
        <f t="shared" si="7"/>
        <v>0</v>
      </c>
      <c r="D106" s="132">
        <f t="shared" si="8"/>
        <v>0</v>
      </c>
      <c r="E106" s="132">
        <f t="shared" si="9"/>
        <v>0</v>
      </c>
      <c r="F106" s="85">
        <f t="shared" si="10"/>
        <v>0</v>
      </c>
      <c r="G106" s="133">
        <f t="shared" si="11"/>
        <v>0</v>
      </c>
    </row>
    <row r="107" spans="1:7" ht="13.5" hidden="1" thickBot="1">
      <c r="A107" s="70">
        <f t="shared" si="12"/>
        <v>87</v>
      </c>
      <c r="B107" s="85">
        <f t="shared" si="13"/>
        <v>0</v>
      </c>
      <c r="C107" s="132">
        <f t="shared" si="7"/>
        <v>0</v>
      </c>
      <c r="D107" s="132">
        <f t="shared" si="8"/>
        <v>0</v>
      </c>
      <c r="E107" s="132">
        <f t="shared" si="9"/>
        <v>0</v>
      </c>
      <c r="F107" s="85">
        <f t="shared" si="10"/>
        <v>0</v>
      </c>
      <c r="G107" s="133">
        <f t="shared" si="11"/>
        <v>0</v>
      </c>
    </row>
    <row r="108" spans="1:7" ht="13.5" hidden="1" thickBot="1">
      <c r="A108" s="70">
        <f t="shared" si="12"/>
        <v>88</v>
      </c>
      <c r="B108" s="85">
        <f t="shared" si="13"/>
        <v>0</v>
      </c>
      <c r="C108" s="132">
        <f t="shared" si="7"/>
        <v>0</v>
      </c>
      <c r="D108" s="132">
        <f t="shared" si="8"/>
        <v>0</v>
      </c>
      <c r="E108" s="132">
        <f t="shared" si="9"/>
        <v>0</v>
      </c>
      <c r="F108" s="85">
        <f t="shared" si="10"/>
        <v>0</v>
      </c>
      <c r="G108" s="133">
        <f t="shared" si="11"/>
        <v>0</v>
      </c>
    </row>
    <row r="109" spans="1:7" ht="13.5" hidden="1" thickBot="1">
      <c r="A109" s="70">
        <f t="shared" si="12"/>
        <v>89</v>
      </c>
      <c r="B109" s="85">
        <f t="shared" si="13"/>
        <v>0</v>
      </c>
      <c r="C109" s="132">
        <f t="shared" si="7"/>
        <v>0</v>
      </c>
      <c r="D109" s="132">
        <f t="shared" si="8"/>
        <v>0</v>
      </c>
      <c r="E109" s="132">
        <f t="shared" si="9"/>
        <v>0</v>
      </c>
      <c r="F109" s="85">
        <f t="shared" si="10"/>
        <v>0</v>
      </c>
      <c r="G109" s="133">
        <f t="shared" si="11"/>
        <v>0</v>
      </c>
    </row>
    <row r="110" spans="1:7" ht="13.5" hidden="1" thickBot="1">
      <c r="A110" s="70">
        <f t="shared" si="12"/>
        <v>90</v>
      </c>
      <c r="B110" s="85">
        <f t="shared" si="13"/>
        <v>0</v>
      </c>
      <c r="C110" s="132">
        <f t="shared" si="7"/>
        <v>0</v>
      </c>
      <c r="D110" s="132">
        <f t="shared" si="8"/>
        <v>0</v>
      </c>
      <c r="E110" s="132">
        <f t="shared" si="9"/>
        <v>0</v>
      </c>
      <c r="F110" s="85">
        <f t="shared" si="10"/>
        <v>0</v>
      </c>
      <c r="G110" s="133">
        <f t="shared" si="11"/>
        <v>0</v>
      </c>
    </row>
    <row r="111" spans="1:7" ht="13.5" hidden="1" thickBot="1">
      <c r="A111" s="70">
        <f t="shared" si="12"/>
        <v>91</v>
      </c>
      <c r="B111" s="85">
        <f t="shared" si="13"/>
        <v>0</v>
      </c>
      <c r="C111" s="132">
        <f t="shared" si="7"/>
        <v>0</v>
      </c>
      <c r="D111" s="132">
        <f t="shared" si="8"/>
        <v>0</v>
      </c>
      <c r="E111" s="132">
        <f t="shared" si="9"/>
        <v>0</v>
      </c>
      <c r="F111" s="85">
        <f t="shared" si="10"/>
        <v>0</v>
      </c>
      <c r="G111" s="133">
        <f t="shared" si="11"/>
        <v>0</v>
      </c>
    </row>
    <row r="112" spans="1:7" ht="13.5" hidden="1" thickBot="1">
      <c r="A112" s="70">
        <f t="shared" si="12"/>
        <v>92</v>
      </c>
      <c r="B112" s="85">
        <f t="shared" si="13"/>
        <v>0</v>
      </c>
      <c r="C112" s="132">
        <f t="shared" si="7"/>
        <v>0</v>
      </c>
      <c r="D112" s="132">
        <f t="shared" si="8"/>
        <v>0</v>
      </c>
      <c r="E112" s="132">
        <f t="shared" si="9"/>
        <v>0</v>
      </c>
      <c r="F112" s="85">
        <f t="shared" si="10"/>
        <v>0</v>
      </c>
      <c r="G112" s="133">
        <f t="shared" si="11"/>
        <v>0</v>
      </c>
    </row>
    <row r="113" spans="1:7" ht="13.5" hidden="1" thickBot="1">
      <c r="A113" s="70">
        <f t="shared" si="12"/>
        <v>93</v>
      </c>
      <c r="B113" s="85">
        <f t="shared" si="13"/>
        <v>0</v>
      </c>
      <c r="C113" s="132">
        <f t="shared" si="7"/>
        <v>0</v>
      </c>
      <c r="D113" s="132">
        <f t="shared" si="8"/>
        <v>0</v>
      </c>
      <c r="E113" s="132">
        <f t="shared" si="9"/>
        <v>0</v>
      </c>
      <c r="F113" s="85">
        <f t="shared" si="10"/>
        <v>0</v>
      </c>
      <c r="G113" s="133">
        <f t="shared" si="11"/>
        <v>0</v>
      </c>
    </row>
    <row r="114" spans="1:7" ht="13.5" hidden="1" thickBot="1">
      <c r="A114" s="70">
        <f t="shared" si="12"/>
        <v>94</v>
      </c>
      <c r="B114" s="85">
        <f t="shared" si="13"/>
        <v>0</v>
      </c>
      <c r="C114" s="132">
        <f t="shared" si="7"/>
        <v>0</v>
      </c>
      <c r="D114" s="132">
        <f t="shared" si="8"/>
        <v>0</v>
      </c>
      <c r="E114" s="132">
        <f t="shared" si="9"/>
        <v>0</v>
      </c>
      <c r="F114" s="85">
        <f t="shared" si="10"/>
        <v>0</v>
      </c>
      <c r="G114" s="133">
        <f t="shared" si="11"/>
        <v>0</v>
      </c>
    </row>
    <row r="115" spans="1:7" ht="13.5" hidden="1" thickBot="1">
      <c r="A115" s="70">
        <f t="shared" si="12"/>
        <v>95</v>
      </c>
      <c r="B115" s="85">
        <f t="shared" si="13"/>
        <v>0</v>
      </c>
      <c r="C115" s="132">
        <f t="shared" si="7"/>
        <v>0</v>
      </c>
      <c r="D115" s="132">
        <f t="shared" si="8"/>
        <v>0</v>
      </c>
      <c r="E115" s="132">
        <f t="shared" si="9"/>
        <v>0</v>
      </c>
      <c r="F115" s="85">
        <f t="shared" si="10"/>
        <v>0</v>
      </c>
      <c r="G115" s="133">
        <f t="shared" si="11"/>
        <v>0</v>
      </c>
    </row>
    <row r="116" spans="1:7" ht="13.5" hidden="1" thickBot="1">
      <c r="A116" s="70">
        <f t="shared" si="12"/>
        <v>96</v>
      </c>
      <c r="B116" s="85">
        <f t="shared" si="13"/>
        <v>0</v>
      </c>
      <c r="C116" s="132">
        <f t="shared" si="7"/>
        <v>0</v>
      </c>
      <c r="D116" s="132">
        <f t="shared" si="8"/>
        <v>0</v>
      </c>
      <c r="E116" s="132">
        <f t="shared" si="9"/>
        <v>0</v>
      </c>
      <c r="F116" s="85">
        <f t="shared" si="10"/>
        <v>0</v>
      </c>
      <c r="G116" s="133">
        <f t="shared" si="11"/>
        <v>0</v>
      </c>
    </row>
    <row r="117" spans="1:7" ht="13.5" hidden="1" thickBot="1">
      <c r="A117" s="70">
        <f t="shared" si="12"/>
        <v>97</v>
      </c>
      <c r="B117" s="85">
        <f t="shared" si="13"/>
        <v>0</v>
      </c>
      <c r="C117" s="132">
        <f t="shared" si="7"/>
        <v>0</v>
      </c>
      <c r="D117" s="132">
        <f t="shared" si="8"/>
        <v>0</v>
      </c>
      <c r="E117" s="132">
        <f t="shared" si="9"/>
        <v>0</v>
      </c>
      <c r="F117" s="85">
        <f t="shared" si="10"/>
        <v>0</v>
      </c>
      <c r="G117" s="133">
        <f t="shared" si="11"/>
        <v>0</v>
      </c>
    </row>
    <row r="118" spans="1:7" ht="13.5" hidden="1" thickBot="1">
      <c r="A118" s="70">
        <f t="shared" si="12"/>
        <v>98</v>
      </c>
      <c r="B118" s="85">
        <f t="shared" si="13"/>
        <v>0</v>
      </c>
      <c r="C118" s="132">
        <f t="shared" si="7"/>
        <v>0</v>
      </c>
      <c r="D118" s="132">
        <f t="shared" si="8"/>
        <v>0</v>
      </c>
      <c r="E118" s="132">
        <f t="shared" si="9"/>
        <v>0</v>
      </c>
      <c r="F118" s="85">
        <f t="shared" si="10"/>
        <v>0</v>
      </c>
      <c r="G118" s="133">
        <f t="shared" si="11"/>
        <v>0</v>
      </c>
    </row>
    <row r="119" spans="1:7" ht="13.5" hidden="1" thickBot="1">
      <c r="A119" s="70">
        <f t="shared" si="12"/>
        <v>99</v>
      </c>
      <c r="B119" s="85">
        <f t="shared" si="13"/>
        <v>0</v>
      </c>
      <c r="C119" s="132">
        <f t="shared" si="7"/>
        <v>0</v>
      </c>
      <c r="D119" s="132">
        <f t="shared" si="8"/>
        <v>0</v>
      </c>
      <c r="E119" s="132">
        <f t="shared" si="9"/>
        <v>0</v>
      </c>
      <c r="F119" s="85">
        <f t="shared" si="10"/>
        <v>0</v>
      </c>
      <c r="G119" s="133">
        <f t="shared" si="11"/>
        <v>0</v>
      </c>
    </row>
    <row r="120" spans="1:7" ht="13.5" hidden="1" thickBot="1">
      <c r="A120" s="70">
        <f t="shared" si="12"/>
        <v>100</v>
      </c>
      <c r="B120" s="85">
        <f t="shared" si="13"/>
        <v>0</v>
      </c>
      <c r="C120" s="132">
        <f t="shared" si="7"/>
        <v>0</v>
      </c>
      <c r="D120" s="132">
        <f t="shared" si="8"/>
        <v>0</v>
      </c>
      <c r="E120" s="132">
        <f t="shared" si="9"/>
        <v>0</v>
      </c>
      <c r="F120" s="85">
        <f t="shared" si="10"/>
        <v>0</v>
      </c>
      <c r="G120" s="133">
        <f t="shared" si="11"/>
        <v>0</v>
      </c>
    </row>
    <row r="121" spans="1:7" ht="13.5" hidden="1" thickBot="1">
      <c r="A121" s="70">
        <f t="shared" si="12"/>
        <v>101</v>
      </c>
      <c r="B121" s="85">
        <f t="shared" si="13"/>
        <v>0</v>
      </c>
      <c r="C121" s="132">
        <f t="shared" si="7"/>
        <v>0</v>
      </c>
      <c r="D121" s="132">
        <f t="shared" si="8"/>
        <v>0</v>
      </c>
      <c r="E121" s="132">
        <f t="shared" si="9"/>
        <v>0</v>
      </c>
      <c r="F121" s="85">
        <f t="shared" si="10"/>
        <v>0</v>
      </c>
      <c r="G121" s="133">
        <f t="shared" si="11"/>
        <v>0</v>
      </c>
    </row>
    <row r="122" spans="1:7" ht="13.5" hidden="1" thickBot="1">
      <c r="A122" s="70">
        <f t="shared" si="12"/>
        <v>102</v>
      </c>
      <c r="B122" s="85">
        <f t="shared" si="13"/>
        <v>0</v>
      </c>
      <c r="C122" s="132">
        <f t="shared" si="7"/>
        <v>0</v>
      </c>
      <c r="D122" s="132">
        <f t="shared" si="8"/>
        <v>0</v>
      </c>
      <c r="E122" s="132">
        <f t="shared" si="9"/>
        <v>0</v>
      </c>
      <c r="F122" s="85">
        <f t="shared" si="10"/>
        <v>0</v>
      </c>
      <c r="G122" s="133">
        <f t="shared" si="11"/>
        <v>0</v>
      </c>
    </row>
    <row r="123" spans="1:7" ht="13.5" hidden="1" thickBot="1">
      <c r="A123" s="70">
        <f t="shared" si="12"/>
        <v>103</v>
      </c>
      <c r="B123" s="85">
        <f t="shared" si="13"/>
        <v>0</v>
      </c>
      <c r="C123" s="132">
        <f t="shared" si="7"/>
        <v>0</v>
      </c>
      <c r="D123" s="132">
        <f t="shared" si="8"/>
        <v>0</v>
      </c>
      <c r="E123" s="132">
        <f t="shared" si="9"/>
        <v>0</v>
      </c>
      <c r="F123" s="85">
        <f t="shared" si="10"/>
        <v>0</v>
      </c>
      <c r="G123" s="133">
        <f t="shared" si="11"/>
        <v>0</v>
      </c>
    </row>
    <row r="124" spans="1:7" ht="13.5" hidden="1" thickBot="1">
      <c r="A124" s="70">
        <f t="shared" si="12"/>
        <v>104</v>
      </c>
      <c r="B124" s="85">
        <f t="shared" si="13"/>
        <v>0</v>
      </c>
      <c r="C124" s="132">
        <f t="shared" si="7"/>
        <v>0</v>
      </c>
      <c r="D124" s="132">
        <f t="shared" si="8"/>
        <v>0</v>
      </c>
      <c r="E124" s="132">
        <f t="shared" si="9"/>
        <v>0</v>
      </c>
      <c r="F124" s="85">
        <f t="shared" si="10"/>
        <v>0</v>
      </c>
      <c r="G124" s="133">
        <f t="shared" si="11"/>
        <v>0</v>
      </c>
    </row>
    <row r="125" spans="1:7" ht="13.5" hidden="1" thickBot="1">
      <c r="A125" s="70">
        <f t="shared" si="12"/>
        <v>105</v>
      </c>
      <c r="B125" s="85">
        <f t="shared" si="13"/>
        <v>0</v>
      </c>
      <c r="C125" s="132">
        <f t="shared" si="7"/>
        <v>0</v>
      </c>
      <c r="D125" s="132">
        <f t="shared" si="8"/>
        <v>0</v>
      </c>
      <c r="E125" s="132">
        <f t="shared" si="9"/>
        <v>0</v>
      </c>
      <c r="F125" s="85">
        <f t="shared" si="10"/>
        <v>0</v>
      </c>
      <c r="G125" s="133">
        <f t="shared" si="11"/>
        <v>0</v>
      </c>
    </row>
    <row r="126" spans="1:7" ht="13.5" hidden="1" thickBot="1">
      <c r="A126" s="70">
        <f t="shared" si="12"/>
        <v>106</v>
      </c>
      <c r="B126" s="85">
        <f t="shared" si="13"/>
        <v>0</v>
      </c>
      <c r="C126" s="132">
        <f t="shared" si="7"/>
        <v>0</v>
      </c>
      <c r="D126" s="132">
        <f t="shared" si="8"/>
        <v>0</v>
      </c>
      <c r="E126" s="132">
        <f t="shared" si="9"/>
        <v>0</v>
      </c>
      <c r="F126" s="85">
        <f t="shared" si="10"/>
        <v>0</v>
      </c>
      <c r="G126" s="133">
        <f t="shared" si="11"/>
        <v>0</v>
      </c>
    </row>
    <row r="127" spans="1:7" ht="13.5" hidden="1" thickBot="1">
      <c r="A127" s="70">
        <f t="shared" si="12"/>
        <v>107</v>
      </c>
      <c r="B127" s="85">
        <f t="shared" si="13"/>
        <v>0</v>
      </c>
      <c r="C127" s="132">
        <f t="shared" si="7"/>
        <v>0</v>
      </c>
      <c r="D127" s="132">
        <f t="shared" si="8"/>
        <v>0</v>
      </c>
      <c r="E127" s="132">
        <f t="shared" si="9"/>
        <v>0</v>
      </c>
      <c r="F127" s="85">
        <f t="shared" si="10"/>
        <v>0</v>
      </c>
      <c r="G127" s="133">
        <f t="shared" si="11"/>
        <v>0</v>
      </c>
    </row>
    <row r="128" spans="1:7" ht="13.5" hidden="1" thickBot="1">
      <c r="A128" s="70">
        <f t="shared" si="12"/>
        <v>108</v>
      </c>
      <c r="B128" s="85">
        <f t="shared" si="13"/>
        <v>0</v>
      </c>
      <c r="C128" s="132">
        <f t="shared" si="7"/>
        <v>0</v>
      </c>
      <c r="D128" s="132">
        <f t="shared" si="8"/>
        <v>0</v>
      </c>
      <c r="E128" s="132">
        <f t="shared" si="9"/>
        <v>0</v>
      </c>
      <c r="F128" s="85">
        <f t="shared" si="10"/>
        <v>0</v>
      </c>
      <c r="G128" s="133">
        <f t="shared" si="11"/>
        <v>0</v>
      </c>
    </row>
    <row r="129" spans="1:7" ht="13.5" hidden="1" thickBot="1">
      <c r="A129" s="70">
        <f t="shared" si="12"/>
        <v>109</v>
      </c>
      <c r="B129" s="85">
        <f t="shared" si="13"/>
        <v>0</v>
      </c>
      <c r="C129" s="132">
        <f t="shared" si="7"/>
        <v>0</v>
      </c>
      <c r="D129" s="132">
        <f t="shared" si="8"/>
        <v>0</v>
      </c>
      <c r="E129" s="132">
        <f t="shared" si="9"/>
        <v>0</v>
      </c>
      <c r="F129" s="85">
        <f t="shared" si="10"/>
        <v>0</v>
      </c>
      <c r="G129" s="133">
        <f t="shared" si="11"/>
        <v>0</v>
      </c>
    </row>
    <row r="130" spans="1:7" ht="13.5" hidden="1" thickBot="1">
      <c r="A130" s="70">
        <f t="shared" si="12"/>
        <v>110</v>
      </c>
      <c r="B130" s="85">
        <f t="shared" si="13"/>
        <v>0</v>
      </c>
      <c r="C130" s="132">
        <f t="shared" si="7"/>
        <v>0</v>
      </c>
      <c r="D130" s="132">
        <f t="shared" si="8"/>
        <v>0</v>
      </c>
      <c r="E130" s="132">
        <f t="shared" si="9"/>
        <v>0</v>
      </c>
      <c r="F130" s="85">
        <f t="shared" si="10"/>
        <v>0</v>
      </c>
      <c r="G130" s="133">
        <f t="shared" si="11"/>
        <v>0</v>
      </c>
    </row>
    <row r="131" spans="1:7" ht="13.5" hidden="1" thickBot="1">
      <c r="A131" s="70">
        <f t="shared" si="12"/>
        <v>111</v>
      </c>
      <c r="B131" s="85">
        <f t="shared" si="13"/>
        <v>0</v>
      </c>
      <c r="C131" s="132">
        <f t="shared" si="7"/>
        <v>0</v>
      </c>
      <c r="D131" s="132">
        <f t="shared" si="8"/>
        <v>0</v>
      </c>
      <c r="E131" s="132">
        <f t="shared" si="9"/>
        <v>0</v>
      </c>
      <c r="F131" s="85">
        <f t="shared" si="10"/>
        <v>0</v>
      </c>
      <c r="G131" s="133">
        <f t="shared" si="11"/>
        <v>0</v>
      </c>
    </row>
    <row r="132" spans="1:7" ht="13.5" hidden="1" thickBot="1">
      <c r="A132" s="70">
        <f t="shared" si="12"/>
        <v>112</v>
      </c>
      <c r="B132" s="85">
        <f t="shared" si="13"/>
        <v>0</v>
      </c>
      <c r="C132" s="132">
        <f t="shared" si="7"/>
        <v>0</v>
      </c>
      <c r="D132" s="132">
        <f t="shared" si="8"/>
        <v>0</v>
      </c>
      <c r="E132" s="132">
        <f t="shared" si="9"/>
        <v>0</v>
      </c>
      <c r="F132" s="85">
        <f t="shared" si="10"/>
        <v>0</v>
      </c>
      <c r="G132" s="133">
        <f t="shared" si="11"/>
        <v>0</v>
      </c>
    </row>
    <row r="133" spans="1:7" ht="13.5" hidden="1" thickBot="1">
      <c r="A133" s="70">
        <f t="shared" si="12"/>
        <v>113</v>
      </c>
      <c r="B133" s="85">
        <f t="shared" si="13"/>
        <v>0</v>
      </c>
      <c r="C133" s="132">
        <f t="shared" si="7"/>
        <v>0</v>
      </c>
      <c r="D133" s="132">
        <f t="shared" si="8"/>
        <v>0</v>
      </c>
      <c r="E133" s="132">
        <f t="shared" si="9"/>
        <v>0</v>
      </c>
      <c r="F133" s="85">
        <f t="shared" si="10"/>
        <v>0</v>
      </c>
      <c r="G133" s="133">
        <f t="shared" si="11"/>
        <v>0</v>
      </c>
    </row>
    <row r="134" spans="1:7" ht="13.5" hidden="1" thickBot="1">
      <c r="A134" s="70">
        <f t="shared" si="12"/>
        <v>114</v>
      </c>
      <c r="B134" s="85">
        <f t="shared" si="13"/>
        <v>0</v>
      </c>
      <c r="C134" s="132">
        <f t="shared" si="7"/>
        <v>0</v>
      </c>
      <c r="D134" s="132">
        <f t="shared" si="8"/>
        <v>0</v>
      </c>
      <c r="E134" s="132">
        <f t="shared" si="9"/>
        <v>0</v>
      </c>
      <c r="F134" s="85">
        <f t="shared" si="10"/>
        <v>0</v>
      </c>
      <c r="G134" s="133">
        <f t="shared" si="11"/>
        <v>0</v>
      </c>
    </row>
    <row r="135" spans="1:7" ht="13.5" hidden="1" thickBot="1">
      <c r="A135" s="70">
        <f t="shared" si="12"/>
        <v>115</v>
      </c>
      <c r="B135" s="85">
        <f t="shared" si="13"/>
        <v>0</v>
      </c>
      <c r="C135" s="132">
        <f t="shared" si="7"/>
        <v>0</v>
      </c>
      <c r="D135" s="132">
        <f t="shared" si="8"/>
        <v>0</v>
      </c>
      <c r="E135" s="132">
        <f t="shared" si="9"/>
        <v>0</v>
      </c>
      <c r="F135" s="85">
        <f t="shared" si="10"/>
        <v>0</v>
      </c>
      <c r="G135" s="133">
        <f t="shared" si="11"/>
        <v>0</v>
      </c>
    </row>
    <row r="136" spans="1:7" ht="13.5" hidden="1" thickBot="1">
      <c r="A136" s="70">
        <f t="shared" si="12"/>
        <v>116</v>
      </c>
      <c r="B136" s="85">
        <f t="shared" si="13"/>
        <v>0</v>
      </c>
      <c r="C136" s="132">
        <f t="shared" si="7"/>
        <v>0</v>
      </c>
      <c r="D136" s="132">
        <f t="shared" si="8"/>
        <v>0</v>
      </c>
      <c r="E136" s="132">
        <f t="shared" si="9"/>
        <v>0</v>
      </c>
      <c r="F136" s="85">
        <f t="shared" si="10"/>
        <v>0</v>
      </c>
      <c r="G136" s="133">
        <f t="shared" si="11"/>
        <v>0</v>
      </c>
    </row>
    <row r="137" spans="1:7" ht="13.5" hidden="1" thickBot="1">
      <c r="A137" s="70">
        <f t="shared" si="12"/>
        <v>117</v>
      </c>
      <c r="B137" s="85">
        <f t="shared" si="13"/>
        <v>0</v>
      </c>
      <c r="C137" s="132">
        <f t="shared" si="7"/>
        <v>0</v>
      </c>
      <c r="D137" s="132">
        <f t="shared" si="8"/>
        <v>0</v>
      </c>
      <c r="E137" s="132">
        <f t="shared" si="9"/>
        <v>0</v>
      </c>
      <c r="F137" s="85">
        <f t="shared" si="10"/>
        <v>0</v>
      </c>
      <c r="G137" s="133">
        <f t="shared" si="11"/>
        <v>0</v>
      </c>
    </row>
    <row r="138" spans="1:7" ht="13.5" hidden="1" thickBot="1">
      <c r="A138" s="70">
        <f t="shared" si="12"/>
        <v>118</v>
      </c>
      <c r="B138" s="85">
        <f t="shared" si="13"/>
        <v>0</v>
      </c>
      <c r="C138" s="132">
        <f t="shared" si="7"/>
        <v>0</v>
      </c>
      <c r="D138" s="132">
        <f t="shared" si="8"/>
        <v>0</v>
      </c>
      <c r="E138" s="132">
        <f t="shared" si="9"/>
        <v>0</v>
      </c>
      <c r="F138" s="85">
        <f t="shared" si="10"/>
        <v>0</v>
      </c>
      <c r="G138" s="133">
        <f t="shared" si="11"/>
        <v>0</v>
      </c>
    </row>
    <row r="139" spans="1:7" ht="13.5" hidden="1" thickBot="1">
      <c r="A139" s="70">
        <f t="shared" si="12"/>
        <v>119</v>
      </c>
      <c r="B139" s="85">
        <f t="shared" si="13"/>
        <v>0</v>
      </c>
      <c r="C139" s="132">
        <f t="shared" si="7"/>
        <v>0</v>
      </c>
      <c r="D139" s="132">
        <f t="shared" si="8"/>
        <v>0</v>
      </c>
      <c r="E139" s="132">
        <f t="shared" si="9"/>
        <v>0</v>
      </c>
      <c r="F139" s="85">
        <f t="shared" si="10"/>
        <v>0</v>
      </c>
      <c r="G139" s="133">
        <f t="shared" si="11"/>
        <v>0</v>
      </c>
    </row>
    <row r="140" spans="1:7" ht="13.5" hidden="1" thickBot="1">
      <c r="A140" s="70">
        <f t="shared" si="12"/>
        <v>120</v>
      </c>
      <c r="B140" s="85">
        <f t="shared" si="13"/>
        <v>0</v>
      </c>
      <c r="C140" s="132">
        <f t="shared" si="7"/>
        <v>0</v>
      </c>
      <c r="D140" s="132">
        <f t="shared" si="8"/>
        <v>0</v>
      </c>
      <c r="E140" s="132">
        <f t="shared" si="9"/>
        <v>0</v>
      </c>
      <c r="F140" s="85">
        <f t="shared" si="10"/>
        <v>0</v>
      </c>
      <c r="G140" s="133">
        <f t="shared" si="11"/>
        <v>0</v>
      </c>
    </row>
    <row r="141" spans="1:7" ht="13.5" hidden="1" thickBot="1">
      <c r="A141" s="70">
        <f t="shared" si="12"/>
        <v>121</v>
      </c>
      <c r="B141" s="85">
        <f t="shared" si="13"/>
        <v>0</v>
      </c>
      <c r="C141" s="132">
        <f t="shared" si="7"/>
        <v>0</v>
      </c>
      <c r="D141" s="132">
        <f t="shared" si="8"/>
        <v>0</v>
      </c>
      <c r="E141" s="132">
        <f t="shared" si="9"/>
        <v>0</v>
      </c>
      <c r="F141" s="85">
        <f t="shared" si="10"/>
        <v>0</v>
      </c>
      <c r="G141" s="133">
        <f t="shared" si="11"/>
        <v>0</v>
      </c>
    </row>
    <row r="142" spans="1:7" ht="13.5" hidden="1" thickBot="1">
      <c r="A142" s="70">
        <f t="shared" si="12"/>
        <v>122</v>
      </c>
      <c r="B142" s="85">
        <f t="shared" si="13"/>
        <v>0</v>
      </c>
      <c r="C142" s="132">
        <f t="shared" si="7"/>
        <v>0</v>
      </c>
      <c r="D142" s="132">
        <f t="shared" si="8"/>
        <v>0</v>
      </c>
      <c r="E142" s="132">
        <f t="shared" si="9"/>
        <v>0</v>
      </c>
      <c r="F142" s="85">
        <f t="shared" si="10"/>
        <v>0</v>
      </c>
      <c r="G142" s="133">
        <f t="shared" si="11"/>
        <v>0</v>
      </c>
    </row>
    <row r="143" spans="1:7" ht="13.5" hidden="1" thickBot="1">
      <c r="A143" s="70">
        <f t="shared" si="12"/>
        <v>123</v>
      </c>
      <c r="B143" s="85">
        <f t="shared" si="13"/>
        <v>0</v>
      </c>
      <c r="C143" s="132">
        <f t="shared" si="7"/>
        <v>0</v>
      </c>
      <c r="D143" s="132">
        <f t="shared" si="8"/>
        <v>0</v>
      </c>
      <c r="E143" s="132">
        <f t="shared" si="9"/>
        <v>0</v>
      </c>
      <c r="F143" s="85">
        <f t="shared" si="10"/>
        <v>0</v>
      </c>
      <c r="G143" s="133">
        <f t="shared" si="11"/>
        <v>0</v>
      </c>
    </row>
    <row r="144" spans="1:7" ht="13.5" hidden="1" thickBot="1">
      <c r="A144" s="70">
        <f t="shared" si="12"/>
        <v>124</v>
      </c>
      <c r="B144" s="85">
        <f t="shared" si="13"/>
        <v>0</v>
      </c>
      <c r="C144" s="132">
        <f t="shared" si="7"/>
        <v>0</v>
      </c>
      <c r="D144" s="132">
        <f t="shared" si="8"/>
        <v>0</v>
      </c>
      <c r="E144" s="132">
        <f t="shared" si="9"/>
        <v>0</v>
      </c>
      <c r="F144" s="85">
        <f t="shared" si="10"/>
        <v>0</v>
      </c>
      <c r="G144" s="133">
        <f t="shared" si="11"/>
        <v>0</v>
      </c>
    </row>
    <row r="145" spans="1:7" ht="13.5" hidden="1" thickBot="1">
      <c r="A145" s="70">
        <f t="shared" si="12"/>
        <v>125</v>
      </c>
      <c r="B145" s="85">
        <f t="shared" si="13"/>
        <v>0</v>
      </c>
      <c r="C145" s="132">
        <f t="shared" si="7"/>
        <v>0</v>
      </c>
      <c r="D145" s="132">
        <f t="shared" si="8"/>
        <v>0</v>
      </c>
      <c r="E145" s="132">
        <f t="shared" si="9"/>
        <v>0</v>
      </c>
      <c r="F145" s="85">
        <f t="shared" si="10"/>
        <v>0</v>
      </c>
      <c r="G145" s="133">
        <f t="shared" si="11"/>
        <v>0</v>
      </c>
    </row>
    <row r="146" spans="1:7" ht="13.5" hidden="1" thickBot="1">
      <c r="A146" s="70">
        <f t="shared" si="12"/>
        <v>126</v>
      </c>
      <c r="B146" s="85">
        <f t="shared" si="13"/>
        <v>0</v>
      </c>
      <c r="C146" s="132">
        <f t="shared" si="7"/>
        <v>0</v>
      </c>
      <c r="D146" s="132">
        <f t="shared" si="8"/>
        <v>0</v>
      </c>
      <c r="E146" s="132">
        <f t="shared" si="9"/>
        <v>0</v>
      </c>
      <c r="F146" s="85">
        <f t="shared" si="10"/>
        <v>0</v>
      </c>
      <c r="G146" s="133">
        <f t="shared" si="11"/>
        <v>0</v>
      </c>
    </row>
    <row r="147" spans="1:7" ht="13.5" hidden="1" thickBot="1">
      <c r="A147" s="70">
        <f t="shared" si="12"/>
        <v>127</v>
      </c>
      <c r="B147" s="85">
        <f t="shared" si="13"/>
        <v>0</v>
      </c>
      <c r="C147" s="132">
        <f t="shared" si="7"/>
        <v>0</v>
      </c>
      <c r="D147" s="132">
        <f t="shared" si="8"/>
        <v>0</v>
      </c>
      <c r="E147" s="132">
        <f t="shared" si="9"/>
        <v>0</v>
      </c>
      <c r="F147" s="85">
        <f t="shared" si="10"/>
        <v>0</v>
      </c>
      <c r="G147" s="133">
        <f t="shared" si="11"/>
        <v>0</v>
      </c>
    </row>
    <row r="148" spans="1:7" ht="13.5" hidden="1" thickBot="1">
      <c r="A148" s="70">
        <f t="shared" si="12"/>
        <v>128</v>
      </c>
      <c r="B148" s="85">
        <f t="shared" si="13"/>
        <v>0</v>
      </c>
      <c r="C148" s="132">
        <f t="shared" si="7"/>
        <v>0</v>
      </c>
      <c r="D148" s="132">
        <f t="shared" si="8"/>
        <v>0</v>
      </c>
      <c r="E148" s="132">
        <f t="shared" si="9"/>
        <v>0</v>
      </c>
      <c r="F148" s="85">
        <f t="shared" si="10"/>
        <v>0</v>
      </c>
      <c r="G148" s="133">
        <f t="shared" si="11"/>
        <v>0</v>
      </c>
    </row>
    <row r="149" spans="1:7" ht="13.5" hidden="1" thickBot="1">
      <c r="A149" s="70">
        <f t="shared" si="12"/>
        <v>129</v>
      </c>
      <c r="B149" s="85">
        <f t="shared" si="13"/>
        <v>0</v>
      </c>
      <c r="C149" s="132">
        <f t="shared" ref="C149:C212" si="14">IF(A149&lt;=$D$10,D149+$D$13,0)</f>
        <v>0</v>
      </c>
      <c r="D149" s="132">
        <f t="shared" ref="D149:D212" si="15">E149+F149</f>
        <v>0</v>
      </c>
      <c r="E149" s="132">
        <f t="shared" ref="E149:E212" si="16">B149*$D$11</f>
        <v>0</v>
      </c>
      <c r="F149" s="85">
        <f t="shared" ref="F149:F212" si="17">IF(A149&lt;=$D$10,$D$12*-1,0)</f>
        <v>0</v>
      </c>
      <c r="G149" s="133">
        <f t="shared" ref="G149:G212" si="18">B149-F149</f>
        <v>0</v>
      </c>
    </row>
    <row r="150" spans="1:7" ht="13.5" hidden="1" thickBot="1">
      <c r="A150" s="70">
        <f t="shared" ref="A150:A213" si="19">A149+1</f>
        <v>130</v>
      </c>
      <c r="B150" s="85">
        <f t="shared" ref="B150:B213" si="20">B149-F149</f>
        <v>0</v>
      </c>
      <c r="C150" s="132">
        <f t="shared" si="14"/>
        <v>0</v>
      </c>
      <c r="D150" s="132">
        <f t="shared" si="15"/>
        <v>0</v>
      </c>
      <c r="E150" s="132">
        <f t="shared" si="16"/>
        <v>0</v>
      </c>
      <c r="F150" s="85">
        <f t="shared" si="17"/>
        <v>0</v>
      </c>
      <c r="G150" s="133">
        <f t="shared" si="18"/>
        <v>0</v>
      </c>
    </row>
    <row r="151" spans="1:7" ht="13.5" hidden="1" thickBot="1">
      <c r="A151" s="70">
        <f t="shared" si="19"/>
        <v>131</v>
      </c>
      <c r="B151" s="85">
        <f t="shared" si="20"/>
        <v>0</v>
      </c>
      <c r="C151" s="132">
        <f t="shared" si="14"/>
        <v>0</v>
      </c>
      <c r="D151" s="132">
        <f t="shared" si="15"/>
        <v>0</v>
      </c>
      <c r="E151" s="132">
        <f t="shared" si="16"/>
        <v>0</v>
      </c>
      <c r="F151" s="85">
        <f t="shared" si="17"/>
        <v>0</v>
      </c>
      <c r="G151" s="133">
        <f t="shared" si="18"/>
        <v>0</v>
      </c>
    </row>
    <row r="152" spans="1:7" ht="13.5" hidden="1" thickBot="1">
      <c r="A152" s="70">
        <f t="shared" si="19"/>
        <v>132</v>
      </c>
      <c r="B152" s="85">
        <f t="shared" si="20"/>
        <v>0</v>
      </c>
      <c r="C152" s="132">
        <f t="shared" si="14"/>
        <v>0</v>
      </c>
      <c r="D152" s="132">
        <f t="shared" si="15"/>
        <v>0</v>
      </c>
      <c r="E152" s="132">
        <f t="shared" si="16"/>
        <v>0</v>
      </c>
      <c r="F152" s="85">
        <f t="shared" si="17"/>
        <v>0</v>
      </c>
      <c r="G152" s="133">
        <f t="shared" si="18"/>
        <v>0</v>
      </c>
    </row>
    <row r="153" spans="1:7" ht="13.5" hidden="1" thickBot="1">
      <c r="A153" s="70">
        <f t="shared" si="19"/>
        <v>133</v>
      </c>
      <c r="B153" s="85">
        <f t="shared" si="20"/>
        <v>0</v>
      </c>
      <c r="C153" s="132">
        <f t="shared" si="14"/>
        <v>0</v>
      </c>
      <c r="D153" s="132">
        <f t="shared" si="15"/>
        <v>0</v>
      </c>
      <c r="E153" s="132">
        <f t="shared" si="16"/>
        <v>0</v>
      </c>
      <c r="F153" s="85">
        <f t="shared" si="17"/>
        <v>0</v>
      </c>
      <c r="G153" s="133">
        <f t="shared" si="18"/>
        <v>0</v>
      </c>
    </row>
    <row r="154" spans="1:7" ht="13.5" hidden="1" thickBot="1">
      <c r="A154" s="70">
        <f t="shared" si="19"/>
        <v>134</v>
      </c>
      <c r="B154" s="85">
        <f t="shared" si="20"/>
        <v>0</v>
      </c>
      <c r="C154" s="132">
        <f t="shared" si="14"/>
        <v>0</v>
      </c>
      <c r="D154" s="132">
        <f t="shared" si="15"/>
        <v>0</v>
      </c>
      <c r="E154" s="132">
        <f t="shared" si="16"/>
        <v>0</v>
      </c>
      <c r="F154" s="85">
        <f t="shared" si="17"/>
        <v>0</v>
      </c>
      <c r="G154" s="133">
        <f t="shared" si="18"/>
        <v>0</v>
      </c>
    </row>
    <row r="155" spans="1:7" ht="13.5" hidden="1" thickBot="1">
      <c r="A155" s="70">
        <f t="shared" si="19"/>
        <v>135</v>
      </c>
      <c r="B155" s="85">
        <f t="shared" si="20"/>
        <v>0</v>
      </c>
      <c r="C155" s="132">
        <f t="shared" si="14"/>
        <v>0</v>
      </c>
      <c r="D155" s="132">
        <f t="shared" si="15"/>
        <v>0</v>
      </c>
      <c r="E155" s="132">
        <f t="shared" si="16"/>
        <v>0</v>
      </c>
      <c r="F155" s="85">
        <f t="shared" si="17"/>
        <v>0</v>
      </c>
      <c r="G155" s="133">
        <f t="shared" si="18"/>
        <v>0</v>
      </c>
    </row>
    <row r="156" spans="1:7" ht="13.5" hidden="1" thickBot="1">
      <c r="A156" s="70">
        <f t="shared" si="19"/>
        <v>136</v>
      </c>
      <c r="B156" s="85">
        <f t="shared" si="20"/>
        <v>0</v>
      </c>
      <c r="C156" s="132">
        <f t="shared" si="14"/>
        <v>0</v>
      </c>
      <c r="D156" s="132">
        <f t="shared" si="15"/>
        <v>0</v>
      </c>
      <c r="E156" s="132">
        <f t="shared" si="16"/>
        <v>0</v>
      </c>
      <c r="F156" s="85">
        <f t="shared" si="17"/>
        <v>0</v>
      </c>
      <c r="G156" s="133">
        <f t="shared" si="18"/>
        <v>0</v>
      </c>
    </row>
    <row r="157" spans="1:7" ht="13.5" hidden="1" thickBot="1">
      <c r="A157" s="70">
        <f t="shared" si="19"/>
        <v>137</v>
      </c>
      <c r="B157" s="85">
        <f t="shared" si="20"/>
        <v>0</v>
      </c>
      <c r="C157" s="132">
        <f t="shared" si="14"/>
        <v>0</v>
      </c>
      <c r="D157" s="132">
        <f t="shared" si="15"/>
        <v>0</v>
      </c>
      <c r="E157" s="132">
        <f t="shared" si="16"/>
        <v>0</v>
      </c>
      <c r="F157" s="85">
        <f t="shared" si="17"/>
        <v>0</v>
      </c>
      <c r="G157" s="133">
        <f t="shared" si="18"/>
        <v>0</v>
      </c>
    </row>
    <row r="158" spans="1:7" ht="13.5" hidden="1" thickBot="1">
      <c r="A158" s="70">
        <f t="shared" si="19"/>
        <v>138</v>
      </c>
      <c r="B158" s="85">
        <f t="shared" si="20"/>
        <v>0</v>
      </c>
      <c r="C158" s="132">
        <f t="shared" si="14"/>
        <v>0</v>
      </c>
      <c r="D158" s="132">
        <f t="shared" si="15"/>
        <v>0</v>
      </c>
      <c r="E158" s="132">
        <f t="shared" si="16"/>
        <v>0</v>
      </c>
      <c r="F158" s="85">
        <f t="shared" si="17"/>
        <v>0</v>
      </c>
      <c r="G158" s="133">
        <f t="shared" si="18"/>
        <v>0</v>
      </c>
    </row>
    <row r="159" spans="1:7" ht="13.5" hidden="1" thickBot="1">
      <c r="A159" s="70">
        <f t="shared" si="19"/>
        <v>139</v>
      </c>
      <c r="B159" s="85">
        <f t="shared" si="20"/>
        <v>0</v>
      </c>
      <c r="C159" s="132">
        <f t="shared" si="14"/>
        <v>0</v>
      </c>
      <c r="D159" s="132">
        <f t="shared" si="15"/>
        <v>0</v>
      </c>
      <c r="E159" s="132">
        <f t="shared" si="16"/>
        <v>0</v>
      </c>
      <c r="F159" s="85">
        <f t="shared" si="17"/>
        <v>0</v>
      </c>
      <c r="G159" s="133">
        <f t="shared" si="18"/>
        <v>0</v>
      </c>
    </row>
    <row r="160" spans="1:7" ht="13.5" hidden="1" thickBot="1">
      <c r="A160" s="70">
        <f t="shared" si="19"/>
        <v>140</v>
      </c>
      <c r="B160" s="85">
        <f t="shared" si="20"/>
        <v>0</v>
      </c>
      <c r="C160" s="132">
        <f t="shared" si="14"/>
        <v>0</v>
      </c>
      <c r="D160" s="132">
        <f t="shared" si="15"/>
        <v>0</v>
      </c>
      <c r="E160" s="132">
        <f t="shared" si="16"/>
        <v>0</v>
      </c>
      <c r="F160" s="85">
        <f t="shared" si="17"/>
        <v>0</v>
      </c>
      <c r="G160" s="133">
        <f t="shared" si="18"/>
        <v>0</v>
      </c>
    </row>
    <row r="161" spans="1:7" ht="13.5" hidden="1" thickBot="1">
      <c r="A161" s="70">
        <f t="shared" si="19"/>
        <v>141</v>
      </c>
      <c r="B161" s="85">
        <f t="shared" si="20"/>
        <v>0</v>
      </c>
      <c r="C161" s="132">
        <f t="shared" si="14"/>
        <v>0</v>
      </c>
      <c r="D161" s="132">
        <f t="shared" si="15"/>
        <v>0</v>
      </c>
      <c r="E161" s="132">
        <f t="shared" si="16"/>
        <v>0</v>
      </c>
      <c r="F161" s="85">
        <f t="shared" si="17"/>
        <v>0</v>
      </c>
      <c r="G161" s="133">
        <f t="shared" si="18"/>
        <v>0</v>
      </c>
    </row>
    <row r="162" spans="1:7" ht="13.5" hidden="1" thickBot="1">
      <c r="A162" s="70">
        <f t="shared" si="19"/>
        <v>142</v>
      </c>
      <c r="B162" s="85">
        <f t="shared" si="20"/>
        <v>0</v>
      </c>
      <c r="C162" s="132">
        <f t="shared" si="14"/>
        <v>0</v>
      </c>
      <c r="D162" s="132">
        <f t="shared" si="15"/>
        <v>0</v>
      </c>
      <c r="E162" s="132">
        <f t="shared" si="16"/>
        <v>0</v>
      </c>
      <c r="F162" s="85">
        <f t="shared" si="17"/>
        <v>0</v>
      </c>
      <c r="G162" s="133">
        <f t="shared" si="18"/>
        <v>0</v>
      </c>
    </row>
    <row r="163" spans="1:7" ht="13.5" hidden="1" thickBot="1">
      <c r="A163" s="70">
        <f t="shared" si="19"/>
        <v>143</v>
      </c>
      <c r="B163" s="85">
        <f t="shared" si="20"/>
        <v>0</v>
      </c>
      <c r="C163" s="132">
        <f t="shared" si="14"/>
        <v>0</v>
      </c>
      <c r="D163" s="132">
        <f t="shared" si="15"/>
        <v>0</v>
      </c>
      <c r="E163" s="132">
        <f t="shared" si="16"/>
        <v>0</v>
      </c>
      <c r="F163" s="85">
        <f t="shared" si="17"/>
        <v>0</v>
      </c>
      <c r="G163" s="133">
        <f t="shared" si="18"/>
        <v>0</v>
      </c>
    </row>
    <row r="164" spans="1:7" ht="13.5" hidden="1" thickBot="1">
      <c r="A164" s="70">
        <f t="shared" si="19"/>
        <v>144</v>
      </c>
      <c r="B164" s="85">
        <f t="shared" si="20"/>
        <v>0</v>
      </c>
      <c r="C164" s="132">
        <f t="shared" si="14"/>
        <v>0</v>
      </c>
      <c r="D164" s="132">
        <f t="shared" si="15"/>
        <v>0</v>
      </c>
      <c r="E164" s="132">
        <f t="shared" si="16"/>
        <v>0</v>
      </c>
      <c r="F164" s="85">
        <f t="shared" si="17"/>
        <v>0</v>
      </c>
      <c r="G164" s="133">
        <f t="shared" si="18"/>
        <v>0</v>
      </c>
    </row>
    <row r="165" spans="1:7" ht="13.5" hidden="1" thickBot="1">
      <c r="A165" s="70">
        <f t="shared" si="19"/>
        <v>145</v>
      </c>
      <c r="B165" s="85">
        <f t="shared" si="20"/>
        <v>0</v>
      </c>
      <c r="C165" s="132">
        <f t="shared" si="14"/>
        <v>0</v>
      </c>
      <c r="D165" s="132">
        <f t="shared" si="15"/>
        <v>0</v>
      </c>
      <c r="E165" s="132">
        <f t="shared" si="16"/>
        <v>0</v>
      </c>
      <c r="F165" s="85">
        <f t="shared" si="17"/>
        <v>0</v>
      </c>
      <c r="G165" s="133">
        <f t="shared" si="18"/>
        <v>0</v>
      </c>
    </row>
    <row r="166" spans="1:7" ht="13.5" hidden="1" thickBot="1">
      <c r="A166" s="70">
        <f t="shared" si="19"/>
        <v>146</v>
      </c>
      <c r="B166" s="85">
        <f t="shared" si="20"/>
        <v>0</v>
      </c>
      <c r="C166" s="132">
        <f t="shared" si="14"/>
        <v>0</v>
      </c>
      <c r="D166" s="132">
        <f t="shared" si="15"/>
        <v>0</v>
      </c>
      <c r="E166" s="132">
        <f t="shared" si="16"/>
        <v>0</v>
      </c>
      <c r="F166" s="85">
        <f t="shared" si="17"/>
        <v>0</v>
      </c>
      <c r="G166" s="133">
        <f t="shared" si="18"/>
        <v>0</v>
      </c>
    </row>
    <row r="167" spans="1:7" ht="13.5" hidden="1" thickBot="1">
      <c r="A167" s="70">
        <f t="shared" si="19"/>
        <v>147</v>
      </c>
      <c r="B167" s="85">
        <f t="shared" si="20"/>
        <v>0</v>
      </c>
      <c r="C167" s="132">
        <f t="shared" si="14"/>
        <v>0</v>
      </c>
      <c r="D167" s="132">
        <f t="shared" si="15"/>
        <v>0</v>
      </c>
      <c r="E167" s="132">
        <f t="shared" si="16"/>
        <v>0</v>
      </c>
      <c r="F167" s="85">
        <f t="shared" si="17"/>
        <v>0</v>
      </c>
      <c r="G167" s="133">
        <f t="shared" si="18"/>
        <v>0</v>
      </c>
    </row>
    <row r="168" spans="1:7" ht="13.5" hidden="1" thickBot="1">
      <c r="A168" s="70">
        <f t="shared" si="19"/>
        <v>148</v>
      </c>
      <c r="B168" s="85">
        <f t="shared" si="20"/>
        <v>0</v>
      </c>
      <c r="C168" s="132">
        <f t="shared" si="14"/>
        <v>0</v>
      </c>
      <c r="D168" s="132">
        <f t="shared" si="15"/>
        <v>0</v>
      </c>
      <c r="E168" s="132">
        <f t="shared" si="16"/>
        <v>0</v>
      </c>
      <c r="F168" s="85">
        <f t="shared" si="17"/>
        <v>0</v>
      </c>
      <c r="G168" s="133">
        <f t="shared" si="18"/>
        <v>0</v>
      </c>
    </row>
    <row r="169" spans="1:7" ht="13.5" hidden="1" thickBot="1">
      <c r="A169" s="70">
        <f t="shared" si="19"/>
        <v>149</v>
      </c>
      <c r="B169" s="85">
        <f t="shared" si="20"/>
        <v>0</v>
      </c>
      <c r="C169" s="132">
        <f t="shared" si="14"/>
        <v>0</v>
      </c>
      <c r="D169" s="132">
        <f t="shared" si="15"/>
        <v>0</v>
      </c>
      <c r="E169" s="132">
        <f t="shared" si="16"/>
        <v>0</v>
      </c>
      <c r="F169" s="85">
        <f t="shared" si="17"/>
        <v>0</v>
      </c>
      <c r="G169" s="133">
        <f t="shared" si="18"/>
        <v>0</v>
      </c>
    </row>
    <row r="170" spans="1:7" ht="13.5" hidden="1" thickBot="1">
      <c r="A170" s="70">
        <f t="shared" si="19"/>
        <v>150</v>
      </c>
      <c r="B170" s="85">
        <f t="shared" si="20"/>
        <v>0</v>
      </c>
      <c r="C170" s="132">
        <f t="shared" si="14"/>
        <v>0</v>
      </c>
      <c r="D170" s="132">
        <f t="shared" si="15"/>
        <v>0</v>
      </c>
      <c r="E170" s="132">
        <f t="shared" si="16"/>
        <v>0</v>
      </c>
      <c r="F170" s="85">
        <f t="shared" si="17"/>
        <v>0</v>
      </c>
      <c r="G170" s="133">
        <f t="shared" si="18"/>
        <v>0</v>
      </c>
    </row>
    <row r="171" spans="1:7" ht="13.5" hidden="1" thickBot="1">
      <c r="A171" s="70">
        <f t="shared" si="19"/>
        <v>151</v>
      </c>
      <c r="B171" s="85">
        <f t="shared" si="20"/>
        <v>0</v>
      </c>
      <c r="C171" s="132">
        <f t="shared" si="14"/>
        <v>0</v>
      </c>
      <c r="D171" s="132">
        <f t="shared" si="15"/>
        <v>0</v>
      </c>
      <c r="E171" s="132">
        <f t="shared" si="16"/>
        <v>0</v>
      </c>
      <c r="F171" s="85">
        <f t="shared" si="17"/>
        <v>0</v>
      </c>
      <c r="G171" s="133">
        <f t="shared" si="18"/>
        <v>0</v>
      </c>
    </row>
    <row r="172" spans="1:7" ht="13.5" hidden="1" thickBot="1">
      <c r="A172" s="70">
        <f t="shared" si="19"/>
        <v>152</v>
      </c>
      <c r="B172" s="85">
        <f t="shared" si="20"/>
        <v>0</v>
      </c>
      <c r="C172" s="132">
        <f t="shared" si="14"/>
        <v>0</v>
      </c>
      <c r="D172" s="132">
        <f t="shared" si="15"/>
        <v>0</v>
      </c>
      <c r="E172" s="132">
        <f t="shared" si="16"/>
        <v>0</v>
      </c>
      <c r="F172" s="85">
        <f t="shared" si="17"/>
        <v>0</v>
      </c>
      <c r="G172" s="133">
        <f t="shared" si="18"/>
        <v>0</v>
      </c>
    </row>
    <row r="173" spans="1:7" ht="13.5" hidden="1" thickBot="1">
      <c r="A173" s="70">
        <f t="shared" si="19"/>
        <v>153</v>
      </c>
      <c r="B173" s="85">
        <f t="shared" si="20"/>
        <v>0</v>
      </c>
      <c r="C173" s="132">
        <f t="shared" si="14"/>
        <v>0</v>
      </c>
      <c r="D173" s="132">
        <f t="shared" si="15"/>
        <v>0</v>
      </c>
      <c r="E173" s="132">
        <f t="shared" si="16"/>
        <v>0</v>
      </c>
      <c r="F173" s="85">
        <f t="shared" si="17"/>
        <v>0</v>
      </c>
      <c r="G173" s="133">
        <f t="shared" si="18"/>
        <v>0</v>
      </c>
    </row>
    <row r="174" spans="1:7" ht="13.5" hidden="1" thickBot="1">
      <c r="A174" s="70">
        <f t="shared" si="19"/>
        <v>154</v>
      </c>
      <c r="B174" s="85">
        <f t="shared" si="20"/>
        <v>0</v>
      </c>
      <c r="C174" s="132">
        <f t="shared" si="14"/>
        <v>0</v>
      </c>
      <c r="D174" s="132">
        <f t="shared" si="15"/>
        <v>0</v>
      </c>
      <c r="E174" s="132">
        <f t="shared" si="16"/>
        <v>0</v>
      </c>
      <c r="F174" s="85">
        <f t="shared" si="17"/>
        <v>0</v>
      </c>
      <c r="G174" s="133">
        <f t="shared" si="18"/>
        <v>0</v>
      </c>
    </row>
    <row r="175" spans="1:7" ht="13.5" hidden="1" thickBot="1">
      <c r="A175" s="70">
        <f t="shared" si="19"/>
        <v>155</v>
      </c>
      <c r="B175" s="85">
        <f t="shared" si="20"/>
        <v>0</v>
      </c>
      <c r="C175" s="132">
        <f t="shared" si="14"/>
        <v>0</v>
      </c>
      <c r="D175" s="132">
        <f t="shared" si="15"/>
        <v>0</v>
      </c>
      <c r="E175" s="132">
        <f t="shared" si="16"/>
        <v>0</v>
      </c>
      <c r="F175" s="85">
        <f t="shared" si="17"/>
        <v>0</v>
      </c>
      <c r="G175" s="133">
        <f t="shared" si="18"/>
        <v>0</v>
      </c>
    </row>
    <row r="176" spans="1:7" ht="13.5" hidden="1" thickBot="1">
      <c r="A176" s="70">
        <f t="shared" si="19"/>
        <v>156</v>
      </c>
      <c r="B176" s="85">
        <f t="shared" si="20"/>
        <v>0</v>
      </c>
      <c r="C176" s="132">
        <f t="shared" si="14"/>
        <v>0</v>
      </c>
      <c r="D176" s="132">
        <f t="shared" si="15"/>
        <v>0</v>
      </c>
      <c r="E176" s="132">
        <f t="shared" si="16"/>
        <v>0</v>
      </c>
      <c r="F176" s="85">
        <f t="shared" si="17"/>
        <v>0</v>
      </c>
      <c r="G176" s="133">
        <f t="shared" si="18"/>
        <v>0</v>
      </c>
    </row>
    <row r="177" spans="1:7" ht="13.5" hidden="1" thickBot="1">
      <c r="A177" s="70">
        <f t="shared" si="19"/>
        <v>157</v>
      </c>
      <c r="B177" s="85">
        <f t="shared" si="20"/>
        <v>0</v>
      </c>
      <c r="C177" s="132">
        <f t="shared" si="14"/>
        <v>0</v>
      </c>
      <c r="D177" s="132">
        <f t="shared" si="15"/>
        <v>0</v>
      </c>
      <c r="E177" s="132">
        <f t="shared" si="16"/>
        <v>0</v>
      </c>
      <c r="F177" s="85">
        <f t="shared" si="17"/>
        <v>0</v>
      </c>
      <c r="G177" s="133">
        <f t="shared" si="18"/>
        <v>0</v>
      </c>
    </row>
    <row r="178" spans="1:7" ht="13.5" hidden="1" thickBot="1">
      <c r="A178" s="70">
        <f t="shared" si="19"/>
        <v>158</v>
      </c>
      <c r="B178" s="85">
        <f t="shared" si="20"/>
        <v>0</v>
      </c>
      <c r="C178" s="132">
        <f t="shared" si="14"/>
        <v>0</v>
      </c>
      <c r="D178" s="132">
        <f t="shared" si="15"/>
        <v>0</v>
      </c>
      <c r="E178" s="132">
        <f t="shared" si="16"/>
        <v>0</v>
      </c>
      <c r="F178" s="85">
        <f t="shared" si="17"/>
        <v>0</v>
      </c>
      <c r="G178" s="133">
        <f t="shared" si="18"/>
        <v>0</v>
      </c>
    </row>
    <row r="179" spans="1:7" ht="13.5" hidden="1" thickBot="1">
      <c r="A179" s="70">
        <f t="shared" si="19"/>
        <v>159</v>
      </c>
      <c r="B179" s="85">
        <f t="shared" si="20"/>
        <v>0</v>
      </c>
      <c r="C179" s="132">
        <f t="shared" si="14"/>
        <v>0</v>
      </c>
      <c r="D179" s="132">
        <f t="shared" si="15"/>
        <v>0</v>
      </c>
      <c r="E179" s="132">
        <f t="shared" si="16"/>
        <v>0</v>
      </c>
      <c r="F179" s="85">
        <f t="shared" si="17"/>
        <v>0</v>
      </c>
      <c r="G179" s="133">
        <f t="shared" si="18"/>
        <v>0</v>
      </c>
    </row>
    <row r="180" spans="1:7" ht="13.5" hidden="1" thickBot="1">
      <c r="A180" s="70">
        <f t="shared" si="19"/>
        <v>160</v>
      </c>
      <c r="B180" s="85">
        <f t="shared" si="20"/>
        <v>0</v>
      </c>
      <c r="C180" s="132">
        <f t="shared" si="14"/>
        <v>0</v>
      </c>
      <c r="D180" s="132">
        <f t="shared" si="15"/>
        <v>0</v>
      </c>
      <c r="E180" s="132">
        <f t="shared" si="16"/>
        <v>0</v>
      </c>
      <c r="F180" s="85">
        <f t="shared" si="17"/>
        <v>0</v>
      </c>
      <c r="G180" s="133">
        <f t="shared" si="18"/>
        <v>0</v>
      </c>
    </row>
    <row r="181" spans="1:7" ht="13.5" hidden="1" thickBot="1">
      <c r="A181" s="70">
        <f t="shared" si="19"/>
        <v>161</v>
      </c>
      <c r="B181" s="85">
        <f t="shared" si="20"/>
        <v>0</v>
      </c>
      <c r="C181" s="132">
        <f t="shared" si="14"/>
        <v>0</v>
      </c>
      <c r="D181" s="132">
        <f t="shared" si="15"/>
        <v>0</v>
      </c>
      <c r="E181" s="132">
        <f t="shared" si="16"/>
        <v>0</v>
      </c>
      <c r="F181" s="85">
        <f t="shared" si="17"/>
        <v>0</v>
      </c>
      <c r="G181" s="133">
        <f t="shared" si="18"/>
        <v>0</v>
      </c>
    </row>
    <row r="182" spans="1:7" ht="13.5" hidden="1" thickBot="1">
      <c r="A182" s="70">
        <f t="shared" si="19"/>
        <v>162</v>
      </c>
      <c r="B182" s="85">
        <f t="shared" si="20"/>
        <v>0</v>
      </c>
      <c r="C182" s="132">
        <f t="shared" si="14"/>
        <v>0</v>
      </c>
      <c r="D182" s="132">
        <f t="shared" si="15"/>
        <v>0</v>
      </c>
      <c r="E182" s="132">
        <f t="shared" si="16"/>
        <v>0</v>
      </c>
      <c r="F182" s="85">
        <f t="shared" si="17"/>
        <v>0</v>
      </c>
      <c r="G182" s="133">
        <f t="shared" si="18"/>
        <v>0</v>
      </c>
    </row>
    <row r="183" spans="1:7" ht="13.5" hidden="1" thickBot="1">
      <c r="A183" s="70">
        <f t="shared" si="19"/>
        <v>163</v>
      </c>
      <c r="B183" s="85">
        <f t="shared" si="20"/>
        <v>0</v>
      </c>
      <c r="C183" s="132">
        <f t="shared" si="14"/>
        <v>0</v>
      </c>
      <c r="D183" s="132">
        <f t="shared" si="15"/>
        <v>0</v>
      </c>
      <c r="E183" s="132">
        <f t="shared" si="16"/>
        <v>0</v>
      </c>
      <c r="F183" s="85">
        <f t="shared" si="17"/>
        <v>0</v>
      </c>
      <c r="G183" s="133">
        <f t="shared" si="18"/>
        <v>0</v>
      </c>
    </row>
    <row r="184" spans="1:7" ht="13.5" hidden="1" thickBot="1">
      <c r="A184" s="70">
        <f t="shared" si="19"/>
        <v>164</v>
      </c>
      <c r="B184" s="85">
        <f t="shared" si="20"/>
        <v>0</v>
      </c>
      <c r="C184" s="132">
        <f t="shared" si="14"/>
        <v>0</v>
      </c>
      <c r="D184" s="132">
        <f t="shared" si="15"/>
        <v>0</v>
      </c>
      <c r="E184" s="132">
        <f t="shared" si="16"/>
        <v>0</v>
      </c>
      <c r="F184" s="85">
        <f t="shared" si="17"/>
        <v>0</v>
      </c>
      <c r="G184" s="133">
        <f t="shared" si="18"/>
        <v>0</v>
      </c>
    </row>
    <row r="185" spans="1:7" ht="13.5" hidden="1" thickBot="1">
      <c r="A185" s="70">
        <f t="shared" si="19"/>
        <v>165</v>
      </c>
      <c r="B185" s="85">
        <f t="shared" si="20"/>
        <v>0</v>
      </c>
      <c r="C185" s="132">
        <f t="shared" si="14"/>
        <v>0</v>
      </c>
      <c r="D185" s="132">
        <f t="shared" si="15"/>
        <v>0</v>
      </c>
      <c r="E185" s="132">
        <f t="shared" si="16"/>
        <v>0</v>
      </c>
      <c r="F185" s="85">
        <f t="shared" si="17"/>
        <v>0</v>
      </c>
      <c r="G185" s="133">
        <f t="shared" si="18"/>
        <v>0</v>
      </c>
    </row>
    <row r="186" spans="1:7" ht="13.5" hidden="1" thickBot="1">
      <c r="A186" s="70">
        <f t="shared" si="19"/>
        <v>166</v>
      </c>
      <c r="B186" s="85">
        <f t="shared" si="20"/>
        <v>0</v>
      </c>
      <c r="C186" s="132">
        <f t="shared" si="14"/>
        <v>0</v>
      </c>
      <c r="D186" s="132">
        <f t="shared" si="15"/>
        <v>0</v>
      </c>
      <c r="E186" s="132">
        <f t="shared" si="16"/>
        <v>0</v>
      </c>
      <c r="F186" s="85">
        <f t="shared" si="17"/>
        <v>0</v>
      </c>
      <c r="G186" s="133">
        <f t="shared" si="18"/>
        <v>0</v>
      </c>
    </row>
    <row r="187" spans="1:7" ht="13.5" hidden="1" thickBot="1">
      <c r="A187" s="70">
        <f t="shared" si="19"/>
        <v>167</v>
      </c>
      <c r="B187" s="85">
        <f t="shared" si="20"/>
        <v>0</v>
      </c>
      <c r="C187" s="132">
        <f t="shared" si="14"/>
        <v>0</v>
      </c>
      <c r="D187" s="132">
        <f t="shared" si="15"/>
        <v>0</v>
      </c>
      <c r="E187" s="132">
        <f t="shared" si="16"/>
        <v>0</v>
      </c>
      <c r="F187" s="85">
        <f t="shared" si="17"/>
        <v>0</v>
      </c>
      <c r="G187" s="133">
        <f t="shared" si="18"/>
        <v>0</v>
      </c>
    </row>
    <row r="188" spans="1:7" ht="13.5" hidden="1" thickBot="1">
      <c r="A188" s="70">
        <f t="shared" si="19"/>
        <v>168</v>
      </c>
      <c r="B188" s="85">
        <f t="shared" si="20"/>
        <v>0</v>
      </c>
      <c r="C188" s="132">
        <f t="shared" si="14"/>
        <v>0</v>
      </c>
      <c r="D188" s="132">
        <f t="shared" si="15"/>
        <v>0</v>
      </c>
      <c r="E188" s="132">
        <f t="shared" si="16"/>
        <v>0</v>
      </c>
      <c r="F188" s="85">
        <f t="shared" si="17"/>
        <v>0</v>
      </c>
      <c r="G188" s="133">
        <f t="shared" si="18"/>
        <v>0</v>
      </c>
    </row>
    <row r="189" spans="1:7" ht="13.5" hidden="1" thickBot="1">
      <c r="A189" s="70">
        <f t="shared" si="19"/>
        <v>169</v>
      </c>
      <c r="B189" s="85">
        <f t="shared" si="20"/>
        <v>0</v>
      </c>
      <c r="C189" s="132">
        <f t="shared" si="14"/>
        <v>0</v>
      </c>
      <c r="D189" s="132">
        <f t="shared" si="15"/>
        <v>0</v>
      </c>
      <c r="E189" s="132">
        <f t="shared" si="16"/>
        <v>0</v>
      </c>
      <c r="F189" s="85">
        <f t="shared" si="17"/>
        <v>0</v>
      </c>
      <c r="G189" s="133">
        <f t="shared" si="18"/>
        <v>0</v>
      </c>
    </row>
    <row r="190" spans="1:7" ht="13.5" hidden="1" thickBot="1">
      <c r="A190" s="70">
        <f t="shared" si="19"/>
        <v>170</v>
      </c>
      <c r="B190" s="85">
        <f t="shared" si="20"/>
        <v>0</v>
      </c>
      <c r="C190" s="132">
        <f t="shared" si="14"/>
        <v>0</v>
      </c>
      <c r="D190" s="132">
        <f t="shared" si="15"/>
        <v>0</v>
      </c>
      <c r="E190" s="132">
        <f t="shared" si="16"/>
        <v>0</v>
      </c>
      <c r="F190" s="85">
        <f t="shared" si="17"/>
        <v>0</v>
      </c>
      <c r="G190" s="133">
        <f t="shared" si="18"/>
        <v>0</v>
      </c>
    </row>
    <row r="191" spans="1:7" ht="13.5" hidden="1" thickBot="1">
      <c r="A191" s="70">
        <f t="shared" si="19"/>
        <v>171</v>
      </c>
      <c r="B191" s="85">
        <f t="shared" si="20"/>
        <v>0</v>
      </c>
      <c r="C191" s="132">
        <f t="shared" si="14"/>
        <v>0</v>
      </c>
      <c r="D191" s="132">
        <f t="shared" si="15"/>
        <v>0</v>
      </c>
      <c r="E191" s="132">
        <f t="shared" si="16"/>
        <v>0</v>
      </c>
      <c r="F191" s="85">
        <f t="shared" si="17"/>
        <v>0</v>
      </c>
      <c r="G191" s="133">
        <f t="shared" si="18"/>
        <v>0</v>
      </c>
    </row>
    <row r="192" spans="1:7" ht="13.5" hidden="1" thickBot="1">
      <c r="A192" s="70">
        <f t="shared" si="19"/>
        <v>172</v>
      </c>
      <c r="B192" s="85">
        <f t="shared" si="20"/>
        <v>0</v>
      </c>
      <c r="C192" s="132">
        <f t="shared" si="14"/>
        <v>0</v>
      </c>
      <c r="D192" s="132">
        <f t="shared" si="15"/>
        <v>0</v>
      </c>
      <c r="E192" s="132">
        <f t="shared" si="16"/>
        <v>0</v>
      </c>
      <c r="F192" s="85">
        <f t="shared" si="17"/>
        <v>0</v>
      </c>
      <c r="G192" s="133">
        <f t="shared" si="18"/>
        <v>0</v>
      </c>
    </row>
    <row r="193" spans="1:7" ht="13.5" hidden="1" thickBot="1">
      <c r="A193" s="70">
        <f t="shared" si="19"/>
        <v>173</v>
      </c>
      <c r="B193" s="85">
        <f t="shared" si="20"/>
        <v>0</v>
      </c>
      <c r="C193" s="132">
        <f t="shared" si="14"/>
        <v>0</v>
      </c>
      <c r="D193" s="132">
        <f t="shared" si="15"/>
        <v>0</v>
      </c>
      <c r="E193" s="132">
        <f t="shared" si="16"/>
        <v>0</v>
      </c>
      <c r="F193" s="85">
        <f t="shared" si="17"/>
        <v>0</v>
      </c>
      <c r="G193" s="133">
        <f t="shared" si="18"/>
        <v>0</v>
      </c>
    </row>
    <row r="194" spans="1:7" ht="13.5" hidden="1" thickBot="1">
      <c r="A194" s="70">
        <f t="shared" si="19"/>
        <v>174</v>
      </c>
      <c r="B194" s="85">
        <f t="shared" si="20"/>
        <v>0</v>
      </c>
      <c r="C194" s="132">
        <f t="shared" si="14"/>
        <v>0</v>
      </c>
      <c r="D194" s="132">
        <f t="shared" si="15"/>
        <v>0</v>
      </c>
      <c r="E194" s="132">
        <f t="shared" si="16"/>
        <v>0</v>
      </c>
      <c r="F194" s="85">
        <f t="shared" si="17"/>
        <v>0</v>
      </c>
      <c r="G194" s="133">
        <f t="shared" si="18"/>
        <v>0</v>
      </c>
    </row>
    <row r="195" spans="1:7" ht="13.5" hidden="1" thickBot="1">
      <c r="A195" s="70">
        <f t="shared" si="19"/>
        <v>175</v>
      </c>
      <c r="B195" s="85">
        <f t="shared" si="20"/>
        <v>0</v>
      </c>
      <c r="C195" s="132">
        <f t="shared" si="14"/>
        <v>0</v>
      </c>
      <c r="D195" s="132">
        <f t="shared" si="15"/>
        <v>0</v>
      </c>
      <c r="E195" s="132">
        <f t="shared" si="16"/>
        <v>0</v>
      </c>
      <c r="F195" s="85">
        <f t="shared" si="17"/>
        <v>0</v>
      </c>
      <c r="G195" s="133">
        <f t="shared" si="18"/>
        <v>0</v>
      </c>
    </row>
    <row r="196" spans="1:7" ht="13.5" hidden="1" thickBot="1">
      <c r="A196" s="70">
        <f t="shared" si="19"/>
        <v>176</v>
      </c>
      <c r="B196" s="85">
        <f t="shared" si="20"/>
        <v>0</v>
      </c>
      <c r="C196" s="132">
        <f t="shared" si="14"/>
        <v>0</v>
      </c>
      <c r="D196" s="132">
        <f t="shared" si="15"/>
        <v>0</v>
      </c>
      <c r="E196" s="132">
        <f t="shared" si="16"/>
        <v>0</v>
      </c>
      <c r="F196" s="85">
        <f t="shared" si="17"/>
        <v>0</v>
      </c>
      <c r="G196" s="133">
        <f t="shared" si="18"/>
        <v>0</v>
      </c>
    </row>
    <row r="197" spans="1:7" ht="13.5" hidden="1" thickBot="1">
      <c r="A197" s="70">
        <f t="shared" si="19"/>
        <v>177</v>
      </c>
      <c r="B197" s="85">
        <f t="shared" si="20"/>
        <v>0</v>
      </c>
      <c r="C197" s="132">
        <f t="shared" si="14"/>
        <v>0</v>
      </c>
      <c r="D197" s="132">
        <f t="shared" si="15"/>
        <v>0</v>
      </c>
      <c r="E197" s="132">
        <f t="shared" si="16"/>
        <v>0</v>
      </c>
      <c r="F197" s="85">
        <f t="shared" si="17"/>
        <v>0</v>
      </c>
      <c r="G197" s="133">
        <f t="shared" si="18"/>
        <v>0</v>
      </c>
    </row>
    <row r="198" spans="1:7" ht="13.5" hidden="1" thickBot="1">
      <c r="A198" s="70">
        <f t="shared" si="19"/>
        <v>178</v>
      </c>
      <c r="B198" s="85">
        <f t="shared" si="20"/>
        <v>0</v>
      </c>
      <c r="C198" s="132">
        <f t="shared" si="14"/>
        <v>0</v>
      </c>
      <c r="D198" s="132">
        <f t="shared" si="15"/>
        <v>0</v>
      </c>
      <c r="E198" s="132">
        <f t="shared" si="16"/>
        <v>0</v>
      </c>
      <c r="F198" s="85">
        <f t="shared" si="17"/>
        <v>0</v>
      </c>
      <c r="G198" s="133">
        <f t="shared" si="18"/>
        <v>0</v>
      </c>
    </row>
    <row r="199" spans="1:7" ht="13.5" hidden="1" thickBot="1">
      <c r="A199" s="70">
        <f t="shared" si="19"/>
        <v>179</v>
      </c>
      <c r="B199" s="85">
        <f t="shared" si="20"/>
        <v>0</v>
      </c>
      <c r="C199" s="132">
        <f t="shared" si="14"/>
        <v>0</v>
      </c>
      <c r="D199" s="132">
        <f t="shared" si="15"/>
        <v>0</v>
      </c>
      <c r="E199" s="132">
        <f t="shared" si="16"/>
        <v>0</v>
      </c>
      <c r="F199" s="85">
        <f t="shared" si="17"/>
        <v>0</v>
      </c>
      <c r="G199" s="133">
        <f t="shared" si="18"/>
        <v>0</v>
      </c>
    </row>
    <row r="200" spans="1:7" ht="13.5" hidden="1" thickBot="1">
      <c r="A200" s="70">
        <f t="shared" si="19"/>
        <v>180</v>
      </c>
      <c r="B200" s="85">
        <f t="shared" si="20"/>
        <v>0</v>
      </c>
      <c r="C200" s="132">
        <f t="shared" si="14"/>
        <v>0</v>
      </c>
      <c r="D200" s="132">
        <f t="shared" si="15"/>
        <v>0</v>
      </c>
      <c r="E200" s="132">
        <f t="shared" si="16"/>
        <v>0</v>
      </c>
      <c r="F200" s="85">
        <f t="shared" si="17"/>
        <v>0</v>
      </c>
      <c r="G200" s="133">
        <f t="shared" si="18"/>
        <v>0</v>
      </c>
    </row>
    <row r="201" spans="1:7" ht="13.5" hidden="1" thickBot="1">
      <c r="A201" s="70">
        <f t="shared" si="19"/>
        <v>181</v>
      </c>
      <c r="B201" s="85">
        <f t="shared" si="20"/>
        <v>0</v>
      </c>
      <c r="C201" s="132">
        <f t="shared" si="14"/>
        <v>0</v>
      </c>
      <c r="D201" s="132">
        <f t="shared" si="15"/>
        <v>0</v>
      </c>
      <c r="E201" s="132">
        <f t="shared" si="16"/>
        <v>0</v>
      </c>
      <c r="F201" s="85">
        <f t="shared" si="17"/>
        <v>0</v>
      </c>
      <c r="G201" s="133">
        <f t="shared" si="18"/>
        <v>0</v>
      </c>
    </row>
    <row r="202" spans="1:7" ht="13.5" hidden="1" thickBot="1">
      <c r="A202" s="70">
        <f t="shared" si="19"/>
        <v>182</v>
      </c>
      <c r="B202" s="85">
        <f t="shared" si="20"/>
        <v>0</v>
      </c>
      <c r="C202" s="132">
        <f t="shared" si="14"/>
        <v>0</v>
      </c>
      <c r="D202" s="132">
        <f t="shared" si="15"/>
        <v>0</v>
      </c>
      <c r="E202" s="132">
        <f t="shared" si="16"/>
        <v>0</v>
      </c>
      <c r="F202" s="85">
        <f t="shared" si="17"/>
        <v>0</v>
      </c>
      <c r="G202" s="133">
        <f t="shared" si="18"/>
        <v>0</v>
      </c>
    </row>
    <row r="203" spans="1:7" ht="13.5" hidden="1" thickBot="1">
      <c r="A203" s="70">
        <f t="shared" si="19"/>
        <v>183</v>
      </c>
      <c r="B203" s="85">
        <f t="shared" si="20"/>
        <v>0</v>
      </c>
      <c r="C203" s="132">
        <f t="shared" si="14"/>
        <v>0</v>
      </c>
      <c r="D203" s="132">
        <f t="shared" si="15"/>
        <v>0</v>
      </c>
      <c r="E203" s="132">
        <f t="shared" si="16"/>
        <v>0</v>
      </c>
      <c r="F203" s="85">
        <f t="shared" si="17"/>
        <v>0</v>
      </c>
      <c r="G203" s="133">
        <f t="shared" si="18"/>
        <v>0</v>
      </c>
    </row>
    <row r="204" spans="1:7" ht="13.5" hidden="1" thickBot="1">
      <c r="A204" s="70">
        <f t="shared" si="19"/>
        <v>184</v>
      </c>
      <c r="B204" s="85">
        <f t="shared" si="20"/>
        <v>0</v>
      </c>
      <c r="C204" s="132">
        <f t="shared" si="14"/>
        <v>0</v>
      </c>
      <c r="D204" s="132">
        <f t="shared" si="15"/>
        <v>0</v>
      </c>
      <c r="E204" s="132">
        <f t="shared" si="16"/>
        <v>0</v>
      </c>
      <c r="F204" s="85">
        <f t="shared" si="17"/>
        <v>0</v>
      </c>
      <c r="G204" s="133">
        <f t="shared" si="18"/>
        <v>0</v>
      </c>
    </row>
    <row r="205" spans="1:7" ht="13.5" hidden="1" thickBot="1">
      <c r="A205" s="70">
        <f t="shared" si="19"/>
        <v>185</v>
      </c>
      <c r="B205" s="85">
        <f t="shared" si="20"/>
        <v>0</v>
      </c>
      <c r="C205" s="132">
        <f t="shared" si="14"/>
        <v>0</v>
      </c>
      <c r="D205" s="132">
        <f t="shared" si="15"/>
        <v>0</v>
      </c>
      <c r="E205" s="132">
        <f t="shared" si="16"/>
        <v>0</v>
      </c>
      <c r="F205" s="85">
        <f t="shared" si="17"/>
        <v>0</v>
      </c>
      <c r="G205" s="133">
        <f t="shared" si="18"/>
        <v>0</v>
      </c>
    </row>
    <row r="206" spans="1:7" ht="13.5" hidden="1" thickBot="1">
      <c r="A206" s="70">
        <f t="shared" si="19"/>
        <v>186</v>
      </c>
      <c r="B206" s="85">
        <f t="shared" si="20"/>
        <v>0</v>
      </c>
      <c r="C206" s="132">
        <f t="shared" si="14"/>
        <v>0</v>
      </c>
      <c r="D206" s="132">
        <f t="shared" si="15"/>
        <v>0</v>
      </c>
      <c r="E206" s="132">
        <f t="shared" si="16"/>
        <v>0</v>
      </c>
      <c r="F206" s="85">
        <f t="shared" si="17"/>
        <v>0</v>
      </c>
      <c r="G206" s="133">
        <f t="shared" si="18"/>
        <v>0</v>
      </c>
    </row>
    <row r="207" spans="1:7" ht="13.5" hidden="1" thickBot="1">
      <c r="A207" s="70">
        <f t="shared" si="19"/>
        <v>187</v>
      </c>
      <c r="B207" s="85">
        <f t="shared" si="20"/>
        <v>0</v>
      </c>
      <c r="C207" s="132">
        <f t="shared" si="14"/>
        <v>0</v>
      </c>
      <c r="D207" s="132">
        <f t="shared" si="15"/>
        <v>0</v>
      </c>
      <c r="E207" s="132">
        <f t="shared" si="16"/>
        <v>0</v>
      </c>
      <c r="F207" s="85">
        <f t="shared" si="17"/>
        <v>0</v>
      </c>
      <c r="G207" s="133">
        <f t="shared" si="18"/>
        <v>0</v>
      </c>
    </row>
    <row r="208" spans="1:7" ht="13.5" hidden="1" thickBot="1">
      <c r="A208" s="70">
        <f t="shared" si="19"/>
        <v>188</v>
      </c>
      <c r="B208" s="85">
        <f t="shared" si="20"/>
        <v>0</v>
      </c>
      <c r="C208" s="132">
        <f t="shared" si="14"/>
        <v>0</v>
      </c>
      <c r="D208" s="132">
        <f t="shared" si="15"/>
        <v>0</v>
      </c>
      <c r="E208" s="132">
        <f t="shared" si="16"/>
        <v>0</v>
      </c>
      <c r="F208" s="85">
        <f t="shared" si="17"/>
        <v>0</v>
      </c>
      <c r="G208" s="133">
        <f t="shared" si="18"/>
        <v>0</v>
      </c>
    </row>
    <row r="209" spans="1:7" ht="13.5" hidden="1" thickBot="1">
      <c r="A209" s="70">
        <f t="shared" si="19"/>
        <v>189</v>
      </c>
      <c r="B209" s="85">
        <f t="shared" si="20"/>
        <v>0</v>
      </c>
      <c r="C209" s="132">
        <f t="shared" si="14"/>
        <v>0</v>
      </c>
      <c r="D209" s="132">
        <f t="shared" si="15"/>
        <v>0</v>
      </c>
      <c r="E209" s="132">
        <f t="shared" si="16"/>
        <v>0</v>
      </c>
      <c r="F209" s="85">
        <f t="shared" si="17"/>
        <v>0</v>
      </c>
      <c r="G209" s="133">
        <f t="shared" si="18"/>
        <v>0</v>
      </c>
    </row>
    <row r="210" spans="1:7" ht="13.5" hidden="1" thickBot="1">
      <c r="A210" s="70">
        <f t="shared" si="19"/>
        <v>190</v>
      </c>
      <c r="B210" s="85">
        <f t="shared" si="20"/>
        <v>0</v>
      </c>
      <c r="C210" s="132">
        <f t="shared" si="14"/>
        <v>0</v>
      </c>
      <c r="D210" s="132">
        <f t="shared" si="15"/>
        <v>0</v>
      </c>
      <c r="E210" s="132">
        <f t="shared" si="16"/>
        <v>0</v>
      </c>
      <c r="F210" s="85">
        <f t="shared" si="17"/>
        <v>0</v>
      </c>
      <c r="G210" s="133">
        <f t="shared" si="18"/>
        <v>0</v>
      </c>
    </row>
    <row r="211" spans="1:7" ht="13.5" hidden="1" thickBot="1">
      <c r="A211" s="70">
        <f t="shared" si="19"/>
        <v>191</v>
      </c>
      <c r="B211" s="85">
        <f t="shared" si="20"/>
        <v>0</v>
      </c>
      <c r="C211" s="132">
        <f t="shared" si="14"/>
        <v>0</v>
      </c>
      <c r="D211" s="132">
        <f t="shared" si="15"/>
        <v>0</v>
      </c>
      <c r="E211" s="132">
        <f t="shared" si="16"/>
        <v>0</v>
      </c>
      <c r="F211" s="85">
        <f t="shared" si="17"/>
        <v>0</v>
      </c>
      <c r="G211" s="133">
        <f t="shared" si="18"/>
        <v>0</v>
      </c>
    </row>
    <row r="212" spans="1:7" ht="13.5" hidden="1" thickBot="1">
      <c r="A212" s="70">
        <f t="shared" si="19"/>
        <v>192</v>
      </c>
      <c r="B212" s="85">
        <f t="shared" si="20"/>
        <v>0</v>
      </c>
      <c r="C212" s="132">
        <f t="shared" si="14"/>
        <v>0</v>
      </c>
      <c r="D212" s="132">
        <f t="shared" si="15"/>
        <v>0</v>
      </c>
      <c r="E212" s="132">
        <f t="shared" si="16"/>
        <v>0</v>
      </c>
      <c r="F212" s="85">
        <f t="shared" si="17"/>
        <v>0</v>
      </c>
      <c r="G212" s="133">
        <f t="shared" si="18"/>
        <v>0</v>
      </c>
    </row>
    <row r="213" spans="1:7" ht="13.5" hidden="1" thickBot="1">
      <c r="A213" s="70">
        <f t="shared" si="19"/>
        <v>193</v>
      </c>
      <c r="B213" s="85">
        <f t="shared" si="20"/>
        <v>0</v>
      </c>
      <c r="C213" s="132">
        <f t="shared" ref="C213:C276" si="21">IF(A213&lt;=$D$10,D213+$D$13,0)</f>
        <v>0</v>
      </c>
      <c r="D213" s="132">
        <f t="shared" ref="D213:D276" si="22">E213+F213</f>
        <v>0</v>
      </c>
      <c r="E213" s="132">
        <f t="shared" ref="E213:E276" si="23">B213*$D$11</f>
        <v>0</v>
      </c>
      <c r="F213" s="85">
        <f t="shared" ref="F213:F276" si="24">IF(A213&lt;=$D$10,$D$12*-1,0)</f>
        <v>0</v>
      </c>
      <c r="G213" s="133">
        <f t="shared" ref="G213:G276" si="25">B213-F213</f>
        <v>0</v>
      </c>
    </row>
    <row r="214" spans="1:7" ht="13.5" hidden="1" thickBot="1">
      <c r="A214" s="70">
        <f t="shared" ref="A214:A277" si="26">A213+1</f>
        <v>194</v>
      </c>
      <c r="B214" s="85">
        <f t="shared" ref="B214:B277" si="27">B213-F213</f>
        <v>0</v>
      </c>
      <c r="C214" s="132">
        <f t="shared" si="21"/>
        <v>0</v>
      </c>
      <c r="D214" s="132">
        <f t="shared" si="22"/>
        <v>0</v>
      </c>
      <c r="E214" s="132">
        <f t="shared" si="23"/>
        <v>0</v>
      </c>
      <c r="F214" s="85">
        <f t="shared" si="24"/>
        <v>0</v>
      </c>
      <c r="G214" s="133">
        <f t="shared" si="25"/>
        <v>0</v>
      </c>
    </row>
    <row r="215" spans="1:7" ht="13.5" hidden="1" thickBot="1">
      <c r="A215" s="70">
        <f t="shared" si="26"/>
        <v>195</v>
      </c>
      <c r="B215" s="85">
        <f t="shared" si="27"/>
        <v>0</v>
      </c>
      <c r="C215" s="132">
        <f t="shared" si="21"/>
        <v>0</v>
      </c>
      <c r="D215" s="132">
        <f t="shared" si="22"/>
        <v>0</v>
      </c>
      <c r="E215" s="132">
        <f t="shared" si="23"/>
        <v>0</v>
      </c>
      <c r="F215" s="85">
        <f t="shared" si="24"/>
        <v>0</v>
      </c>
      <c r="G215" s="133">
        <f t="shared" si="25"/>
        <v>0</v>
      </c>
    </row>
    <row r="216" spans="1:7" ht="13.5" hidden="1" thickBot="1">
      <c r="A216" s="70">
        <f t="shared" si="26"/>
        <v>196</v>
      </c>
      <c r="B216" s="85">
        <f t="shared" si="27"/>
        <v>0</v>
      </c>
      <c r="C216" s="132">
        <f t="shared" si="21"/>
        <v>0</v>
      </c>
      <c r="D216" s="132">
        <f t="shared" si="22"/>
        <v>0</v>
      </c>
      <c r="E216" s="132">
        <f t="shared" si="23"/>
        <v>0</v>
      </c>
      <c r="F216" s="85">
        <f t="shared" si="24"/>
        <v>0</v>
      </c>
      <c r="G216" s="133">
        <f t="shared" si="25"/>
        <v>0</v>
      </c>
    </row>
    <row r="217" spans="1:7" ht="13.5" hidden="1" thickBot="1">
      <c r="A217" s="70">
        <f t="shared" si="26"/>
        <v>197</v>
      </c>
      <c r="B217" s="85">
        <f t="shared" si="27"/>
        <v>0</v>
      </c>
      <c r="C217" s="132">
        <f t="shared" si="21"/>
        <v>0</v>
      </c>
      <c r="D217" s="132">
        <f t="shared" si="22"/>
        <v>0</v>
      </c>
      <c r="E217" s="132">
        <f t="shared" si="23"/>
        <v>0</v>
      </c>
      <c r="F217" s="85">
        <f t="shared" si="24"/>
        <v>0</v>
      </c>
      <c r="G217" s="133">
        <f t="shared" si="25"/>
        <v>0</v>
      </c>
    </row>
    <row r="218" spans="1:7" ht="13.5" hidden="1" thickBot="1">
      <c r="A218" s="70">
        <f t="shared" si="26"/>
        <v>198</v>
      </c>
      <c r="B218" s="85">
        <f t="shared" si="27"/>
        <v>0</v>
      </c>
      <c r="C218" s="132">
        <f t="shared" si="21"/>
        <v>0</v>
      </c>
      <c r="D218" s="132">
        <f t="shared" si="22"/>
        <v>0</v>
      </c>
      <c r="E218" s="132">
        <f t="shared" si="23"/>
        <v>0</v>
      </c>
      <c r="F218" s="85">
        <f t="shared" si="24"/>
        <v>0</v>
      </c>
      <c r="G218" s="133">
        <f t="shared" si="25"/>
        <v>0</v>
      </c>
    </row>
    <row r="219" spans="1:7" ht="13.5" hidden="1" thickBot="1">
      <c r="A219" s="70">
        <f t="shared" si="26"/>
        <v>199</v>
      </c>
      <c r="B219" s="85">
        <f t="shared" si="27"/>
        <v>0</v>
      </c>
      <c r="C219" s="132">
        <f t="shared" si="21"/>
        <v>0</v>
      </c>
      <c r="D219" s="132">
        <f t="shared" si="22"/>
        <v>0</v>
      </c>
      <c r="E219" s="132">
        <f t="shared" si="23"/>
        <v>0</v>
      </c>
      <c r="F219" s="85">
        <f t="shared" si="24"/>
        <v>0</v>
      </c>
      <c r="G219" s="133">
        <f t="shared" si="25"/>
        <v>0</v>
      </c>
    </row>
    <row r="220" spans="1:7" ht="13.5" hidden="1" thickBot="1">
      <c r="A220" s="70">
        <f t="shared" si="26"/>
        <v>200</v>
      </c>
      <c r="B220" s="85">
        <f t="shared" si="27"/>
        <v>0</v>
      </c>
      <c r="C220" s="132">
        <f t="shared" si="21"/>
        <v>0</v>
      </c>
      <c r="D220" s="132">
        <f t="shared" si="22"/>
        <v>0</v>
      </c>
      <c r="E220" s="132">
        <f t="shared" si="23"/>
        <v>0</v>
      </c>
      <c r="F220" s="85">
        <f t="shared" si="24"/>
        <v>0</v>
      </c>
      <c r="G220" s="133">
        <f t="shared" si="25"/>
        <v>0</v>
      </c>
    </row>
    <row r="221" spans="1:7" ht="13.5" hidden="1" thickBot="1">
      <c r="A221" s="70">
        <f t="shared" si="26"/>
        <v>201</v>
      </c>
      <c r="B221" s="85">
        <f t="shared" si="27"/>
        <v>0</v>
      </c>
      <c r="C221" s="132">
        <f t="shared" si="21"/>
        <v>0</v>
      </c>
      <c r="D221" s="132">
        <f t="shared" si="22"/>
        <v>0</v>
      </c>
      <c r="E221" s="132">
        <f t="shared" si="23"/>
        <v>0</v>
      </c>
      <c r="F221" s="85">
        <f t="shared" si="24"/>
        <v>0</v>
      </c>
      <c r="G221" s="133">
        <f t="shared" si="25"/>
        <v>0</v>
      </c>
    </row>
    <row r="222" spans="1:7" ht="13.5" hidden="1" thickBot="1">
      <c r="A222" s="70">
        <f t="shared" si="26"/>
        <v>202</v>
      </c>
      <c r="B222" s="85">
        <f t="shared" si="27"/>
        <v>0</v>
      </c>
      <c r="C222" s="132">
        <f t="shared" si="21"/>
        <v>0</v>
      </c>
      <c r="D222" s="132">
        <f t="shared" si="22"/>
        <v>0</v>
      </c>
      <c r="E222" s="132">
        <f t="shared" si="23"/>
        <v>0</v>
      </c>
      <c r="F222" s="85">
        <f t="shared" si="24"/>
        <v>0</v>
      </c>
      <c r="G222" s="133">
        <f t="shared" si="25"/>
        <v>0</v>
      </c>
    </row>
    <row r="223" spans="1:7" ht="13.5" hidden="1" thickBot="1">
      <c r="A223" s="70">
        <f t="shared" si="26"/>
        <v>203</v>
      </c>
      <c r="B223" s="85">
        <f t="shared" si="27"/>
        <v>0</v>
      </c>
      <c r="C223" s="132">
        <f t="shared" si="21"/>
        <v>0</v>
      </c>
      <c r="D223" s="132">
        <f t="shared" si="22"/>
        <v>0</v>
      </c>
      <c r="E223" s="132">
        <f t="shared" si="23"/>
        <v>0</v>
      </c>
      <c r="F223" s="85">
        <f t="shared" si="24"/>
        <v>0</v>
      </c>
      <c r="G223" s="133">
        <f t="shared" si="25"/>
        <v>0</v>
      </c>
    </row>
    <row r="224" spans="1:7" ht="13.5" hidden="1" thickBot="1">
      <c r="A224" s="70">
        <f t="shared" si="26"/>
        <v>204</v>
      </c>
      <c r="B224" s="85">
        <f t="shared" si="27"/>
        <v>0</v>
      </c>
      <c r="C224" s="132">
        <f t="shared" si="21"/>
        <v>0</v>
      </c>
      <c r="D224" s="132">
        <f t="shared" si="22"/>
        <v>0</v>
      </c>
      <c r="E224" s="132">
        <f t="shared" si="23"/>
        <v>0</v>
      </c>
      <c r="F224" s="85">
        <f t="shared" si="24"/>
        <v>0</v>
      </c>
      <c r="G224" s="133">
        <f t="shared" si="25"/>
        <v>0</v>
      </c>
    </row>
    <row r="225" spans="1:7" ht="13.5" hidden="1" thickBot="1">
      <c r="A225" s="70">
        <f t="shared" si="26"/>
        <v>205</v>
      </c>
      <c r="B225" s="85">
        <f t="shared" si="27"/>
        <v>0</v>
      </c>
      <c r="C225" s="132">
        <f t="shared" si="21"/>
        <v>0</v>
      </c>
      <c r="D225" s="132">
        <f t="shared" si="22"/>
        <v>0</v>
      </c>
      <c r="E225" s="132">
        <f t="shared" si="23"/>
        <v>0</v>
      </c>
      <c r="F225" s="85">
        <f t="shared" si="24"/>
        <v>0</v>
      </c>
      <c r="G225" s="133">
        <f t="shared" si="25"/>
        <v>0</v>
      </c>
    </row>
    <row r="226" spans="1:7" ht="13.5" hidden="1" thickBot="1">
      <c r="A226" s="70">
        <f t="shared" si="26"/>
        <v>206</v>
      </c>
      <c r="B226" s="85">
        <f t="shared" si="27"/>
        <v>0</v>
      </c>
      <c r="C226" s="132">
        <f t="shared" si="21"/>
        <v>0</v>
      </c>
      <c r="D226" s="132">
        <f t="shared" si="22"/>
        <v>0</v>
      </c>
      <c r="E226" s="132">
        <f t="shared" si="23"/>
        <v>0</v>
      </c>
      <c r="F226" s="85">
        <f t="shared" si="24"/>
        <v>0</v>
      </c>
      <c r="G226" s="133">
        <f t="shared" si="25"/>
        <v>0</v>
      </c>
    </row>
    <row r="227" spans="1:7" ht="13.5" hidden="1" thickBot="1">
      <c r="A227" s="70">
        <f t="shared" si="26"/>
        <v>207</v>
      </c>
      <c r="B227" s="85">
        <f t="shared" si="27"/>
        <v>0</v>
      </c>
      <c r="C227" s="132">
        <f t="shared" si="21"/>
        <v>0</v>
      </c>
      <c r="D227" s="132">
        <f t="shared" si="22"/>
        <v>0</v>
      </c>
      <c r="E227" s="132">
        <f t="shared" si="23"/>
        <v>0</v>
      </c>
      <c r="F227" s="85">
        <f t="shared" si="24"/>
        <v>0</v>
      </c>
      <c r="G227" s="133">
        <f t="shared" si="25"/>
        <v>0</v>
      </c>
    </row>
    <row r="228" spans="1:7" ht="13.5" hidden="1" thickBot="1">
      <c r="A228" s="70">
        <f t="shared" si="26"/>
        <v>208</v>
      </c>
      <c r="B228" s="85">
        <f t="shared" si="27"/>
        <v>0</v>
      </c>
      <c r="C228" s="132">
        <f t="shared" si="21"/>
        <v>0</v>
      </c>
      <c r="D228" s="132">
        <f t="shared" si="22"/>
        <v>0</v>
      </c>
      <c r="E228" s="132">
        <f t="shared" si="23"/>
        <v>0</v>
      </c>
      <c r="F228" s="85">
        <f t="shared" si="24"/>
        <v>0</v>
      </c>
      <c r="G228" s="133">
        <f t="shared" si="25"/>
        <v>0</v>
      </c>
    </row>
    <row r="229" spans="1:7" ht="13.5" hidden="1" thickBot="1">
      <c r="A229" s="70">
        <f t="shared" si="26"/>
        <v>209</v>
      </c>
      <c r="B229" s="85">
        <f t="shared" si="27"/>
        <v>0</v>
      </c>
      <c r="C229" s="132">
        <f t="shared" si="21"/>
        <v>0</v>
      </c>
      <c r="D229" s="132">
        <f t="shared" si="22"/>
        <v>0</v>
      </c>
      <c r="E229" s="132">
        <f t="shared" si="23"/>
        <v>0</v>
      </c>
      <c r="F229" s="85">
        <f t="shared" si="24"/>
        <v>0</v>
      </c>
      <c r="G229" s="133">
        <f t="shared" si="25"/>
        <v>0</v>
      </c>
    </row>
    <row r="230" spans="1:7" ht="13.5" hidden="1" thickBot="1">
      <c r="A230" s="70">
        <f t="shared" si="26"/>
        <v>210</v>
      </c>
      <c r="B230" s="85">
        <f t="shared" si="27"/>
        <v>0</v>
      </c>
      <c r="C230" s="132">
        <f t="shared" si="21"/>
        <v>0</v>
      </c>
      <c r="D230" s="132">
        <f t="shared" si="22"/>
        <v>0</v>
      </c>
      <c r="E230" s="132">
        <f t="shared" si="23"/>
        <v>0</v>
      </c>
      <c r="F230" s="85">
        <f t="shared" si="24"/>
        <v>0</v>
      </c>
      <c r="G230" s="133">
        <f t="shared" si="25"/>
        <v>0</v>
      </c>
    </row>
    <row r="231" spans="1:7" ht="13.5" hidden="1" thickBot="1">
      <c r="A231" s="70">
        <f t="shared" si="26"/>
        <v>211</v>
      </c>
      <c r="B231" s="85">
        <f t="shared" si="27"/>
        <v>0</v>
      </c>
      <c r="C231" s="132">
        <f t="shared" si="21"/>
        <v>0</v>
      </c>
      <c r="D231" s="132">
        <f t="shared" si="22"/>
        <v>0</v>
      </c>
      <c r="E231" s="132">
        <f t="shared" si="23"/>
        <v>0</v>
      </c>
      <c r="F231" s="85">
        <f t="shared" si="24"/>
        <v>0</v>
      </c>
      <c r="G231" s="133">
        <f t="shared" si="25"/>
        <v>0</v>
      </c>
    </row>
    <row r="232" spans="1:7" ht="13.5" hidden="1" thickBot="1">
      <c r="A232" s="70">
        <f t="shared" si="26"/>
        <v>212</v>
      </c>
      <c r="B232" s="85">
        <f t="shared" si="27"/>
        <v>0</v>
      </c>
      <c r="C232" s="132">
        <f t="shared" si="21"/>
        <v>0</v>
      </c>
      <c r="D232" s="132">
        <f t="shared" si="22"/>
        <v>0</v>
      </c>
      <c r="E232" s="132">
        <f t="shared" si="23"/>
        <v>0</v>
      </c>
      <c r="F232" s="85">
        <f t="shared" si="24"/>
        <v>0</v>
      </c>
      <c r="G232" s="133">
        <f t="shared" si="25"/>
        <v>0</v>
      </c>
    </row>
    <row r="233" spans="1:7" ht="13.5" hidden="1" thickBot="1">
      <c r="A233" s="70">
        <f t="shared" si="26"/>
        <v>213</v>
      </c>
      <c r="B233" s="85">
        <f t="shared" si="27"/>
        <v>0</v>
      </c>
      <c r="C233" s="132">
        <f t="shared" si="21"/>
        <v>0</v>
      </c>
      <c r="D233" s="132">
        <f t="shared" si="22"/>
        <v>0</v>
      </c>
      <c r="E233" s="132">
        <f t="shared" si="23"/>
        <v>0</v>
      </c>
      <c r="F233" s="85">
        <f t="shared" si="24"/>
        <v>0</v>
      </c>
      <c r="G233" s="133">
        <f t="shared" si="25"/>
        <v>0</v>
      </c>
    </row>
    <row r="234" spans="1:7" ht="13.5" hidden="1" thickBot="1">
      <c r="A234" s="70">
        <f t="shared" si="26"/>
        <v>214</v>
      </c>
      <c r="B234" s="85">
        <f t="shared" si="27"/>
        <v>0</v>
      </c>
      <c r="C234" s="132">
        <f t="shared" si="21"/>
        <v>0</v>
      </c>
      <c r="D234" s="132">
        <f t="shared" si="22"/>
        <v>0</v>
      </c>
      <c r="E234" s="132">
        <f t="shared" si="23"/>
        <v>0</v>
      </c>
      <c r="F234" s="85">
        <f t="shared" si="24"/>
        <v>0</v>
      </c>
      <c r="G234" s="133">
        <f t="shared" si="25"/>
        <v>0</v>
      </c>
    </row>
    <row r="235" spans="1:7" ht="13.5" hidden="1" thickBot="1">
      <c r="A235" s="70">
        <f t="shared" si="26"/>
        <v>215</v>
      </c>
      <c r="B235" s="85">
        <f t="shared" si="27"/>
        <v>0</v>
      </c>
      <c r="C235" s="132">
        <f t="shared" si="21"/>
        <v>0</v>
      </c>
      <c r="D235" s="132">
        <f t="shared" si="22"/>
        <v>0</v>
      </c>
      <c r="E235" s="132">
        <f t="shared" si="23"/>
        <v>0</v>
      </c>
      <c r="F235" s="85">
        <f t="shared" si="24"/>
        <v>0</v>
      </c>
      <c r="G235" s="133">
        <f t="shared" si="25"/>
        <v>0</v>
      </c>
    </row>
    <row r="236" spans="1:7" ht="13.5" hidden="1" thickBot="1">
      <c r="A236" s="70">
        <f t="shared" si="26"/>
        <v>216</v>
      </c>
      <c r="B236" s="85">
        <f t="shared" si="27"/>
        <v>0</v>
      </c>
      <c r="C236" s="132">
        <f t="shared" si="21"/>
        <v>0</v>
      </c>
      <c r="D236" s="132">
        <f t="shared" si="22"/>
        <v>0</v>
      </c>
      <c r="E236" s="132">
        <f t="shared" si="23"/>
        <v>0</v>
      </c>
      <c r="F236" s="85">
        <f t="shared" si="24"/>
        <v>0</v>
      </c>
      <c r="G236" s="133">
        <f t="shared" si="25"/>
        <v>0</v>
      </c>
    </row>
    <row r="237" spans="1:7" ht="13.5" hidden="1" thickBot="1">
      <c r="A237" s="70">
        <f t="shared" si="26"/>
        <v>217</v>
      </c>
      <c r="B237" s="85">
        <f t="shared" si="27"/>
        <v>0</v>
      </c>
      <c r="C237" s="132">
        <f t="shared" si="21"/>
        <v>0</v>
      </c>
      <c r="D237" s="132">
        <f t="shared" si="22"/>
        <v>0</v>
      </c>
      <c r="E237" s="132">
        <f t="shared" si="23"/>
        <v>0</v>
      </c>
      <c r="F237" s="85">
        <f t="shared" si="24"/>
        <v>0</v>
      </c>
      <c r="G237" s="133">
        <f t="shared" si="25"/>
        <v>0</v>
      </c>
    </row>
    <row r="238" spans="1:7" ht="13.5" hidden="1" thickBot="1">
      <c r="A238" s="70">
        <f t="shared" si="26"/>
        <v>218</v>
      </c>
      <c r="B238" s="85">
        <f t="shared" si="27"/>
        <v>0</v>
      </c>
      <c r="C238" s="132">
        <f t="shared" si="21"/>
        <v>0</v>
      </c>
      <c r="D238" s="132">
        <f t="shared" si="22"/>
        <v>0</v>
      </c>
      <c r="E238" s="132">
        <f t="shared" si="23"/>
        <v>0</v>
      </c>
      <c r="F238" s="85">
        <f t="shared" si="24"/>
        <v>0</v>
      </c>
      <c r="G238" s="133">
        <f t="shared" si="25"/>
        <v>0</v>
      </c>
    </row>
    <row r="239" spans="1:7" ht="13.5" hidden="1" thickBot="1">
      <c r="A239" s="70">
        <f t="shared" si="26"/>
        <v>219</v>
      </c>
      <c r="B239" s="85">
        <f t="shared" si="27"/>
        <v>0</v>
      </c>
      <c r="C239" s="132">
        <f t="shared" si="21"/>
        <v>0</v>
      </c>
      <c r="D239" s="132">
        <f t="shared" si="22"/>
        <v>0</v>
      </c>
      <c r="E239" s="132">
        <f t="shared" si="23"/>
        <v>0</v>
      </c>
      <c r="F239" s="85">
        <f t="shared" si="24"/>
        <v>0</v>
      </c>
      <c r="G239" s="133">
        <f t="shared" si="25"/>
        <v>0</v>
      </c>
    </row>
    <row r="240" spans="1:7" ht="13.5" hidden="1" thickBot="1">
      <c r="A240" s="70">
        <f t="shared" si="26"/>
        <v>220</v>
      </c>
      <c r="B240" s="85">
        <f t="shared" si="27"/>
        <v>0</v>
      </c>
      <c r="C240" s="132">
        <f t="shared" si="21"/>
        <v>0</v>
      </c>
      <c r="D240" s="132">
        <f t="shared" si="22"/>
        <v>0</v>
      </c>
      <c r="E240" s="132">
        <f t="shared" si="23"/>
        <v>0</v>
      </c>
      <c r="F240" s="85">
        <f t="shared" si="24"/>
        <v>0</v>
      </c>
      <c r="G240" s="133">
        <f t="shared" si="25"/>
        <v>0</v>
      </c>
    </row>
    <row r="241" spans="1:7" ht="13.5" hidden="1" thickBot="1">
      <c r="A241" s="70">
        <f t="shared" si="26"/>
        <v>221</v>
      </c>
      <c r="B241" s="85">
        <f t="shared" si="27"/>
        <v>0</v>
      </c>
      <c r="C241" s="132">
        <f t="shared" si="21"/>
        <v>0</v>
      </c>
      <c r="D241" s="132">
        <f t="shared" si="22"/>
        <v>0</v>
      </c>
      <c r="E241" s="132">
        <f t="shared" si="23"/>
        <v>0</v>
      </c>
      <c r="F241" s="85">
        <f t="shared" si="24"/>
        <v>0</v>
      </c>
      <c r="G241" s="133">
        <f t="shared" si="25"/>
        <v>0</v>
      </c>
    </row>
    <row r="242" spans="1:7" ht="13.5" hidden="1" thickBot="1">
      <c r="A242" s="70">
        <f t="shared" si="26"/>
        <v>222</v>
      </c>
      <c r="B242" s="85">
        <f t="shared" si="27"/>
        <v>0</v>
      </c>
      <c r="C242" s="132">
        <f t="shared" si="21"/>
        <v>0</v>
      </c>
      <c r="D242" s="132">
        <f t="shared" si="22"/>
        <v>0</v>
      </c>
      <c r="E242" s="132">
        <f t="shared" si="23"/>
        <v>0</v>
      </c>
      <c r="F242" s="85">
        <f t="shared" si="24"/>
        <v>0</v>
      </c>
      <c r="G242" s="133">
        <f t="shared" si="25"/>
        <v>0</v>
      </c>
    </row>
    <row r="243" spans="1:7" ht="13.5" hidden="1" thickBot="1">
      <c r="A243" s="70">
        <f t="shared" si="26"/>
        <v>223</v>
      </c>
      <c r="B243" s="85">
        <f t="shared" si="27"/>
        <v>0</v>
      </c>
      <c r="C243" s="132">
        <f t="shared" si="21"/>
        <v>0</v>
      </c>
      <c r="D243" s="132">
        <f t="shared" si="22"/>
        <v>0</v>
      </c>
      <c r="E243" s="132">
        <f t="shared" si="23"/>
        <v>0</v>
      </c>
      <c r="F243" s="85">
        <f t="shared" si="24"/>
        <v>0</v>
      </c>
      <c r="G243" s="133">
        <f t="shared" si="25"/>
        <v>0</v>
      </c>
    </row>
    <row r="244" spans="1:7" ht="13.5" hidden="1" thickBot="1">
      <c r="A244" s="70">
        <f t="shared" si="26"/>
        <v>224</v>
      </c>
      <c r="B244" s="85">
        <f t="shared" si="27"/>
        <v>0</v>
      </c>
      <c r="C244" s="132">
        <f t="shared" si="21"/>
        <v>0</v>
      </c>
      <c r="D244" s="132">
        <f t="shared" si="22"/>
        <v>0</v>
      </c>
      <c r="E244" s="132">
        <f t="shared" si="23"/>
        <v>0</v>
      </c>
      <c r="F244" s="85">
        <f t="shared" si="24"/>
        <v>0</v>
      </c>
      <c r="G244" s="133">
        <f t="shared" si="25"/>
        <v>0</v>
      </c>
    </row>
    <row r="245" spans="1:7" ht="13.5" hidden="1" thickBot="1">
      <c r="A245" s="70">
        <f t="shared" si="26"/>
        <v>225</v>
      </c>
      <c r="B245" s="85">
        <f t="shared" si="27"/>
        <v>0</v>
      </c>
      <c r="C245" s="132">
        <f t="shared" si="21"/>
        <v>0</v>
      </c>
      <c r="D245" s="132">
        <f t="shared" si="22"/>
        <v>0</v>
      </c>
      <c r="E245" s="132">
        <f t="shared" si="23"/>
        <v>0</v>
      </c>
      <c r="F245" s="85">
        <f t="shared" si="24"/>
        <v>0</v>
      </c>
      <c r="G245" s="133">
        <f t="shared" si="25"/>
        <v>0</v>
      </c>
    </row>
    <row r="246" spans="1:7" ht="13.5" hidden="1" thickBot="1">
      <c r="A246" s="70">
        <f t="shared" si="26"/>
        <v>226</v>
      </c>
      <c r="B246" s="85">
        <f t="shared" si="27"/>
        <v>0</v>
      </c>
      <c r="C246" s="132">
        <f t="shared" si="21"/>
        <v>0</v>
      </c>
      <c r="D246" s="132">
        <f t="shared" si="22"/>
        <v>0</v>
      </c>
      <c r="E246" s="132">
        <f t="shared" si="23"/>
        <v>0</v>
      </c>
      <c r="F246" s="85">
        <f t="shared" si="24"/>
        <v>0</v>
      </c>
      <c r="G246" s="133">
        <f t="shared" si="25"/>
        <v>0</v>
      </c>
    </row>
    <row r="247" spans="1:7" ht="13.5" hidden="1" thickBot="1">
      <c r="A247" s="70">
        <f t="shared" si="26"/>
        <v>227</v>
      </c>
      <c r="B247" s="85">
        <f t="shared" si="27"/>
        <v>0</v>
      </c>
      <c r="C247" s="132">
        <f t="shared" si="21"/>
        <v>0</v>
      </c>
      <c r="D247" s="132">
        <f t="shared" si="22"/>
        <v>0</v>
      </c>
      <c r="E247" s="132">
        <f t="shared" si="23"/>
        <v>0</v>
      </c>
      <c r="F247" s="85">
        <f t="shared" si="24"/>
        <v>0</v>
      </c>
      <c r="G247" s="133">
        <f t="shared" si="25"/>
        <v>0</v>
      </c>
    </row>
    <row r="248" spans="1:7" ht="13.5" hidden="1" thickBot="1">
      <c r="A248" s="70">
        <f t="shared" si="26"/>
        <v>228</v>
      </c>
      <c r="B248" s="85">
        <f t="shared" si="27"/>
        <v>0</v>
      </c>
      <c r="C248" s="132">
        <f t="shared" si="21"/>
        <v>0</v>
      </c>
      <c r="D248" s="132">
        <f t="shared" si="22"/>
        <v>0</v>
      </c>
      <c r="E248" s="132">
        <f t="shared" si="23"/>
        <v>0</v>
      </c>
      <c r="F248" s="85">
        <f t="shared" si="24"/>
        <v>0</v>
      </c>
      <c r="G248" s="133">
        <f t="shared" si="25"/>
        <v>0</v>
      </c>
    </row>
    <row r="249" spans="1:7" ht="13.5" hidden="1" thickBot="1">
      <c r="A249" s="70">
        <f t="shared" si="26"/>
        <v>229</v>
      </c>
      <c r="B249" s="85">
        <f t="shared" si="27"/>
        <v>0</v>
      </c>
      <c r="C249" s="132">
        <f t="shared" si="21"/>
        <v>0</v>
      </c>
      <c r="D249" s="132">
        <f t="shared" si="22"/>
        <v>0</v>
      </c>
      <c r="E249" s="132">
        <f t="shared" si="23"/>
        <v>0</v>
      </c>
      <c r="F249" s="85">
        <f t="shared" si="24"/>
        <v>0</v>
      </c>
      <c r="G249" s="133">
        <f t="shared" si="25"/>
        <v>0</v>
      </c>
    </row>
    <row r="250" spans="1:7" ht="13.5" hidden="1" thickBot="1">
      <c r="A250" s="70">
        <f t="shared" si="26"/>
        <v>230</v>
      </c>
      <c r="B250" s="85">
        <f t="shared" si="27"/>
        <v>0</v>
      </c>
      <c r="C250" s="132">
        <f t="shared" si="21"/>
        <v>0</v>
      </c>
      <c r="D250" s="132">
        <f t="shared" si="22"/>
        <v>0</v>
      </c>
      <c r="E250" s="132">
        <f t="shared" si="23"/>
        <v>0</v>
      </c>
      <c r="F250" s="85">
        <f t="shared" si="24"/>
        <v>0</v>
      </c>
      <c r="G250" s="133">
        <f t="shared" si="25"/>
        <v>0</v>
      </c>
    </row>
    <row r="251" spans="1:7" ht="13.5" hidden="1" thickBot="1">
      <c r="A251" s="70">
        <f t="shared" si="26"/>
        <v>231</v>
      </c>
      <c r="B251" s="85">
        <f t="shared" si="27"/>
        <v>0</v>
      </c>
      <c r="C251" s="132">
        <f t="shared" si="21"/>
        <v>0</v>
      </c>
      <c r="D251" s="132">
        <f t="shared" si="22"/>
        <v>0</v>
      </c>
      <c r="E251" s="132">
        <f t="shared" si="23"/>
        <v>0</v>
      </c>
      <c r="F251" s="85">
        <f t="shared" si="24"/>
        <v>0</v>
      </c>
      <c r="G251" s="133">
        <f t="shared" si="25"/>
        <v>0</v>
      </c>
    </row>
    <row r="252" spans="1:7" ht="13.5" hidden="1" thickBot="1">
      <c r="A252" s="70">
        <f t="shared" si="26"/>
        <v>232</v>
      </c>
      <c r="B252" s="85">
        <f t="shared" si="27"/>
        <v>0</v>
      </c>
      <c r="C252" s="132">
        <f t="shared" si="21"/>
        <v>0</v>
      </c>
      <c r="D252" s="132">
        <f t="shared" si="22"/>
        <v>0</v>
      </c>
      <c r="E252" s="132">
        <f t="shared" si="23"/>
        <v>0</v>
      </c>
      <c r="F252" s="85">
        <f t="shared" si="24"/>
        <v>0</v>
      </c>
      <c r="G252" s="133">
        <f t="shared" si="25"/>
        <v>0</v>
      </c>
    </row>
    <row r="253" spans="1:7" ht="13.5" hidden="1" thickBot="1">
      <c r="A253" s="70">
        <f t="shared" si="26"/>
        <v>233</v>
      </c>
      <c r="B253" s="85">
        <f t="shared" si="27"/>
        <v>0</v>
      </c>
      <c r="C253" s="132">
        <f t="shared" si="21"/>
        <v>0</v>
      </c>
      <c r="D253" s="132">
        <f t="shared" si="22"/>
        <v>0</v>
      </c>
      <c r="E253" s="132">
        <f t="shared" si="23"/>
        <v>0</v>
      </c>
      <c r="F253" s="85">
        <f t="shared" si="24"/>
        <v>0</v>
      </c>
      <c r="G253" s="133">
        <f t="shared" si="25"/>
        <v>0</v>
      </c>
    </row>
    <row r="254" spans="1:7" ht="13.5" hidden="1" thickBot="1">
      <c r="A254" s="70">
        <f t="shared" si="26"/>
        <v>234</v>
      </c>
      <c r="B254" s="85">
        <f t="shared" si="27"/>
        <v>0</v>
      </c>
      <c r="C254" s="132">
        <f t="shared" si="21"/>
        <v>0</v>
      </c>
      <c r="D254" s="132">
        <f t="shared" si="22"/>
        <v>0</v>
      </c>
      <c r="E254" s="132">
        <f t="shared" si="23"/>
        <v>0</v>
      </c>
      <c r="F254" s="85">
        <f t="shared" si="24"/>
        <v>0</v>
      </c>
      <c r="G254" s="133">
        <f t="shared" si="25"/>
        <v>0</v>
      </c>
    </row>
    <row r="255" spans="1:7" ht="13.5" hidden="1" thickBot="1">
      <c r="A255" s="70">
        <f t="shared" si="26"/>
        <v>235</v>
      </c>
      <c r="B255" s="85">
        <f t="shared" si="27"/>
        <v>0</v>
      </c>
      <c r="C255" s="132">
        <f t="shared" si="21"/>
        <v>0</v>
      </c>
      <c r="D255" s="132">
        <f t="shared" si="22"/>
        <v>0</v>
      </c>
      <c r="E255" s="132">
        <f t="shared" si="23"/>
        <v>0</v>
      </c>
      <c r="F255" s="85">
        <f t="shared" si="24"/>
        <v>0</v>
      </c>
      <c r="G255" s="133">
        <f t="shared" si="25"/>
        <v>0</v>
      </c>
    </row>
    <row r="256" spans="1:7" ht="13.5" hidden="1" thickBot="1">
      <c r="A256" s="70">
        <f t="shared" si="26"/>
        <v>236</v>
      </c>
      <c r="B256" s="85">
        <f t="shared" si="27"/>
        <v>0</v>
      </c>
      <c r="C256" s="132">
        <f t="shared" si="21"/>
        <v>0</v>
      </c>
      <c r="D256" s="132">
        <f t="shared" si="22"/>
        <v>0</v>
      </c>
      <c r="E256" s="132">
        <f t="shared" si="23"/>
        <v>0</v>
      </c>
      <c r="F256" s="85">
        <f t="shared" si="24"/>
        <v>0</v>
      </c>
      <c r="G256" s="133">
        <f t="shared" si="25"/>
        <v>0</v>
      </c>
    </row>
    <row r="257" spans="1:7" ht="13.5" hidden="1" thickBot="1">
      <c r="A257" s="70">
        <f t="shared" si="26"/>
        <v>237</v>
      </c>
      <c r="B257" s="85">
        <f t="shared" si="27"/>
        <v>0</v>
      </c>
      <c r="C257" s="132">
        <f t="shared" si="21"/>
        <v>0</v>
      </c>
      <c r="D257" s="132">
        <f t="shared" si="22"/>
        <v>0</v>
      </c>
      <c r="E257" s="132">
        <f t="shared" si="23"/>
        <v>0</v>
      </c>
      <c r="F257" s="85">
        <f t="shared" si="24"/>
        <v>0</v>
      </c>
      <c r="G257" s="133">
        <f t="shared" si="25"/>
        <v>0</v>
      </c>
    </row>
    <row r="258" spans="1:7" ht="13.5" hidden="1" thickBot="1">
      <c r="A258" s="70">
        <f t="shared" si="26"/>
        <v>238</v>
      </c>
      <c r="B258" s="85">
        <f t="shared" si="27"/>
        <v>0</v>
      </c>
      <c r="C258" s="132">
        <f t="shared" si="21"/>
        <v>0</v>
      </c>
      <c r="D258" s="132">
        <f t="shared" si="22"/>
        <v>0</v>
      </c>
      <c r="E258" s="132">
        <f t="shared" si="23"/>
        <v>0</v>
      </c>
      <c r="F258" s="85">
        <f t="shared" si="24"/>
        <v>0</v>
      </c>
      <c r="G258" s="133">
        <f t="shared" si="25"/>
        <v>0</v>
      </c>
    </row>
    <row r="259" spans="1:7" ht="13.5" hidden="1" thickBot="1">
      <c r="A259" s="70">
        <f t="shared" si="26"/>
        <v>239</v>
      </c>
      <c r="B259" s="85">
        <f t="shared" si="27"/>
        <v>0</v>
      </c>
      <c r="C259" s="132">
        <f t="shared" si="21"/>
        <v>0</v>
      </c>
      <c r="D259" s="132">
        <f t="shared" si="22"/>
        <v>0</v>
      </c>
      <c r="E259" s="132">
        <f t="shared" si="23"/>
        <v>0</v>
      </c>
      <c r="F259" s="85">
        <f t="shared" si="24"/>
        <v>0</v>
      </c>
      <c r="G259" s="133">
        <f t="shared" si="25"/>
        <v>0</v>
      </c>
    </row>
    <row r="260" spans="1:7" ht="13.5" hidden="1" thickBot="1">
      <c r="A260" s="70">
        <f t="shared" si="26"/>
        <v>240</v>
      </c>
      <c r="B260" s="85">
        <f t="shared" si="27"/>
        <v>0</v>
      </c>
      <c r="C260" s="132">
        <f t="shared" si="21"/>
        <v>0</v>
      </c>
      <c r="D260" s="132">
        <f t="shared" si="22"/>
        <v>0</v>
      </c>
      <c r="E260" s="132">
        <f t="shared" si="23"/>
        <v>0</v>
      </c>
      <c r="F260" s="85">
        <f t="shared" si="24"/>
        <v>0</v>
      </c>
      <c r="G260" s="133">
        <f t="shared" si="25"/>
        <v>0</v>
      </c>
    </row>
    <row r="261" spans="1:7" ht="13.5" hidden="1" thickBot="1">
      <c r="A261" s="70">
        <f t="shared" si="26"/>
        <v>241</v>
      </c>
      <c r="B261" s="85">
        <f t="shared" si="27"/>
        <v>0</v>
      </c>
      <c r="C261" s="132">
        <f t="shared" si="21"/>
        <v>0</v>
      </c>
      <c r="D261" s="132">
        <f t="shared" si="22"/>
        <v>0</v>
      </c>
      <c r="E261" s="132">
        <f t="shared" si="23"/>
        <v>0</v>
      </c>
      <c r="F261" s="85">
        <f t="shared" si="24"/>
        <v>0</v>
      </c>
      <c r="G261" s="133">
        <f t="shared" si="25"/>
        <v>0</v>
      </c>
    </row>
    <row r="262" spans="1:7" ht="13.5" hidden="1" thickBot="1">
      <c r="A262" s="70">
        <f t="shared" si="26"/>
        <v>242</v>
      </c>
      <c r="B262" s="85">
        <f t="shared" si="27"/>
        <v>0</v>
      </c>
      <c r="C262" s="132">
        <f t="shared" si="21"/>
        <v>0</v>
      </c>
      <c r="D262" s="132">
        <f t="shared" si="22"/>
        <v>0</v>
      </c>
      <c r="E262" s="132">
        <f t="shared" si="23"/>
        <v>0</v>
      </c>
      <c r="F262" s="85">
        <f t="shared" si="24"/>
        <v>0</v>
      </c>
      <c r="G262" s="133">
        <f t="shared" si="25"/>
        <v>0</v>
      </c>
    </row>
    <row r="263" spans="1:7" ht="13.5" hidden="1" thickBot="1">
      <c r="A263" s="70">
        <f t="shared" si="26"/>
        <v>243</v>
      </c>
      <c r="B263" s="85">
        <f t="shared" si="27"/>
        <v>0</v>
      </c>
      <c r="C263" s="132">
        <f t="shared" si="21"/>
        <v>0</v>
      </c>
      <c r="D263" s="132">
        <f t="shared" si="22"/>
        <v>0</v>
      </c>
      <c r="E263" s="132">
        <f t="shared" si="23"/>
        <v>0</v>
      </c>
      <c r="F263" s="85">
        <f t="shared" si="24"/>
        <v>0</v>
      </c>
      <c r="G263" s="133">
        <f t="shared" si="25"/>
        <v>0</v>
      </c>
    </row>
    <row r="264" spans="1:7" ht="13.5" hidden="1" thickBot="1">
      <c r="A264" s="70">
        <f t="shared" si="26"/>
        <v>244</v>
      </c>
      <c r="B264" s="85">
        <f t="shared" si="27"/>
        <v>0</v>
      </c>
      <c r="C264" s="132">
        <f t="shared" si="21"/>
        <v>0</v>
      </c>
      <c r="D264" s="132">
        <f t="shared" si="22"/>
        <v>0</v>
      </c>
      <c r="E264" s="132">
        <f t="shared" si="23"/>
        <v>0</v>
      </c>
      <c r="F264" s="85">
        <f t="shared" si="24"/>
        <v>0</v>
      </c>
      <c r="G264" s="133">
        <f t="shared" si="25"/>
        <v>0</v>
      </c>
    </row>
    <row r="265" spans="1:7" ht="13.5" hidden="1" thickBot="1">
      <c r="A265" s="70">
        <f t="shared" si="26"/>
        <v>245</v>
      </c>
      <c r="B265" s="85">
        <f t="shared" si="27"/>
        <v>0</v>
      </c>
      <c r="C265" s="132">
        <f t="shared" si="21"/>
        <v>0</v>
      </c>
      <c r="D265" s="132">
        <f t="shared" si="22"/>
        <v>0</v>
      </c>
      <c r="E265" s="132">
        <f t="shared" si="23"/>
        <v>0</v>
      </c>
      <c r="F265" s="85">
        <f t="shared" si="24"/>
        <v>0</v>
      </c>
      <c r="G265" s="133">
        <f t="shared" si="25"/>
        <v>0</v>
      </c>
    </row>
    <row r="266" spans="1:7" ht="13.5" hidden="1" thickBot="1">
      <c r="A266" s="70">
        <f t="shared" si="26"/>
        <v>246</v>
      </c>
      <c r="B266" s="85">
        <f t="shared" si="27"/>
        <v>0</v>
      </c>
      <c r="C266" s="132">
        <f t="shared" si="21"/>
        <v>0</v>
      </c>
      <c r="D266" s="132">
        <f t="shared" si="22"/>
        <v>0</v>
      </c>
      <c r="E266" s="132">
        <f t="shared" si="23"/>
        <v>0</v>
      </c>
      <c r="F266" s="85">
        <f t="shared" si="24"/>
        <v>0</v>
      </c>
      <c r="G266" s="133">
        <f t="shared" si="25"/>
        <v>0</v>
      </c>
    </row>
    <row r="267" spans="1:7" ht="13.5" hidden="1" thickBot="1">
      <c r="A267" s="70">
        <f t="shared" si="26"/>
        <v>247</v>
      </c>
      <c r="B267" s="85">
        <f t="shared" si="27"/>
        <v>0</v>
      </c>
      <c r="C267" s="132">
        <f t="shared" si="21"/>
        <v>0</v>
      </c>
      <c r="D267" s="132">
        <f t="shared" si="22"/>
        <v>0</v>
      </c>
      <c r="E267" s="132">
        <f t="shared" si="23"/>
        <v>0</v>
      </c>
      <c r="F267" s="85">
        <f t="shared" si="24"/>
        <v>0</v>
      </c>
      <c r="G267" s="133">
        <f t="shared" si="25"/>
        <v>0</v>
      </c>
    </row>
    <row r="268" spans="1:7" ht="13.5" hidden="1" thickBot="1">
      <c r="A268" s="70">
        <f t="shared" si="26"/>
        <v>248</v>
      </c>
      <c r="B268" s="85">
        <f t="shared" si="27"/>
        <v>0</v>
      </c>
      <c r="C268" s="132">
        <f t="shared" si="21"/>
        <v>0</v>
      </c>
      <c r="D268" s="132">
        <f t="shared" si="22"/>
        <v>0</v>
      </c>
      <c r="E268" s="132">
        <f t="shared" si="23"/>
        <v>0</v>
      </c>
      <c r="F268" s="85">
        <f t="shared" si="24"/>
        <v>0</v>
      </c>
      <c r="G268" s="133">
        <f t="shared" si="25"/>
        <v>0</v>
      </c>
    </row>
    <row r="269" spans="1:7" ht="13.5" hidden="1" thickBot="1">
      <c r="A269" s="70">
        <f t="shared" si="26"/>
        <v>249</v>
      </c>
      <c r="B269" s="85">
        <f t="shared" si="27"/>
        <v>0</v>
      </c>
      <c r="C269" s="132">
        <f t="shared" si="21"/>
        <v>0</v>
      </c>
      <c r="D269" s="132">
        <f t="shared" si="22"/>
        <v>0</v>
      </c>
      <c r="E269" s="132">
        <f t="shared" si="23"/>
        <v>0</v>
      </c>
      <c r="F269" s="85">
        <f t="shared" si="24"/>
        <v>0</v>
      </c>
      <c r="G269" s="133">
        <f t="shared" si="25"/>
        <v>0</v>
      </c>
    </row>
    <row r="270" spans="1:7" ht="13.5" hidden="1" thickBot="1">
      <c r="A270" s="70">
        <f t="shared" si="26"/>
        <v>250</v>
      </c>
      <c r="B270" s="85">
        <f t="shared" si="27"/>
        <v>0</v>
      </c>
      <c r="C270" s="132">
        <f t="shared" si="21"/>
        <v>0</v>
      </c>
      <c r="D270" s="132">
        <f t="shared" si="22"/>
        <v>0</v>
      </c>
      <c r="E270" s="132">
        <f t="shared" si="23"/>
        <v>0</v>
      </c>
      <c r="F270" s="85">
        <f t="shared" si="24"/>
        <v>0</v>
      </c>
      <c r="G270" s="133">
        <f t="shared" si="25"/>
        <v>0</v>
      </c>
    </row>
    <row r="271" spans="1:7" ht="13.5" hidden="1" thickBot="1">
      <c r="A271" s="70">
        <f t="shared" si="26"/>
        <v>251</v>
      </c>
      <c r="B271" s="85">
        <f t="shared" si="27"/>
        <v>0</v>
      </c>
      <c r="C271" s="132">
        <f t="shared" si="21"/>
        <v>0</v>
      </c>
      <c r="D271" s="132">
        <f t="shared" si="22"/>
        <v>0</v>
      </c>
      <c r="E271" s="132">
        <f t="shared" si="23"/>
        <v>0</v>
      </c>
      <c r="F271" s="85">
        <f t="shared" si="24"/>
        <v>0</v>
      </c>
      <c r="G271" s="133">
        <f t="shared" si="25"/>
        <v>0</v>
      </c>
    </row>
    <row r="272" spans="1:7" ht="13.5" hidden="1" thickBot="1">
      <c r="A272" s="70">
        <f t="shared" si="26"/>
        <v>252</v>
      </c>
      <c r="B272" s="85">
        <f t="shared" si="27"/>
        <v>0</v>
      </c>
      <c r="C272" s="132">
        <f t="shared" si="21"/>
        <v>0</v>
      </c>
      <c r="D272" s="132">
        <f t="shared" si="22"/>
        <v>0</v>
      </c>
      <c r="E272" s="132">
        <f t="shared" si="23"/>
        <v>0</v>
      </c>
      <c r="F272" s="85">
        <f t="shared" si="24"/>
        <v>0</v>
      </c>
      <c r="G272" s="133">
        <f t="shared" si="25"/>
        <v>0</v>
      </c>
    </row>
    <row r="273" spans="1:7" ht="13.5" hidden="1" thickBot="1">
      <c r="A273" s="70">
        <f t="shared" si="26"/>
        <v>253</v>
      </c>
      <c r="B273" s="85">
        <f t="shared" si="27"/>
        <v>0</v>
      </c>
      <c r="C273" s="132">
        <f t="shared" si="21"/>
        <v>0</v>
      </c>
      <c r="D273" s="132">
        <f t="shared" si="22"/>
        <v>0</v>
      </c>
      <c r="E273" s="132">
        <f t="shared" si="23"/>
        <v>0</v>
      </c>
      <c r="F273" s="85">
        <f t="shared" si="24"/>
        <v>0</v>
      </c>
      <c r="G273" s="133">
        <f t="shared" si="25"/>
        <v>0</v>
      </c>
    </row>
    <row r="274" spans="1:7" ht="13.5" hidden="1" thickBot="1">
      <c r="A274" s="70">
        <f t="shared" si="26"/>
        <v>254</v>
      </c>
      <c r="B274" s="85">
        <f t="shared" si="27"/>
        <v>0</v>
      </c>
      <c r="C274" s="132">
        <f t="shared" si="21"/>
        <v>0</v>
      </c>
      <c r="D274" s="132">
        <f t="shared" si="22"/>
        <v>0</v>
      </c>
      <c r="E274" s="132">
        <f t="shared" si="23"/>
        <v>0</v>
      </c>
      <c r="F274" s="85">
        <f t="shared" si="24"/>
        <v>0</v>
      </c>
      <c r="G274" s="133">
        <f t="shared" si="25"/>
        <v>0</v>
      </c>
    </row>
    <row r="275" spans="1:7" ht="13.5" hidden="1" thickBot="1">
      <c r="A275" s="70">
        <f t="shared" si="26"/>
        <v>255</v>
      </c>
      <c r="B275" s="85">
        <f t="shared" si="27"/>
        <v>0</v>
      </c>
      <c r="C275" s="132">
        <f t="shared" si="21"/>
        <v>0</v>
      </c>
      <c r="D275" s="132">
        <f t="shared" si="22"/>
        <v>0</v>
      </c>
      <c r="E275" s="132">
        <f t="shared" si="23"/>
        <v>0</v>
      </c>
      <c r="F275" s="85">
        <f t="shared" si="24"/>
        <v>0</v>
      </c>
      <c r="G275" s="133">
        <f t="shared" si="25"/>
        <v>0</v>
      </c>
    </row>
    <row r="276" spans="1:7" ht="13.5" hidden="1" thickBot="1">
      <c r="A276" s="70">
        <f t="shared" si="26"/>
        <v>256</v>
      </c>
      <c r="B276" s="85">
        <f t="shared" si="27"/>
        <v>0</v>
      </c>
      <c r="C276" s="132">
        <f t="shared" si="21"/>
        <v>0</v>
      </c>
      <c r="D276" s="132">
        <f t="shared" si="22"/>
        <v>0</v>
      </c>
      <c r="E276" s="132">
        <f t="shared" si="23"/>
        <v>0</v>
      </c>
      <c r="F276" s="85">
        <f t="shared" si="24"/>
        <v>0</v>
      </c>
      <c r="G276" s="133">
        <f t="shared" si="25"/>
        <v>0</v>
      </c>
    </row>
    <row r="277" spans="1:7" ht="13.5" hidden="1" thickBot="1">
      <c r="A277" s="70">
        <f t="shared" si="26"/>
        <v>257</v>
      </c>
      <c r="B277" s="85">
        <f t="shared" si="27"/>
        <v>0</v>
      </c>
      <c r="C277" s="132">
        <f t="shared" ref="C277:C340" si="28">IF(A277&lt;=$D$10,D277+$D$13,0)</f>
        <v>0</v>
      </c>
      <c r="D277" s="132">
        <f t="shared" ref="D277:D340" si="29">E277+F277</f>
        <v>0</v>
      </c>
      <c r="E277" s="132">
        <f t="shared" ref="E277:E340" si="30">B277*$D$11</f>
        <v>0</v>
      </c>
      <c r="F277" s="85">
        <f t="shared" ref="F277:F340" si="31">IF(A277&lt;=$D$10,$D$12*-1,0)</f>
        <v>0</v>
      </c>
      <c r="G277" s="133">
        <f t="shared" ref="G277:G340" si="32">B277-F277</f>
        <v>0</v>
      </c>
    </row>
    <row r="278" spans="1:7" ht="13.5" hidden="1" thickBot="1">
      <c r="A278" s="70">
        <f t="shared" ref="A278:A341" si="33">A277+1</f>
        <v>258</v>
      </c>
      <c r="B278" s="85">
        <f t="shared" ref="B278:B341" si="34">B277-F277</f>
        <v>0</v>
      </c>
      <c r="C278" s="132">
        <f t="shared" si="28"/>
        <v>0</v>
      </c>
      <c r="D278" s="132">
        <f t="shared" si="29"/>
        <v>0</v>
      </c>
      <c r="E278" s="132">
        <f t="shared" si="30"/>
        <v>0</v>
      </c>
      <c r="F278" s="85">
        <f t="shared" si="31"/>
        <v>0</v>
      </c>
      <c r="G278" s="133">
        <f t="shared" si="32"/>
        <v>0</v>
      </c>
    </row>
    <row r="279" spans="1:7" ht="13.5" hidden="1" thickBot="1">
      <c r="A279" s="70">
        <f t="shared" si="33"/>
        <v>259</v>
      </c>
      <c r="B279" s="85">
        <f t="shared" si="34"/>
        <v>0</v>
      </c>
      <c r="C279" s="132">
        <f t="shared" si="28"/>
        <v>0</v>
      </c>
      <c r="D279" s="132">
        <f t="shared" si="29"/>
        <v>0</v>
      </c>
      <c r="E279" s="132">
        <f t="shared" si="30"/>
        <v>0</v>
      </c>
      <c r="F279" s="85">
        <f t="shared" si="31"/>
        <v>0</v>
      </c>
      <c r="G279" s="133">
        <f t="shared" si="32"/>
        <v>0</v>
      </c>
    </row>
    <row r="280" spans="1:7" ht="13.5" hidden="1" thickBot="1">
      <c r="A280" s="70">
        <f t="shared" si="33"/>
        <v>260</v>
      </c>
      <c r="B280" s="85">
        <f t="shared" si="34"/>
        <v>0</v>
      </c>
      <c r="C280" s="132">
        <f t="shared" si="28"/>
        <v>0</v>
      </c>
      <c r="D280" s="132">
        <f t="shared" si="29"/>
        <v>0</v>
      </c>
      <c r="E280" s="132">
        <f t="shared" si="30"/>
        <v>0</v>
      </c>
      <c r="F280" s="85">
        <f t="shared" si="31"/>
        <v>0</v>
      </c>
      <c r="G280" s="133">
        <f t="shared" si="32"/>
        <v>0</v>
      </c>
    </row>
    <row r="281" spans="1:7" ht="13.5" hidden="1" thickBot="1">
      <c r="A281" s="70">
        <f t="shared" si="33"/>
        <v>261</v>
      </c>
      <c r="B281" s="85">
        <f t="shared" si="34"/>
        <v>0</v>
      </c>
      <c r="C281" s="132">
        <f t="shared" si="28"/>
        <v>0</v>
      </c>
      <c r="D281" s="132">
        <f t="shared" si="29"/>
        <v>0</v>
      </c>
      <c r="E281" s="132">
        <f t="shared" si="30"/>
        <v>0</v>
      </c>
      <c r="F281" s="85">
        <f t="shared" si="31"/>
        <v>0</v>
      </c>
      <c r="G281" s="133">
        <f t="shared" si="32"/>
        <v>0</v>
      </c>
    </row>
    <row r="282" spans="1:7" ht="13.5" hidden="1" thickBot="1">
      <c r="A282" s="70">
        <f t="shared" si="33"/>
        <v>262</v>
      </c>
      <c r="B282" s="85">
        <f t="shared" si="34"/>
        <v>0</v>
      </c>
      <c r="C282" s="132">
        <f t="shared" si="28"/>
        <v>0</v>
      </c>
      <c r="D282" s="132">
        <f t="shared" si="29"/>
        <v>0</v>
      </c>
      <c r="E282" s="132">
        <f t="shared" si="30"/>
        <v>0</v>
      </c>
      <c r="F282" s="85">
        <f t="shared" si="31"/>
        <v>0</v>
      </c>
      <c r="G282" s="133">
        <f t="shared" si="32"/>
        <v>0</v>
      </c>
    </row>
    <row r="283" spans="1:7" ht="13.5" hidden="1" thickBot="1">
      <c r="A283" s="70">
        <f t="shared" si="33"/>
        <v>263</v>
      </c>
      <c r="B283" s="85">
        <f t="shared" si="34"/>
        <v>0</v>
      </c>
      <c r="C283" s="132">
        <f t="shared" si="28"/>
        <v>0</v>
      </c>
      <c r="D283" s="132">
        <f t="shared" si="29"/>
        <v>0</v>
      </c>
      <c r="E283" s="132">
        <f t="shared" si="30"/>
        <v>0</v>
      </c>
      <c r="F283" s="85">
        <f t="shared" si="31"/>
        <v>0</v>
      </c>
      <c r="G283" s="133">
        <f t="shared" si="32"/>
        <v>0</v>
      </c>
    </row>
    <row r="284" spans="1:7" ht="13.5" hidden="1" thickBot="1">
      <c r="A284" s="70">
        <f t="shared" si="33"/>
        <v>264</v>
      </c>
      <c r="B284" s="85">
        <f t="shared" si="34"/>
        <v>0</v>
      </c>
      <c r="C284" s="132">
        <f t="shared" si="28"/>
        <v>0</v>
      </c>
      <c r="D284" s="132">
        <f t="shared" si="29"/>
        <v>0</v>
      </c>
      <c r="E284" s="132">
        <f t="shared" si="30"/>
        <v>0</v>
      </c>
      <c r="F284" s="85">
        <f t="shared" si="31"/>
        <v>0</v>
      </c>
      <c r="G284" s="133">
        <f t="shared" si="32"/>
        <v>0</v>
      </c>
    </row>
    <row r="285" spans="1:7" ht="13.5" hidden="1" thickBot="1">
      <c r="A285" s="70">
        <f t="shared" si="33"/>
        <v>265</v>
      </c>
      <c r="B285" s="85">
        <f t="shared" si="34"/>
        <v>0</v>
      </c>
      <c r="C285" s="132">
        <f t="shared" si="28"/>
        <v>0</v>
      </c>
      <c r="D285" s="132">
        <f t="shared" si="29"/>
        <v>0</v>
      </c>
      <c r="E285" s="132">
        <f t="shared" si="30"/>
        <v>0</v>
      </c>
      <c r="F285" s="85">
        <f t="shared" si="31"/>
        <v>0</v>
      </c>
      <c r="G285" s="133">
        <f t="shared" si="32"/>
        <v>0</v>
      </c>
    </row>
    <row r="286" spans="1:7" ht="13.5" hidden="1" thickBot="1">
      <c r="A286" s="70">
        <f t="shared" si="33"/>
        <v>266</v>
      </c>
      <c r="B286" s="85">
        <f t="shared" si="34"/>
        <v>0</v>
      </c>
      <c r="C286" s="132">
        <f t="shared" si="28"/>
        <v>0</v>
      </c>
      <c r="D286" s="132">
        <f t="shared" si="29"/>
        <v>0</v>
      </c>
      <c r="E286" s="132">
        <f t="shared" si="30"/>
        <v>0</v>
      </c>
      <c r="F286" s="85">
        <f t="shared" si="31"/>
        <v>0</v>
      </c>
      <c r="G286" s="133">
        <f t="shared" si="32"/>
        <v>0</v>
      </c>
    </row>
    <row r="287" spans="1:7" ht="13.5" hidden="1" thickBot="1">
      <c r="A287" s="70">
        <f t="shared" si="33"/>
        <v>267</v>
      </c>
      <c r="B287" s="85">
        <f t="shared" si="34"/>
        <v>0</v>
      </c>
      <c r="C287" s="132">
        <f t="shared" si="28"/>
        <v>0</v>
      </c>
      <c r="D287" s="132">
        <f t="shared" si="29"/>
        <v>0</v>
      </c>
      <c r="E287" s="132">
        <f t="shared" si="30"/>
        <v>0</v>
      </c>
      <c r="F287" s="85">
        <f t="shared" si="31"/>
        <v>0</v>
      </c>
      <c r="G287" s="133">
        <f t="shared" si="32"/>
        <v>0</v>
      </c>
    </row>
    <row r="288" spans="1:7" ht="13.5" hidden="1" thickBot="1">
      <c r="A288" s="70">
        <f t="shared" si="33"/>
        <v>268</v>
      </c>
      <c r="B288" s="85">
        <f t="shared" si="34"/>
        <v>0</v>
      </c>
      <c r="C288" s="132">
        <f t="shared" si="28"/>
        <v>0</v>
      </c>
      <c r="D288" s="132">
        <f t="shared" si="29"/>
        <v>0</v>
      </c>
      <c r="E288" s="132">
        <f t="shared" si="30"/>
        <v>0</v>
      </c>
      <c r="F288" s="85">
        <f t="shared" si="31"/>
        <v>0</v>
      </c>
      <c r="G288" s="133">
        <f t="shared" si="32"/>
        <v>0</v>
      </c>
    </row>
    <row r="289" spans="1:7" ht="13.5" hidden="1" thickBot="1">
      <c r="A289" s="70">
        <f t="shared" si="33"/>
        <v>269</v>
      </c>
      <c r="B289" s="85">
        <f t="shared" si="34"/>
        <v>0</v>
      </c>
      <c r="C289" s="132">
        <f t="shared" si="28"/>
        <v>0</v>
      </c>
      <c r="D289" s="132">
        <f t="shared" si="29"/>
        <v>0</v>
      </c>
      <c r="E289" s="132">
        <f t="shared" si="30"/>
        <v>0</v>
      </c>
      <c r="F289" s="85">
        <f t="shared" si="31"/>
        <v>0</v>
      </c>
      <c r="G289" s="133">
        <f t="shared" si="32"/>
        <v>0</v>
      </c>
    </row>
    <row r="290" spans="1:7" ht="13.5" hidden="1" thickBot="1">
      <c r="A290" s="70">
        <f t="shared" si="33"/>
        <v>270</v>
      </c>
      <c r="B290" s="85">
        <f t="shared" si="34"/>
        <v>0</v>
      </c>
      <c r="C290" s="132">
        <f t="shared" si="28"/>
        <v>0</v>
      </c>
      <c r="D290" s="132">
        <f t="shared" si="29"/>
        <v>0</v>
      </c>
      <c r="E290" s="132">
        <f t="shared" si="30"/>
        <v>0</v>
      </c>
      <c r="F290" s="85">
        <f t="shared" si="31"/>
        <v>0</v>
      </c>
      <c r="G290" s="133">
        <f t="shared" si="32"/>
        <v>0</v>
      </c>
    </row>
    <row r="291" spans="1:7" ht="13.5" hidden="1" thickBot="1">
      <c r="A291" s="70">
        <f t="shared" si="33"/>
        <v>271</v>
      </c>
      <c r="B291" s="85">
        <f t="shared" si="34"/>
        <v>0</v>
      </c>
      <c r="C291" s="132">
        <f t="shared" si="28"/>
        <v>0</v>
      </c>
      <c r="D291" s="132">
        <f t="shared" si="29"/>
        <v>0</v>
      </c>
      <c r="E291" s="132">
        <f t="shared" si="30"/>
        <v>0</v>
      </c>
      <c r="F291" s="85">
        <f t="shared" si="31"/>
        <v>0</v>
      </c>
      <c r="G291" s="133">
        <f t="shared" si="32"/>
        <v>0</v>
      </c>
    </row>
    <row r="292" spans="1:7" ht="13.5" hidden="1" thickBot="1">
      <c r="A292" s="70">
        <f t="shared" si="33"/>
        <v>272</v>
      </c>
      <c r="B292" s="85">
        <f t="shared" si="34"/>
        <v>0</v>
      </c>
      <c r="C292" s="132">
        <f t="shared" si="28"/>
        <v>0</v>
      </c>
      <c r="D292" s="132">
        <f t="shared" si="29"/>
        <v>0</v>
      </c>
      <c r="E292" s="132">
        <f t="shared" si="30"/>
        <v>0</v>
      </c>
      <c r="F292" s="85">
        <f t="shared" si="31"/>
        <v>0</v>
      </c>
      <c r="G292" s="133">
        <f t="shared" si="32"/>
        <v>0</v>
      </c>
    </row>
    <row r="293" spans="1:7" ht="13.5" hidden="1" thickBot="1">
      <c r="A293" s="70">
        <f t="shared" si="33"/>
        <v>273</v>
      </c>
      <c r="B293" s="85">
        <f t="shared" si="34"/>
        <v>0</v>
      </c>
      <c r="C293" s="132">
        <f t="shared" si="28"/>
        <v>0</v>
      </c>
      <c r="D293" s="132">
        <f t="shared" si="29"/>
        <v>0</v>
      </c>
      <c r="E293" s="132">
        <f t="shared" si="30"/>
        <v>0</v>
      </c>
      <c r="F293" s="85">
        <f t="shared" si="31"/>
        <v>0</v>
      </c>
      <c r="G293" s="133">
        <f t="shared" si="32"/>
        <v>0</v>
      </c>
    </row>
    <row r="294" spans="1:7" ht="13.5" hidden="1" thickBot="1">
      <c r="A294" s="70">
        <f t="shared" si="33"/>
        <v>274</v>
      </c>
      <c r="B294" s="85">
        <f t="shared" si="34"/>
        <v>0</v>
      </c>
      <c r="C294" s="132">
        <f t="shared" si="28"/>
        <v>0</v>
      </c>
      <c r="D294" s="132">
        <f t="shared" si="29"/>
        <v>0</v>
      </c>
      <c r="E294" s="132">
        <f t="shared" si="30"/>
        <v>0</v>
      </c>
      <c r="F294" s="85">
        <f t="shared" si="31"/>
        <v>0</v>
      </c>
      <c r="G294" s="133">
        <f t="shared" si="32"/>
        <v>0</v>
      </c>
    </row>
    <row r="295" spans="1:7" ht="13.5" hidden="1" thickBot="1">
      <c r="A295" s="70">
        <f t="shared" si="33"/>
        <v>275</v>
      </c>
      <c r="B295" s="85">
        <f t="shared" si="34"/>
        <v>0</v>
      </c>
      <c r="C295" s="132">
        <f t="shared" si="28"/>
        <v>0</v>
      </c>
      <c r="D295" s="132">
        <f t="shared" si="29"/>
        <v>0</v>
      </c>
      <c r="E295" s="132">
        <f t="shared" si="30"/>
        <v>0</v>
      </c>
      <c r="F295" s="85">
        <f t="shared" si="31"/>
        <v>0</v>
      </c>
      <c r="G295" s="133">
        <f t="shared" si="32"/>
        <v>0</v>
      </c>
    </row>
    <row r="296" spans="1:7" ht="13.5" hidden="1" thickBot="1">
      <c r="A296" s="70">
        <f t="shared" si="33"/>
        <v>276</v>
      </c>
      <c r="B296" s="85">
        <f t="shared" si="34"/>
        <v>0</v>
      </c>
      <c r="C296" s="132">
        <f t="shared" si="28"/>
        <v>0</v>
      </c>
      <c r="D296" s="132">
        <f t="shared" si="29"/>
        <v>0</v>
      </c>
      <c r="E296" s="132">
        <f t="shared" si="30"/>
        <v>0</v>
      </c>
      <c r="F296" s="85">
        <f t="shared" si="31"/>
        <v>0</v>
      </c>
      <c r="G296" s="133">
        <f t="shared" si="32"/>
        <v>0</v>
      </c>
    </row>
    <row r="297" spans="1:7" ht="13.5" hidden="1" thickBot="1">
      <c r="A297" s="70">
        <f t="shared" si="33"/>
        <v>277</v>
      </c>
      <c r="B297" s="85">
        <f t="shared" si="34"/>
        <v>0</v>
      </c>
      <c r="C297" s="132">
        <f t="shared" si="28"/>
        <v>0</v>
      </c>
      <c r="D297" s="132">
        <f t="shared" si="29"/>
        <v>0</v>
      </c>
      <c r="E297" s="132">
        <f t="shared" si="30"/>
        <v>0</v>
      </c>
      <c r="F297" s="85">
        <f t="shared" si="31"/>
        <v>0</v>
      </c>
      <c r="G297" s="133">
        <f t="shared" si="32"/>
        <v>0</v>
      </c>
    </row>
    <row r="298" spans="1:7" ht="13.5" hidden="1" thickBot="1">
      <c r="A298" s="70">
        <f t="shared" si="33"/>
        <v>278</v>
      </c>
      <c r="B298" s="85">
        <f t="shared" si="34"/>
        <v>0</v>
      </c>
      <c r="C298" s="132">
        <f t="shared" si="28"/>
        <v>0</v>
      </c>
      <c r="D298" s="132">
        <f t="shared" si="29"/>
        <v>0</v>
      </c>
      <c r="E298" s="132">
        <f t="shared" si="30"/>
        <v>0</v>
      </c>
      <c r="F298" s="85">
        <f t="shared" si="31"/>
        <v>0</v>
      </c>
      <c r="G298" s="133">
        <f t="shared" si="32"/>
        <v>0</v>
      </c>
    </row>
    <row r="299" spans="1:7" ht="13.5" hidden="1" thickBot="1">
      <c r="A299" s="70">
        <f t="shared" si="33"/>
        <v>279</v>
      </c>
      <c r="B299" s="85">
        <f t="shared" si="34"/>
        <v>0</v>
      </c>
      <c r="C299" s="132">
        <f t="shared" si="28"/>
        <v>0</v>
      </c>
      <c r="D299" s="132">
        <f t="shared" si="29"/>
        <v>0</v>
      </c>
      <c r="E299" s="132">
        <f t="shared" si="30"/>
        <v>0</v>
      </c>
      <c r="F299" s="85">
        <f t="shared" si="31"/>
        <v>0</v>
      </c>
      <c r="G299" s="133">
        <f t="shared" si="32"/>
        <v>0</v>
      </c>
    </row>
    <row r="300" spans="1:7" ht="13.5" hidden="1" thickBot="1">
      <c r="A300" s="70">
        <f t="shared" si="33"/>
        <v>280</v>
      </c>
      <c r="B300" s="85">
        <f t="shared" si="34"/>
        <v>0</v>
      </c>
      <c r="C300" s="132">
        <f t="shared" si="28"/>
        <v>0</v>
      </c>
      <c r="D300" s="132">
        <f t="shared" si="29"/>
        <v>0</v>
      </c>
      <c r="E300" s="132">
        <f t="shared" si="30"/>
        <v>0</v>
      </c>
      <c r="F300" s="85">
        <f t="shared" si="31"/>
        <v>0</v>
      </c>
      <c r="G300" s="133">
        <f t="shared" si="32"/>
        <v>0</v>
      </c>
    </row>
    <row r="301" spans="1:7" ht="13.5" hidden="1" thickBot="1">
      <c r="A301" s="70">
        <f t="shared" si="33"/>
        <v>281</v>
      </c>
      <c r="B301" s="85">
        <f t="shared" si="34"/>
        <v>0</v>
      </c>
      <c r="C301" s="132">
        <f t="shared" si="28"/>
        <v>0</v>
      </c>
      <c r="D301" s="132">
        <f t="shared" si="29"/>
        <v>0</v>
      </c>
      <c r="E301" s="132">
        <f t="shared" si="30"/>
        <v>0</v>
      </c>
      <c r="F301" s="85">
        <f t="shared" si="31"/>
        <v>0</v>
      </c>
      <c r="G301" s="133">
        <f t="shared" si="32"/>
        <v>0</v>
      </c>
    </row>
    <row r="302" spans="1:7" ht="13.5" hidden="1" thickBot="1">
      <c r="A302" s="70">
        <f t="shared" si="33"/>
        <v>282</v>
      </c>
      <c r="B302" s="85">
        <f t="shared" si="34"/>
        <v>0</v>
      </c>
      <c r="C302" s="132">
        <f t="shared" si="28"/>
        <v>0</v>
      </c>
      <c r="D302" s="132">
        <f t="shared" si="29"/>
        <v>0</v>
      </c>
      <c r="E302" s="132">
        <f t="shared" si="30"/>
        <v>0</v>
      </c>
      <c r="F302" s="85">
        <f t="shared" si="31"/>
        <v>0</v>
      </c>
      <c r="G302" s="133">
        <f t="shared" si="32"/>
        <v>0</v>
      </c>
    </row>
    <row r="303" spans="1:7" ht="13.5" hidden="1" thickBot="1">
      <c r="A303" s="70">
        <f t="shared" si="33"/>
        <v>283</v>
      </c>
      <c r="B303" s="85">
        <f t="shared" si="34"/>
        <v>0</v>
      </c>
      <c r="C303" s="132">
        <f t="shared" si="28"/>
        <v>0</v>
      </c>
      <c r="D303" s="132">
        <f t="shared" si="29"/>
        <v>0</v>
      </c>
      <c r="E303" s="132">
        <f t="shared" si="30"/>
        <v>0</v>
      </c>
      <c r="F303" s="85">
        <f t="shared" si="31"/>
        <v>0</v>
      </c>
      <c r="G303" s="133">
        <f t="shared" si="32"/>
        <v>0</v>
      </c>
    </row>
    <row r="304" spans="1:7" ht="13.5" hidden="1" thickBot="1">
      <c r="A304" s="70">
        <f t="shared" si="33"/>
        <v>284</v>
      </c>
      <c r="B304" s="85">
        <f t="shared" si="34"/>
        <v>0</v>
      </c>
      <c r="C304" s="132">
        <f t="shared" si="28"/>
        <v>0</v>
      </c>
      <c r="D304" s="132">
        <f t="shared" si="29"/>
        <v>0</v>
      </c>
      <c r="E304" s="132">
        <f t="shared" si="30"/>
        <v>0</v>
      </c>
      <c r="F304" s="85">
        <f t="shared" si="31"/>
        <v>0</v>
      </c>
      <c r="G304" s="133">
        <f t="shared" si="32"/>
        <v>0</v>
      </c>
    </row>
    <row r="305" spans="1:7" ht="13.5" hidden="1" thickBot="1">
      <c r="A305" s="70">
        <f t="shared" si="33"/>
        <v>285</v>
      </c>
      <c r="B305" s="85">
        <f t="shared" si="34"/>
        <v>0</v>
      </c>
      <c r="C305" s="132">
        <f t="shared" si="28"/>
        <v>0</v>
      </c>
      <c r="D305" s="132">
        <f t="shared" si="29"/>
        <v>0</v>
      </c>
      <c r="E305" s="132">
        <f t="shared" si="30"/>
        <v>0</v>
      </c>
      <c r="F305" s="85">
        <f t="shared" si="31"/>
        <v>0</v>
      </c>
      <c r="G305" s="133">
        <f t="shared" si="32"/>
        <v>0</v>
      </c>
    </row>
    <row r="306" spans="1:7" ht="13.5" hidden="1" thickBot="1">
      <c r="A306" s="70">
        <f t="shared" si="33"/>
        <v>286</v>
      </c>
      <c r="B306" s="85">
        <f t="shared" si="34"/>
        <v>0</v>
      </c>
      <c r="C306" s="132">
        <f t="shared" si="28"/>
        <v>0</v>
      </c>
      <c r="D306" s="132">
        <f t="shared" si="29"/>
        <v>0</v>
      </c>
      <c r="E306" s="132">
        <f t="shared" si="30"/>
        <v>0</v>
      </c>
      <c r="F306" s="85">
        <f t="shared" si="31"/>
        <v>0</v>
      </c>
      <c r="G306" s="133">
        <f t="shared" si="32"/>
        <v>0</v>
      </c>
    </row>
    <row r="307" spans="1:7" ht="13.5" hidden="1" thickBot="1">
      <c r="A307" s="70">
        <f t="shared" si="33"/>
        <v>287</v>
      </c>
      <c r="B307" s="85">
        <f t="shared" si="34"/>
        <v>0</v>
      </c>
      <c r="C307" s="132">
        <f t="shared" si="28"/>
        <v>0</v>
      </c>
      <c r="D307" s="132">
        <f t="shared" si="29"/>
        <v>0</v>
      </c>
      <c r="E307" s="132">
        <f t="shared" si="30"/>
        <v>0</v>
      </c>
      <c r="F307" s="85">
        <f t="shared" si="31"/>
        <v>0</v>
      </c>
      <c r="G307" s="133">
        <f t="shared" si="32"/>
        <v>0</v>
      </c>
    </row>
    <row r="308" spans="1:7" ht="13.5" hidden="1" thickBot="1">
      <c r="A308" s="70">
        <f t="shared" si="33"/>
        <v>288</v>
      </c>
      <c r="B308" s="85">
        <f t="shared" si="34"/>
        <v>0</v>
      </c>
      <c r="C308" s="132">
        <f t="shared" si="28"/>
        <v>0</v>
      </c>
      <c r="D308" s="132">
        <f t="shared" si="29"/>
        <v>0</v>
      </c>
      <c r="E308" s="132">
        <f t="shared" si="30"/>
        <v>0</v>
      </c>
      <c r="F308" s="85">
        <f t="shared" si="31"/>
        <v>0</v>
      </c>
      <c r="G308" s="133">
        <f t="shared" si="32"/>
        <v>0</v>
      </c>
    </row>
    <row r="309" spans="1:7" ht="13.5" hidden="1" thickBot="1">
      <c r="A309" s="70">
        <f t="shared" si="33"/>
        <v>289</v>
      </c>
      <c r="B309" s="85">
        <f t="shared" si="34"/>
        <v>0</v>
      </c>
      <c r="C309" s="132">
        <f t="shared" si="28"/>
        <v>0</v>
      </c>
      <c r="D309" s="132">
        <f t="shared" si="29"/>
        <v>0</v>
      </c>
      <c r="E309" s="132">
        <f t="shared" si="30"/>
        <v>0</v>
      </c>
      <c r="F309" s="85">
        <f t="shared" si="31"/>
        <v>0</v>
      </c>
      <c r="G309" s="133">
        <f t="shared" si="32"/>
        <v>0</v>
      </c>
    </row>
    <row r="310" spans="1:7" ht="13.5" hidden="1" thickBot="1">
      <c r="A310" s="70">
        <f t="shared" si="33"/>
        <v>290</v>
      </c>
      <c r="B310" s="85">
        <f t="shared" si="34"/>
        <v>0</v>
      </c>
      <c r="C310" s="132">
        <f t="shared" si="28"/>
        <v>0</v>
      </c>
      <c r="D310" s="132">
        <f t="shared" si="29"/>
        <v>0</v>
      </c>
      <c r="E310" s="132">
        <f t="shared" si="30"/>
        <v>0</v>
      </c>
      <c r="F310" s="85">
        <f t="shared" si="31"/>
        <v>0</v>
      </c>
      <c r="G310" s="133">
        <f t="shared" si="32"/>
        <v>0</v>
      </c>
    </row>
    <row r="311" spans="1:7" ht="13.5" hidden="1" thickBot="1">
      <c r="A311" s="70">
        <f t="shared" si="33"/>
        <v>291</v>
      </c>
      <c r="B311" s="85">
        <f t="shared" si="34"/>
        <v>0</v>
      </c>
      <c r="C311" s="132">
        <f t="shared" si="28"/>
        <v>0</v>
      </c>
      <c r="D311" s="132">
        <f t="shared" si="29"/>
        <v>0</v>
      </c>
      <c r="E311" s="132">
        <f t="shared" si="30"/>
        <v>0</v>
      </c>
      <c r="F311" s="85">
        <f t="shared" si="31"/>
        <v>0</v>
      </c>
      <c r="G311" s="133">
        <f t="shared" si="32"/>
        <v>0</v>
      </c>
    </row>
    <row r="312" spans="1:7" ht="13.5" hidden="1" thickBot="1">
      <c r="A312" s="70">
        <f t="shared" si="33"/>
        <v>292</v>
      </c>
      <c r="B312" s="85">
        <f t="shared" si="34"/>
        <v>0</v>
      </c>
      <c r="C312" s="132">
        <f t="shared" si="28"/>
        <v>0</v>
      </c>
      <c r="D312" s="132">
        <f t="shared" si="29"/>
        <v>0</v>
      </c>
      <c r="E312" s="132">
        <f t="shared" si="30"/>
        <v>0</v>
      </c>
      <c r="F312" s="85">
        <f t="shared" si="31"/>
        <v>0</v>
      </c>
      <c r="G312" s="133">
        <f t="shared" si="32"/>
        <v>0</v>
      </c>
    </row>
    <row r="313" spans="1:7" ht="13.5" hidden="1" thickBot="1">
      <c r="A313" s="70">
        <f t="shared" si="33"/>
        <v>293</v>
      </c>
      <c r="B313" s="85">
        <f t="shared" si="34"/>
        <v>0</v>
      </c>
      <c r="C313" s="132">
        <f t="shared" si="28"/>
        <v>0</v>
      </c>
      <c r="D313" s="132">
        <f t="shared" si="29"/>
        <v>0</v>
      </c>
      <c r="E313" s="132">
        <f t="shared" si="30"/>
        <v>0</v>
      </c>
      <c r="F313" s="85">
        <f t="shared" si="31"/>
        <v>0</v>
      </c>
      <c r="G313" s="133">
        <f t="shared" si="32"/>
        <v>0</v>
      </c>
    </row>
    <row r="314" spans="1:7" ht="13.5" hidden="1" thickBot="1">
      <c r="A314" s="70">
        <f t="shared" si="33"/>
        <v>294</v>
      </c>
      <c r="B314" s="85">
        <f t="shared" si="34"/>
        <v>0</v>
      </c>
      <c r="C314" s="132">
        <f t="shared" si="28"/>
        <v>0</v>
      </c>
      <c r="D314" s="132">
        <f t="shared" si="29"/>
        <v>0</v>
      </c>
      <c r="E314" s="132">
        <f t="shared" si="30"/>
        <v>0</v>
      </c>
      <c r="F314" s="85">
        <f t="shared" si="31"/>
        <v>0</v>
      </c>
      <c r="G314" s="133">
        <f t="shared" si="32"/>
        <v>0</v>
      </c>
    </row>
    <row r="315" spans="1:7" ht="13.5" hidden="1" thickBot="1">
      <c r="A315" s="70">
        <f t="shared" si="33"/>
        <v>295</v>
      </c>
      <c r="B315" s="85">
        <f t="shared" si="34"/>
        <v>0</v>
      </c>
      <c r="C315" s="132">
        <f t="shared" si="28"/>
        <v>0</v>
      </c>
      <c r="D315" s="132">
        <f t="shared" si="29"/>
        <v>0</v>
      </c>
      <c r="E315" s="132">
        <f t="shared" si="30"/>
        <v>0</v>
      </c>
      <c r="F315" s="85">
        <f t="shared" si="31"/>
        <v>0</v>
      </c>
      <c r="G315" s="133">
        <f t="shared" si="32"/>
        <v>0</v>
      </c>
    </row>
    <row r="316" spans="1:7" ht="13.5" hidden="1" thickBot="1">
      <c r="A316" s="70">
        <f t="shared" si="33"/>
        <v>296</v>
      </c>
      <c r="B316" s="85">
        <f t="shared" si="34"/>
        <v>0</v>
      </c>
      <c r="C316" s="132">
        <f t="shared" si="28"/>
        <v>0</v>
      </c>
      <c r="D316" s="132">
        <f t="shared" si="29"/>
        <v>0</v>
      </c>
      <c r="E316" s="132">
        <f t="shared" si="30"/>
        <v>0</v>
      </c>
      <c r="F316" s="85">
        <f t="shared" si="31"/>
        <v>0</v>
      </c>
      <c r="G316" s="133">
        <f t="shared" si="32"/>
        <v>0</v>
      </c>
    </row>
    <row r="317" spans="1:7" ht="13.5" hidden="1" thickBot="1">
      <c r="A317" s="70">
        <f t="shared" si="33"/>
        <v>297</v>
      </c>
      <c r="B317" s="85">
        <f t="shared" si="34"/>
        <v>0</v>
      </c>
      <c r="C317" s="132">
        <f t="shared" si="28"/>
        <v>0</v>
      </c>
      <c r="D317" s="132">
        <f t="shared" si="29"/>
        <v>0</v>
      </c>
      <c r="E317" s="132">
        <f t="shared" si="30"/>
        <v>0</v>
      </c>
      <c r="F317" s="85">
        <f t="shared" si="31"/>
        <v>0</v>
      </c>
      <c r="G317" s="133">
        <f t="shared" si="32"/>
        <v>0</v>
      </c>
    </row>
    <row r="318" spans="1:7" ht="13.5" hidden="1" thickBot="1">
      <c r="A318" s="70">
        <f t="shared" si="33"/>
        <v>298</v>
      </c>
      <c r="B318" s="85">
        <f t="shared" si="34"/>
        <v>0</v>
      </c>
      <c r="C318" s="132">
        <f t="shared" si="28"/>
        <v>0</v>
      </c>
      <c r="D318" s="132">
        <f t="shared" si="29"/>
        <v>0</v>
      </c>
      <c r="E318" s="132">
        <f t="shared" si="30"/>
        <v>0</v>
      </c>
      <c r="F318" s="85">
        <f t="shared" si="31"/>
        <v>0</v>
      </c>
      <c r="G318" s="133">
        <f t="shared" si="32"/>
        <v>0</v>
      </c>
    </row>
    <row r="319" spans="1:7" ht="13.5" hidden="1" thickBot="1">
      <c r="A319" s="70">
        <f t="shared" si="33"/>
        <v>299</v>
      </c>
      <c r="B319" s="85">
        <f t="shared" si="34"/>
        <v>0</v>
      </c>
      <c r="C319" s="132">
        <f t="shared" si="28"/>
        <v>0</v>
      </c>
      <c r="D319" s="132">
        <f t="shared" si="29"/>
        <v>0</v>
      </c>
      <c r="E319" s="132">
        <f t="shared" si="30"/>
        <v>0</v>
      </c>
      <c r="F319" s="85">
        <f t="shared" si="31"/>
        <v>0</v>
      </c>
      <c r="G319" s="133">
        <f t="shared" si="32"/>
        <v>0</v>
      </c>
    </row>
    <row r="320" spans="1:7" ht="13.5" hidden="1" thickBot="1">
      <c r="A320" s="70">
        <f t="shared" si="33"/>
        <v>300</v>
      </c>
      <c r="B320" s="85">
        <f t="shared" si="34"/>
        <v>0</v>
      </c>
      <c r="C320" s="132">
        <f t="shared" si="28"/>
        <v>0</v>
      </c>
      <c r="D320" s="132">
        <f t="shared" si="29"/>
        <v>0</v>
      </c>
      <c r="E320" s="132">
        <f t="shared" si="30"/>
        <v>0</v>
      </c>
      <c r="F320" s="85">
        <f t="shared" si="31"/>
        <v>0</v>
      </c>
      <c r="G320" s="133">
        <f t="shared" si="32"/>
        <v>0</v>
      </c>
    </row>
    <row r="321" spans="1:7" ht="13.5" hidden="1" thickBot="1">
      <c r="A321" s="70">
        <f t="shared" si="33"/>
        <v>301</v>
      </c>
      <c r="B321" s="85">
        <f t="shared" si="34"/>
        <v>0</v>
      </c>
      <c r="C321" s="132">
        <f t="shared" si="28"/>
        <v>0</v>
      </c>
      <c r="D321" s="132">
        <f t="shared" si="29"/>
        <v>0</v>
      </c>
      <c r="E321" s="132">
        <f t="shared" si="30"/>
        <v>0</v>
      </c>
      <c r="F321" s="85">
        <f t="shared" si="31"/>
        <v>0</v>
      </c>
      <c r="G321" s="133">
        <f t="shared" si="32"/>
        <v>0</v>
      </c>
    </row>
    <row r="322" spans="1:7" ht="13.5" hidden="1" thickBot="1">
      <c r="A322" s="70">
        <f t="shared" si="33"/>
        <v>302</v>
      </c>
      <c r="B322" s="85">
        <f t="shared" si="34"/>
        <v>0</v>
      </c>
      <c r="C322" s="132">
        <f t="shared" si="28"/>
        <v>0</v>
      </c>
      <c r="D322" s="132">
        <f t="shared" si="29"/>
        <v>0</v>
      </c>
      <c r="E322" s="132">
        <f t="shared" si="30"/>
        <v>0</v>
      </c>
      <c r="F322" s="85">
        <f t="shared" si="31"/>
        <v>0</v>
      </c>
      <c r="G322" s="133">
        <f t="shared" si="32"/>
        <v>0</v>
      </c>
    </row>
    <row r="323" spans="1:7" ht="13.5" hidden="1" thickBot="1">
      <c r="A323" s="70">
        <f t="shared" si="33"/>
        <v>303</v>
      </c>
      <c r="B323" s="85">
        <f t="shared" si="34"/>
        <v>0</v>
      </c>
      <c r="C323" s="132">
        <f t="shared" si="28"/>
        <v>0</v>
      </c>
      <c r="D323" s="132">
        <f t="shared" si="29"/>
        <v>0</v>
      </c>
      <c r="E323" s="132">
        <f t="shared" si="30"/>
        <v>0</v>
      </c>
      <c r="F323" s="85">
        <f t="shared" si="31"/>
        <v>0</v>
      </c>
      <c r="G323" s="133">
        <f t="shared" si="32"/>
        <v>0</v>
      </c>
    </row>
    <row r="324" spans="1:7" ht="13.5" hidden="1" thickBot="1">
      <c r="A324" s="70">
        <f t="shared" si="33"/>
        <v>304</v>
      </c>
      <c r="B324" s="85">
        <f t="shared" si="34"/>
        <v>0</v>
      </c>
      <c r="C324" s="132">
        <f t="shared" si="28"/>
        <v>0</v>
      </c>
      <c r="D324" s="132">
        <f t="shared" si="29"/>
        <v>0</v>
      </c>
      <c r="E324" s="132">
        <f t="shared" si="30"/>
        <v>0</v>
      </c>
      <c r="F324" s="85">
        <f t="shared" si="31"/>
        <v>0</v>
      </c>
      <c r="G324" s="133">
        <f t="shared" si="32"/>
        <v>0</v>
      </c>
    </row>
    <row r="325" spans="1:7" ht="13.5" hidden="1" thickBot="1">
      <c r="A325" s="70">
        <f t="shared" si="33"/>
        <v>305</v>
      </c>
      <c r="B325" s="85">
        <f t="shared" si="34"/>
        <v>0</v>
      </c>
      <c r="C325" s="132">
        <f t="shared" si="28"/>
        <v>0</v>
      </c>
      <c r="D325" s="132">
        <f t="shared" si="29"/>
        <v>0</v>
      </c>
      <c r="E325" s="132">
        <f t="shared" si="30"/>
        <v>0</v>
      </c>
      <c r="F325" s="85">
        <f t="shared" si="31"/>
        <v>0</v>
      </c>
      <c r="G325" s="133">
        <f t="shared" si="32"/>
        <v>0</v>
      </c>
    </row>
    <row r="326" spans="1:7" ht="13.5" hidden="1" thickBot="1">
      <c r="A326" s="70">
        <f t="shared" si="33"/>
        <v>306</v>
      </c>
      <c r="B326" s="85">
        <f t="shared" si="34"/>
        <v>0</v>
      </c>
      <c r="C326" s="132">
        <f t="shared" si="28"/>
        <v>0</v>
      </c>
      <c r="D326" s="132">
        <f t="shared" si="29"/>
        <v>0</v>
      </c>
      <c r="E326" s="132">
        <f t="shared" si="30"/>
        <v>0</v>
      </c>
      <c r="F326" s="85">
        <f t="shared" si="31"/>
        <v>0</v>
      </c>
      <c r="G326" s="133">
        <f t="shared" si="32"/>
        <v>0</v>
      </c>
    </row>
    <row r="327" spans="1:7" ht="13.5" hidden="1" thickBot="1">
      <c r="A327" s="70">
        <f t="shared" si="33"/>
        <v>307</v>
      </c>
      <c r="B327" s="85">
        <f t="shared" si="34"/>
        <v>0</v>
      </c>
      <c r="C327" s="132">
        <f t="shared" si="28"/>
        <v>0</v>
      </c>
      <c r="D327" s="132">
        <f t="shared" si="29"/>
        <v>0</v>
      </c>
      <c r="E327" s="132">
        <f t="shared" si="30"/>
        <v>0</v>
      </c>
      <c r="F327" s="85">
        <f t="shared" si="31"/>
        <v>0</v>
      </c>
      <c r="G327" s="133">
        <f t="shared" si="32"/>
        <v>0</v>
      </c>
    </row>
    <row r="328" spans="1:7" ht="13.5" hidden="1" thickBot="1">
      <c r="A328" s="70">
        <f t="shared" si="33"/>
        <v>308</v>
      </c>
      <c r="B328" s="85">
        <f t="shared" si="34"/>
        <v>0</v>
      </c>
      <c r="C328" s="132">
        <f t="shared" si="28"/>
        <v>0</v>
      </c>
      <c r="D328" s="132">
        <f t="shared" si="29"/>
        <v>0</v>
      </c>
      <c r="E328" s="132">
        <f t="shared" si="30"/>
        <v>0</v>
      </c>
      <c r="F328" s="85">
        <f t="shared" si="31"/>
        <v>0</v>
      </c>
      <c r="G328" s="133">
        <f t="shared" si="32"/>
        <v>0</v>
      </c>
    </row>
    <row r="329" spans="1:7" ht="13.5" hidden="1" thickBot="1">
      <c r="A329" s="70">
        <f t="shared" si="33"/>
        <v>309</v>
      </c>
      <c r="B329" s="85">
        <f t="shared" si="34"/>
        <v>0</v>
      </c>
      <c r="C329" s="132">
        <f t="shared" si="28"/>
        <v>0</v>
      </c>
      <c r="D329" s="132">
        <f t="shared" si="29"/>
        <v>0</v>
      </c>
      <c r="E329" s="132">
        <f t="shared" si="30"/>
        <v>0</v>
      </c>
      <c r="F329" s="85">
        <f t="shared" si="31"/>
        <v>0</v>
      </c>
      <c r="G329" s="133">
        <f t="shared" si="32"/>
        <v>0</v>
      </c>
    </row>
    <row r="330" spans="1:7" ht="13.5" hidden="1" thickBot="1">
      <c r="A330" s="70">
        <f t="shared" si="33"/>
        <v>310</v>
      </c>
      <c r="B330" s="85">
        <f t="shared" si="34"/>
        <v>0</v>
      </c>
      <c r="C330" s="132">
        <f t="shared" si="28"/>
        <v>0</v>
      </c>
      <c r="D330" s="132">
        <f t="shared" si="29"/>
        <v>0</v>
      </c>
      <c r="E330" s="132">
        <f t="shared" si="30"/>
        <v>0</v>
      </c>
      <c r="F330" s="85">
        <f t="shared" si="31"/>
        <v>0</v>
      </c>
      <c r="G330" s="133">
        <f t="shared" si="32"/>
        <v>0</v>
      </c>
    </row>
    <row r="331" spans="1:7" ht="13.5" hidden="1" thickBot="1">
      <c r="A331" s="70">
        <f t="shared" si="33"/>
        <v>311</v>
      </c>
      <c r="B331" s="85">
        <f t="shared" si="34"/>
        <v>0</v>
      </c>
      <c r="C331" s="132">
        <f t="shared" si="28"/>
        <v>0</v>
      </c>
      <c r="D331" s="132">
        <f t="shared" si="29"/>
        <v>0</v>
      </c>
      <c r="E331" s="132">
        <f t="shared" si="30"/>
        <v>0</v>
      </c>
      <c r="F331" s="85">
        <f t="shared" si="31"/>
        <v>0</v>
      </c>
      <c r="G331" s="133">
        <f t="shared" si="32"/>
        <v>0</v>
      </c>
    </row>
    <row r="332" spans="1:7" ht="13.5" hidden="1" thickBot="1">
      <c r="A332" s="70">
        <f t="shared" si="33"/>
        <v>312</v>
      </c>
      <c r="B332" s="85">
        <f t="shared" si="34"/>
        <v>0</v>
      </c>
      <c r="C332" s="132">
        <f t="shared" si="28"/>
        <v>0</v>
      </c>
      <c r="D332" s="132">
        <f t="shared" si="29"/>
        <v>0</v>
      </c>
      <c r="E332" s="132">
        <f t="shared" si="30"/>
        <v>0</v>
      </c>
      <c r="F332" s="85">
        <f t="shared" si="31"/>
        <v>0</v>
      </c>
      <c r="G332" s="133">
        <f t="shared" si="32"/>
        <v>0</v>
      </c>
    </row>
    <row r="333" spans="1:7" ht="13.5" hidden="1" thickBot="1">
      <c r="A333" s="70">
        <f t="shared" si="33"/>
        <v>313</v>
      </c>
      <c r="B333" s="85">
        <f t="shared" si="34"/>
        <v>0</v>
      </c>
      <c r="C333" s="132">
        <f t="shared" si="28"/>
        <v>0</v>
      </c>
      <c r="D333" s="132">
        <f t="shared" si="29"/>
        <v>0</v>
      </c>
      <c r="E333" s="132">
        <f t="shared" si="30"/>
        <v>0</v>
      </c>
      <c r="F333" s="85">
        <f t="shared" si="31"/>
        <v>0</v>
      </c>
      <c r="G333" s="133">
        <f t="shared" si="32"/>
        <v>0</v>
      </c>
    </row>
    <row r="334" spans="1:7" ht="13.5" hidden="1" thickBot="1">
      <c r="A334" s="70">
        <f t="shared" si="33"/>
        <v>314</v>
      </c>
      <c r="B334" s="85">
        <f t="shared" si="34"/>
        <v>0</v>
      </c>
      <c r="C334" s="132">
        <f t="shared" si="28"/>
        <v>0</v>
      </c>
      <c r="D334" s="132">
        <f t="shared" si="29"/>
        <v>0</v>
      </c>
      <c r="E334" s="132">
        <f t="shared" si="30"/>
        <v>0</v>
      </c>
      <c r="F334" s="85">
        <f t="shared" si="31"/>
        <v>0</v>
      </c>
      <c r="G334" s="133">
        <f t="shared" si="32"/>
        <v>0</v>
      </c>
    </row>
    <row r="335" spans="1:7" ht="13.5" hidden="1" thickBot="1">
      <c r="A335" s="70">
        <f t="shared" si="33"/>
        <v>315</v>
      </c>
      <c r="B335" s="85">
        <f t="shared" si="34"/>
        <v>0</v>
      </c>
      <c r="C335" s="132">
        <f t="shared" si="28"/>
        <v>0</v>
      </c>
      <c r="D335" s="132">
        <f t="shared" si="29"/>
        <v>0</v>
      </c>
      <c r="E335" s="132">
        <f t="shared" si="30"/>
        <v>0</v>
      </c>
      <c r="F335" s="85">
        <f t="shared" si="31"/>
        <v>0</v>
      </c>
      <c r="G335" s="133">
        <f t="shared" si="32"/>
        <v>0</v>
      </c>
    </row>
    <row r="336" spans="1:7" ht="13.5" hidden="1" thickBot="1">
      <c r="A336" s="70">
        <f t="shared" si="33"/>
        <v>316</v>
      </c>
      <c r="B336" s="85">
        <f t="shared" si="34"/>
        <v>0</v>
      </c>
      <c r="C336" s="132">
        <f t="shared" si="28"/>
        <v>0</v>
      </c>
      <c r="D336" s="132">
        <f t="shared" si="29"/>
        <v>0</v>
      </c>
      <c r="E336" s="132">
        <f t="shared" si="30"/>
        <v>0</v>
      </c>
      <c r="F336" s="85">
        <f t="shared" si="31"/>
        <v>0</v>
      </c>
      <c r="G336" s="133">
        <f t="shared" si="32"/>
        <v>0</v>
      </c>
    </row>
    <row r="337" spans="1:7" ht="13.5" hidden="1" thickBot="1">
      <c r="A337" s="70">
        <f t="shared" si="33"/>
        <v>317</v>
      </c>
      <c r="B337" s="85">
        <f t="shared" si="34"/>
        <v>0</v>
      </c>
      <c r="C337" s="132">
        <f t="shared" si="28"/>
        <v>0</v>
      </c>
      <c r="D337" s="132">
        <f t="shared" si="29"/>
        <v>0</v>
      </c>
      <c r="E337" s="132">
        <f t="shared" si="30"/>
        <v>0</v>
      </c>
      <c r="F337" s="85">
        <f t="shared" si="31"/>
        <v>0</v>
      </c>
      <c r="G337" s="133">
        <f t="shared" si="32"/>
        <v>0</v>
      </c>
    </row>
    <row r="338" spans="1:7" ht="13.5" hidden="1" thickBot="1">
      <c r="A338" s="70">
        <f t="shared" si="33"/>
        <v>318</v>
      </c>
      <c r="B338" s="85">
        <f t="shared" si="34"/>
        <v>0</v>
      </c>
      <c r="C338" s="132">
        <f t="shared" si="28"/>
        <v>0</v>
      </c>
      <c r="D338" s="132">
        <f t="shared" si="29"/>
        <v>0</v>
      </c>
      <c r="E338" s="132">
        <f t="shared" si="30"/>
        <v>0</v>
      </c>
      <c r="F338" s="85">
        <f t="shared" si="31"/>
        <v>0</v>
      </c>
      <c r="G338" s="133">
        <f t="shared" si="32"/>
        <v>0</v>
      </c>
    </row>
    <row r="339" spans="1:7" ht="13.5" hidden="1" thickBot="1">
      <c r="A339" s="70">
        <f t="shared" si="33"/>
        <v>319</v>
      </c>
      <c r="B339" s="85">
        <f t="shared" si="34"/>
        <v>0</v>
      </c>
      <c r="C339" s="132">
        <f t="shared" si="28"/>
        <v>0</v>
      </c>
      <c r="D339" s="132">
        <f t="shared" si="29"/>
        <v>0</v>
      </c>
      <c r="E339" s="132">
        <f t="shared" si="30"/>
        <v>0</v>
      </c>
      <c r="F339" s="85">
        <f t="shared" si="31"/>
        <v>0</v>
      </c>
      <c r="G339" s="133">
        <f t="shared" si="32"/>
        <v>0</v>
      </c>
    </row>
    <row r="340" spans="1:7" ht="13.5" hidden="1" thickBot="1">
      <c r="A340" s="70">
        <f t="shared" si="33"/>
        <v>320</v>
      </c>
      <c r="B340" s="85">
        <f t="shared" si="34"/>
        <v>0</v>
      </c>
      <c r="C340" s="132">
        <f t="shared" si="28"/>
        <v>0</v>
      </c>
      <c r="D340" s="132">
        <f t="shared" si="29"/>
        <v>0</v>
      </c>
      <c r="E340" s="132">
        <f t="shared" si="30"/>
        <v>0</v>
      </c>
      <c r="F340" s="85">
        <f t="shared" si="31"/>
        <v>0</v>
      </c>
      <c r="G340" s="133">
        <f t="shared" si="32"/>
        <v>0</v>
      </c>
    </row>
    <row r="341" spans="1:7" ht="13.5" hidden="1" thickBot="1">
      <c r="A341" s="70">
        <f t="shared" si="33"/>
        <v>321</v>
      </c>
      <c r="B341" s="85">
        <f t="shared" si="34"/>
        <v>0</v>
      </c>
      <c r="C341" s="132">
        <f t="shared" ref="C341:C380" si="35">IF(A341&lt;=$D$10,D341+$D$13,0)</f>
        <v>0</v>
      </c>
      <c r="D341" s="132">
        <f t="shared" ref="D341:D381" si="36">E341+F341</f>
        <v>0</v>
      </c>
      <c r="E341" s="132">
        <f t="shared" ref="E341:E380" si="37">B341*$D$11</f>
        <v>0</v>
      </c>
      <c r="F341" s="85">
        <f t="shared" ref="F341:F380" si="38">IF(A341&lt;=$D$10,$D$12*-1,0)</f>
        <v>0</v>
      </c>
      <c r="G341" s="133">
        <f t="shared" ref="G341:G380" si="39">B341-F341</f>
        <v>0</v>
      </c>
    </row>
    <row r="342" spans="1:7" ht="13.5" hidden="1" thickBot="1">
      <c r="A342" s="70">
        <f t="shared" ref="A342:A380" si="40">A341+1</f>
        <v>322</v>
      </c>
      <c r="B342" s="85">
        <f t="shared" ref="B342:B380" si="41">B341-F341</f>
        <v>0</v>
      </c>
      <c r="C342" s="132">
        <f t="shared" si="35"/>
        <v>0</v>
      </c>
      <c r="D342" s="132">
        <f t="shared" si="36"/>
        <v>0</v>
      </c>
      <c r="E342" s="132">
        <f t="shared" si="37"/>
        <v>0</v>
      </c>
      <c r="F342" s="85">
        <f t="shared" si="38"/>
        <v>0</v>
      </c>
      <c r="G342" s="133">
        <f t="shared" si="39"/>
        <v>0</v>
      </c>
    </row>
    <row r="343" spans="1:7" ht="13.5" hidden="1" thickBot="1">
      <c r="A343" s="70">
        <f t="shared" si="40"/>
        <v>323</v>
      </c>
      <c r="B343" s="85">
        <f t="shared" si="41"/>
        <v>0</v>
      </c>
      <c r="C343" s="132">
        <f t="shared" si="35"/>
        <v>0</v>
      </c>
      <c r="D343" s="132">
        <f t="shared" si="36"/>
        <v>0</v>
      </c>
      <c r="E343" s="132">
        <f t="shared" si="37"/>
        <v>0</v>
      </c>
      <c r="F343" s="85">
        <f t="shared" si="38"/>
        <v>0</v>
      </c>
      <c r="G343" s="133">
        <f t="shared" si="39"/>
        <v>0</v>
      </c>
    </row>
    <row r="344" spans="1:7" ht="13.5" hidden="1" thickBot="1">
      <c r="A344" s="70">
        <f t="shared" si="40"/>
        <v>324</v>
      </c>
      <c r="B344" s="85">
        <f t="shared" si="41"/>
        <v>0</v>
      </c>
      <c r="C344" s="132">
        <f t="shared" si="35"/>
        <v>0</v>
      </c>
      <c r="D344" s="132">
        <f t="shared" si="36"/>
        <v>0</v>
      </c>
      <c r="E344" s="132">
        <f t="shared" si="37"/>
        <v>0</v>
      </c>
      <c r="F344" s="85">
        <f t="shared" si="38"/>
        <v>0</v>
      </c>
      <c r="G344" s="133">
        <f t="shared" si="39"/>
        <v>0</v>
      </c>
    </row>
    <row r="345" spans="1:7" ht="13.5" hidden="1" thickBot="1">
      <c r="A345" s="70">
        <f t="shared" si="40"/>
        <v>325</v>
      </c>
      <c r="B345" s="85">
        <f t="shared" si="41"/>
        <v>0</v>
      </c>
      <c r="C345" s="132">
        <f t="shared" si="35"/>
        <v>0</v>
      </c>
      <c r="D345" s="132">
        <f t="shared" si="36"/>
        <v>0</v>
      </c>
      <c r="E345" s="132">
        <f t="shared" si="37"/>
        <v>0</v>
      </c>
      <c r="F345" s="85">
        <f t="shared" si="38"/>
        <v>0</v>
      </c>
      <c r="G345" s="133">
        <f t="shared" si="39"/>
        <v>0</v>
      </c>
    </row>
    <row r="346" spans="1:7" ht="13.5" hidden="1" thickBot="1">
      <c r="A346" s="70">
        <f t="shared" si="40"/>
        <v>326</v>
      </c>
      <c r="B346" s="85">
        <f t="shared" si="41"/>
        <v>0</v>
      </c>
      <c r="C346" s="132">
        <f t="shared" si="35"/>
        <v>0</v>
      </c>
      <c r="D346" s="132">
        <f t="shared" si="36"/>
        <v>0</v>
      </c>
      <c r="E346" s="132">
        <f t="shared" si="37"/>
        <v>0</v>
      </c>
      <c r="F346" s="85">
        <f t="shared" si="38"/>
        <v>0</v>
      </c>
      <c r="G346" s="133">
        <f t="shared" si="39"/>
        <v>0</v>
      </c>
    </row>
    <row r="347" spans="1:7" ht="13.5" hidden="1" thickBot="1">
      <c r="A347" s="70">
        <f t="shared" si="40"/>
        <v>327</v>
      </c>
      <c r="B347" s="85">
        <f t="shared" si="41"/>
        <v>0</v>
      </c>
      <c r="C347" s="132">
        <f t="shared" si="35"/>
        <v>0</v>
      </c>
      <c r="D347" s="132">
        <f t="shared" si="36"/>
        <v>0</v>
      </c>
      <c r="E347" s="132">
        <f t="shared" si="37"/>
        <v>0</v>
      </c>
      <c r="F347" s="85">
        <f t="shared" si="38"/>
        <v>0</v>
      </c>
      <c r="G347" s="133">
        <f t="shared" si="39"/>
        <v>0</v>
      </c>
    </row>
    <row r="348" spans="1:7" ht="13.5" hidden="1" thickBot="1">
      <c r="A348" s="70">
        <f t="shared" si="40"/>
        <v>328</v>
      </c>
      <c r="B348" s="85">
        <f t="shared" si="41"/>
        <v>0</v>
      </c>
      <c r="C348" s="132">
        <f t="shared" si="35"/>
        <v>0</v>
      </c>
      <c r="D348" s="132">
        <f t="shared" si="36"/>
        <v>0</v>
      </c>
      <c r="E348" s="132">
        <f t="shared" si="37"/>
        <v>0</v>
      </c>
      <c r="F348" s="85">
        <f t="shared" si="38"/>
        <v>0</v>
      </c>
      <c r="G348" s="133">
        <f t="shared" si="39"/>
        <v>0</v>
      </c>
    </row>
    <row r="349" spans="1:7" ht="13.5" hidden="1" thickBot="1">
      <c r="A349" s="70">
        <f t="shared" si="40"/>
        <v>329</v>
      </c>
      <c r="B349" s="85">
        <f t="shared" si="41"/>
        <v>0</v>
      </c>
      <c r="C349" s="132">
        <f t="shared" si="35"/>
        <v>0</v>
      </c>
      <c r="D349" s="132">
        <f t="shared" si="36"/>
        <v>0</v>
      </c>
      <c r="E349" s="132">
        <f t="shared" si="37"/>
        <v>0</v>
      </c>
      <c r="F349" s="85">
        <f t="shared" si="38"/>
        <v>0</v>
      </c>
      <c r="G349" s="133">
        <f t="shared" si="39"/>
        <v>0</v>
      </c>
    </row>
    <row r="350" spans="1:7" ht="13.5" hidden="1" thickBot="1">
      <c r="A350" s="70">
        <f t="shared" si="40"/>
        <v>330</v>
      </c>
      <c r="B350" s="85">
        <f t="shared" si="41"/>
        <v>0</v>
      </c>
      <c r="C350" s="132">
        <f t="shared" si="35"/>
        <v>0</v>
      </c>
      <c r="D350" s="132">
        <f t="shared" si="36"/>
        <v>0</v>
      </c>
      <c r="E350" s="132">
        <f t="shared" si="37"/>
        <v>0</v>
      </c>
      <c r="F350" s="85">
        <f t="shared" si="38"/>
        <v>0</v>
      </c>
      <c r="G350" s="133">
        <f t="shared" si="39"/>
        <v>0</v>
      </c>
    </row>
    <row r="351" spans="1:7" ht="13.5" hidden="1" thickBot="1">
      <c r="A351" s="70">
        <f t="shared" si="40"/>
        <v>331</v>
      </c>
      <c r="B351" s="85">
        <f t="shared" si="41"/>
        <v>0</v>
      </c>
      <c r="C351" s="132">
        <f t="shared" si="35"/>
        <v>0</v>
      </c>
      <c r="D351" s="132">
        <f t="shared" si="36"/>
        <v>0</v>
      </c>
      <c r="E351" s="132">
        <f t="shared" si="37"/>
        <v>0</v>
      </c>
      <c r="F351" s="85">
        <f t="shared" si="38"/>
        <v>0</v>
      </c>
      <c r="G351" s="133">
        <f t="shared" si="39"/>
        <v>0</v>
      </c>
    </row>
    <row r="352" spans="1:7" ht="13.5" hidden="1" thickBot="1">
      <c r="A352" s="70">
        <f t="shared" si="40"/>
        <v>332</v>
      </c>
      <c r="B352" s="85">
        <f t="shared" si="41"/>
        <v>0</v>
      </c>
      <c r="C352" s="132">
        <f t="shared" si="35"/>
        <v>0</v>
      </c>
      <c r="D352" s="132">
        <f t="shared" si="36"/>
        <v>0</v>
      </c>
      <c r="E352" s="132">
        <f t="shared" si="37"/>
        <v>0</v>
      </c>
      <c r="F352" s="85">
        <f t="shared" si="38"/>
        <v>0</v>
      </c>
      <c r="G352" s="133">
        <f t="shared" si="39"/>
        <v>0</v>
      </c>
    </row>
    <row r="353" spans="1:7" ht="13.5" hidden="1" thickBot="1">
      <c r="A353" s="70">
        <f t="shared" si="40"/>
        <v>333</v>
      </c>
      <c r="B353" s="85">
        <f t="shared" si="41"/>
        <v>0</v>
      </c>
      <c r="C353" s="132">
        <f t="shared" si="35"/>
        <v>0</v>
      </c>
      <c r="D353" s="132">
        <f t="shared" si="36"/>
        <v>0</v>
      </c>
      <c r="E353" s="132">
        <f t="shared" si="37"/>
        <v>0</v>
      </c>
      <c r="F353" s="85">
        <f t="shared" si="38"/>
        <v>0</v>
      </c>
      <c r="G353" s="133">
        <f t="shared" si="39"/>
        <v>0</v>
      </c>
    </row>
    <row r="354" spans="1:7" ht="13.5" hidden="1" thickBot="1">
      <c r="A354" s="70">
        <f t="shared" si="40"/>
        <v>334</v>
      </c>
      <c r="B354" s="85">
        <f t="shared" si="41"/>
        <v>0</v>
      </c>
      <c r="C354" s="132">
        <f t="shared" si="35"/>
        <v>0</v>
      </c>
      <c r="D354" s="132">
        <f t="shared" si="36"/>
        <v>0</v>
      </c>
      <c r="E354" s="132">
        <f t="shared" si="37"/>
        <v>0</v>
      </c>
      <c r="F354" s="85">
        <f t="shared" si="38"/>
        <v>0</v>
      </c>
      <c r="G354" s="133">
        <f t="shared" si="39"/>
        <v>0</v>
      </c>
    </row>
    <row r="355" spans="1:7" ht="13.5" hidden="1" thickBot="1">
      <c r="A355" s="70">
        <f t="shared" si="40"/>
        <v>335</v>
      </c>
      <c r="B355" s="85">
        <f t="shared" si="41"/>
        <v>0</v>
      </c>
      <c r="C355" s="132">
        <f t="shared" si="35"/>
        <v>0</v>
      </c>
      <c r="D355" s="132">
        <f t="shared" si="36"/>
        <v>0</v>
      </c>
      <c r="E355" s="132">
        <f t="shared" si="37"/>
        <v>0</v>
      </c>
      <c r="F355" s="85">
        <f t="shared" si="38"/>
        <v>0</v>
      </c>
      <c r="G355" s="133">
        <f t="shared" si="39"/>
        <v>0</v>
      </c>
    </row>
    <row r="356" spans="1:7" ht="13.5" hidden="1" thickBot="1">
      <c r="A356" s="70">
        <f t="shared" si="40"/>
        <v>336</v>
      </c>
      <c r="B356" s="85">
        <f t="shared" si="41"/>
        <v>0</v>
      </c>
      <c r="C356" s="132">
        <f t="shared" si="35"/>
        <v>0</v>
      </c>
      <c r="D356" s="132">
        <f t="shared" si="36"/>
        <v>0</v>
      </c>
      <c r="E356" s="132">
        <f t="shared" si="37"/>
        <v>0</v>
      </c>
      <c r="F356" s="85">
        <f t="shared" si="38"/>
        <v>0</v>
      </c>
      <c r="G356" s="133">
        <f t="shared" si="39"/>
        <v>0</v>
      </c>
    </row>
    <row r="357" spans="1:7" ht="13.5" hidden="1" thickBot="1">
      <c r="A357" s="70">
        <f t="shared" si="40"/>
        <v>337</v>
      </c>
      <c r="B357" s="85">
        <f t="shared" si="41"/>
        <v>0</v>
      </c>
      <c r="C357" s="132">
        <f t="shared" si="35"/>
        <v>0</v>
      </c>
      <c r="D357" s="132">
        <f t="shared" si="36"/>
        <v>0</v>
      </c>
      <c r="E357" s="132">
        <f t="shared" si="37"/>
        <v>0</v>
      </c>
      <c r="F357" s="85">
        <f t="shared" si="38"/>
        <v>0</v>
      </c>
      <c r="G357" s="133">
        <f t="shared" si="39"/>
        <v>0</v>
      </c>
    </row>
    <row r="358" spans="1:7" ht="13.5" hidden="1" thickBot="1">
      <c r="A358" s="70">
        <f t="shared" si="40"/>
        <v>338</v>
      </c>
      <c r="B358" s="85">
        <f t="shared" si="41"/>
        <v>0</v>
      </c>
      <c r="C358" s="132">
        <f t="shared" si="35"/>
        <v>0</v>
      </c>
      <c r="D358" s="132">
        <f t="shared" si="36"/>
        <v>0</v>
      </c>
      <c r="E358" s="132">
        <f t="shared" si="37"/>
        <v>0</v>
      </c>
      <c r="F358" s="85">
        <f t="shared" si="38"/>
        <v>0</v>
      </c>
      <c r="G358" s="133">
        <f t="shared" si="39"/>
        <v>0</v>
      </c>
    </row>
    <row r="359" spans="1:7" ht="13.5" hidden="1" thickBot="1">
      <c r="A359" s="70">
        <f t="shared" si="40"/>
        <v>339</v>
      </c>
      <c r="B359" s="85">
        <f t="shared" si="41"/>
        <v>0</v>
      </c>
      <c r="C359" s="132">
        <f t="shared" si="35"/>
        <v>0</v>
      </c>
      <c r="D359" s="132">
        <f t="shared" si="36"/>
        <v>0</v>
      </c>
      <c r="E359" s="132">
        <f t="shared" si="37"/>
        <v>0</v>
      </c>
      <c r="F359" s="85">
        <f t="shared" si="38"/>
        <v>0</v>
      </c>
      <c r="G359" s="133">
        <f t="shared" si="39"/>
        <v>0</v>
      </c>
    </row>
    <row r="360" spans="1:7" ht="13.5" hidden="1" thickBot="1">
      <c r="A360" s="70">
        <f t="shared" si="40"/>
        <v>340</v>
      </c>
      <c r="B360" s="85">
        <f t="shared" si="41"/>
        <v>0</v>
      </c>
      <c r="C360" s="132">
        <f t="shared" si="35"/>
        <v>0</v>
      </c>
      <c r="D360" s="132">
        <f t="shared" si="36"/>
        <v>0</v>
      </c>
      <c r="E360" s="132">
        <f t="shared" si="37"/>
        <v>0</v>
      </c>
      <c r="F360" s="85">
        <f t="shared" si="38"/>
        <v>0</v>
      </c>
      <c r="G360" s="133">
        <f t="shared" si="39"/>
        <v>0</v>
      </c>
    </row>
    <row r="361" spans="1:7" ht="13.5" hidden="1" thickBot="1">
      <c r="A361" s="70">
        <f t="shared" si="40"/>
        <v>341</v>
      </c>
      <c r="B361" s="85">
        <f t="shared" si="41"/>
        <v>0</v>
      </c>
      <c r="C361" s="132">
        <f t="shared" si="35"/>
        <v>0</v>
      </c>
      <c r="D361" s="132">
        <f t="shared" si="36"/>
        <v>0</v>
      </c>
      <c r="E361" s="132">
        <f t="shared" si="37"/>
        <v>0</v>
      </c>
      <c r="F361" s="85">
        <f t="shared" si="38"/>
        <v>0</v>
      </c>
      <c r="G361" s="133">
        <f t="shared" si="39"/>
        <v>0</v>
      </c>
    </row>
    <row r="362" spans="1:7" ht="13.5" hidden="1" thickBot="1">
      <c r="A362" s="70">
        <f t="shared" si="40"/>
        <v>342</v>
      </c>
      <c r="B362" s="85">
        <f t="shared" si="41"/>
        <v>0</v>
      </c>
      <c r="C362" s="132">
        <f t="shared" si="35"/>
        <v>0</v>
      </c>
      <c r="D362" s="132">
        <f t="shared" si="36"/>
        <v>0</v>
      </c>
      <c r="E362" s="132">
        <f t="shared" si="37"/>
        <v>0</v>
      </c>
      <c r="F362" s="85">
        <f t="shared" si="38"/>
        <v>0</v>
      </c>
      <c r="G362" s="133">
        <f t="shared" si="39"/>
        <v>0</v>
      </c>
    </row>
    <row r="363" spans="1:7" ht="13.5" hidden="1" thickBot="1">
      <c r="A363" s="70">
        <f t="shared" si="40"/>
        <v>343</v>
      </c>
      <c r="B363" s="85">
        <f t="shared" si="41"/>
        <v>0</v>
      </c>
      <c r="C363" s="132">
        <f t="shared" si="35"/>
        <v>0</v>
      </c>
      <c r="D363" s="132">
        <f t="shared" si="36"/>
        <v>0</v>
      </c>
      <c r="E363" s="132">
        <f t="shared" si="37"/>
        <v>0</v>
      </c>
      <c r="F363" s="85">
        <f t="shared" si="38"/>
        <v>0</v>
      </c>
      <c r="G363" s="133">
        <f t="shared" si="39"/>
        <v>0</v>
      </c>
    </row>
    <row r="364" spans="1:7" ht="13.5" hidden="1" thickBot="1">
      <c r="A364" s="70">
        <f t="shared" si="40"/>
        <v>344</v>
      </c>
      <c r="B364" s="85">
        <f t="shared" si="41"/>
        <v>0</v>
      </c>
      <c r="C364" s="132">
        <f t="shared" si="35"/>
        <v>0</v>
      </c>
      <c r="D364" s="132">
        <f t="shared" si="36"/>
        <v>0</v>
      </c>
      <c r="E364" s="132">
        <f t="shared" si="37"/>
        <v>0</v>
      </c>
      <c r="F364" s="85">
        <f t="shared" si="38"/>
        <v>0</v>
      </c>
      <c r="G364" s="133">
        <f t="shared" si="39"/>
        <v>0</v>
      </c>
    </row>
    <row r="365" spans="1:7" ht="13.5" hidden="1" thickBot="1">
      <c r="A365" s="70">
        <f t="shared" si="40"/>
        <v>345</v>
      </c>
      <c r="B365" s="85">
        <f t="shared" si="41"/>
        <v>0</v>
      </c>
      <c r="C365" s="132">
        <f t="shared" si="35"/>
        <v>0</v>
      </c>
      <c r="D365" s="132">
        <f t="shared" si="36"/>
        <v>0</v>
      </c>
      <c r="E365" s="132">
        <f t="shared" si="37"/>
        <v>0</v>
      </c>
      <c r="F365" s="85">
        <f t="shared" si="38"/>
        <v>0</v>
      </c>
      <c r="G365" s="133">
        <f t="shared" si="39"/>
        <v>0</v>
      </c>
    </row>
    <row r="366" spans="1:7" ht="13.5" hidden="1" thickBot="1">
      <c r="A366" s="70">
        <f t="shared" si="40"/>
        <v>346</v>
      </c>
      <c r="B366" s="85">
        <f t="shared" si="41"/>
        <v>0</v>
      </c>
      <c r="C366" s="132">
        <f t="shared" si="35"/>
        <v>0</v>
      </c>
      <c r="D366" s="132">
        <f t="shared" si="36"/>
        <v>0</v>
      </c>
      <c r="E366" s="132">
        <f t="shared" si="37"/>
        <v>0</v>
      </c>
      <c r="F366" s="85">
        <f t="shared" si="38"/>
        <v>0</v>
      </c>
      <c r="G366" s="133">
        <f t="shared" si="39"/>
        <v>0</v>
      </c>
    </row>
    <row r="367" spans="1:7" ht="13.5" hidden="1" thickBot="1">
      <c r="A367" s="70">
        <f t="shared" si="40"/>
        <v>347</v>
      </c>
      <c r="B367" s="85">
        <f t="shared" si="41"/>
        <v>0</v>
      </c>
      <c r="C367" s="132">
        <f t="shared" si="35"/>
        <v>0</v>
      </c>
      <c r="D367" s="132">
        <f t="shared" si="36"/>
        <v>0</v>
      </c>
      <c r="E367" s="132">
        <f t="shared" si="37"/>
        <v>0</v>
      </c>
      <c r="F367" s="85">
        <f t="shared" si="38"/>
        <v>0</v>
      </c>
      <c r="G367" s="133">
        <f t="shared" si="39"/>
        <v>0</v>
      </c>
    </row>
    <row r="368" spans="1:7" ht="13.5" hidden="1" thickBot="1">
      <c r="A368" s="70">
        <f t="shared" si="40"/>
        <v>348</v>
      </c>
      <c r="B368" s="85">
        <f t="shared" si="41"/>
        <v>0</v>
      </c>
      <c r="C368" s="132">
        <f t="shared" si="35"/>
        <v>0</v>
      </c>
      <c r="D368" s="132">
        <f t="shared" si="36"/>
        <v>0</v>
      </c>
      <c r="E368" s="132">
        <f t="shared" si="37"/>
        <v>0</v>
      </c>
      <c r="F368" s="85">
        <f t="shared" si="38"/>
        <v>0</v>
      </c>
      <c r="G368" s="133">
        <f t="shared" si="39"/>
        <v>0</v>
      </c>
    </row>
    <row r="369" spans="1:7" ht="13.5" hidden="1" thickBot="1">
      <c r="A369" s="70">
        <f t="shared" si="40"/>
        <v>349</v>
      </c>
      <c r="B369" s="85">
        <f t="shared" si="41"/>
        <v>0</v>
      </c>
      <c r="C369" s="132">
        <f t="shared" si="35"/>
        <v>0</v>
      </c>
      <c r="D369" s="132">
        <f t="shared" si="36"/>
        <v>0</v>
      </c>
      <c r="E369" s="132">
        <f t="shared" si="37"/>
        <v>0</v>
      </c>
      <c r="F369" s="85">
        <f t="shared" si="38"/>
        <v>0</v>
      </c>
      <c r="G369" s="133">
        <f t="shared" si="39"/>
        <v>0</v>
      </c>
    </row>
    <row r="370" spans="1:7" ht="13.5" hidden="1" thickBot="1">
      <c r="A370" s="70">
        <f t="shared" si="40"/>
        <v>350</v>
      </c>
      <c r="B370" s="85">
        <f t="shared" si="41"/>
        <v>0</v>
      </c>
      <c r="C370" s="132">
        <f t="shared" si="35"/>
        <v>0</v>
      </c>
      <c r="D370" s="132">
        <f t="shared" si="36"/>
        <v>0</v>
      </c>
      <c r="E370" s="132">
        <f t="shared" si="37"/>
        <v>0</v>
      </c>
      <c r="F370" s="85">
        <f t="shared" si="38"/>
        <v>0</v>
      </c>
      <c r="G370" s="133">
        <f t="shared" si="39"/>
        <v>0</v>
      </c>
    </row>
    <row r="371" spans="1:7" ht="13.5" hidden="1" thickBot="1">
      <c r="A371" s="70">
        <f t="shared" si="40"/>
        <v>351</v>
      </c>
      <c r="B371" s="85">
        <f t="shared" si="41"/>
        <v>0</v>
      </c>
      <c r="C371" s="132">
        <f t="shared" si="35"/>
        <v>0</v>
      </c>
      <c r="D371" s="132">
        <f t="shared" si="36"/>
        <v>0</v>
      </c>
      <c r="E371" s="132">
        <f t="shared" si="37"/>
        <v>0</v>
      </c>
      <c r="F371" s="85">
        <f t="shared" si="38"/>
        <v>0</v>
      </c>
      <c r="G371" s="133">
        <f t="shared" si="39"/>
        <v>0</v>
      </c>
    </row>
    <row r="372" spans="1:7" ht="13.5" hidden="1" thickBot="1">
      <c r="A372" s="70">
        <f t="shared" si="40"/>
        <v>352</v>
      </c>
      <c r="B372" s="85">
        <f t="shared" si="41"/>
        <v>0</v>
      </c>
      <c r="C372" s="132">
        <f t="shared" si="35"/>
        <v>0</v>
      </c>
      <c r="D372" s="132">
        <f t="shared" si="36"/>
        <v>0</v>
      </c>
      <c r="E372" s="132">
        <f t="shared" si="37"/>
        <v>0</v>
      </c>
      <c r="F372" s="85">
        <f t="shared" si="38"/>
        <v>0</v>
      </c>
      <c r="G372" s="133">
        <f t="shared" si="39"/>
        <v>0</v>
      </c>
    </row>
    <row r="373" spans="1:7" ht="13.5" hidden="1" thickBot="1">
      <c r="A373" s="70">
        <f t="shared" si="40"/>
        <v>353</v>
      </c>
      <c r="B373" s="85">
        <f t="shared" si="41"/>
        <v>0</v>
      </c>
      <c r="C373" s="132">
        <f t="shared" si="35"/>
        <v>0</v>
      </c>
      <c r="D373" s="132">
        <f t="shared" si="36"/>
        <v>0</v>
      </c>
      <c r="E373" s="132">
        <f t="shared" si="37"/>
        <v>0</v>
      </c>
      <c r="F373" s="85">
        <f t="shared" si="38"/>
        <v>0</v>
      </c>
      <c r="G373" s="133">
        <f t="shared" si="39"/>
        <v>0</v>
      </c>
    </row>
    <row r="374" spans="1:7" ht="13.5" hidden="1" thickBot="1">
      <c r="A374" s="70">
        <f t="shared" si="40"/>
        <v>354</v>
      </c>
      <c r="B374" s="85">
        <f t="shared" si="41"/>
        <v>0</v>
      </c>
      <c r="C374" s="132">
        <f t="shared" si="35"/>
        <v>0</v>
      </c>
      <c r="D374" s="132">
        <f t="shared" si="36"/>
        <v>0</v>
      </c>
      <c r="E374" s="132">
        <f t="shared" si="37"/>
        <v>0</v>
      </c>
      <c r="F374" s="85">
        <f t="shared" si="38"/>
        <v>0</v>
      </c>
      <c r="G374" s="133">
        <f t="shared" si="39"/>
        <v>0</v>
      </c>
    </row>
    <row r="375" spans="1:7" ht="13.5" hidden="1" thickBot="1">
      <c r="A375" s="70">
        <f t="shared" si="40"/>
        <v>355</v>
      </c>
      <c r="B375" s="85">
        <f t="shared" si="41"/>
        <v>0</v>
      </c>
      <c r="C375" s="132">
        <f t="shared" si="35"/>
        <v>0</v>
      </c>
      <c r="D375" s="132">
        <f t="shared" si="36"/>
        <v>0</v>
      </c>
      <c r="E375" s="132">
        <f t="shared" si="37"/>
        <v>0</v>
      </c>
      <c r="F375" s="85">
        <f t="shared" si="38"/>
        <v>0</v>
      </c>
      <c r="G375" s="133">
        <f t="shared" si="39"/>
        <v>0</v>
      </c>
    </row>
    <row r="376" spans="1:7" ht="13.5" hidden="1" thickBot="1">
      <c r="A376" s="70">
        <f t="shared" si="40"/>
        <v>356</v>
      </c>
      <c r="B376" s="85">
        <f t="shared" si="41"/>
        <v>0</v>
      </c>
      <c r="C376" s="132">
        <f t="shared" si="35"/>
        <v>0</v>
      </c>
      <c r="D376" s="132">
        <f t="shared" si="36"/>
        <v>0</v>
      </c>
      <c r="E376" s="132">
        <f t="shared" si="37"/>
        <v>0</v>
      </c>
      <c r="F376" s="85">
        <f t="shared" si="38"/>
        <v>0</v>
      </c>
      <c r="G376" s="133">
        <f t="shared" si="39"/>
        <v>0</v>
      </c>
    </row>
    <row r="377" spans="1:7" ht="13.5" hidden="1" thickBot="1">
      <c r="A377" s="70">
        <f t="shared" si="40"/>
        <v>357</v>
      </c>
      <c r="B377" s="85">
        <f t="shared" si="41"/>
        <v>0</v>
      </c>
      <c r="C377" s="132">
        <f t="shared" si="35"/>
        <v>0</v>
      </c>
      <c r="D377" s="132">
        <f t="shared" si="36"/>
        <v>0</v>
      </c>
      <c r="E377" s="132">
        <f t="shared" si="37"/>
        <v>0</v>
      </c>
      <c r="F377" s="85">
        <f t="shared" si="38"/>
        <v>0</v>
      </c>
      <c r="G377" s="133">
        <f t="shared" si="39"/>
        <v>0</v>
      </c>
    </row>
    <row r="378" spans="1:7" ht="13.5" hidden="1" thickBot="1">
      <c r="A378" s="70">
        <f t="shared" si="40"/>
        <v>358</v>
      </c>
      <c r="B378" s="85">
        <f t="shared" si="41"/>
        <v>0</v>
      </c>
      <c r="C378" s="132">
        <f t="shared" si="35"/>
        <v>0</v>
      </c>
      <c r="D378" s="132">
        <f t="shared" si="36"/>
        <v>0</v>
      </c>
      <c r="E378" s="132">
        <f t="shared" si="37"/>
        <v>0</v>
      </c>
      <c r="F378" s="85">
        <f t="shared" si="38"/>
        <v>0</v>
      </c>
      <c r="G378" s="133">
        <f t="shared" si="39"/>
        <v>0</v>
      </c>
    </row>
    <row r="379" spans="1:7" ht="13.5" hidden="1" thickBot="1">
      <c r="A379" s="70">
        <f t="shared" si="40"/>
        <v>359</v>
      </c>
      <c r="B379" s="85">
        <f t="shared" si="41"/>
        <v>0</v>
      </c>
      <c r="C379" s="132">
        <f t="shared" si="35"/>
        <v>0</v>
      </c>
      <c r="D379" s="132">
        <f t="shared" si="36"/>
        <v>0</v>
      </c>
      <c r="E379" s="132">
        <f t="shared" si="37"/>
        <v>0</v>
      </c>
      <c r="F379" s="85">
        <f t="shared" si="38"/>
        <v>0</v>
      </c>
      <c r="G379" s="133">
        <f t="shared" si="39"/>
        <v>0</v>
      </c>
    </row>
    <row r="380" spans="1:7" ht="13.5" hidden="1" thickBot="1">
      <c r="A380" s="70">
        <f t="shared" si="40"/>
        <v>360</v>
      </c>
      <c r="B380" s="85">
        <f t="shared" si="41"/>
        <v>0</v>
      </c>
      <c r="C380" s="132">
        <f t="shared" si="35"/>
        <v>0</v>
      </c>
      <c r="D380" s="132">
        <f t="shared" si="36"/>
        <v>0</v>
      </c>
      <c r="E380" s="132">
        <f t="shared" si="37"/>
        <v>0</v>
      </c>
      <c r="F380" s="85">
        <f t="shared" si="38"/>
        <v>0</v>
      </c>
      <c r="G380" s="133">
        <f t="shared" si="39"/>
        <v>0</v>
      </c>
    </row>
    <row r="381" spans="1:7" ht="13.5" thickBot="1">
      <c r="A381" s="87" t="s">
        <v>51</v>
      </c>
      <c r="B381" s="134"/>
      <c r="C381" s="134">
        <f>SUM(C21:C380)</f>
        <v>473580</v>
      </c>
      <c r="D381" s="134">
        <f t="shared" si="36"/>
        <v>473580</v>
      </c>
      <c r="E381" s="134">
        <f>SUM(E21:E380)</f>
        <v>41580</v>
      </c>
      <c r="F381" s="134">
        <f>SUM(F21:F380)</f>
        <v>432000</v>
      </c>
      <c r="G381" s="135"/>
    </row>
    <row r="382" spans="1:7">
      <c r="A382" s="56"/>
    </row>
    <row r="383" spans="1:7">
      <c r="A383" s="56"/>
    </row>
    <row r="384" spans="1:7">
      <c r="A384" s="56"/>
    </row>
    <row r="385" spans="1:1">
      <c r="A385" s="56"/>
    </row>
    <row r="386" spans="1:1">
      <c r="A386" s="56"/>
    </row>
    <row r="387" spans="1:1">
      <c r="A387" s="56"/>
    </row>
    <row r="388" spans="1:1">
      <c r="A388" s="56"/>
    </row>
    <row r="389" spans="1:1">
      <c r="A389" s="56"/>
    </row>
    <row r="390" spans="1:1">
      <c r="A390" s="56"/>
    </row>
    <row r="391" spans="1:1">
      <c r="A391" s="56"/>
    </row>
    <row r="392" spans="1:1">
      <c r="A392" s="56"/>
    </row>
    <row r="393" spans="1:1">
      <c r="A393" s="56"/>
    </row>
    <row r="394" spans="1:1">
      <c r="A394" s="56"/>
    </row>
    <row r="395" spans="1:1">
      <c r="A395" s="56"/>
    </row>
  </sheetData>
  <mergeCells count="15">
    <mergeCell ref="A14:D14"/>
    <mergeCell ref="A15:C15"/>
    <mergeCell ref="A16:D16"/>
    <mergeCell ref="A8:C8"/>
    <mergeCell ref="A9:C9"/>
    <mergeCell ref="A10:C10"/>
    <mergeCell ref="A11:C11"/>
    <mergeCell ref="A12:C12"/>
    <mergeCell ref="A13:C13"/>
    <mergeCell ref="A7:C7"/>
    <mergeCell ref="A1:G1"/>
    <mergeCell ref="A2:C2"/>
    <mergeCell ref="A4:C4"/>
    <mergeCell ref="A5:C5"/>
    <mergeCell ref="A6:C6"/>
  </mergeCells>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A23"/>
  <sheetViews>
    <sheetView workbookViewId="0">
      <selection activeCell="C381" sqref="C381"/>
    </sheetView>
  </sheetViews>
  <sheetFormatPr defaultRowHeight="12.75"/>
  <cols>
    <col min="1" max="1" width="5.85546875" style="54" customWidth="1"/>
    <col min="2" max="2" width="10.7109375" style="54" customWidth="1"/>
    <col min="3" max="3" width="1.7109375" style="54" customWidth="1"/>
    <col min="4" max="4" width="2.7109375" style="54" customWidth="1"/>
    <col min="5" max="5" width="14.5703125" style="54" customWidth="1"/>
    <col min="6" max="6" width="1.85546875" style="54" bestFit="1" customWidth="1"/>
    <col min="7" max="7" width="5.140625" style="54" bestFit="1" customWidth="1"/>
    <col min="8" max="8" width="2.85546875" style="54" bestFit="1" customWidth="1"/>
    <col min="9" max="9" width="2.140625" style="54" bestFit="1" customWidth="1"/>
    <col min="10" max="10" width="13.140625" style="54" customWidth="1"/>
    <col min="11" max="11" width="1.85546875" style="54" bestFit="1" customWidth="1"/>
    <col min="12" max="12" width="5.140625" style="54" bestFit="1" customWidth="1"/>
    <col min="13" max="13" width="1.85546875" style="54" bestFit="1" customWidth="1"/>
    <col min="14" max="14" width="2.140625" style="54" bestFit="1" customWidth="1"/>
    <col min="15" max="15" width="12.5703125" style="54" customWidth="1"/>
    <col min="16" max="16" width="2" style="54" customWidth="1"/>
    <col min="17" max="17" width="5.140625" style="54" bestFit="1" customWidth="1"/>
    <col min="18" max="18" width="2.28515625" style="54" customWidth="1"/>
    <col min="19" max="19" width="1.85546875" style="54" customWidth="1"/>
    <col min="20" max="20" width="12.5703125" style="54" customWidth="1"/>
    <col min="21" max="21" width="2.140625" style="54" customWidth="1"/>
    <col min="22" max="22" width="5.42578125" style="54" customWidth="1"/>
    <col min="23" max="23" width="1.85546875" style="54" bestFit="1" customWidth="1"/>
    <col min="24" max="24" width="1.85546875" style="54" customWidth="1"/>
    <col min="25" max="25" width="11.42578125" style="54" bestFit="1" customWidth="1"/>
    <col min="26" max="26" width="1.85546875" style="54" customWidth="1"/>
    <col min="27" max="27" width="4.7109375" style="54" customWidth="1"/>
    <col min="28" max="28" width="1.85546875" style="54" customWidth="1"/>
    <col min="29" max="29" width="2.42578125" style="54" customWidth="1"/>
    <col min="30" max="30" width="11.42578125" style="54" bestFit="1" customWidth="1"/>
    <col min="31" max="31" width="2.28515625" style="54" customWidth="1"/>
    <col min="32" max="32" width="5.7109375" style="54" customWidth="1"/>
    <col min="33" max="33" width="1.85546875" style="54" customWidth="1"/>
    <col min="34" max="34" width="1.7109375" style="54" customWidth="1"/>
    <col min="35" max="35" width="11.42578125" style="54" bestFit="1" customWidth="1"/>
    <col min="36" max="36" width="2.7109375" style="54" customWidth="1"/>
    <col min="37" max="37" width="5.28515625" style="54" customWidth="1"/>
    <col min="38" max="38" width="2.28515625" style="54" customWidth="1"/>
    <col min="39" max="39" width="2" style="54" customWidth="1"/>
    <col min="40" max="40" width="11.42578125" style="54" bestFit="1" customWidth="1"/>
    <col min="41" max="41" width="1.85546875" style="54" customWidth="1"/>
    <col min="42" max="42" width="4.85546875" style="54" customWidth="1"/>
    <col min="43" max="43" width="2" style="54" customWidth="1"/>
    <col min="44" max="44" width="1.7109375" style="54" customWidth="1"/>
    <col min="45" max="45" width="11.42578125" style="54" bestFit="1" customWidth="1"/>
    <col min="46" max="46" width="2.28515625" style="54" customWidth="1"/>
    <col min="47" max="47" width="4.85546875" style="54" customWidth="1"/>
    <col min="48" max="48" width="2.140625" style="54" customWidth="1"/>
    <col min="49" max="49" width="2" style="54" customWidth="1"/>
    <col min="50" max="50" width="11.42578125" style="54" bestFit="1" customWidth="1"/>
    <col min="51" max="51" width="1.85546875" style="54" customWidth="1"/>
    <col min="52" max="52" width="5.28515625" style="54" customWidth="1"/>
    <col min="53" max="53" width="2.7109375" style="54" customWidth="1"/>
    <col min="54" max="16384" width="9.140625" style="54"/>
  </cols>
  <sheetData>
    <row r="1" spans="1:53" ht="29.25" customHeight="1">
      <c r="A1" s="368" t="s">
        <v>76</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row>
    <row r="2" spans="1:53" ht="63.75" customHeight="1">
      <c r="A2" s="369" t="str">
        <f>CONCATENATE("Først skal ydelsen på lånet beregnes. Ydelsen på et serielån består af et konstant afdrag og en faldende rente. For det pågældende lån med en hovedstol på ",'3.1 Effektiv rente serielån'!D2," og ",'3.1 Effektiv rente serielån'!D10," terminer udregnes afdraget ved at dividere ",'3.1 Effektiv rente serielån'!D2," med ",'3.1 Effektiv rente serielån'!D10,". Det giver et afdrag på ",'3.1 Effektiv rente serielån'!D12*-1,". Nu skal renten så beregnes udfra restgælden. Nedenstående tabel viser beregningen af ydelsen. ",IF('3.1 Effektiv rente serielån'!D10&gt;10," (Beregningen vises maksimalt for 10 terminer, for at vise metoden)"," "))</f>
        <v xml:space="preserve">Først skal ydelsen på lånet beregnes. Ydelsen på et serielån består af et konstant afdrag og en faldende rente. For det pågældende lån med en hovedstol på 432000 og 6 terminer udregnes afdraget ved at dividere 432000 med 6. Det giver et afdrag på 72000. Nu skal renten så beregnes udfra restgælden. Nedenstående tabel viser beregningen af ydelsen.  </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row>
    <row r="3" spans="1:53" ht="44.25" customHeight="1">
      <c r="A3" s="136"/>
      <c r="B3" s="136"/>
      <c r="C3" s="136"/>
      <c r="D3" s="136"/>
      <c r="E3" s="370" t="s">
        <v>75</v>
      </c>
      <c r="F3" s="371"/>
      <c r="G3" s="371"/>
      <c r="H3" s="137">
        <v>1</v>
      </c>
      <c r="I3" s="372" t="str">
        <f>IF('3.1 Effektiv rente serielån'!$G$21=0,"","Ydelse")</f>
        <v>Ydelse</v>
      </c>
      <c r="J3" s="373"/>
      <c r="K3" s="373"/>
      <c r="L3" s="373"/>
      <c r="M3" s="138" t="str">
        <f>IF('3.1 Effektiv rente serielån'!G21=0,"","2")</f>
        <v>2</v>
      </c>
      <c r="N3" s="372" t="str">
        <f>IF('3.1 Effektiv rente serielån'!$G$22=0,"","Ydelse")</f>
        <v>Ydelse</v>
      </c>
      <c r="O3" s="373"/>
      <c r="P3" s="373"/>
      <c r="Q3" s="373"/>
      <c r="R3" s="138" t="str">
        <f>IF('3.1 Effektiv rente serielån'!$G$22=0,"","3")</f>
        <v>3</v>
      </c>
      <c r="S3" s="372" t="str">
        <f>IF('3.1 Effektiv rente serielån'!$G$23=0,"","Ydelse")</f>
        <v>Ydelse</v>
      </c>
      <c r="T3" s="373"/>
      <c r="U3" s="373"/>
      <c r="V3" s="373"/>
      <c r="W3" s="138" t="str">
        <f>IF('3.1 Effektiv rente serielån'!$G$23=0,"","4")</f>
        <v>4</v>
      </c>
      <c r="X3" s="372" t="str">
        <f>IF('3.1 Effektiv rente serielån'!$G$24=0,"","Ydelse")</f>
        <v>Ydelse</v>
      </c>
      <c r="Y3" s="373"/>
      <c r="Z3" s="373"/>
      <c r="AA3" s="373"/>
      <c r="AB3" s="138" t="str">
        <f>IF('3.1 Effektiv rente serielån'!$G$24=0,"","5")</f>
        <v>5</v>
      </c>
      <c r="AC3" s="372" t="str">
        <f>IF('3.1 Effektiv rente serielån'!$G$25=0,"","Ydelse")</f>
        <v>Ydelse</v>
      </c>
      <c r="AD3" s="373"/>
      <c r="AE3" s="373"/>
      <c r="AF3" s="373"/>
      <c r="AG3" s="138" t="str">
        <f>IF('3.1 Effektiv rente serielån'!$G$25=0,"","6")</f>
        <v>6</v>
      </c>
      <c r="AH3" s="372" t="str">
        <f>IF('3.1 Effektiv rente serielån'!$G$26=0,"","Ydelse")</f>
        <v/>
      </c>
      <c r="AI3" s="373"/>
      <c r="AJ3" s="373"/>
      <c r="AK3" s="373"/>
      <c r="AL3" s="138" t="str">
        <f>IF('3.1 Effektiv rente serielån'!$G$26=0,"","7")</f>
        <v/>
      </c>
      <c r="AM3" s="372" t="str">
        <f>IF('3.1 Effektiv rente serielån'!$G$27=0,"","Ydelse")</f>
        <v/>
      </c>
      <c r="AN3" s="373"/>
      <c r="AO3" s="373"/>
      <c r="AP3" s="373"/>
      <c r="AQ3" s="138" t="str">
        <f>IF('3.1 Effektiv rente serielån'!$G$27=0,"","8")</f>
        <v/>
      </c>
      <c r="AR3" s="372" t="str">
        <f>IF('3.1 Effektiv rente serielån'!$G$28=0,"","Ydelse")</f>
        <v/>
      </c>
      <c r="AS3" s="373"/>
      <c r="AT3" s="373"/>
      <c r="AU3" s="373"/>
      <c r="AV3" s="138" t="str">
        <f>IF('3.1 Effektiv rente serielån'!$G$28=0,"","9")</f>
        <v/>
      </c>
      <c r="AW3" s="372" t="str">
        <f>IF('3.1 Effektiv rente serielån'!$G$29=0,"","Ydelse")</f>
        <v/>
      </c>
      <c r="AX3" s="373"/>
      <c r="AY3" s="373"/>
      <c r="AZ3" s="373"/>
      <c r="BA3" s="138" t="str">
        <f>IF('3.1 Effektiv rente serielån'!$G$29=0,"","10")</f>
        <v/>
      </c>
    </row>
    <row r="4" spans="1:53" ht="44.25" customHeight="1">
      <c r="A4" s="374" t="s">
        <v>77</v>
      </c>
      <c r="B4" s="375"/>
      <c r="C4" s="375"/>
      <c r="D4" s="376"/>
      <c r="E4" s="377">
        <f>'3.1 Effektiv rente serielån'!D2</f>
        <v>432000</v>
      </c>
      <c r="F4" s="377"/>
      <c r="G4" s="377"/>
      <c r="H4" s="377"/>
      <c r="I4" s="378">
        <f>IF('3.1 Effektiv rente serielån'!$G$21=0," ",'3.1 Effektiv rente serielån'!$B$22)</f>
        <v>360000</v>
      </c>
      <c r="J4" s="378"/>
      <c r="K4" s="378"/>
      <c r="L4" s="378"/>
      <c r="M4" s="378"/>
      <c r="N4" s="379">
        <f>IF('3.1 Effektiv rente serielån'!$G$22=0," ",'3.1 Effektiv rente serielån'!$B$23)</f>
        <v>288000</v>
      </c>
      <c r="O4" s="380"/>
      <c r="P4" s="380"/>
      <c r="Q4" s="380"/>
      <c r="R4" s="381"/>
      <c r="S4" s="378">
        <f>IF('3.1 Effektiv rente serielån'!$G$23=0," ",'3.1 Effektiv rente serielån'!$B$24)</f>
        <v>216000</v>
      </c>
      <c r="T4" s="378"/>
      <c r="U4" s="378"/>
      <c r="V4" s="378"/>
      <c r="W4" s="378"/>
      <c r="X4" s="378">
        <f>IF('3.1 Effektiv rente serielån'!$G$24=0," ",'3.1 Effektiv rente serielån'!$B$25)</f>
        <v>144000</v>
      </c>
      <c r="Y4" s="378"/>
      <c r="Z4" s="378"/>
      <c r="AA4" s="378"/>
      <c r="AB4" s="378"/>
      <c r="AC4" s="378">
        <f>IF('3.1 Effektiv rente serielån'!$G$25=0," ",'3.1 Effektiv rente serielån'!$B$26)</f>
        <v>72000</v>
      </c>
      <c r="AD4" s="378"/>
      <c r="AE4" s="378"/>
      <c r="AF4" s="378"/>
      <c r="AG4" s="378"/>
      <c r="AH4" s="378" t="str">
        <f>IF('3.1 Effektiv rente serielån'!$G$26=0," ",'3.1 Effektiv rente serielån'!$B$27)</f>
        <v xml:space="preserve"> </v>
      </c>
      <c r="AI4" s="378"/>
      <c r="AJ4" s="378"/>
      <c r="AK4" s="378"/>
      <c r="AL4" s="378"/>
      <c r="AM4" s="378" t="str">
        <f>IF('3.1 Effektiv rente serielån'!$G$27=0," ",'3.1 Effektiv rente serielån'!$B$28)</f>
        <v xml:space="preserve"> </v>
      </c>
      <c r="AN4" s="378"/>
      <c r="AO4" s="378"/>
      <c r="AP4" s="378"/>
      <c r="AQ4" s="378"/>
      <c r="AR4" s="378" t="str">
        <f>IF('3.1 Effektiv rente serielån'!$G$28=0," ",'3.1 Effektiv rente serielån'!$B$29)</f>
        <v xml:space="preserve"> </v>
      </c>
      <c r="AS4" s="378"/>
      <c r="AT4" s="378"/>
      <c r="AU4" s="378"/>
      <c r="AV4" s="378"/>
      <c r="AW4" s="378" t="str">
        <f>IF('3.1 Effektiv rente serielån'!$G$29=0," ",'3.1 Effektiv rente serielån'!$B$30)</f>
        <v xml:space="preserve"> </v>
      </c>
      <c r="AX4" s="378"/>
      <c r="AY4" s="378"/>
      <c r="AZ4" s="378"/>
      <c r="BA4" s="378"/>
    </row>
    <row r="5" spans="1:53" ht="44.25" customHeight="1">
      <c r="A5" s="374" t="str">
        <f>CONCATENATE("Rente ",'3.1 Effektiv rente serielån'!D11*100,"% af restgælden")</f>
        <v>Rente 2,75% af restgælden</v>
      </c>
      <c r="B5" s="375"/>
      <c r="C5" s="375"/>
      <c r="D5" s="376"/>
      <c r="E5" s="377">
        <f>'3.1 Effektiv rente serielån'!E21</f>
        <v>11880</v>
      </c>
      <c r="F5" s="377"/>
      <c r="G5" s="377"/>
      <c r="H5" s="377"/>
      <c r="I5" s="378">
        <f>IF('3.1 Effektiv rente serielån'!$G$21=0," ",'3.1 Effektiv rente serielån'!$E$22)</f>
        <v>9900</v>
      </c>
      <c r="J5" s="378"/>
      <c r="K5" s="378"/>
      <c r="L5" s="378"/>
      <c r="M5" s="378"/>
      <c r="N5" s="378">
        <f>IF('3.1 Effektiv rente serielån'!$G$22=0," ",'3.1 Effektiv rente serielån'!$E$23)</f>
        <v>7920</v>
      </c>
      <c r="O5" s="378"/>
      <c r="P5" s="378"/>
      <c r="Q5" s="378"/>
      <c r="R5" s="378"/>
      <c r="S5" s="378">
        <f>IF('3.1 Effektiv rente serielån'!$G$23=0," ",'3.1 Effektiv rente serielån'!$E$24)</f>
        <v>5940</v>
      </c>
      <c r="T5" s="378"/>
      <c r="U5" s="378"/>
      <c r="V5" s="378"/>
      <c r="W5" s="378"/>
      <c r="X5" s="378">
        <f>IF('3.1 Effektiv rente serielån'!$G$24=0," ",'3.1 Effektiv rente serielån'!$E$25)</f>
        <v>3960</v>
      </c>
      <c r="Y5" s="378"/>
      <c r="Z5" s="378"/>
      <c r="AA5" s="378"/>
      <c r="AB5" s="378"/>
      <c r="AC5" s="378">
        <f>IF('3.1 Effektiv rente serielån'!$G$25=0," ",'3.1 Effektiv rente serielån'!$E$26)</f>
        <v>1980</v>
      </c>
      <c r="AD5" s="378"/>
      <c r="AE5" s="378"/>
      <c r="AF5" s="378"/>
      <c r="AG5" s="378"/>
      <c r="AH5" s="378" t="str">
        <f>IF('3.1 Effektiv rente serielån'!$G$26=0," ",'3.1 Effektiv rente serielån'!$E$27)</f>
        <v xml:space="preserve"> </v>
      </c>
      <c r="AI5" s="378"/>
      <c r="AJ5" s="378"/>
      <c r="AK5" s="378"/>
      <c r="AL5" s="378"/>
      <c r="AM5" s="378" t="str">
        <f>IF('3.1 Effektiv rente serielån'!$G$27=0," ",'3.1 Effektiv rente serielån'!$E$28)</f>
        <v xml:space="preserve"> </v>
      </c>
      <c r="AN5" s="378"/>
      <c r="AO5" s="378"/>
      <c r="AP5" s="378"/>
      <c r="AQ5" s="378"/>
      <c r="AR5" s="378" t="str">
        <f>IF('3.1 Effektiv rente serielån'!$G$28=0," ",'3.1 Effektiv rente serielån'!$E$29)</f>
        <v xml:space="preserve"> </v>
      </c>
      <c r="AS5" s="378"/>
      <c r="AT5" s="378"/>
      <c r="AU5" s="378"/>
      <c r="AV5" s="378"/>
      <c r="AW5" s="378" t="str">
        <f>IF('3.1 Effektiv rente serielån'!$G$29=0," ",'3.1 Effektiv rente serielån'!$E$30)</f>
        <v xml:space="preserve"> </v>
      </c>
      <c r="AX5" s="378"/>
      <c r="AY5" s="378"/>
      <c r="AZ5" s="378"/>
      <c r="BA5" s="378"/>
    </row>
    <row r="6" spans="1:53" ht="33.75" customHeight="1">
      <c r="A6" s="374" t="s">
        <v>49</v>
      </c>
      <c r="B6" s="375"/>
      <c r="C6" s="375"/>
      <c r="D6" s="376"/>
      <c r="E6" s="377">
        <f>'3.1 Effektiv rente serielån'!F21</f>
        <v>72000</v>
      </c>
      <c r="F6" s="377"/>
      <c r="G6" s="377"/>
      <c r="H6" s="377"/>
      <c r="I6" s="378">
        <f>IF('3.1 Effektiv rente serielån'!$G$21=0," ",'3.1 Effektiv rente serielån'!$F$22)</f>
        <v>72000</v>
      </c>
      <c r="J6" s="378"/>
      <c r="K6" s="378"/>
      <c r="L6" s="378"/>
      <c r="M6" s="378"/>
      <c r="N6" s="378">
        <f>IF('3.1 Effektiv rente serielån'!$G$22=0," ",'3.1 Effektiv rente serielån'!$F$23)</f>
        <v>72000</v>
      </c>
      <c r="O6" s="378"/>
      <c r="P6" s="378"/>
      <c r="Q6" s="378"/>
      <c r="R6" s="378"/>
      <c r="S6" s="378">
        <f>IF('3.1 Effektiv rente serielån'!$G$23=0," ",'3.1 Effektiv rente serielån'!$F$24)</f>
        <v>72000</v>
      </c>
      <c r="T6" s="378"/>
      <c r="U6" s="378"/>
      <c r="V6" s="378"/>
      <c r="W6" s="378"/>
      <c r="X6" s="378">
        <f>IF('3.1 Effektiv rente serielån'!$G$24=0," ",'3.1 Effektiv rente serielån'!$F$25)</f>
        <v>72000</v>
      </c>
      <c r="Y6" s="378"/>
      <c r="Z6" s="378"/>
      <c r="AA6" s="378"/>
      <c r="AB6" s="378"/>
      <c r="AC6" s="378">
        <f>IF('3.1 Effektiv rente serielån'!$G$25=0," ",'3.1 Effektiv rente serielån'!$F$26)</f>
        <v>72000</v>
      </c>
      <c r="AD6" s="378"/>
      <c r="AE6" s="378"/>
      <c r="AF6" s="378"/>
      <c r="AG6" s="378"/>
      <c r="AH6" s="378" t="str">
        <f>IF('3.1 Effektiv rente serielån'!$G$26=0," ",'3.1 Effektiv rente serielån'!$F$27)</f>
        <v xml:space="preserve"> </v>
      </c>
      <c r="AI6" s="378"/>
      <c r="AJ6" s="378"/>
      <c r="AK6" s="378"/>
      <c r="AL6" s="378"/>
      <c r="AM6" s="378" t="str">
        <f>IF('3.1 Effektiv rente serielån'!$G$27=0," ",'3.1 Effektiv rente serielån'!$F$28)</f>
        <v xml:space="preserve"> </v>
      </c>
      <c r="AN6" s="378"/>
      <c r="AO6" s="378"/>
      <c r="AP6" s="378"/>
      <c r="AQ6" s="378"/>
      <c r="AR6" s="378" t="str">
        <f>IF('3.1 Effektiv rente serielån'!$G$28=0," ",'3.1 Effektiv rente serielån'!$F$29)</f>
        <v xml:space="preserve"> </v>
      </c>
      <c r="AS6" s="378"/>
      <c r="AT6" s="378"/>
      <c r="AU6" s="378"/>
      <c r="AV6" s="378"/>
      <c r="AW6" s="378" t="str">
        <f>IF('3.1 Effektiv rente serielån'!$G$29=0," ",'3.1 Effektiv rente serielån'!$F$30)</f>
        <v xml:space="preserve"> </v>
      </c>
      <c r="AX6" s="378"/>
      <c r="AY6" s="378"/>
      <c r="AZ6" s="378"/>
      <c r="BA6" s="378"/>
    </row>
    <row r="7" spans="1:53" ht="33.75" hidden="1" customHeight="1">
      <c r="A7" s="374" t="s">
        <v>78</v>
      </c>
      <c r="B7" s="375"/>
      <c r="C7" s="376"/>
      <c r="D7" s="139"/>
      <c r="E7" s="382">
        <f>'3.1 Effektiv rente serielån'!D13</f>
        <v>0</v>
      </c>
      <c r="F7" s="383"/>
      <c r="G7" s="383"/>
      <c r="H7" s="384"/>
      <c r="I7" s="378">
        <f>IF('3.1 Effektiv rente serielån'!$G$21=0," ",'3.1 Effektiv rente serielån'!$D13)</f>
        <v>0</v>
      </c>
      <c r="J7" s="378"/>
      <c r="K7" s="378"/>
      <c r="L7" s="378"/>
      <c r="M7" s="378"/>
      <c r="N7" s="378">
        <f>IF('3.1 Effektiv rente serielån'!$G$22=0," ",'3.1 Effektiv rente serielån'!$D13)</f>
        <v>0</v>
      </c>
      <c r="O7" s="378"/>
      <c r="P7" s="378"/>
      <c r="Q7" s="378"/>
      <c r="R7" s="378"/>
      <c r="S7" s="378">
        <f>IF('3.1 Effektiv rente serielån'!$G$23=0," ",'3.1 Effektiv rente serielån'!$D$13)</f>
        <v>0</v>
      </c>
      <c r="T7" s="378"/>
      <c r="U7" s="378"/>
      <c r="V7" s="378"/>
      <c r="W7" s="378"/>
      <c r="X7" s="378">
        <f>IF('3.1 Effektiv rente serielån'!$G$24=0," ",'3.1 Effektiv rente serielån'!$D13)</f>
        <v>0</v>
      </c>
      <c r="Y7" s="378"/>
      <c r="Z7" s="378"/>
      <c r="AA7" s="378"/>
      <c r="AB7" s="378"/>
      <c r="AC7" s="378">
        <f>IF('3.1 Effektiv rente serielån'!$G$25=0," ",'3.1 Effektiv rente serielån'!$D13)</f>
        <v>0</v>
      </c>
      <c r="AD7" s="378"/>
      <c r="AE7" s="378"/>
      <c r="AF7" s="378"/>
      <c r="AG7" s="378"/>
      <c r="AH7" s="378" t="str">
        <f>IF('3.1 Effektiv rente serielån'!$G$26=0," ",'3.1 Effektiv rente serielån'!$D13)</f>
        <v xml:space="preserve"> </v>
      </c>
      <c r="AI7" s="378"/>
      <c r="AJ7" s="378"/>
      <c r="AK7" s="378"/>
      <c r="AL7" s="378"/>
      <c r="AM7" s="378" t="str">
        <f>IF('3.1 Effektiv rente serielån'!$G$27=0," ",'3.1 Effektiv rente serielån'!$D13)</f>
        <v xml:space="preserve"> </v>
      </c>
      <c r="AN7" s="378"/>
      <c r="AO7" s="378"/>
      <c r="AP7" s="378"/>
      <c r="AQ7" s="378"/>
      <c r="AR7" s="378" t="str">
        <f>IF('3.1 Effektiv rente serielån'!$G$28=0," ",'3.1 Effektiv rente serielån'!$D13)</f>
        <v xml:space="preserve"> </v>
      </c>
      <c r="AS7" s="378"/>
      <c r="AT7" s="378"/>
      <c r="AU7" s="378"/>
      <c r="AV7" s="378"/>
      <c r="AW7" s="378" t="str">
        <f>IF('3.1 Effektiv rente serielån'!$G$29=0," ",'3.1 Effektiv rente serielån'!$D13)</f>
        <v xml:space="preserve"> </v>
      </c>
      <c r="AX7" s="378"/>
      <c r="AY7" s="378"/>
      <c r="AZ7" s="378"/>
      <c r="BA7" s="378"/>
    </row>
    <row r="8" spans="1:53" ht="44.25" customHeight="1">
      <c r="A8" s="386" t="str">
        <f>IF('3.1 Effektiv rente serielån'!D13=0,"Ydelse                     (afdrag + rente)","Ydelse      (afdrag+rente   +gebyr)")</f>
        <v>Ydelse                     (afdrag + rente)</v>
      </c>
      <c r="B8" s="387"/>
      <c r="C8" s="387"/>
      <c r="D8" s="388"/>
      <c r="E8" s="389">
        <f>'3.1 Effektiv rente serielån'!C21</f>
        <v>83880</v>
      </c>
      <c r="F8" s="389"/>
      <c r="G8" s="389"/>
      <c r="H8" s="389"/>
      <c r="I8" s="378">
        <f>IF('3.1 Effektiv rente serielån'!$G$21=0," ",'3.1 Effektiv rente serielån'!$C$22)</f>
        <v>81900</v>
      </c>
      <c r="J8" s="378"/>
      <c r="K8" s="378"/>
      <c r="L8" s="378"/>
      <c r="M8" s="378"/>
      <c r="N8" s="378">
        <f>IF('3.1 Effektiv rente serielån'!$G$22=0," ",'3.1 Effektiv rente serielån'!$C$23)</f>
        <v>79920</v>
      </c>
      <c r="O8" s="378"/>
      <c r="P8" s="378"/>
      <c r="Q8" s="378"/>
      <c r="R8" s="378"/>
      <c r="S8" s="378">
        <f>IF('3.1 Effektiv rente serielån'!$G$23=0," ",'3.1 Effektiv rente serielån'!$C$24)</f>
        <v>77940</v>
      </c>
      <c r="T8" s="378"/>
      <c r="U8" s="378"/>
      <c r="V8" s="378"/>
      <c r="W8" s="378"/>
      <c r="X8" s="378">
        <f>IF('3.1 Effektiv rente serielån'!$G$24=0," ",'3.1 Effektiv rente serielån'!$C$25)</f>
        <v>75960</v>
      </c>
      <c r="Y8" s="378"/>
      <c r="Z8" s="378"/>
      <c r="AA8" s="378"/>
      <c r="AB8" s="378"/>
      <c r="AC8" s="378">
        <f>IF('3.1 Effektiv rente serielån'!$G$25=0," ",'3.1 Effektiv rente serielån'!$C$26)</f>
        <v>73980</v>
      </c>
      <c r="AD8" s="378"/>
      <c r="AE8" s="378"/>
      <c r="AF8" s="378"/>
      <c r="AG8" s="378"/>
      <c r="AH8" s="378" t="str">
        <f>IF('3.1 Effektiv rente serielån'!$G$26=0," ",'3.1 Effektiv rente serielån'!$C$27)</f>
        <v xml:space="preserve"> </v>
      </c>
      <c r="AI8" s="378"/>
      <c r="AJ8" s="378"/>
      <c r="AK8" s="378"/>
      <c r="AL8" s="378"/>
      <c r="AM8" s="378" t="str">
        <f>IF('3.1 Effektiv rente serielån'!$G$27=0," ",'3.1 Effektiv rente serielån'!$C$28)</f>
        <v xml:space="preserve"> </v>
      </c>
      <c r="AN8" s="378"/>
      <c r="AO8" s="378"/>
      <c r="AP8" s="378"/>
      <c r="AQ8" s="378"/>
      <c r="AR8" s="378" t="str">
        <f>IF('3.1 Effektiv rente serielån'!$G$28=0," ",'3.1 Effektiv rente serielån'!$C$29)</f>
        <v xml:space="preserve"> </v>
      </c>
      <c r="AS8" s="378"/>
      <c r="AT8" s="378"/>
      <c r="AU8" s="378"/>
      <c r="AV8" s="378"/>
      <c r="AW8" s="378" t="str">
        <f>IF('3.1 Effektiv rente serielån'!$G$29=0," ",'3.1 Effektiv rente serielån'!$C$30)</f>
        <v xml:space="preserve"> </v>
      </c>
      <c r="AX8" s="378"/>
      <c r="AY8" s="378"/>
      <c r="AZ8" s="378"/>
      <c r="BA8" s="378"/>
    </row>
    <row r="9" spans="1:53" ht="34.5" customHeight="1">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row>
    <row r="10" spans="1:53" ht="41.25" customHeight="1">
      <c r="A10" s="369" t="str">
        <f>CONCATENATE("Den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ubekendt.",IF('3.1 Effektiv rente serielån'!D10&gt;10," (Beregningen vises maximalt for 10 terminer for at vise metoden)"," "))</f>
        <v xml:space="preserv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 </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row>
    <row r="11" spans="1:53" ht="26.25" customHeight="1">
      <c r="A11" s="390" t="str">
        <f>CONCATENATE("(Nettoprovenuet)     ",'3.1 Effektiv rente serielån'!D6)</f>
        <v>(Nettoprovenuet)     417060</v>
      </c>
      <c r="B11" s="391"/>
      <c r="C11" s="54" t="s">
        <v>56</v>
      </c>
      <c r="E11" s="140">
        <f>'3.1 Effektiv rente serielån'!C21</f>
        <v>83880</v>
      </c>
      <c r="F11" s="141" t="s">
        <v>59</v>
      </c>
      <c r="G11" s="54" t="s">
        <v>79</v>
      </c>
      <c r="H11" s="142">
        <v>-1</v>
      </c>
      <c r="I11" s="54" t="str">
        <f>IF('3.1 Effektiv rente serielån'!C22=0,"","+")</f>
        <v>+</v>
      </c>
      <c r="J11" s="143">
        <f>IF('3.1 Effektiv rente serielån'!C22=0,"",'3.1 Effektiv rente serielån'!C22)</f>
        <v>81900</v>
      </c>
      <c r="K11" s="54" t="str">
        <f>IF('3.1 Effektiv rente serielån'!C22=0,"","*")</f>
        <v>*</v>
      </c>
      <c r="L11" s="54" t="str">
        <f>IF('3.1 Effektiv rente serielån'!C22=0,"","(1+r)")</f>
        <v>(1+r)</v>
      </c>
      <c r="M11" s="144" t="str">
        <f>IF('3.1 Effektiv rente serielån'!C22=0,"","-2")</f>
        <v>-2</v>
      </c>
      <c r="N11" s="145" t="str">
        <f>IF('3.1 Effektiv rente serielån'!C23=0,"","+")</f>
        <v>+</v>
      </c>
      <c r="O11" s="146">
        <f>IF('3.1 Effektiv rente serielån'!C23=0,"",'3.1 Effektiv rente serielån'!C23)</f>
        <v>79920</v>
      </c>
      <c r="P11" s="145" t="str">
        <f>IF('3.1 Effektiv rente serielån'!C23=0,"","*")</f>
        <v>*</v>
      </c>
      <c r="Q11" s="145" t="str">
        <f>IF('3.1 Effektiv rente serielån'!C23=0,"","(1+r)")</f>
        <v>(1+r)</v>
      </c>
      <c r="R11" s="144" t="str">
        <f>IF('3.1 Effektiv rente serielån'!C23=0,"","-3")</f>
        <v>-3</v>
      </c>
      <c r="S11" s="147" t="str">
        <f>IF('3.1 Effektiv rente serielån'!C24=0,"","+")</f>
        <v>+</v>
      </c>
      <c r="T11" s="148">
        <f>IF('3.1 Effektiv rente serielån'!C24=0,"",'3.1 Effektiv rente serielån'!C24)</f>
        <v>77940</v>
      </c>
      <c r="U11" s="148" t="str">
        <f>IF('3.1 Effektiv rente serielån'!C24=0,"","*")</f>
        <v>*</v>
      </c>
      <c r="V11" s="149" t="str">
        <f>IF('3.1 Effektiv rente serielån'!C24=0,"","(1+r)")</f>
        <v>(1+r)</v>
      </c>
      <c r="W11" s="150" t="str">
        <f>IF('3.1 Effektiv rente serielån'!C24=0,"","-4")</f>
        <v>-4</v>
      </c>
      <c r="X11" s="148" t="str">
        <f>IF('3.1 Effektiv rente serielån'!C25=0,"","+")</f>
        <v>+</v>
      </c>
      <c r="Y11" s="148">
        <f>IF('3.1 Effektiv rente serielån'!C25=0,"",'3.1 Effektiv rente serielån'!C25)</f>
        <v>75960</v>
      </c>
      <c r="Z11" s="148" t="str">
        <f>IF('3.1 Effektiv rente serielån'!C25=0,"","*")</f>
        <v>*</v>
      </c>
      <c r="AA11" s="148" t="str">
        <f>IF('3.1 Effektiv rente serielån'!C25=0,"","(1+r)")</f>
        <v>(1+r)</v>
      </c>
      <c r="AB11" s="150" t="str">
        <f>IF('3.1 Effektiv rente serielån'!C25=0,"","-5")</f>
        <v>-5</v>
      </c>
      <c r="AC11" s="148" t="str">
        <f>IF('3.1 Effektiv rente serielån'!C26=0,"","+")</f>
        <v>+</v>
      </c>
      <c r="AD11" s="148">
        <f>IF('3.1 Effektiv rente serielån'!C26=0,"",'3.1 Effektiv rente serielån'!C26)</f>
        <v>73980</v>
      </c>
      <c r="AE11" s="148" t="str">
        <f>IF('3.1 Effektiv rente serielån'!C26=0,"","*")</f>
        <v>*</v>
      </c>
      <c r="AF11" s="148" t="str">
        <f>IF('3.1 Effektiv rente serielån'!C26=0,"","(1+r)")</f>
        <v>(1+r)</v>
      </c>
      <c r="AG11" s="150" t="str">
        <f>IF('3.1 Effektiv rente serielån'!C26=0,"","-6")</f>
        <v>-6</v>
      </c>
      <c r="AH11" s="148" t="str">
        <f>IF('3.1 Effektiv rente serielån'!C27=0,"","+")</f>
        <v/>
      </c>
      <c r="AI11" s="148" t="str">
        <f>IF('3.1 Effektiv rente serielån'!C27=0,"",'3.1 Effektiv rente serielån'!C27)</f>
        <v/>
      </c>
      <c r="AJ11" s="148" t="str">
        <f>IF('3.1 Effektiv rente serielån'!C27=0,"","*")</f>
        <v/>
      </c>
      <c r="AK11" s="148" t="str">
        <f>IF('3.1 Effektiv rente serielån'!C27=0,"","(1+r)")</f>
        <v/>
      </c>
      <c r="AL11" s="150" t="str">
        <f>IF('3.1 Effektiv rente serielån'!C27=0,"","-7")</f>
        <v/>
      </c>
      <c r="AM11" s="148" t="str">
        <f>IF('3.1 Effektiv rente serielån'!C28=0,"","+")</f>
        <v/>
      </c>
      <c r="AN11" s="148" t="str">
        <f>IF('3.1 Effektiv rente serielån'!C28=0,"",'3.1 Effektiv rente serielån'!C28)</f>
        <v/>
      </c>
      <c r="AO11" s="148" t="str">
        <f>IF('3.1 Effektiv rente serielån'!C28=0,"","*")</f>
        <v/>
      </c>
      <c r="AP11" s="148" t="str">
        <f>IF('3.1 Effektiv rente serielån'!C28=0,"","(1+r)")</f>
        <v/>
      </c>
      <c r="AQ11" s="150" t="str">
        <f>IF('3.1 Effektiv rente serielån'!C28=0,"","-8")</f>
        <v/>
      </c>
      <c r="AR11" s="148" t="str">
        <f>IF('3.1 Effektiv rente serielån'!C29=0,"","+")</f>
        <v/>
      </c>
      <c r="AS11" s="148" t="str">
        <f>IF('3.1 Effektiv rente serielån'!C29=0,"",'3.1 Effektiv rente serielån'!C29)</f>
        <v/>
      </c>
      <c r="AT11" s="148" t="str">
        <f>IF('3.1 Effektiv rente serielån'!C29=0,"","*")</f>
        <v/>
      </c>
      <c r="AU11" s="148" t="str">
        <f>IF('3.1 Effektiv rente serielån'!C29=0,"","(1+r)")</f>
        <v/>
      </c>
      <c r="AV11" s="150" t="str">
        <f>IF('3.1 Effektiv rente serielån'!C29=0,"","-9")</f>
        <v/>
      </c>
      <c r="AW11" s="148" t="str">
        <f>IF('3.1 Effektiv rente serielån'!C30=0,"","+")</f>
        <v/>
      </c>
      <c r="AX11" s="148" t="str">
        <f>IF('3.1 Effektiv rente serielån'!C30=0,"",'3.1 Effektiv rente serielån'!C30)</f>
        <v/>
      </c>
      <c r="AY11" s="148" t="str">
        <f>IF('3.1 Effektiv rente serielån'!C30=0,"","*")</f>
        <v/>
      </c>
      <c r="AZ11" s="148" t="str">
        <f>IF('3.1 Effektiv rente serielån'!C30=0,"","(1+r)")</f>
        <v/>
      </c>
      <c r="BA11" s="150" t="str">
        <f>IF('3.1 Effektiv rente serielån'!C30=0,"","-10")</f>
        <v/>
      </c>
    </row>
    <row r="12" spans="1:53" ht="20.25" customHeight="1">
      <c r="A12" s="364" t="s">
        <v>66</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row>
    <row r="13" spans="1:53" ht="24" customHeight="1">
      <c r="A13" s="392" t="s">
        <v>61</v>
      </c>
      <c r="B13" s="392"/>
      <c r="C13" s="151" t="s">
        <v>56</v>
      </c>
      <c r="D13" s="151"/>
      <c r="E13" s="152">
        <f>IRR('3.1 Effektiv rente serielån'!C20:C380)</f>
        <v>3.8408616856107747E-2</v>
      </c>
    </row>
    <row r="14" spans="1:53" ht="24" customHeight="1">
      <c r="A14" s="364" t="s">
        <v>80</v>
      </c>
      <c r="B14" s="364"/>
      <c r="C14" s="364"/>
      <c r="D14" s="364"/>
      <c r="E14" s="364"/>
    </row>
    <row r="15" spans="1:53" ht="25.15" customHeight="1" thickBot="1">
      <c r="A15" s="393" t="s">
        <v>61</v>
      </c>
      <c r="B15" s="393"/>
      <c r="C15" s="153" t="s">
        <v>56</v>
      </c>
      <c r="D15" s="153"/>
      <c r="E15" s="154">
        <f>E13</f>
        <v>3.8408616856107747E-2</v>
      </c>
    </row>
    <row r="16" spans="1:53" ht="13.5" thickTop="1"/>
    <row r="17" spans="1:20" ht="21" customHeight="1">
      <c r="A17" s="394" t="str">
        <f>IF('3.1 Effektiv rente serielån'!D9=1,"",CONCATENATE("Da terminerne på lånet er ",'3.1 Effektiv rente serielån'!D9," gange pr. år skal følgende beregning foretages:"))</f>
        <v/>
      </c>
      <c r="B17" s="394"/>
      <c r="C17" s="394"/>
      <c r="D17" s="394"/>
      <c r="E17" s="394"/>
      <c r="F17" s="394"/>
      <c r="G17" s="394"/>
      <c r="H17" s="394"/>
      <c r="I17" s="394"/>
      <c r="J17" s="394"/>
      <c r="K17" s="394"/>
      <c r="L17" s="394"/>
      <c r="M17" s="394"/>
      <c r="N17" s="394"/>
      <c r="O17" s="394"/>
      <c r="P17" s="394"/>
      <c r="Q17" s="394"/>
      <c r="R17" s="394"/>
      <c r="S17" s="394"/>
      <c r="T17" s="394"/>
    </row>
    <row r="18" spans="1:20" ht="32.450000000000003" customHeight="1">
      <c r="A18" s="395" t="str">
        <f>IF('3.1 Effektiv rente serielån'!$D$9=1,"","(1+r)")</f>
        <v/>
      </c>
      <c r="B18" s="395"/>
      <c r="C18" s="109" t="str">
        <f>IF('3.1 Effektiv rente serielån'!$D$9=1,"",'3.1 Effektiv rente serielån'!$D$9)</f>
        <v/>
      </c>
      <c r="D18" s="155" t="str">
        <f>IF('3.1 Effektiv rente serielån'!$D$9=1,"","-1")</f>
        <v/>
      </c>
      <c r="E18" s="110" t="str">
        <f>IF('3.1 Effektiv rente serielån'!$D$9=1,"",CONCATENATE("="," Årlig rente"))</f>
        <v/>
      </c>
    </row>
    <row r="19" spans="1:20" ht="23.45" customHeight="1">
      <c r="A19" s="156" t="str">
        <f>IF('3.1 Effektiv rente serielån'!$D$9=1,"","Ved at indsætte fås:")</f>
        <v/>
      </c>
      <c r="B19" s="156"/>
      <c r="C19" s="156"/>
      <c r="D19" s="156"/>
      <c r="E19" s="156"/>
      <c r="F19" s="156"/>
      <c r="G19" s="156"/>
      <c r="H19" s="157"/>
      <c r="I19" s="157"/>
      <c r="J19" s="157"/>
      <c r="K19" s="157"/>
      <c r="L19" s="157"/>
      <c r="M19" s="157"/>
      <c r="N19" s="157"/>
      <c r="O19" s="157"/>
      <c r="P19" s="157"/>
      <c r="Q19" s="157"/>
      <c r="R19" s="157"/>
      <c r="S19" s="157"/>
      <c r="T19" s="157"/>
    </row>
    <row r="20" spans="1:20" ht="30.6" customHeight="1">
      <c r="A20" s="396" t="str">
        <f>IF('3.1 Effektiv rente serielån'!D9=1,"",CONCATENATE("(1+",ROUND(E15,4),")"))</f>
        <v/>
      </c>
      <c r="B20" s="396"/>
      <c r="C20" s="109" t="str">
        <f>IF('3.1 Effektiv rente serielån'!$D$9=1,"",'3.1 Effektiv rente serielån'!$D$9)</f>
        <v/>
      </c>
      <c r="D20" s="155" t="str">
        <f>IF('3.1 Effektiv rente serielån'!$D$9=1,"","-1")</f>
        <v/>
      </c>
      <c r="E20" s="110" t="str">
        <f>IF('3.1 Effektiv rente serielån'!$D$9=1,"",CONCATENATE("="," Årlig rente"))</f>
        <v/>
      </c>
    </row>
    <row r="21" spans="1:20" ht="31.15" customHeight="1">
      <c r="A21" s="366" t="str">
        <f>IF('3.1 Effektiv rente serielån'!D9=1,"",'3.1 Effektiv rente serielån'!D15)</f>
        <v/>
      </c>
      <c r="B21" s="366"/>
      <c r="C21" s="366"/>
      <c r="D21" s="366"/>
      <c r="E21" s="110" t="str">
        <f>E20</f>
        <v/>
      </c>
    </row>
    <row r="22" spans="1:20" ht="18">
      <c r="A22" s="364" t="str">
        <f>IF('3.1 Effektiv rente serielån'!D9=1,"","Eller udtrykt i %:")</f>
        <v/>
      </c>
      <c r="B22" s="364"/>
      <c r="C22" s="364"/>
      <c r="D22" s="364"/>
      <c r="E22" s="364"/>
    </row>
    <row r="23" spans="1:20" ht="24.6" customHeight="1">
      <c r="A23" s="359" t="str">
        <f>IF('3.1 Effektiv rente serielån'!$D$9=1,"",CONCATENATE("Årlig rente = ",ROUND('3.1 Effektiv rente serielån'!D15*100,2),"%"))</f>
        <v/>
      </c>
      <c r="B23" s="359"/>
      <c r="C23" s="359"/>
      <c r="D23" s="359"/>
      <c r="E23" s="359"/>
      <c r="F23" s="359"/>
    </row>
  </sheetData>
  <mergeCells count="80">
    <mergeCell ref="A23:F23"/>
    <mergeCell ref="A10:BA10"/>
    <mergeCell ref="A11:B11"/>
    <mergeCell ref="A12:BA12"/>
    <mergeCell ref="A13:B13"/>
    <mergeCell ref="A14:E14"/>
    <mergeCell ref="A15:B15"/>
    <mergeCell ref="A17:T17"/>
    <mergeCell ref="A18:B18"/>
    <mergeCell ref="A20:B20"/>
    <mergeCell ref="A21:D21"/>
    <mergeCell ref="A22:E22"/>
    <mergeCell ref="A9:BA9"/>
    <mergeCell ref="A8:D8"/>
    <mergeCell ref="E8:H8"/>
    <mergeCell ref="I8:M8"/>
    <mergeCell ref="N8:R8"/>
    <mergeCell ref="S8:W8"/>
    <mergeCell ref="X8:AB8"/>
    <mergeCell ref="AC8:AG8"/>
    <mergeCell ref="AH8:AL8"/>
    <mergeCell ref="AM8:AQ8"/>
    <mergeCell ref="AR8:AV8"/>
    <mergeCell ref="AW8:BA8"/>
    <mergeCell ref="AW7:BA7"/>
    <mergeCell ref="AC6:AG6"/>
    <mergeCell ref="AH6:AL6"/>
    <mergeCell ref="AM6:AQ6"/>
    <mergeCell ref="AR6:AV6"/>
    <mergeCell ref="AW6:BA6"/>
    <mergeCell ref="AC7:AG7"/>
    <mergeCell ref="AH7:AL7"/>
    <mergeCell ref="AM7:AQ7"/>
    <mergeCell ref="AR7:AV7"/>
    <mergeCell ref="X6:AB6"/>
    <mergeCell ref="A7:C7"/>
    <mergeCell ref="E7:H7"/>
    <mergeCell ref="I7:M7"/>
    <mergeCell ref="N7:R7"/>
    <mergeCell ref="S7:W7"/>
    <mergeCell ref="X7:AB7"/>
    <mergeCell ref="A6:D6"/>
    <mergeCell ref="E6:H6"/>
    <mergeCell ref="I6:M6"/>
    <mergeCell ref="N6:R6"/>
    <mergeCell ref="S6:W6"/>
    <mergeCell ref="AW4:BA4"/>
    <mergeCell ref="A5:D5"/>
    <mergeCell ref="E5:H5"/>
    <mergeCell ref="I5:M5"/>
    <mergeCell ref="N5:R5"/>
    <mergeCell ref="S5:W5"/>
    <mergeCell ref="X5:AB5"/>
    <mergeCell ref="AC5:AG5"/>
    <mergeCell ref="AH5:AL5"/>
    <mergeCell ref="AM5:AQ5"/>
    <mergeCell ref="AR5:AV5"/>
    <mergeCell ref="AW5:BA5"/>
    <mergeCell ref="X4:AB4"/>
    <mergeCell ref="AC4:AG4"/>
    <mergeCell ref="AH4:AL4"/>
    <mergeCell ref="AM4:AQ4"/>
    <mergeCell ref="AR4:AV4"/>
    <mergeCell ref="A4:D4"/>
    <mergeCell ref="E4:H4"/>
    <mergeCell ref="I4:M4"/>
    <mergeCell ref="N4:R4"/>
    <mergeCell ref="S4:W4"/>
    <mergeCell ref="A1:BA1"/>
    <mergeCell ref="A2:BA2"/>
    <mergeCell ref="E3:G3"/>
    <mergeCell ref="I3:L3"/>
    <mergeCell ref="N3:Q3"/>
    <mergeCell ref="S3:V3"/>
    <mergeCell ref="X3:AA3"/>
    <mergeCell ref="AC3:AF3"/>
    <mergeCell ref="AH3:AK3"/>
    <mergeCell ref="AM3:AP3"/>
    <mergeCell ref="AR3:AU3"/>
    <mergeCell ref="AW3:AZ3"/>
  </mergeCells>
  <pageMargins left="0.39370078740157483" right="0.39370078740157483" top="0.98425196850393704" bottom="0.98425196850393704" header="0" footer="0"/>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Diagrammer</vt:lpstr>
      </vt:variant>
      <vt:variant>
        <vt:i4>1</vt:i4>
      </vt:variant>
    </vt:vector>
  </HeadingPairs>
  <TitlesOfParts>
    <vt:vector size="21" baseType="lpstr">
      <vt:lpstr>1.1 Prisoptimering</vt:lpstr>
      <vt:lpstr>1.2 Prisoptimering</vt:lpstr>
      <vt:lpstr>investering 2.1</vt:lpstr>
      <vt:lpstr>investering 2.2</vt:lpstr>
      <vt:lpstr>investering 2.3</vt:lpstr>
      <vt:lpstr>3.1 Effektiv rente annuitetslån</vt:lpstr>
      <vt:lpstr>note annuitetslån</vt:lpstr>
      <vt:lpstr>3.1 Effektiv rente serielån</vt:lpstr>
      <vt:lpstr>note serielån</vt:lpstr>
      <vt:lpstr>3.1 Effektiv rente stående lån</vt:lpstr>
      <vt:lpstr>note stående lån</vt:lpstr>
      <vt:lpstr>3.2 annuitetslån</vt:lpstr>
      <vt:lpstr>3.2 stående lån</vt:lpstr>
      <vt:lpstr>3.2 serielån </vt:lpstr>
      <vt:lpstr>3.3&amp;3.4 Sammenligning</vt:lpstr>
      <vt:lpstr>4.1 Resultatbudget</vt:lpstr>
      <vt:lpstr>4.3 Balance</vt:lpstr>
      <vt:lpstr>4.2 Likviditetsbudget</vt:lpstr>
      <vt:lpstr>opg 5.1 MR=MC produkt 1</vt:lpstr>
      <vt:lpstr>5.2 MR=MC 2 markeder</vt:lpstr>
      <vt:lpstr>opg 5.1 Graf produkt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Brygger</dc:creator>
  <cp:lastModifiedBy>Jesper Brygger</cp:lastModifiedBy>
  <cp:lastPrinted>2012-12-11T17:09:24Z</cp:lastPrinted>
  <dcterms:created xsi:type="dcterms:W3CDTF">2012-12-11T16:58:06Z</dcterms:created>
  <dcterms:modified xsi:type="dcterms:W3CDTF">2012-12-17T18:49:44Z</dcterms:modified>
</cp:coreProperties>
</file>