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60" windowWidth="11340" windowHeight="6030" tabRatio="948"/>
  </bookViews>
  <sheets>
    <sheet name="Opgave 1.1" sheetId="6" r:id="rId1"/>
    <sheet name="Opgave 1.2" sheetId="4" r:id="rId2"/>
    <sheet name="1.3 Lommeregneren TI-83" sheetId="3" r:id="rId3"/>
    <sheet name="Opgave 1.3 test" sheetId="7" r:id="rId4"/>
    <sheet name="Differensinvestering 6,91" sheetId="19" r:id="rId5"/>
    <sheet name="Differensinvestering 6,00%" sheetId="8" r:id="rId6"/>
    <sheet name="Effektiv rente annuitetslån" sheetId="9" r:id="rId7"/>
    <sheet name="note annuitetslån" sheetId="10" r:id="rId8"/>
    <sheet name="Effektiv rente serielån" sheetId="11" r:id="rId9"/>
    <sheet name="note serielån" sheetId="12" r:id="rId10"/>
    <sheet name="Effektiv rente stående lån" sheetId="13" r:id="rId11"/>
    <sheet name="note stående lån" sheetId="14" r:id="rId12"/>
    <sheet name="Sammenligning" sheetId="15" r:id="rId13"/>
    <sheet name="Resultatbudget" sheetId="16" r:id="rId14"/>
    <sheet name="Likviditetsbudget" sheetId="18" r:id="rId15"/>
    <sheet name="Balance" sheetId="17" r:id="rId16"/>
    <sheet name="Prisoptimering" sheetId="20" r:id="rId17"/>
    <sheet name="løsningstabel" sheetId="21" r:id="rId18"/>
  </sheets>
  <externalReferences>
    <externalReference r:id="rId19"/>
  </externalReferences>
  <calcPr calcId="125725"/>
</workbook>
</file>

<file path=xl/calcChain.xml><?xml version="1.0" encoding="utf-8"?>
<calcChain xmlns="http://schemas.openxmlformats.org/spreadsheetml/2006/main">
  <c r="J128" i="20"/>
  <c r="J129" s="1"/>
  <c r="D126"/>
  <c r="E126"/>
  <c r="F126"/>
  <c r="G126"/>
  <c r="H126"/>
  <c r="I126"/>
  <c r="J126"/>
  <c r="C126"/>
  <c r="D125"/>
  <c r="E125"/>
  <c r="F125"/>
  <c r="G125"/>
  <c r="H125"/>
  <c r="I125"/>
  <c r="J125"/>
  <c r="C125"/>
  <c r="D124"/>
  <c r="D127" s="1"/>
  <c r="E124"/>
  <c r="F124"/>
  <c r="G124"/>
  <c r="H124"/>
  <c r="I124"/>
  <c r="J124"/>
  <c r="C124"/>
  <c r="A118"/>
  <c r="A126"/>
  <c r="A125"/>
  <c r="A124"/>
  <c r="A117"/>
  <c r="A116"/>
  <c r="J127"/>
  <c r="G127"/>
  <c r="J87"/>
  <c r="B25" i="21"/>
  <c r="B24"/>
  <c r="B23"/>
  <c r="B22"/>
  <c r="B21"/>
  <c r="B20"/>
  <c r="B19"/>
  <c r="B18"/>
  <c r="B17"/>
  <c r="B16"/>
  <c r="B15"/>
  <c r="C14"/>
  <c r="B14"/>
  <c r="B13"/>
  <c r="B12"/>
  <c r="B11"/>
  <c r="B10"/>
  <c r="B9"/>
  <c r="B8"/>
  <c r="C7"/>
  <c r="B7"/>
  <c r="B6"/>
  <c r="B5"/>
  <c r="A5"/>
  <c r="A6" s="1"/>
  <c r="B4"/>
  <c r="A4"/>
  <c r="B3"/>
  <c r="A3"/>
  <c r="B2"/>
  <c r="H1"/>
  <c r="C1"/>
  <c r="G118" i="20"/>
  <c r="E118"/>
  <c r="H118" s="1"/>
  <c r="J118" s="1"/>
  <c r="I117"/>
  <c r="F117"/>
  <c r="E117"/>
  <c r="D117"/>
  <c r="D119" s="1"/>
  <c r="C117"/>
  <c r="I116"/>
  <c r="I119" s="1"/>
  <c r="F116"/>
  <c r="E116"/>
  <c r="D116"/>
  <c r="C116"/>
  <c r="M76"/>
  <c r="L76"/>
  <c r="P75" s="1"/>
  <c r="D25" i="21" s="1"/>
  <c r="I76" i="20"/>
  <c r="F76"/>
  <c r="K76" s="1"/>
  <c r="E76"/>
  <c r="A76"/>
  <c r="N75"/>
  <c r="C25" i="21" s="1"/>
  <c r="M74" i="20"/>
  <c r="L74"/>
  <c r="I74"/>
  <c r="F74"/>
  <c r="K74" s="1"/>
  <c r="E74"/>
  <c r="A74"/>
  <c r="P73"/>
  <c r="D24" i="21" s="1"/>
  <c r="N73" i="20"/>
  <c r="C24" i="21" s="1"/>
  <c r="L72" i="20"/>
  <c r="M72" s="1"/>
  <c r="K72"/>
  <c r="I72"/>
  <c r="G72"/>
  <c r="F72"/>
  <c r="E72"/>
  <c r="H72" s="1"/>
  <c r="J72" s="1"/>
  <c r="A72"/>
  <c r="N71"/>
  <c r="C23" i="21" s="1"/>
  <c r="L70" i="20"/>
  <c r="M70" s="1"/>
  <c r="K70"/>
  <c r="I70"/>
  <c r="H70"/>
  <c r="J70" s="1"/>
  <c r="G70"/>
  <c r="F70"/>
  <c r="E70"/>
  <c r="B70"/>
  <c r="A70"/>
  <c r="M68"/>
  <c r="L68"/>
  <c r="P67" s="1"/>
  <c r="D21" i="21" s="1"/>
  <c r="I68" i="20"/>
  <c r="F68"/>
  <c r="K68" s="1"/>
  <c r="E68"/>
  <c r="A68"/>
  <c r="N67"/>
  <c r="C21" i="21" s="1"/>
  <c r="M66" i="20"/>
  <c r="L66"/>
  <c r="I66"/>
  <c r="F66"/>
  <c r="K66" s="1"/>
  <c r="E66"/>
  <c r="A66"/>
  <c r="P65"/>
  <c r="D20" i="21" s="1"/>
  <c r="N65" i="20"/>
  <c r="C20" i="21" s="1"/>
  <c r="L64" i="20"/>
  <c r="M64" s="1"/>
  <c r="K64"/>
  <c r="I64"/>
  <c r="G64"/>
  <c r="F64"/>
  <c r="E64"/>
  <c r="H64" s="1"/>
  <c r="J64" s="1"/>
  <c r="A64"/>
  <c r="P63"/>
  <c r="D19" i="21" s="1"/>
  <c r="N63" i="20"/>
  <c r="C19" i="21" s="1"/>
  <c r="N62" i="20"/>
  <c r="C18" i="21" s="1"/>
  <c r="L62" i="20"/>
  <c r="P62" s="1"/>
  <c r="D18" i="21" s="1"/>
  <c r="K62" i="20"/>
  <c r="J62"/>
  <c r="H62"/>
  <c r="M62" s="1"/>
  <c r="G62"/>
  <c r="E62"/>
  <c r="B62"/>
  <c r="A62" s="1"/>
  <c r="L48"/>
  <c r="M48" s="1"/>
  <c r="K48"/>
  <c r="I48"/>
  <c r="H48"/>
  <c r="J48" s="1"/>
  <c r="G48"/>
  <c r="F48"/>
  <c r="E48"/>
  <c r="B48"/>
  <c r="B76" s="1"/>
  <c r="A48"/>
  <c r="M46"/>
  <c r="L46"/>
  <c r="P45" s="1"/>
  <c r="D16" i="21" s="1"/>
  <c r="I46" i="20"/>
  <c r="F46"/>
  <c r="K46" s="1"/>
  <c r="E46"/>
  <c r="B46"/>
  <c r="B74" s="1"/>
  <c r="A46"/>
  <c r="N45"/>
  <c r="C16" i="21" s="1"/>
  <c r="M44" i="20"/>
  <c r="L44"/>
  <c r="I44"/>
  <c r="F44"/>
  <c r="K44" s="1"/>
  <c r="E44"/>
  <c r="B44"/>
  <c r="B72" s="1"/>
  <c r="A44"/>
  <c r="P43"/>
  <c r="D15" i="21" s="1"/>
  <c r="N43" i="20"/>
  <c r="C15" i="21" s="1"/>
  <c r="L42" i="20"/>
  <c r="M42" s="1"/>
  <c r="K42"/>
  <c r="I42"/>
  <c r="G42"/>
  <c r="F42"/>
  <c r="E42"/>
  <c r="H42" s="1"/>
  <c r="J42" s="1"/>
  <c r="B42"/>
  <c r="A42"/>
  <c r="N41"/>
  <c r="L40"/>
  <c r="M40" s="1"/>
  <c r="K40"/>
  <c r="I40"/>
  <c r="H40"/>
  <c r="J40" s="1"/>
  <c r="G40"/>
  <c r="F40"/>
  <c r="E40"/>
  <c r="B40"/>
  <c r="B68" s="1"/>
  <c r="L38"/>
  <c r="P37" s="1"/>
  <c r="D12" i="21" s="1"/>
  <c r="I38" i="20"/>
  <c r="F38"/>
  <c r="K38" s="1"/>
  <c r="E38"/>
  <c r="B38"/>
  <c r="B66" s="1"/>
  <c r="L36"/>
  <c r="I36"/>
  <c r="F36"/>
  <c r="K36" s="1"/>
  <c r="E36"/>
  <c r="B36"/>
  <c r="B64" s="1"/>
  <c r="P35"/>
  <c r="D11" i="21" s="1"/>
  <c r="L34" i="20"/>
  <c r="N34" s="1"/>
  <c r="C10" i="21" s="1"/>
  <c r="K34" i="20"/>
  <c r="H34"/>
  <c r="J34" s="1"/>
  <c r="G34"/>
  <c r="G117" s="1"/>
  <c r="E34"/>
  <c r="B34"/>
  <c r="A34"/>
  <c r="B33"/>
  <c r="B61" s="1"/>
  <c r="A33"/>
  <c r="A61" s="1"/>
  <c r="M20"/>
  <c r="L20"/>
  <c r="K20"/>
  <c r="I20"/>
  <c r="G20"/>
  <c r="F20"/>
  <c r="E20"/>
  <c r="H20" s="1"/>
  <c r="J20" s="1"/>
  <c r="A20"/>
  <c r="P19"/>
  <c r="D9" i="21" s="1"/>
  <c r="N19" i="20"/>
  <c r="C9" i="21" s="1"/>
  <c r="L18" i="20"/>
  <c r="M18" s="1"/>
  <c r="K18"/>
  <c r="I18"/>
  <c r="G18"/>
  <c r="F18"/>
  <c r="E18"/>
  <c r="H18" s="1"/>
  <c r="J18" s="1"/>
  <c r="A18"/>
  <c r="P17"/>
  <c r="D8" i="21" s="1"/>
  <c r="N17" i="20"/>
  <c r="C8" i="21" s="1"/>
  <c r="L16" i="20"/>
  <c r="M16" s="1"/>
  <c r="K16"/>
  <c r="I16"/>
  <c r="G16"/>
  <c r="F16"/>
  <c r="E16"/>
  <c r="H16" s="1"/>
  <c r="J16" s="1"/>
  <c r="A16"/>
  <c r="P15"/>
  <c r="D7" i="21" s="1"/>
  <c r="N15" i="20"/>
  <c r="L14"/>
  <c r="M14" s="1"/>
  <c r="K14"/>
  <c r="I14"/>
  <c r="G14"/>
  <c r="F14"/>
  <c r="E14"/>
  <c r="H14" s="1"/>
  <c r="A14"/>
  <c r="P13"/>
  <c r="D6" i="21" s="1"/>
  <c r="L12" i="20"/>
  <c r="K12"/>
  <c r="I12"/>
  <c r="G12"/>
  <c r="H12" s="1"/>
  <c r="F12"/>
  <c r="E12"/>
  <c r="A12"/>
  <c r="P11"/>
  <c r="D5" i="21" s="1"/>
  <c r="L10" i="20"/>
  <c r="K10"/>
  <c r="I10"/>
  <c r="G10"/>
  <c r="G116" s="1"/>
  <c r="G119" s="1"/>
  <c r="F10"/>
  <c r="E10"/>
  <c r="A10"/>
  <c r="P9"/>
  <c r="D4" i="21" s="1"/>
  <c r="L8" i="20"/>
  <c r="K8"/>
  <c r="I8"/>
  <c r="G8"/>
  <c r="H8" s="1"/>
  <c r="F8"/>
  <c r="E8"/>
  <c r="A8"/>
  <c r="P7"/>
  <c r="D3" i="21" s="1"/>
  <c r="L6" i="20"/>
  <c r="N6" s="1"/>
  <c r="C2" i="21" s="1"/>
  <c r="H6" i="20"/>
  <c r="J6" s="1"/>
  <c r="G6"/>
  <c r="F6"/>
  <c r="K6" s="1"/>
  <c r="E6"/>
  <c r="A6"/>
  <c r="H127" l="1"/>
  <c r="I127"/>
  <c r="J14"/>
  <c r="N13"/>
  <c r="C6" i="21" s="1"/>
  <c r="J117" i="20"/>
  <c r="M8"/>
  <c r="M12"/>
  <c r="H36"/>
  <c r="H76"/>
  <c r="J76" s="1"/>
  <c r="J8"/>
  <c r="N7"/>
  <c r="C3" i="21" s="1"/>
  <c r="J12" i="20"/>
  <c r="A7" i="21"/>
  <c r="H46" i="20"/>
  <c r="J46" s="1"/>
  <c r="M6"/>
  <c r="M34"/>
  <c r="A40"/>
  <c r="P41"/>
  <c r="D14" i="21" s="1"/>
  <c r="H117" i="20"/>
  <c r="P6"/>
  <c r="D2" i="21" s="1"/>
  <c r="P34" i="20"/>
  <c r="D10" i="21" s="1"/>
  <c r="A38" i="20"/>
  <c r="G38"/>
  <c r="H38" s="1"/>
  <c r="P39"/>
  <c r="D13" i="21" s="1"/>
  <c r="G46" i="20"/>
  <c r="P47"/>
  <c r="D17" i="21" s="1"/>
  <c r="G68" i="20"/>
  <c r="H68" s="1"/>
  <c r="J68" s="1"/>
  <c r="P69"/>
  <c r="D22" i="21" s="1"/>
  <c r="G76" i="20"/>
  <c r="P71"/>
  <c r="D23" i="21" s="1"/>
  <c r="H10" i="20"/>
  <c r="A36"/>
  <c r="G36"/>
  <c r="G44"/>
  <c r="H44" s="1"/>
  <c r="J44" s="1"/>
  <c r="N47"/>
  <c r="C17" i="21" s="1"/>
  <c r="G66" i="20"/>
  <c r="H66" s="1"/>
  <c r="J66" s="1"/>
  <c r="N69"/>
  <c r="C22" i="21" s="1"/>
  <c r="G74" i="20"/>
  <c r="H74" s="1"/>
  <c r="J74" s="1"/>
  <c r="D56" i="19"/>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E7"/>
  <c r="A7"/>
  <c r="A8" s="1"/>
  <c r="H6"/>
  <c r="F6"/>
  <c r="E6"/>
  <c r="D6"/>
  <c r="C6"/>
  <c r="B7" i="8"/>
  <c r="D24" i="3"/>
  <c r="A48" i="18"/>
  <c r="A31" s="1"/>
  <c r="F40"/>
  <c r="D39"/>
  <c r="F39" s="1"/>
  <c r="C39"/>
  <c r="A39"/>
  <c r="D38"/>
  <c r="C38"/>
  <c r="F33"/>
  <c r="A33"/>
  <c r="A32"/>
  <c r="F30"/>
  <c r="F29"/>
  <c r="A29"/>
  <c r="F28"/>
  <c r="A28"/>
  <c r="F26"/>
  <c r="A26"/>
  <c r="F25"/>
  <c r="A25"/>
  <c r="F23"/>
  <c r="A20"/>
  <c r="F19"/>
  <c r="A19"/>
  <c r="D18"/>
  <c r="A18"/>
  <c r="D17"/>
  <c r="A17"/>
  <c r="D16"/>
  <c r="A16"/>
  <c r="D15"/>
  <c r="A15"/>
  <c r="D14"/>
  <c r="A14"/>
  <c r="D13"/>
  <c r="A13"/>
  <c r="D11"/>
  <c r="A11"/>
  <c r="D10"/>
  <c r="A10"/>
  <c r="D9"/>
  <c r="A9"/>
  <c r="D8"/>
  <c r="A8"/>
  <c r="D7"/>
  <c r="A7"/>
  <c r="D6"/>
  <c r="A6"/>
  <c r="E5"/>
  <c r="D5"/>
  <c r="F5" s="1"/>
  <c r="A5"/>
  <c r="D47" i="17"/>
  <c r="C47"/>
  <c r="A47"/>
  <c r="F46"/>
  <c r="D46"/>
  <c r="C46"/>
  <c r="B46"/>
  <c r="E46" s="1"/>
  <c r="A46"/>
  <c r="C45"/>
  <c r="B45"/>
  <c r="E43"/>
  <c r="B43"/>
  <c r="A42"/>
  <c r="H40"/>
  <c r="E40"/>
  <c r="B40"/>
  <c r="A39"/>
  <c r="H37"/>
  <c r="E37"/>
  <c r="A36"/>
  <c r="B37" s="1"/>
  <c r="E35"/>
  <c r="A35"/>
  <c r="E33"/>
  <c r="B33"/>
  <c r="E32"/>
  <c r="E31" s="1"/>
  <c r="A32"/>
  <c r="A31"/>
  <c r="E29"/>
  <c r="A29"/>
  <c r="B29" s="1"/>
  <c r="E28"/>
  <c r="F28" s="1"/>
  <c r="B28"/>
  <c r="E27"/>
  <c r="H27" s="1"/>
  <c r="B25"/>
  <c r="G24"/>
  <c r="B24"/>
  <c r="F23"/>
  <c r="I22"/>
  <c r="G22"/>
  <c r="F31" i="18" s="1"/>
  <c r="F22" i="17"/>
  <c r="E22"/>
  <c r="E11" i="18" s="1"/>
  <c r="F11" s="1"/>
  <c r="I21" i="17"/>
  <c r="E18" i="18" s="1"/>
  <c r="F18" s="1"/>
  <c r="E21" i="17"/>
  <c r="E10" i="18" s="1"/>
  <c r="I20" i="17"/>
  <c r="E17" i="18" s="1"/>
  <c r="E20" i="17"/>
  <c r="E9" i="18" s="1"/>
  <c r="F9" s="1"/>
  <c r="I19" i="17"/>
  <c r="E16" i="18" s="1"/>
  <c r="F16" s="1"/>
  <c r="I18" i="17"/>
  <c r="E15" i="18" s="1"/>
  <c r="I17" i="17"/>
  <c r="E14" i="18" s="1"/>
  <c r="F14" s="1"/>
  <c r="E17" i="17"/>
  <c r="E6" i="18" s="1"/>
  <c r="I15" i="17"/>
  <c r="I14"/>
  <c r="H14"/>
  <c r="G14"/>
  <c r="D14"/>
  <c r="C14"/>
  <c r="B14"/>
  <c r="E14" s="1"/>
  <c r="I13"/>
  <c r="E13"/>
  <c r="I12"/>
  <c r="E12"/>
  <c r="I11"/>
  <c r="E11"/>
  <c r="I10"/>
  <c r="E10"/>
  <c r="I9"/>
  <c r="E9"/>
  <c r="G8"/>
  <c r="E8"/>
  <c r="E7"/>
  <c r="E6"/>
  <c r="H5"/>
  <c r="F5"/>
  <c r="E5"/>
  <c r="E3"/>
  <c r="I3" s="1"/>
  <c r="B3"/>
  <c r="G3" s="1"/>
  <c r="B37" i="16"/>
  <c r="H39" i="17" s="1"/>
  <c r="I39" s="1"/>
  <c r="E19" s="1"/>
  <c r="E8" i="18" s="1"/>
  <c r="E35" i="16"/>
  <c r="E34"/>
  <c r="B34"/>
  <c r="E31"/>
  <c r="B31"/>
  <c r="E23"/>
  <c r="E21"/>
  <c r="F20" i="18" s="1"/>
  <c r="E16" i="16"/>
  <c r="E14"/>
  <c r="E13"/>
  <c r="E12"/>
  <c r="E10"/>
  <c r="E8"/>
  <c r="B7"/>
  <c r="B9" s="1"/>
  <c r="B11" s="1"/>
  <c r="B17" s="1"/>
  <c r="B19" s="1"/>
  <c r="B22" s="1"/>
  <c r="B24" s="1"/>
  <c r="B26" s="1"/>
  <c r="D6"/>
  <c r="E6" s="1"/>
  <c r="A6"/>
  <c r="B36" i="17" s="1"/>
  <c r="B35" s="1"/>
  <c r="E5" i="16"/>
  <c r="H31" i="17" s="1"/>
  <c r="D5" i="16"/>
  <c r="E4"/>
  <c r="E7" s="1"/>
  <c r="E9" s="1"/>
  <c r="E11" s="1"/>
  <c r="E17" s="1"/>
  <c r="E3"/>
  <c r="A2"/>
  <c r="F8" i="18" l="1"/>
  <c r="F6"/>
  <c r="F10"/>
  <c r="F15"/>
  <c r="F17"/>
  <c r="G25" i="17"/>
  <c r="H29"/>
  <c r="F32"/>
  <c r="J38" i="20"/>
  <c r="M38"/>
  <c r="N37"/>
  <c r="C12" i="21" s="1"/>
  <c r="N39" i="20"/>
  <c r="C13" i="21" s="1"/>
  <c r="D82" i="20"/>
  <c r="D26"/>
  <c r="H116"/>
  <c r="H119" s="1"/>
  <c r="J10"/>
  <c r="J116" s="1"/>
  <c r="J119" s="1"/>
  <c r="N9"/>
  <c r="C4" i="21" s="1"/>
  <c r="M36" i="20"/>
  <c r="N35"/>
  <c r="C11" i="21" s="1"/>
  <c r="J36" i="20"/>
  <c r="D54" s="1"/>
  <c r="A8" i="21"/>
  <c r="N11" i="20"/>
  <c r="C5" i="21" s="1"/>
  <c r="E7" s="1"/>
  <c r="M10" i="20"/>
  <c r="A9" i="19"/>
  <c r="E8"/>
  <c r="F3" i="18"/>
  <c r="E19" i="16"/>
  <c r="E22" s="1"/>
  <c r="E24" s="1"/>
  <c r="I5" i="17"/>
  <c r="H32"/>
  <c r="I32" s="1"/>
  <c r="H35"/>
  <c r="I35" s="1"/>
  <c r="E18" s="1"/>
  <c r="E36"/>
  <c r="F36" s="1"/>
  <c r="F35" s="1"/>
  <c r="B39"/>
  <c r="H42"/>
  <c r="F7"/>
  <c r="A30" i="18" s="1"/>
  <c r="B32" i="17"/>
  <c r="B31" s="1"/>
  <c r="E39"/>
  <c r="F39" s="1"/>
  <c r="B42"/>
  <c r="H6"/>
  <c r="H8" s="1"/>
  <c r="H36"/>
  <c r="I36" s="1"/>
  <c r="E42"/>
  <c r="B47"/>
  <c r="E47" s="1"/>
  <c r="H28"/>
  <c r="D8" i="15"/>
  <c r="C8"/>
  <c r="B8"/>
  <c r="E6"/>
  <c r="E4"/>
  <c r="A23" i="14"/>
  <c r="C21"/>
  <c r="A20"/>
  <c r="D19"/>
  <c r="D21" s="1"/>
  <c r="D22" s="1"/>
  <c r="C19"/>
  <c r="B19"/>
  <c r="B21" s="1"/>
  <c r="A19"/>
  <c r="A18"/>
  <c r="B16"/>
  <c r="A16"/>
  <c r="D12"/>
  <c r="N11"/>
  <c r="L11"/>
  <c r="J11"/>
  <c r="I11"/>
  <c r="F11"/>
  <c r="D11"/>
  <c r="G8"/>
  <c r="D5"/>
  <c r="A24" i="13"/>
  <c r="A23"/>
  <c r="B22"/>
  <c r="E17"/>
  <c r="D13"/>
  <c r="D12"/>
  <c r="D8"/>
  <c r="D6"/>
  <c r="D4"/>
  <c r="A22" i="12"/>
  <c r="E20"/>
  <c r="E21" s="1"/>
  <c r="D20"/>
  <c r="C20"/>
  <c r="A19"/>
  <c r="E18"/>
  <c r="D18"/>
  <c r="C18"/>
  <c r="A18"/>
  <c r="A17"/>
  <c r="A8"/>
  <c r="E7"/>
  <c r="E4"/>
  <c r="A25" i="11"/>
  <c r="A24"/>
  <c r="B23"/>
  <c r="E17"/>
  <c r="D13"/>
  <c r="A5" i="12" s="1"/>
  <c r="D12" i="11"/>
  <c r="A20" s="1"/>
  <c r="D8"/>
  <c r="D22" s="1"/>
  <c r="C22" s="1"/>
  <c r="D6"/>
  <c r="D4"/>
  <c r="A29" i="10"/>
  <c r="C27"/>
  <c r="A26"/>
  <c r="D25"/>
  <c r="D27" s="1"/>
  <c r="D28" s="1"/>
  <c r="C25"/>
  <c r="B25"/>
  <c r="B27" s="1"/>
  <c r="A25"/>
  <c r="A24"/>
  <c r="E22"/>
  <c r="A22"/>
  <c r="B20"/>
  <c r="B22" s="1"/>
  <c r="D18"/>
  <c r="A20" s="1"/>
  <c r="D17"/>
  <c r="B17"/>
  <c r="D15"/>
  <c r="F14"/>
  <c r="D14"/>
  <c r="G11"/>
  <c r="A6"/>
  <c r="A25" i="9"/>
  <c r="A24"/>
  <c r="B23"/>
  <c r="E18"/>
  <c r="D12"/>
  <c r="D7" i="10" s="1"/>
  <c r="D6" s="1"/>
  <c r="D11" i="9"/>
  <c r="D7"/>
  <c r="D5"/>
  <c r="D28" i="20" l="1"/>
  <c r="D27"/>
  <c r="E3" i="21"/>
  <c r="E2"/>
  <c r="E4"/>
  <c r="E6"/>
  <c r="E5"/>
  <c r="D84" i="20"/>
  <c r="D83"/>
  <c r="E8" i="21"/>
  <c r="A9"/>
  <c r="D55" i="20"/>
  <c r="D56"/>
  <c r="A10" i="19"/>
  <c r="E9"/>
  <c r="F42" i="17"/>
  <c r="H43"/>
  <c r="I42" s="1"/>
  <c r="I16" s="1"/>
  <c r="E24"/>
  <c r="E25" s="1"/>
  <c r="E7" i="18"/>
  <c r="F7" s="1"/>
  <c r="I6" i="17"/>
  <c r="E25" i="16"/>
  <c r="F32" i="18" s="1"/>
  <c r="I8" i="17"/>
  <c r="D14" i="11"/>
  <c r="F24" s="1"/>
  <c r="A10" i="12"/>
  <c r="E23" i="11"/>
  <c r="E5" i="12" s="1"/>
  <c r="E23" i="9"/>
  <c r="E6" i="10"/>
  <c r="E14"/>
  <c r="E17" s="1"/>
  <c r="D13" i="9"/>
  <c r="D23" s="1"/>
  <c r="A21"/>
  <c r="D8" i="10"/>
  <c r="G5" i="14"/>
  <c r="D14" i="13"/>
  <c r="D14" i="14" s="1"/>
  <c r="F24" i="13"/>
  <c r="A25"/>
  <c r="B5" i="15"/>
  <c r="B6"/>
  <c r="A14" i="10"/>
  <c r="D25" i="9"/>
  <c r="A26"/>
  <c r="A8" i="10"/>
  <c r="A26" i="11"/>
  <c r="D5" i="15"/>
  <c r="D6"/>
  <c r="A11" i="14"/>
  <c r="C5" i="15"/>
  <c r="C6"/>
  <c r="A11" i="12"/>
  <c r="F23" i="11"/>
  <c r="E11" i="14"/>
  <c r="M11" s="1"/>
  <c r="F22" i="13"/>
  <c r="A20"/>
  <c r="F23"/>
  <c r="C6" i="8"/>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A8"/>
  <c r="E8" s="1"/>
  <c r="E7"/>
  <c r="A7"/>
  <c r="E6"/>
  <c r="D6"/>
  <c r="F6" s="1"/>
  <c r="D56" i="7"/>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A7"/>
  <c r="F6"/>
  <c r="E6"/>
  <c r="D6"/>
  <c r="C4" i="3"/>
  <c r="B12" i="4"/>
  <c r="D12" s="1"/>
  <c r="D56" i="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B12"/>
  <c r="D12" s="1"/>
  <c r="D11"/>
  <c r="D10"/>
  <c r="D9"/>
  <c r="A9"/>
  <c r="D8"/>
  <c r="A8"/>
  <c r="F7"/>
  <c r="E7"/>
  <c r="D7"/>
  <c r="A7"/>
  <c r="H6"/>
  <c r="E6"/>
  <c r="D6"/>
  <c r="F6" s="1"/>
  <c r="A7" i="4"/>
  <c r="A8" s="1"/>
  <c r="D7"/>
  <c r="F7" s="1"/>
  <c r="D8"/>
  <c r="D9"/>
  <c r="D10"/>
  <c r="D11"/>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6"/>
  <c r="F6"/>
  <c r="H6" s="1"/>
  <c r="E6"/>
  <c r="E7"/>
  <c r="B12" i="3"/>
  <c r="B18" s="1"/>
  <c r="B13"/>
  <c r="B19" s="1"/>
  <c r="B14"/>
  <c r="B20" s="1"/>
  <c r="B15"/>
  <c r="B21" s="1"/>
  <c r="B11"/>
  <c r="B17" s="1"/>
  <c r="D21"/>
  <c r="D20"/>
  <c r="D19"/>
  <c r="D18"/>
  <c r="D17"/>
  <c r="D14"/>
  <c r="A10" i="21" l="1"/>
  <c r="E9"/>
  <c r="A11" i="19"/>
  <c r="E10"/>
  <c r="E13" i="18"/>
  <c r="F13" s="1"/>
  <c r="F21" s="1"/>
  <c r="F34" s="1"/>
  <c r="F41" s="1"/>
  <c r="I24" i="17"/>
  <c r="I25" s="1"/>
  <c r="E26" i="16"/>
  <c r="A2" i="12"/>
  <c r="F25" i="11"/>
  <c r="D23"/>
  <c r="C23" s="1"/>
  <c r="C7" i="15" s="1"/>
  <c r="D24" i="9"/>
  <c r="B23" i="13"/>
  <c r="G22"/>
  <c r="A27" i="11"/>
  <c r="F26"/>
  <c r="A26" i="13"/>
  <c r="F25"/>
  <c r="G14" i="10"/>
  <c r="A17" s="1"/>
  <c r="D9"/>
  <c r="D16" i="9"/>
  <c r="C26" s="1"/>
  <c r="D16" i="14"/>
  <c r="A21"/>
  <c r="F23" i="9"/>
  <c r="D6" i="14"/>
  <c r="G11"/>
  <c r="D17" i="13"/>
  <c r="E22"/>
  <c r="E6" i="12"/>
  <c r="G23" i="11"/>
  <c r="B24"/>
  <c r="A27" i="9"/>
  <c r="D26"/>
  <c r="H6" i="8"/>
  <c r="A9"/>
  <c r="A8" i="7"/>
  <c r="E7"/>
  <c r="H6"/>
  <c r="D6" i="3"/>
  <c r="D9" s="1"/>
  <c r="B7" i="19" s="1"/>
  <c r="F59" i="4"/>
  <c r="G7" s="1"/>
  <c r="A10" i="6"/>
  <c r="F9"/>
  <c r="E9"/>
  <c r="F59"/>
  <c r="E8"/>
  <c r="F8"/>
  <c r="G7"/>
  <c r="F8" i="4"/>
  <c r="A9"/>
  <c r="E8"/>
  <c r="D7" i="19" l="1"/>
  <c r="F7" s="1"/>
  <c r="B8"/>
  <c r="E10" i="21"/>
  <c r="A11"/>
  <c r="A12" i="19"/>
  <c r="E11"/>
  <c r="B11" i="7"/>
  <c r="B10"/>
  <c r="D10" s="1"/>
  <c r="B8"/>
  <c r="D8" s="1"/>
  <c r="F8" s="1"/>
  <c r="B7"/>
  <c r="D7" s="1"/>
  <c r="B9"/>
  <c r="D9" s="1"/>
  <c r="F43" i="18"/>
  <c r="F44" s="1"/>
  <c r="H23" i="17"/>
  <c r="H24" s="1"/>
  <c r="E11" i="12"/>
  <c r="E8"/>
  <c r="I4"/>
  <c r="M3"/>
  <c r="I6"/>
  <c r="I3"/>
  <c r="I7"/>
  <c r="D22" i="13"/>
  <c r="B25" i="11"/>
  <c r="E24"/>
  <c r="I5" i="12" s="1"/>
  <c r="G24" i="11"/>
  <c r="D4" i="15"/>
  <c r="A24" i="14"/>
  <c r="A22"/>
  <c r="G23" i="9"/>
  <c r="B24" s="1"/>
  <c r="C24"/>
  <c r="C23"/>
  <c r="D18"/>
  <c r="D20" i="10"/>
  <c r="C25" i="9"/>
  <c r="B24" i="13"/>
  <c r="E23"/>
  <c r="D23" s="1"/>
  <c r="C23" s="1"/>
  <c r="G23"/>
  <c r="A28" i="9"/>
  <c r="D27"/>
  <c r="C27"/>
  <c r="A28" i="11"/>
  <c r="F27"/>
  <c r="A27" i="13"/>
  <c r="F26"/>
  <c r="E9" i="8"/>
  <c r="A10"/>
  <c r="A9" i="7"/>
  <c r="E8"/>
  <c r="H8" i="4"/>
  <c r="H7"/>
  <c r="G8"/>
  <c r="H5"/>
  <c r="G6"/>
  <c r="H7" i="6"/>
  <c r="H8"/>
  <c r="H9"/>
  <c r="H10"/>
  <c r="H5"/>
  <c r="G6"/>
  <c r="G8"/>
  <c r="G9"/>
  <c r="G10"/>
  <c r="A11"/>
  <c r="F10"/>
  <c r="E10"/>
  <c r="A10" i="4"/>
  <c r="F9"/>
  <c r="E9"/>
  <c r="H9"/>
  <c r="G9"/>
  <c r="D8" i="19" l="1"/>
  <c r="F8" s="1"/>
  <c r="B9"/>
  <c r="E11" i="21"/>
  <c r="A12"/>
  <c r="A13" i="19"/>
  <c r="E12"/>
  <c r="F7" i="7"/>
  <c r="D11"/>
  <c r="B12"/>
  <c r="D12" s="1"/>
  <c r="D7" i="8"/>
  <c r="F7" s="1"/>
  <c r="B8"/>
  <c r="B4" i="15"/>
  <c r="A30" i="10"/>
  <c r="A28"/>
  <c r="N7" i="12"/>
  <c r="R3"/>
  <c r="N6"/>
  <c r="N4"/>
  <c r="N3"/>
  <c r="C22" i="13"/>
  <c r="B7" i="15"/>
  <c r="G25" i="11"/>
  <c r="B26"/>
  <c r="E25"/>
  <c r="D25" s="1"/>
  <c r="C25" s="1"/>
  <c r="G24" i="13"/>
  <c r="E24"/>
  <c r="D24" s="1"/>
  <c r="C24" s="1"/>
  <c r="B25"/>
  <c r="D24" i="11"/>
  <c r="C24" s="1"/>
  <c r="F28"/>
  <c r="A29"/>
  <c r="A29" i="9"/>
  <c r="C28"/>
  <c r="D28"/>
  <c r="F27" i="13"/>
  <c r="A28"/>
  <c r="A27" i="10"/>
  <c r="D22"/>
  <c r="E24" i="9"/>
  <c r="A11" i="8"/>
  <c r="E10"/>
  <c r="F9" i="7"/>
  <c r="A10"/>
  <c r="E9"/>
  <c r="G11" i="6"/>
  <c r="F11"/>
  <c r="A12"/>
  <c r="E11"/>
  <c r="H11"/>
  <c r="F10" i="4"/>
  <c r="G10"/>
  <c r="H10"/>
  <c r="A11"/>
  <c r="E10"/>
  <c r="B10" i="19" l="1"/>
  <c r="D9"/>
  <c r="F9" s="1"/>
  <c r="E12" i="21"/>
  <c r="A13"/>
  <c r="I13" i="19"/>
  <c r="E13"/>
  <c r="G13"/>
  <c r="F13"/>
  <c r="I14"/>
  <c r="A14"/>
  <c r="F59" i="7"/>
  <c r="G7" s="1"/>
  <c r="H8"/>
  <c r="H9"/>
  <c r="H7"/>
  <c r="G8"/>
  <c r="H5"/>
  <c r="G9"/>
  <c r="D8" i="8"/>
  <c r="F8" s="1"/>
  <c r="B9"/>
  <c r="F24" i="9"/>
  <c r="A30"/>
  <c r="D29"/>
  <c r="C29"/>
  <c r="S4" i="12"/>
  <c r="W3"/>
  <c r="S3"/>
  <c r="S6"/>
  <c r="S7"/>
  <c r="G25" i="13"/>
  <c r="B26"/>
  <c r="E25"/>
  <c r="O11" i="12"/>
  <c r="Q11"/>
  <c r="P11"/>
  <c r="N11"/>
  <c r="R11"/>
  <c r="D7" i="15"/>
  <c r="F28" i="13"/>
  <c r="A29"/>
  <c r="G26" i="11"/>
  <c r="B27"/>
  <c r="E26"/>
  <c r="F29"/>
  <c r="A30"/>
  <c r="K11" i="12"/>
  <c r="M11"/>
  <c r="I11"/>
  <c r="L11"/>
  <c r="J11"/>
  <c r="I8"/>
  <c r="N8"/>
  <c r="N5"/>
  <c r="E11" i="8"/>
  <c r="A12"/>
  <c r="E10" i="7"/>
  <c r="F10"/>
  <c r="A11"/>
  <c r="H10"/>
  <c r="G12" i="6"/>
  <c r="F12"/>
  <c r="E12"/>
  <c r="A13"/>
  <c r="H12"/>
  <c r="A12" i="4"/>
  <c r="F11"/>
  <c r="E11"/>
  <c r="H11"/>
  <c r="G11"/>
  <c r="B11" i="19" l="1"/>
  <c r="D10"/>
  <c r="F10" s="1"/>
  <c r="G10" i="7"/>
  <c r="G6"/>
  <c r="A14" i="21"/>
  <c r="E13"/>
  <c r="A15" i="19"/>
  <c r="F14"/>
  <c r="I15"/>
  <c r="E14"/>
  <c r="G14"/>
  <c r="D9" i="8"/>
  <c r="F9" s="1"/>
  <c r="B10"/>
  <c r="A30" i="13"/>
  <c r="F29"/>
  <c r="D25"/>
  <c r="B28" i="11"/>
  <c r="E27"/>
  <c r="D27" s="1"/>
  <c r="C27" s="1"/>
  <c r="X8" i="12" s="1"/>
  <c r="G27" i="11"/>
  <c r="E26" i="13"/>
  <c r="D26" s="1"/>
  <c r="C26" s="1"/>
  <c r="B27"/>
  <c r="G26"/>
  <c r="A31" i="11"/>
  <c r="F30"/>
  <c r="D26"/>
  <c r="C26" s="1"/>
  <c r="C30" i="9"/>
  <c r="A31"/>
  <c r="D30"/>
  <c r="X6" i="12"/>
  <c r="AB3"/>
  <c r="X7"/>
  <c r="X3"/>
  <c r="X4"/>
  <c r="S5"/>
  <c r="G24" i="9"/>
  <c r="B25" s="1"/>
  <c r="E12" i="8"/>
  <c r="A13"/>
  <c r="A12" i="7"/>
  <c r="F11"/>
  <c r="E11"/>
  <c r="G11"/>
  <c r="H11"/>
  <c r="I13" i="6"/>
  <c r="E13"/>
  <c r="I14"/>
  <c r="F13"/>
  <c r="A14"/>
  <c r="G13"/>
  <c r="H13"/>
  <c r="F12" i="4"/>
  <c r="G12"/>
  <c r="H12"/>
  <c r="A13"/>
  <c r="E12"/>
  <c r="D11" i="19" l="1"/>
  <c r="F11" s="1"/>
  <c r="B12"/>
  <c r="D12" s="1"/>
  <c r="E14" i="21"/>
  <c r="A15"/>
  <c r="G15" i="19"/>
  <c r="E15"/>
  <c r="F15"/>
  <c r="I16"/>
  <c r="A16"/>
  <c r="D10" i="8"/>
  <c r="B11"/>
  <c r="E25" i="9"/>
  <c r="A32"/>
  <c r="D31"/>
  <c r="C31"/>
  <c r="W11" i="12"/>
  <c r="S11"/>
  <c r="U11"/>
  <c r="T11"/>
  <c r="V11"/>
  <c r="S8"/>
  <c r="A32" i="11"/>
  <c r="F31"/>
  <c r="AC4" i="12"/>
  <c r="AG3"/>
  <c r="AC7"/>
  <c r="AC3"/>
  <c r="AC6"/>
  <c r="C25" i="13"/>
  <c r="AA11" i="12"/>
  <c r="Y11"/>
  <c r="AB11"/>
  <c r="X11"/>
  <c r="Z11"/>
  <c r="X5"/>
  <c r="B28" i="13"/>
  <c r="E27"/>
  <c r="D27" s="1"/>
  <c r="C27" s="1"/>
  <c r="G27"/>
  <c r="B29" i="11"/>
  <c r="E28"/>
  <c r="D28" s="1"/>
  <c r="C28" s="1"/>
  <c r="G28"/>
  <c r="A31" i="13"/>
  <c r="F30"/>
  <c r="A14" i="8"/>
  <c r="F13"/>
  <c r="I14"/>
  <c r="E13"/>
  <c r="I13"/>
  <c r="G13"/>
  <c r="A13" i="7"/>
  <c r="F12"/>
  <c r="G12"/>
  <c r="E12"/>
  <c r="H12"/>
  <c r="A15" i="6"/>
  <c r="F14"/>
  <c r="E14"/>
  <c r="G14"/>
  <c r="I15"/>
  <c r="H14"/>
  <c r="A14" i="4"/>
  <c r="F13"/>
  <c r="I13"/>
  <c r="I14"/>
  <c r="H13"/>
  <c r="E13"/>
  <c r="G13"/>
  <c r="F59" i="19" l="1"/>
  <c r="F12"/>
  <c r="A16" i="21"/>
  <c r="E15"/>
  <c r="I17" i="19"/>
  <c r="A17"/>
  <c r="F16"/>
  <c r="E16"/>
  <c r="G16"/>
  <c r="F10" i="8"/>
  <c r="D11"/>
  <c r="F11" s="1"/>
  <c r="B12"/>
  <c r="D12" s="1"/>
  <c r="F12" s="1"/>
  <c r="AC5" i="12"/>
  <c r="F25" i="9"/>
  <c r="G29" i="11"/>
  <c r="B30"/>
  <c r="E29"/>
  <c r="D29" s="1"/>
  <c r="C29" s="1"/>
  <c r="AH8" i="12" s="1"/>
  <c r="F32" i="11"/>
  <c r="A33"/>
  <c r="A33" i="9"/>
  <c r="C32"/>
  <c r="D32"/>
  <c r="F31" i="13"/>
  <c r="A32"/>
  <c r="AH7" i="12"/>
  <c r="AL3"/>
  <c r="AH6"/>
  <c r="AH4"/>
  <c r="AH3"/>
  <c r="AE11"/>
  <c r="AF11"/>
  <c r="AC11"/>
  <c r="AG11"/>
  <c r="AD11"/>
  <c r="G28" i="13"/>
  <c r="B29"/>
  <c r="E28"/>
  <c r="D28" s="1"/>
  <c r="C28" s="1"/>
  <c r="AC8" i="12"/>
  <c r="G14" i="8"/>
  <c r="E14"/>
  <c r="F14"/>
  <c r="I15"/>
  <c r="A15"/>
  <c r="G13" i="7"/>
  <c r="A14"/>
  <c r="E13"/>
  <c r="I13"/>
  <c r="I14"/>
  <c r="F13"/>
  <c r="H13"/>
  <c r="G15" i="6"/>
  <c r="A16"/>
  <c r="F15"/>
  <c r="E15"/>
  <c r="I16"/>
  <c r="H15"/>
  <c r="F14" i="4"/>
  <c r="G14"/>
  <c r="E14"/>
  <c r="H14"/>
  <c r="A15"/>
  <c r="I15"/>
  <c r="H10" i="19" l="1"/>
  <c r="G6"/>
  <c r="G8"/>
  <c r="G12"/>
  <c r="H11"/>
  <c r="H7"/>
  <c r="G7"/>
  <c r="G11"/>
  <c r="H12"/>
  <c r="H8"/>
  <c r="H13"/>
  <c r="G10"/>
  <c r="H9"/>
  <c r="H5"/>
  <c r="G9"/>
  <c r="H14"/>
  <c r="H15"/>
  <c r="H16"/>
  <c r="E16" i="21"/>
  <c r="A17"/>
  <c r="E17" i="19"/>
  <c r="G17"/>
  <c r="F17"/>
  <c r="I18"/>
  <c r="A18"/>
  <c r="H17"/>
  <c r="F59" i="8"/>
  <c r="AH5" i="12"/>
  <c r="G29" i="13"/>
  <c r="B30"/>
  <c r="E29"/>
  <c r="D29" s="1"/>
  <c r="C29" s="1"/>
  <c r="F33" i="11"/>
  <c r="A34"/>
  <c r="AI11" i="12"/>
  <c r="AK11"/>
  <c r="AH11"/>
  <c r="AL11"/>
  <c r="AJ11"/>
  <c r="G25" i="9"/>
  <c r="B26" s="1"/>
  <c r="F32" i="13"/>
  <c r="A33"/>
  <c r="G30" i="11"/>
  <c r="B31"/>
  <c r="E30"/>
  <c r="D30" s="1"/>
  <c r="C30" s="1"/>
  <c r="AM8" i="12" s="1"/>
  <c r="A34" i="9"/>
  <c r="D33"/>
  <c r="C33"/>
  <c r="AM4" i="12"/>
  <c r="AQ3"/>
  <c r="AM3"/>
  <c r="AM7"/>
  <c r="AM6"/>
  <c r="I16" i="8"/>
  <c r="A16"/>
  <c r="F15"/>
  <c r="E15"/>
  <c r="G15"/>
  <c r="I15" i="7"/>
  <c r="G14"/>
  <c r="F14"/>
  <c r="A15"/>
  <c r="E14"/>
  <c r="H14"/>
  <c r="I17" i="6"/>
  <c r="G16"/>
  <c r="F16"/>
  <c r="E16"/>
  <c r="A17"/>
  <c r="H16"/>
  <c r="A16" i="4"/>
  <c r="F15"/>
  <c r="I16"/>
  <c r="H15"/>
  <c r="G15"/>
  <c r="E15"/>
  <c r="A18" i="21" l="1"/>
  <c r="E17"/>
  <c r="A19" i="19"/>
  <c r="F18"/>
  <c r="I19"/>
  <c r="E18"/>
  <c r="G18"/>
  <c r="H18"/>
  <c r="H12" i="8"/>
  <c r="G6"/>
  <c r="H8"/>
  <c r="G11"/>
  <c r="H13"/>
  <c r="H10"/>
  <c r="H7"/>
  <c r="G9"/>
  <c r="G12"/>
  <c r="H9"/>
  <c r="H5"/>
  <c r="G10"/>
  <c r="G7"/>
  <c r="G8"/>
  <c r="H11"/>
  <c r="H14"/>
  <c r="H15"/>
  <c r="C34" i="9"/>
  <c r="A35"/>
  <c r="D34"/>
  <c r="AR6" i="12"/>
  <c r="AV3"/>
  <c r="AR7"/>
  <c r="AR4"/>
  <c r="AR3"/>
  <c r="E26" i="9"/>
  <c r="AM5" i="12"/>
  <c r="A35" i="11"/>
  <c r="F34"/>
  <c r="B31" i="13"/>
  <c r="E30"/>
  <c r="D30" s="1"/>
  <c r="C30" s="1"/>
  <c r="G30"/>
  <c r="AQ11" i="12"/>
  <c r="AM11"/>
  <c r="AP11"/>
  <c r="AN11"/>
  <c r="AO11"/>
  <c r="A34" i="13"/>
  <c r="F33"/>
  <c r="E31" i="11"/>
  <c r="D31" s="1"/>
  <c r="C31" s="1"/>
  <c r="AR8" i="12" s="1"/>
  <c r="B32" i="11"/>
  <c r="G31"/>
  <c r="E16" i="8"/>
  <c r="G16"/>
  <c r="F16"/>
  <c r="I17"/>
  <c r="A17"/>
  <c r="H16"/>
  <c r="E15" i="7"/>
  <c r="I16"/>
  <c r="F15"/>
  <c r="A16"/>
  <c r="G15"/>
  <c r="H15"/>
  <c r="E17" i="6"/>
  <c r="I18"/>
  <c r="F17"/>
  <c r="A18"/>
  <c r="G17"/>
  <c r="H17"/>
  <c r="F16" i="4"/>
  <c r="G16"/>
  <c r="E16"/>
  <c r="H16"/>
  <c r="A17"/>
  <c r="I17"/>
  <c r="E18" i="21" l="1"/>
  <c r="A19"/>
  <c r="G19" i="19"/>
  <c r="E19"/>
  <c r="F19"/>
  <c r="I20"/>
  <c r="A20"/>
  <c r="H19"/>
  <c r="AV11" i="12"/>
  <c r="AT11"/>
  <c r="AS11"/>
  <c r="AR11"/>
  <c r="AU11"/>
  <c r="AR5"/>
  <c r="B32" i="13"/>
  <c r="E31"/>
  <c r="D31" s="1"/>
  <c r="C31" s="1"/>
  <c r="G31"/>
  <c r="B33" i="11"/>
  <c r="E32"/>
  <c r="D32" s="1"/>
  <c r="C32" s="1"/>
  <c r="G32"/>
  <c r="A36"/>
  <c r="F35"/>
  <c r="C35"/>
  <c r="A35" i="13"/>
  <c r="F34"/>
  <c r="A36" i="9"/>
  <c r="D35"/>
  <c r="C35"/>
  <c r="AW4" i="12"/>
  <c r="AW8"/>
  <c r="BA3"/>
  <c r="AW6"/>
  <c r="AW3"/>
  <c r="AW7"/>
  <c r="AW5"/>
  <c r="F26" i="9"/>
  <c r="A18" i="8"/>
  <c r="F17"/>
  <c r="I18"/>
  <c r="E17"/>
  <c r="G17"/>
  <c r="H17"/>
  <c r="A17" i="7"/>
  <c r="F16"/>
  <c r="G16"/>
  <c r="E16"/>
  <c r="I17"/>
  <c r="H16"/>
  <c r="A19" i="6"/>
  <c r="F18"/>
  <c r="E18"/>
  <c r="G18"/>
  <c r="I19"/>
  <c r="H18"/>
  <c r="A18" i="4"/>
  <c r="F17"/>
  <c r="I18"/>
  <c r="G17"/>
  <c r="H17"/>
  <c r="E17"/>
  <c r="A20" i="21" l="1"/>
  <c r="E19"/>
  <c r="I21" i="19"/>
  <c r="A21"/>
  <c r="F20"/>
  <c r="E20"/>
  <c r="G20"/>
  <c r="H20"/>
  <c r="AW11" i="12"/>
  <c r="AY11"/>
  <c r="AZ11"/>
  <c r="BA11"/>
  <c r="AX11"/>
  <c r="G26" i="9"/>
  <c r="B27" s="1"/>
  <c r="G33" i="11"/>
  <c r="B34"/>
  <c r="E33"/>
  <c r="D33" s="1"/>
  <c r="C33" s="1"/>
  <c r="F35" i="13"/>
  <c r="A36"/>
  <c r="C36" i="11"/>
  <c r="F36"/>
  <c r="A37"/>
  <c r="D36" i="9"/>
  <c r="C36"/>
  <c r="A37"/>
  <c r="G32" i="13"/>
  <c r="E32"/>
  <c r="D32" s="1"/>
  <c r="C32" s="1"/>
  <c r="B33"/>
  <c r="G18" i="8"/>
  <c r="E18"/>
  <c r="F18"/>
  <c r="I19"/>
  <c r="A19"/>
  <c r="H18"/>
  <c r="G17" i="7"/>
  <c r="I18"/>
  <c r="F17"/>
  <c r="A18"/>
  <c r="E17"/>
  <c r="H17"/>
  <c r="G19" i="6"/>
  <c r="A20"/>
  <c r="F19"/>
  <c r="E19"/>
  <c r="I20"/>
  <c r="H19"/>
  <c r="F18" i="4"/>
  <c r="E18"/>
  <c r="H18"/>
  <c r="A19"/>
  <c r="I19"/>
  <c r="G18"/>
  <c r="E20" i="21" l="1"/>
  <c r="A21"/>
  <c r="E21" i="19"/>
  <c r="G21"/>
  <c r="F21"/>
  <c r="I22"/>
  <c r="A22"/>
  <c r="H21"/>
  <c r="G33" i="13"/>
  <c r="B34"/>
  <c r="E33"/>
  <c r="D33" s="1"/>
  <c r="C33" s="1"/>
  <c r="F37" i="11"/>
  <c r="A38"/>
  <c r="C37"/>
  <c r="G34"/>
  <c r="B35"/>
  <c r="E34"/>
  <c r="D34" s="1"/>
  <c r="C34" s="1"/>
  <c r="E27" i="9"/>
  <c r="F27" s="1"/>
  <c r="A38"/>
  <c r="D37"/>
  <c r="C37"/>
  <c r="F36" i="13"/>
  <c r="A37"/>
  <c r="I20" i="8"/>
  <c r="A20"/>
  <c r="F19"/>
  <c r="E19"/>
  <c r="G19"/>
  <c r="H19"/>
  <c r="I19" i="7"/>
  <c r="A19"/>
  <c r="E18"/>
  <c r="G18"/>
  <c r="F18"/>
  <c r="H18"/>
  <c r="I21" i="6"/>
  <c r="G20"/>
  <c r="F20"/>
  <c r="E20"/>
  <c r="A21"/>
  <c r="H20"/>
  <c r="A20" i="4"/>
  <c r="F19"/>
  <c r="I20"/>
  <c r="G19"/>
  <c r="H19"/>
  <c r="E19"/>
  <c r="A22" i="21" l="1"/>
  <c r="E21"/>
  <c r="A23" i="19"/>
  <c r="F22"/>
  <c r="I23"/>
  <c r="E22"/>
  <c r="G22"/>
  <c r="H22"/>
  <c r="A38" i="13"/>
  <c r="F37"/>
  <c r="G27" i="9"/>
  <c r="B28" s="1"/>
  <c r="C38"/>
  <c r="A39"/>
  <c r="D38"/>
  <c r="E34" i="13"/>
  <c r="D34" s="1"/>
  <c r="C34" s="1"/>
  <c r="B35"/>
  <c r="G34"/>
  <c r="B36" i="11"/>
  <c r="E35"/>
  <c r="D35" s="1"/>
  <c r="G35"/>
  <c r="C38"/>
  <c r="A39"/>
  <c r="F38"/>
  <c r="E20" i="8"/>
  <c r="G20"/>
  <c r="F20"/>
  <c r="I21"/>
  <c r="A21"/>
  <c r="H20"/>
  <c r="E19" i="7"/>
  <c r="G19"/>
  <c r="I20"/>
  <c r="F19"/>
  <c r="A20"/>
  <c r="H19"/>
  <c r="E21" i="6"/>
  <c r="I22"/>
  <c r="F21"/>
  <c r="A22"/>
  <c r="G21"/>
  <c r="H21"/>
  <c r="F20" i="4"/>
  <c r="E20"/>
  <c r="H20"/>
  <c r="A21"/>
  <c r="I21"/>
  <c r="G20"/>
  <c r="E22" i="21" l="1"/>
  <c r="A23"/>
  <c r="G23" i="19"/>
  <c r="E23"/>
  <c r="F23"/>
  <c r="I24"/>
  <c r="A24"/>
  <c r="H23"/>
  <c r="B36" i="13"/>
  <c r="E35"/>
  <c r="D35" s="1"/>
  <c r="C35" s="1"/>
  <c r="G35"/>
  <c r="A40" i="9"/>
  <c r="D39"/>
  <c r="C39"/>
  <c r="A40" i="11"/>
  <c r="F39"/>
  <c r="C39"/>
  <c r="B37"/>
  <c r="E36"/>
  <c r="D36" s="1"/>
  <c r="G36"/>
  <c r="E28" i="9"/>
  <c r="F28" s="1"/>
  <c r="G28" s="1"/>
  <c r="B29" s="1"/>
  <c r="A39" i="13"/>
  <c r="F38"/>
  <c r="A22" i="8"/>
  <c r="F21"/>
  <c r="I22"/>
  <c r="E21"/>
  <c r="G21"/>
  <c r="H21"/>
  <c r="A21" i="7"/>
  <c r="F20"/>
  <c r="G20"/>
  <c r="I21"/>
  <c r="E20"/>
  <c r="H20"/>
  <c r="A23" i="6"/>
  <c r="F22"/>
  <c r="E22"/>
  <c r="G22"/>
  <c r="I23"/>
  <c r="H22"/>
  <c r="A22" i="4"/>
  <c r="F21"/>
  <c r="I22"/>
  <c r="G21"/>
  <c r="H21"/>
  <c r="E21"/>
  <c r="A24" i="21" l="1"/>
  <c r="E23"/>
  <c r="I25" i="19"/>
  <c r="A25"/>
  <c r="F24"/>
  <c r="E24"/>
  <c r="G24"/>
  <c r="H24"/>
  <c r="E29" i="9"/>
  <c r="F29" s="1"/>
  <c r="G29" s="1"/>
  <c r="B30" s="1"/>
  <c r="G37" i="11"/>
  <c r="E37"/>
  <c r="D37" s="1"/>
  <c r="B38"/>
  <c r="G36" i="13"/>
  <c r="B37"/>
  <c r="E36"/>
  <c r="D36" s="1"/>
  <c r="C36" s="1"/>
  <c r="F39"/>
  <c r="A40"/>
  <c r="C40" i="11"/>
  <c r="F40"/>
  <c r="A41"/>
  <c r="A41" i="9"/>
  <c r="C40"/>
  <c r="D40"/>
  <c r="G22" i="8"/>
  <c r="E22"/>
  <c r="F22"/>
  <c r="I23"/>
  <c r="A23"/>
  <c r="H22"/>
  <c r="G21" i="7"/>
  <c r="A22"/>
  <c r="E21"/>
  <c r="I22"/>
  <c r="F21"/>
  <c r="H21"/>
  <c r="G23" i="6"/>
  <c r="A24"/>
  <c r="F23"/>
  <c r="E23"/>
  <c r="I24"/>
  <c r="H23"/>
  <c r="F22" i="4"/>
  <c r="E22"/>
  <c r="H22"/>
  <c r="A23"/>
  <c r="I23"/>
  <c r="G22"/>
  <c r="E24" i="21" l="1"/>
  <c r="A25"/>
  <c r="E25" i="19"/>
  <c r="G25"/>
  <c r="F25"/>
  <c r="I26"/>
  <c r="A26"/>
  <c r="H25"/>
  <c r="E30" i="9"/>
  <c r="F30" s="1"/>
  <c r="G30" s="1"/>
  <c r="B31" s="1"/>
  <c r="G37" i="13"/>
  <c r="B38"/>
  <c r="E37"/>
  <c r="D37" s="1"/>
  <c r="C37" s="1"/>
  <c r="A42" i="9"/>
  <c r="D41"/>
  <c r="C41"/>
  <c r="F40" i="13"/>
  <c r="A41"/>
  <c r="F41" i="11"/>
  <c r="A42"/>
  <c r="C41"/>
  <c r="G38"/>
  <c r="B39"/>
  <c r="E38"/>
  <c r="D38" s="1"/>
  <c r="I24" i="8"/>
  <c r="A24"/>
  <c r="F23"/>
  <c r="E23"/>
  <c r="G23"/>
  <c r="H23"/>
  <c r="I23" i="7"/>
  <c r="G22"/>
  <c r="F22"/>
  <c r="A23"/>
  <c r="E22"/>
  <c r="H22"/>
  <c r="I25" i="6"/>
  <c r="G24"/>
  <c r="F24"/>
  <c r="E24"/>
  <c r="A25"/>
  <c r="H24"/>
  <c r="I24" i="4"/>
  <c r="F23"/>
  <c r="G23"/>
  <c r="H23"/>
  <c r="A24"/>
  <c r="E23"/>
  <c r="F22" i="21" l="1"/>
  <c r="E25"/>
  <c r="A27" i="19"/>
  <c r="F26"/>
  <c r="I27"/>
  <c r="E26"/>
  <c r="G26"/>
  <c r="H26"/>
  <c r="E31" i="9"/>
  <c r="F31" s="1"/>
  <c r="G31" s="1"/>
  <c r="B32" s="1"/>
  <c r="A42" i="13"/>
  <c r="F41"/>
  <c r="C42" i="9"/>
  <c r="A43"/>
  <c r="D42"/>
  <c r="C42" i="11"/>
  <c r="A43"/>
  <c r="F42"/>
  <c r="E39"/>
  <c r="D39" s="1"/>
  <c r="B40"/>
  <c r="G39"/>
  <c r="B39" i="13"/>
  <c r="E38"/>
  <c r="D38" s="1"/>
  <c r="C38" s="1"/>
  <c r="G38"/>
  <c r="E24" i="8"/>
  <c r="G24"/>
  <c r="F24"/>
  <c r="I25"/>
  <c r="A25"/>
  <c r="H24"/>
  <c r="E23" i="7"/>
  <c r="I24"/>
  <c r="F23"/>
  <c r="A24"/>
  <c r="G23"/>
  <c r="H23"/>
  <c r="E25" i="6"/>
  <c r="I26"/>
  <c r="F25"/>
  <c r="A26"/>
  <c r="G25"/>
  <c r="H25"/>
  <c r="I25" i="4"/>
  <c r="F24"/>
  <c r="E24"/>
  <c r="H24"/>
  <c r="A25"/>
  <c r="G24"/>
  <c r="F6" i="21" l="1"/>
  <c r="F9"/>
  <c r="F7"/>
  <c r="F8"/>
  <c r="F4"/>
  <c r="F2"/>
  <c r="F5"/>
  <c r="F3"/>
  <c r="F10"/>
  <c r="F11"/>
  <c r="F13"/>
  <c r="F14"/>
  <c r="F12"/>
  <c r="F15"/>
  <c r="F16"/>
  <c r="F17"/>
  <c r="F23"/>
  <c r="F19"/>
  <c r="F20"/>
  <c r="F24"/>
  <c r="F18"/>
  <c r="F25"/>
  <c r="F21"/>
  <c r="G27" i="19"/>
  <c r="E27"/>
  <c r="F27"/>
  <c r="I28"/>
  <c r="A28"/>
  <c r="H27"/>
  <c r="E32" i="9"/>
  <c r="F32" s="1"/>
  <c r="G32" s="1"/>
  <c r="B33" s="1"/>
  <c r="B40" i="13"/>
  <c r="E39"/>
  <c r="D39" s="1"/>
  <c r="C39" s="1"/>
  <c r="G39"/>
  <c r="A44" i="9"/>
  <c r="D43"/>
  <c r="C43"/>
  <c r="A43" i="13"/>
  <c r="F42"/>
  <c r="B41" i="11"/>
  <c r="E40"/>
  <c r="D40" s="1"/>
  <c r="G40"/>
  <c r="A44"/>
  <c r="F43"/>
  <c r="C43"/>
  <c r="A26" i="8"/>
  <c r="F25"/>
  <c r="I26"/>
  <c r="E25"/>
  <c r="G25"/>
  <c r="H25"/>
  <c r="A25" i="7"/>
  <c r="F24"/>
  <c r="G24"/>
  <c r="E24"/>
  <c r="I25"/>
  <c r="H24"/>
  <c r="A27" i="6"/>
  <c r="F26"/>
  <c r="E26"/>
  <c r="G26"/>
  <c r="I27"/>
  <c r="H26"/>
  <c r="I26" i="4"/>
  <c r="F25"/>
  <c r="G25"/>
  <c r="H25"/>
  <c r="A26"/>
  <c r="E25"/>
  <c r="D107" i="20" l="1"/>
  <c r="G11" i="21"/>
  <c r="G9"/>
  <c r="D103" i="20"/>
  <c r="D111"/>
  <c r="G13" i="21"/>
  <c r="D99" i="20"/>
  <c r="G7" i="21"/>
  <c r="G12"/>
  <c r="D109" i="20"/>
  <c r="G10" i="21"/>
  <c r="D105" i="20"/>
  <c r="G4" i="21"/>
  <c r="D93" i="20"/>
  <c r="G6" i="21"/>
  <c r="D97" i="20"/>
  <c r="G2" i="21"/>
  <c r="D89" i="20"/>
  <c r="D95"/>
  <c r="G5" i="21"/>
  <c r="D91" i="20"/>
  <c r="G3" i="21"/>
  <c r="G8"/>
  <c r="D101" i="20"/>
  <c r="I29" i="19"/>
  <c r="A29"/>
  <c r="F28"/>
  <c r="E28"/>
  <c r="G28"/>
  <c r="H28"/>
  <c r="E33" i="9"/>
  <c r="F33" s="1"/>
  <c r="G33" s="1"/>
  <c r="B34" s="1"/>
  <c r="C44" i="11"/>
  <c r="F44"/>
  <c r="A45"/>
  <c r="G40" i="13"/>
  <c r="E40"/>
  <c r="D40" s="1"/>
  <c r="C40" s="1"/>
  <c r="B41"/>
  <c r="G41" i="11"/>
  <c r="B42"/>
  <c r="E41"/>
  <c r="D41" s="1"/>
  <c r="F43" i="13"/>
  <c r="A44"/>
  <c r="D44" i="9"/>
  <c r="C44"/>
  <c r="A45"/>
  <c r="G26" i="8"/>
  <c r="E26"/>
  <c r="F26"/>
  <c r="I27"/>
  <c r="A27"/>
  <c r="H26"/>
  <c r="G25" i="7"/>
  <c r="I26"/>
  <c r="F25"/>
  <c r="A26"/>
  <c r="E25"/>
  <c r="H25"/>
  <c r="G27" i="6"/>
  <c r="A28"/>
  <c r="F27"/>
  <c r="E27"/>
  <c r="I28"/>
  <c r="H27"/>
  <c r="I27" i="4"/>
  <c r="F26"/>
  <c r="E26"/>
  <c r="H26"/>
  <c r="A27"/>
  <c r="G26"/>
  <c r="E89" i="20" l="1"/>
  <c r="H2" i="21"/>
  <c r="H12"/>
  <c r="E109" i="20"/>
  <c r="H11" i="21"/>
  <c r="E107" i="20"/>
  <c r="H8" i="21"/>
  <c r="E97" i="20"/>
  <c r="H6" i="21"/>
  <c r="E105" i="20"/>
  <c r="H10" i="21"/>
  <c r="H9"/>
  <c r="E103" i="20"/>
  <c r="H4" i="21"/>
  <c r="E93" i="20"/>
  <c r="H3" i="21"/>
  <c r="E91" i="20"/>
  <c r="H13" i="21"/>
  <c r="E111" i="20"/>
  <c r="H5" i="21"/>
  <c r="E95" i="20"/>
  <c r="H7" i="21"/>
  <c r="E99" i="20"/>
  <c r="E29" i="19"/>
  <c r="G29"/>
  <c r="F29"/>
  <c r="I30"/>
  <c r="A30"/>
  <c r="H29"/>
  <c r="E34" i="9"/>
  <c r="F34" s="1"/>
  <c r="G34" s="1"/>
  <c r="B35" s="1"/>
  <c r="F44" i="13"/>
  <c r="A45"/>
  <c r="G42" i="11"/>
  <c r="B43"/>
  <c r="E42"/>
  <c r="D42" s="1"/>
  <c r="A46" i="9"/>
  <c r="D45"/>
  <c r="C45"/>
  <c r="G41" i="13"/>
  <c r="B42"/>
  <c r="E41"/>
  <c r="D41" s="1"/>
  <c r="C41" s="1"/>
  <c r="F45" i="11"/>
  <c r="A46"/>
  <c r="C45"/>
  <c r="I28" i="8"/>
  <c r="A28"/>
  <c r="F27"/>
  <c r="E27"/>
  <c r="G27"/>
  <c r="H27"/>
  <c r="I27" i="7"/>
  <c r="A27"/>
  <c r="E26"/>
  <c r="G26"/>
  <c r="F26"/>
  <c r="H26"/>
  <c r="I29" i="6"/>
  <c r="G28"/>
  <c r="F28"/>
  <c r="E28"/>
  <c r="A29"/>
  <c r="H28"/>
  <c r="I28" i="4"/>
  <c r="F27"/>
  <c r="G27"/>
  <c r="H27"/>
  <c r="A28"/>
  <c r="E27"/>
  <c r="F95" i="20" l="1"/>
  <c r="F91"/>
  <c r="F107"/>
  <c r="F99"/>
  <c r="F111"/>
  <c r="F93"/>
  <c r="F109"/>
  <c r="F103"/>
  <c r="F97"/>
  <c r="I2" i="21"/>
  <c r="I3" s="1"/>
  <c r="I4" s="1"/>
  <c r="I5" s="1"/>
  <c r="I6" s="1"/>
  <c r="I7" s="1"/>
  <c r="I8" s="1"/>
  <c r="I9" s="1"/>
  <c r="I10" s="1"/>
  <c r="I11" s="1"/>
  <c r="I12" s="1"/>
  <c r="I13" s="1"/>
  <c r="F89" i="20"/>
  <c r="G89" s="1"/>
  <c r="F105"/>
  <c r="A31" i="19"/>
  <c r="F30"/>
  <c r="I31"/>
  <c r="E30"/>
  <c r="G30"/>
  <c r="H30"/>
  <c r="E35" i="9"/>
  <c r="F35" s="1"/>
  <c r="G35" s="1"/>
  <c r="B36" s="1"/>
  <c r="A46" i="13"/>
  <c r="F45"/>
  <c r="B44" i="11"/>
  <c r="E43"/>
  <c r="D43" s="1"/>
  <c r="G43"/>
  <c r="E42" i="13"/>
  <c r="D42" s="1"/>
  <c r="C42" s="1"/>
  <c r="B43"/>
  <c r="G42"/>
  <c r="C46" i="9"/>
  <c r="A47"/>
  <c r="D46"/>
  <c r="C46" i="11"/>
  <c r="A47"/>
  <c r="F46"/>
  <c r="E28" i="8"/>
  <c r="G28"/>
  <c r="F28"/>
  <c r="I29"/>
  <c r="A29"/>
  <c r="H28"/>
  <c r="E27" i="7"/>
  <c r="G27"/>
  <c r="I28"/>
  <c r="F27"/>
  <c r="A28"/>
  <c r="H27"/>
  <c r="E29" i="6"/>
  <c r="I30"/>
  <c r="F29"/>
  <c r="A30"/>
  <c r="G29"/>
  <c r="H29"/>
  <c r="I29" i="4"/>
  <c r="F28"/>
  <c r="E28"/>
  <c r="H28"/>
  <c r="A29"/>
  <c r="G28"/>
  <c r="G91" i="20" l="1"/>
  <c r="H89"/>
  <c r="G31" i="19"/>
  <c r="E31"/>
  <c r="F31"/>
  <c r="I32"/>
  <c r="A32"/>
  <c r="H31"/>
  <c r="B44" i="13"/>
  <c r="E43"/>
  <c r="D43" s="1"/>
  <c r="C43" s="1"/>
  <c r="G43"/>
  <c r="B45" i="11"/>
  <c r="E44"/>
  <c r="D44" s="1"/>
  <c r="G44"/>
  <c r="A48"/>
  <c r="F47"/>
  <c r="C47"/>
  <c r="A48" i="9"/>
  <c r="D47"/>
  <c r="C47"/>
  <c r="E36"/>
  <c r="F36" s="1"/>
  <c r="G36"/>
  <c r="B37" s="1"/>
  <c r="A47" i="13"/>
  <c r="F46"/>
  <c r="A30" i="8"/>
  <c r="F29"/>
  <c r="I30"/>
  <c r="E29"/>
  <c r="G29"/>
  <c r="H29"/>
  <c r="A29" i="7"/>
  <c r="F28"/>
  <c r="G28"/>
  <c r="I29"/>
  <c r="E28"/>
  <c r="H28"/>
  <c r="A31" i="6"/>
  <c r="F30"/>
  <c r="E30"/>
  <c r="G30"/>
  <c r="I31"/>
  <c r="H30"/>
  <c r="I30" i="4"/>
  <c r="F29"/>
  <c r="G29"/>
  <c r="H29"/>
  <c r="A30"/>
  <c r="E29"/>
  <c r="G93" i="20" l="1"/>
  <c r="H91"/>
  <c r="I33" i="19"/>
  <c r="A33"/>
  <c r="F32"/>
  <c r="E32"/>
  <c r="G32"/>
  <c r="H32"/>
  <c r="G45" i="11"/>
  <c r="B46"/>
  <c r="E45"/>
  <c r="D45" s="1"/>
  <c r="E37" i="9"/>
  <c r="F37" s="1"/>
  <c r="G37" s="1"/>
  <c r="B38" s="1"/>
  <c r="C48" i="11"/>
  <c r="F48"/>
  <c r="A49"/>
  <c r="G44" i="13"/>
  <c r="B45"/>
  <c r="E44"/>
  <c r="D44" s="1"/>
  <c r="C44" s="1"/>
  <c r="F47"/>
  <c r="A48"/>
  <c r="A49" i="9"/>
  <c r="C48"/>
  <c r="D48"/>
  <c r="G30" i="8"/>
  <c r="E30"/>
  <c r="F30"/>
  <c r="I31"/>
  <c r="A31"/>
  <c r="H30"/>
  <c r="G29" i="7"/>
  <c r="A30"/>
  <c r="E29"/>
  <c r="I30"/>
  <c r="F29"/>
  <c r="H29"/>
  <c r="G31" i="6"/>
  <c r="A32"/>
  <c r="F31"/>
  <c r="E31"/>
  <c r="I32"/>
  <c r="H31"/>
  <c r="I31" i="4"/>
  <c r="F30"/>
  <c r="E30"/>
  <c r="H30"/>
  <c r="A31"/>
  <c r="G30"/>
  <c r="G95" i="20" l="1"/>
  <c r="H93"/>
  <c r="E33" i="19"/>
  <c r="G33"/>
  <c r="F33"/>
  <c r="I34"/>
  <c r="A34"/>
  <c r="H33"/>
  <c r="G46" i="11"/>
  <c r="B47"/>
  <c r="E46"/>
  <c r="D46" s="1"/>
  <c r="F49"/>
  <c r="A50"/>
  <c r="C49"/>
  <c r="F48" i="13"/>
  <c r="A49"/>
  <c r="E38" i="9"/>
  <c r="F38" s="1"/>
  <c r="G38" s="1"/>
  <c r="B39" s="1"/>
  <c r="A50"/>
  <c r="D49"/>
  <c r="C49"/>
  <c r="G45" i="13"/>
  <c r="B46"/>
  <c r="E45"/>
  <c r="D45" s="1"/>
  <c r="C45" s="1"/>
  <c r="I32" i="8"/>
  <c r="A32"/>
  <c r="F31"/>
  <c r="E31"/>
  <c r="G31"/>
  <c r="H31"/>
  <c r="I31" i="7"/>
  <c r="G30"/>
  <c r="F30"/>
  <c r="A31"/>
  <c r="E30"/>
  <c r="H30"/>
  <c r="I33" i="6"/>
  <c r="G32"/>
  <c r="F32"/>
  <c r="E32"/>
  <c r="A33"/>
  <c r="H32"/>
  <c r="I32" i="4"/>
  <c r="F31"/>
  <c r="G31"/>
  <c r="H31"/>
  <c r="A32"/>
  <c r="E31"/>
  <c r="G97" i="20" l="1"/>
  <c r="H95"/>
  <c r="A35" i="19"/>
  <c r="F34"/>
  <c r="I35"/>
  <c r="E34"/>
  <c r="G34"/>
  <c r="H34"/>
  <c r="C50" i="11"/>
  <c r="A51"/>
  <c r="F50"/>
  <c r="B47" i="13"/>
  <c r="E46"/>
  <c r="D46" s="1"/>
  <c r="C46" s="1"/>
  <c r="G46"/>
  <c r="A50"/>
  <c r="F49"/>
  <c r="E39" i="9"/>
  <c r="F39" s="1"/>
  <c r="G39" s="1"/>
  <c r="B40" s="1"/>
  <c r="C50"/>
  <c r="A51"/>
  <c r="D50"/>
  <c r="E47" i="11"/>
  <c r="D47" s="1"/>
  <c r="B48"/>
  <c r="G47"/>
  <c r="E32" i="8"/>
  <c r="G32"/>
  <c r="F32"/>
  <c r="I33"/>
  <c r="A33"/>
  <c r="H32"/>
  <c r="E31" i="7"/>
  <c r="I32"/>
  <c r="F31"/>
  <c r="A32"/>
  <c r="G31"/>
  <c r="H31"/>
  <c r="E33" i="6"/>
  <c r="I34"/>
  <c r="F33"/>
  <c r="A34"/>
  <c r="G33"/>
  <c r="H33"/>
  <c r="I33" i="4"/>
  <c r="F32"/>
  <c r="E32"/>
  <c r="H32"/>
  <c r="A33"/>
  <c r="G32"/>
  <c r="G99" i="20" l="1"/>
  <c r="H97"/>
  <c r="G35" i="19"/>
  <c r="E35"/>
  <c r="F35"/>
  <c r="I36"/>
  <c r="A36"/>
  <c r="H35"/>
  <c r="A52" i="9"/>
  <c r="D51"/>
  <c r="C51"/>
  <c r="E40"/>
  <c r="F40" s="1"/>
  <c r="G40"/>
  <c r="B41" s="1"/>
  <c r="A51" i="13"/>
  <c r="F50"/>
  <c r="A52" i="11"/>
  <c r="F51"/>
  <c r="C51"/>
  <c r="B49"/>
  <c r="E48"/>
  <c r="D48" s="1"/>
  <c r="G48"/>
  <c r="B48" i="13"/>
  <c r="E47"/>
  <c r="D47" s="1"/>
  <c r="C47" s="1"/>
  <c r="G47"/>
  <c r="A34" i="8"/>
  <c r="F33"/>
  <c r="I34"/>
  <c r="E33"/>
  <c r="G33"/>
  <c r="H33"/>
  <c r="A33" i="7"/>
  <c r="F32"/>
  <c r="G32"/>
  <c r="E32"/>
  <c r="I33"/>
  <c r="H32"/>
  <c r="A35" i="6"/>
  <c r="F34"/>
  <c r="E34"/>
  <c r="G34"/>
  <c r="I35"/>
  <c r="H34"/>
  <c r="I34" i="4"/>
  <c r="F33"/>
  <c r="G33"/>
  <c r="H33"/>
  <c r="A34"/>
  <c r="E33"/>
  <c r="G101" i="20" l="1"/>
  <c r="H99"/>
  <c r="I37" i="19"/>
  <c r="A37"/>
  <c r="F36"/>
  <c r="E36"/>
  <c r="G36"/>
  <c r="H36"/>
  <c r="E41" i="9"/>
  <c r="F41" s="1"/>
  <c r="G41" s="1"/>
  <c r="B42" s="1"/>
  <c r="G48" i="13"/>
  <c r="E48"/>
  <c r="D48" s="1"/>
  <c r="C48" s="1"/>
  <c r="B49"/>
  <c r="F51"/>
  <c r="A52"/>
  <c r="C52" i="11"/>
  <c r="F52"/>
  <c r="A53"/>
  <c r="G49"/>
  <c r="B50"/>
  <c r="E49"/>
  <c r="D49" s="1"/>
  <c r="D52" i="9"/>
  <c r="C52"/>
  <c r="A53"/>
  <c r="G34" i="8"/>
  <c r="E34"/>
  <c r="F34"/>
  <c r="I35"/>
  <c r="A35"/>
  <c r="H34"/>
  <c r="G33" i="7"/>
  <c r="I34"/>
  <c r="F33"/>
  <c r="A34"/>
  <c r="E33"/>
  <c r="H33"/>
  <c r="G35" i="6"/>
  <c r="A36"/>
  <c r="F35"/>
  <c r="E35"/>
  <c r="I36"/>
  <c r="H35"/>
  <c r="I35" i="4"/>
  <c r="F34"/>
  <c r="E34"/>
  <c r="H34"/>
  <c r="A35"/>
  <c r="G34"/>
  <c r="G103" i="20" l="1"/>
  <c r="H101"/>
  <c r="E37" i="19"/>
  <c r="G37"/>
  <c r="F37"/>
  <c r="I38"/>
  <c r="A38"/>
  <c r="H37"/>
  <c r="E42" i="9"/>
  <c r="F42" s="1"/>
  <c r="G42" s="1"/>
  <c r="B43" s="1"/>
  <c r="F52" i="13"/>
  <c r="A53"/>
  <c r="A54" i="9"/>
  <c r="D53"/>
  <c r="C53"/>
  <c r="F53" i="11"/>
  <c r="A54"/>
  <c r="C53"/>
  <c r="G50"/>
  <c r="B51"/>
  <c r="E50"/>
  <c r="D50" s="1"/>
  <c r="G49" i="13"/>
  <c r="B50"/>
  <c r="E49"/>
  <c r="D49" s="1"/>
  <c r="C49" s="1"/>
  <c r="I36" i="8"/>
  <c r="A36"/>
  <c r="F35"/>
  <c r="E35"/>
  <c r="G35"/>
  <c r="H35"/>
  <c r="I35" i="7"/>
  <c r="A35"/>
  <c r="E34"/>
  <c r="G34"/>
  <c r="F34"/>
  <c r="H34"/>
  <c r="I37" i="6"/>
  <c r="G36"/>
  <c r="F36"/>
  <c r="E36"/>
  <c r="A37"/>
  <c r="H36"/>
  <c r="I36" i="4"/>
  <c r="F35"/>
  <c r="G35"/>
  <c r="H35"/>
  <c r="A36"/>
  <c r="E35"/>
  <c r="H103" i="20" l="1"/>
  <c r="G105"/>
  <c r="A39" i="19"/>
  <c r="F38"/>
  <c r="I39"/>
  <c r="E38"/>
  <c r="G38"/>
  <c r="H38"/>
  <c r="E43" i="9"/>
  <c r="F43" s="1"/>
  <c r="G43" s="1"/>
  <c r="B44" s="1"/>
  <c r="B52" i="11"/>
  <c r="E51"/>
  <c r="D51" s="1"/>
  <c r="G51"/>
  <c r="E50" i="13"/>
  <c r="D50" s="1"/>
  <c r="C50" s="1"/>
  <c r="B51"/>
  <c r="G50"/>
  <c r="A54"/>
  <c r="F53"/>
  <c r="C54" i="11"/>
  <c r="A55"/>
  <c r="F54"/>
  <c r="C54" i="9"/>
  <c r="A55"/>
  <c r="D54"/>
  <c r="E36" i="8"/>
  <c r="G36"/>
  <c r="F36"/>
  <c r="I37"/>
  <c r="A37"/>
  <c r="H36"/>
  <c r="E35" i="7"/>
  <c r="G35"/>
  <c r="I36"/>
  <c r="F35"/>
  <c r="A36"/>
  <c r="H35"/>
  <c r="E37" i="6"/>
  <c r="I38"/>
  <c r="F37"/>
  <c r="A38"/>
  <c r="G37"/>
  <c r="H37"/>
  <c r="I37" i="4"/>
  <c r="F36"/>
  <c r="E36"/>
  <c r="H36"/>
  <c r="A37"/>
  <c r="G36"/>
  <c r="G107" i="20" l="1"/>
  <c r="H105"/>
  <c r="G39" i="19"/>
  <c r="E39"/>
  <c r="F39"/>
  <c r="I40"/>
  <c r="A40"/>
  <c r="H39"/>
  <c r="A55" i="13"/>
  <c r="F54"/>
  <c r="A56" i="9"/>
  <c r="D55"/>
  <c r="C55"/>
  <c r="E44"/>
  <c r="F44" s="1"/>
  <c r="G44" s="1"/>
  <c r="B45" s="1"/>
  <c r="A56" i="11"/>
  <c r="F55"/>
  <c r="C55"/>
  <c r="B52" i="13"/>
  <c r="E51"/>
  <c r="D51" s="1"/>
  <c r="C51" s="1"/>
  <c r="G51"/>
  <c r="B53" i="11"/>
  <c r="E52"/>
  <c r="D52" s="1"/>
  <c r="G52"/>
  <c r="A38" i="8"/>
  <c r="F37"/>
  <c r="I38"/>
  <c r="E37"/>
  <c r="G37"/>
  <c r="H37"/>
  <c r="A37" i="7"/>
  <c r="F36"/>
  <c r="G36"/>
  <c r="I37"/>
  <c r="E36"/>
  <c r="H36"/>
  <c r="A39" i="6"/>
  <c r="F38"/>
  <c r="E38"/>
  <c r="G38"/>
  <c r="I39"/>
  <c r="H38"/>
  <c r="I38" i="4"/>
  <c r="F37"/>
  <c r="G37"/>
  <c r="H37"/>
  <c r="A38"/>
  <c r="E37"/>
  <c r="G109" i="20" l="1"/>
  <c r="H107"/>
  <c r="I41" i="19"/>
  <c r="A41"/>
  <c r="F40"/>
  <c r="E40"/>
  <c r="G40"/>
  <c r="H40"/>
  <c r="G52" i="13"/>
  <c r="B53"/>
  <c r="E52"/>
  <c r="D52" s="1"/>
  <c r="C52" s="1"/>
  <c r="G53" i="11"/>
  <c r="E53"/>
  <c r="D53" s="1"/>
  <c r="B54"/>
  <c r="A57" i="9"/>
  <c r="C56"/>
  <c r="D56"/>
  <c r="C56" i="11"/>
  <c r="F56"/>
  <c r="A57"/>
  <c r="F55" i="13"/>
  <c r="A56"/>
  <c r="E45" i="9"/>
  <c r="F45" s="1"/>
  <c r="G45" s="1"/>
  <c r="B46" s="1"/>
  <c r="G38" i="8"/>
  <c r="E38"/>
  <c r="F38"/>
  <c r="I39"/>
  <c r="A39"/>
  <c r="H38"/>
  <c r="G37" i="7"/>
  <c r="A38"/>
  <c r="E37"/>
  <c r="I38"/>
  <c r="F37"/>
  <c r="H37"/>
  <c r="G39" i="6"/>
  <c r="A40"/>
  <c r="F39"/>
  <c r="E39"/>
  <c r="I40"/>
  <c r="H39"/>
  <c r="I39" i="4"/>
  <c r="F38"/>
  <c r="E38"/>
  <c r="H38"/>
  <c r="A39"/>
  <c r="G38"/>
  <c r="G111" i="20" l="1"/>
  <c r="H111" s="1"/>
  <c r="H109"/>
  <c r="E41" i="19"/>
  <c r="G41"/>
  <c r="F41"/>
  <c r="I42"/>
  <c r="A42"/>
  <c r="H41"/>
  <c r="E46" i="9"/>
  <c r="F46" s="1"/>
  <c r="G46" s="1"/>
  <c r="B47" s="1"/>
  <c r="F57" i="11"/>
  <c r="A58"/>
  <c r="C57"/>
  <c r="F56" i="13"/>
  <c r="A57"/>
  <c r="A58" i="9"/>
  <c r="D57"/>
  <c r="C57"/>
  <c r="G54" i="11"/>
  <c r="B55"/>
  <c r="E54"/>
  <c r="D54" s="1"/>
  <c r="G53" i="13"/>
  <c r="B54"/>
  <c r="E53"/>
  <c r="D53" s="1"/>
  <c r="C53" s="1"/>
  <c r="I40" i="8"/>
  <c r="A40"/>
  <c r="F39"/>
  <c r="E39"/>
  <c r="G39"/>
  <c r="H39"/>
  <c r="I39" i="7"/>
  <c r="G38"/>
  <c r="F38"/>
  <c r="A39"/>
  <c r="E38"/>
  <c r="H38"/>
  <c r="I41" i="6"/>
  <c r="G40"/>
  <c r="F40"/>
  <c r="E40"/>
  <c r="A41"/>
  <c r="H40"/>
  <c r="I40" i="4"/>
  <c r="F39"/>
  <c r="G39"/>
  <c r="H39"/>
  <c r="A40"/>
  <c r="E39"/>
  <c r="A43" i="19" l="1"/>
  <c r="F42"/>
  <c r="I43"/>
  <c r="E42"/>
  <c r="G42"/>
  <c r="H42"/>
  <c r="E47" i="9"/>
  <c r="F47" s="1"/>
  <c r="G47" s="1"/>
  <c r="B48" s="1"/>
  <c r="C58" i="11"/>
  <c r="A59"/>
  <c r="F58"/>
  <c r="A58" i="13"/>
  <c r="F57"/>
  <c r="E55" i="11"/>
  <c r="D55" s="1"/>
  <c r="B56"/>
  <c r="G55"/>
  <c r="B55" i="13"/>
  <c r="E54"/>
  <c r="D54" s="1"/>
  <c r="C54" s="1"/>
  <c r="G54"/>
  <c r="C58" i="9"/>
  <c r="A59"/>
  <c r="D58"/>
  <c r="E40" i="8"/>
  <c r="G40"/>
  <c r="F40"/>
  <c r="I41"/>
  <c r="A41"/>
  <c r="H40"/>
  <c r="E39" i="7"/>
  <c r="I40"/>
  <c r="F39"/>
  <c r="A40"/>
  <c r="G39"/>
  <c r="H39"/>
  <c r="E41" i="6"/>
  <c r="I42"/>
  <c r="F41"/>
  <c r="A42"/>
  <c r="G41"/>
  <c r="H41"/>
  <c r="I41" i="4"/>
  <c r="F40"/>
  <c r="E40"/>
  <c r="H40"/>
  <c r="A41"/>
  <c r="G40"/>
  <c r="G43" i="19" l="1"/>
  <c r="E43"/>
  <c r="F43"/>
  <c r="I44"/>
  <c r="A44"/>
  <c r="H43"/>
  <c r="E48" i="9"/>
  <c r="F48" s="1"/>
  <c r="G48" s="1"/>
  <c r="B49" s="1"/>
  <c r="A60"/>
  <c r="D59"/>
  <c r="C59"/>
  <c r="B56" i="13"/>
  <c r="E55"/>
  <c r="D55" s="1"/>
  <c r="C55" s="1"/>
  <c r="G55"/>
  <c r="B57" i="11"/>
  <c r="E56"/>
  <c r="D56" s="1"/>
  <c r="G56"/>
  <c r="A60"/>
  <c r="F59"/>
  <c r="C59"/>
  <c r="A59" i="13"/>
  <c r="F58"/>
  <c r="A42" i="8"/>
  <c r="F41"/>
  <c r="I42"/>
  <c r="E41"/>
  <c r="G41"/>
  <c r="H41"/>
  <c r="A41" i="7"/>
  <c r="F40"/>
  <c r="G40"/>
  <c r="E40"/>
  <c r="I41"/>
  <c r="H40"/>
  <c r="A43" i="6"/>
  <c r="F42"/>
  <c r="E42"/>
  <c r="G42"/>
  <c r="I43"/>
  <c r="H42"/>
  <c r="I42" i="4"/>
  <c r="F41"/>
  <c r="G41"/>
  <c r="H41"/>
  <c r="A42"/>
  <c r="E41"/>
  <c r="I45" i="19" l="1"/>
  <c r="A45"/>
  <c r="F44"/>
  <c r="E44"/>
  <c r="G44"/>
  <c r="H44"/>
  <c r="C60" i="11"/>
  <c r="F60"/>
  <c r="A61"/>
  <c r="E49" i="9"/>
  <c r="F49" s="1"/>
  <c r="G49" s="1"/>
  <c r="B50" s="1"/>
  <c r="F59" i="13"/>
  <c r="A60"/>
  <c r="G57" i="11"/>
  <c r="B58"/>
  <c r="E57"/>
  <c r="D57" s="1"/>
  <c r="G56" i="13"/>
  <c r="E56"/>
  <c r="D56" s="1"/>
  <c r="C56" s="1"/>
  <c r="B57"/>
  <c r="D60" i="9"/>
  <c r="C60"/>
  <c r="A61"/>
  <c r="G42" i="8"/>
  <c r="E42"/>
  <c r="F42"/>
  <c r="I43"/>
  <c r="A43"/>
  <c r="H42"/>
  <c r="G41" i="7"/>
  <c r="I42"/>
  <c r="F41"/>
  <c r="A42"/>
  <c r="E41"/>
  <c r="H41"/>
  <c r="G43" i="6"/>
  <c r="A44"/>
  <c r="F43"/>
  <c r="E43"/>
  <c r="I44"/>
  <c r="H43"/>
  <c r="I43" i="4"/>
  <c r="F42"/>
  <c r="E42"/>
  <c r="H42"/>
  <c r="A43"/>
  <c r="G42"/>
  <c r="E45" i="19" l="1"/>
  <c r="G45"/>
  <c r="F45"/>
  <c r="I46"/>
  <c r="A46"/>
  <c r="H45"/>
  <c r="E50" i="9"/>
  <c r="F50" s="1"/>
  <c r="G50" s="1"/>
  <c r="B51" s="1"/>
  <c r="A62"/>
  <c r="D61"/>
  <c r="C61"/>
  <c r="G57" i="13"/>
  <c r="E57"/>
  <c r="D57" s="1"/>
  <c r="C57" s="1"/>
  <c r="B58"/>
  <c r="G58" i="11"/>
  <c r="B59"/>
  <c r="E58"/>
  <c r="D58" s="1"/>
  <c r="F60" i="13"/>
  <c r="A61"/>
  <c r="F61" i="11"/>
  <c r="A62"/>
  <c r="C61"/>
  <c r="I44" i="8"/>
  <c r="A44"/>
  <c r="F43"/>
  <c r="E43"/>
  <c r="G43"/>
  <c r="H43"/>
  <c r="I43" i="7"/>
  <c r="A43"/>
  <c r="E42"/>
  <c r="G42"/>
  <c r="F42"/>
  <c r="H42"/>
  <c r="I45" i="6"/>
  <c r="G44"/>
  <c r="F44"/>
  <c r="E44"/>
  <c r="A45"/>
  <c r="H44"/>
  <c r="I44" i="4"/>
  <c r="F43"/>
  <c r="G43"/>
  <c r="H43"/>
  <c r="A44"/>
  <c r="E43"/>
  <c r="A47" i="19" l="1"/>
  <c r="F46"/>
  <c r="I47"/>
  <c r="E46"/>
  <c r="G46"/>
  <c r="H46"/>
  <c r="E51" i="9"/>
  <c r="F51" s="1"/>
  <c r="G51" s="1"/>
  <c r="B52" s="1"/>
  <c r="B59" i="13"/>
  <c r="E58"/>
  <c r="D58" s="1"/>
  <c r="C58" s="1"/>
  <c r="G58"/>
  <c r="C62" i="9"/>
  <c r="A63"/>
  <c r="D62"/>
  <c r="C62" i="11"/>
  <c r="A63"/>
  <c r="F62"/>
  <c r="A62" i="13"/>
  <c r="F61"/>
  <c r="B60" i="11"/>
  <c r="E59"/>
  <c r="D59" s="1"/>
  <c r="G59"/>
  <c r="E44" i="8"/>
  <c r="G44"/>
  <c r="F44"/>
  <c r="I45"/>
  <c r="A45"/>
  <c r="H44"/>
  <c r="E43" i="7"/>
  <c r="G43"/>
  <c r="I44"/>
  <c r="F43"/>
  <c r="A44"/>
  <c r="H43"/>
  <c r="E45" i="6"/>
  <c r="I46"/>
  <c r="F45"/>
  <c r="A46"/>
  <c r="G45"/>
  <c r="H45"/>
  <c r="I45" i="4"/>
  <c r="F44"/>
  <c r="E44"/>
  <c r="H44"/>
  <c r="A45"/>
  <c r="G44"/>
  <c r="G47" i="19" l="1"/>
  <c r="E47"/>
  <c r="F47"/>
  <c r="I48"/>
  <c r="A48"/>
  <c r="H47"/>
  <c r="A63" i="13"/>
  <c r="F62"/>
  <c r="E52" i="9"/>
  <c r="F52" s="1"/>
  <c r="G52" s="1"/>
  <c r="B53" s="1"/>
  <c r="B61" i="11"/>
  <c r="E60"/>
  <c r="D60" s="1"/>
  <c r="G60"/>
  <c r="A64"/>
  <c r="F63"/>
  <c r="C63"/>
  <c r="A64" i="9"/>
  <c r="D63"/>
  <c r="B63"/>
  <c r="C63"/>
  <c r="B60" i="13"/>
  <c r="E59"/>
  <c r="D59" s="1"/>
  <c r="C59" s="1"/>
  <c r="G59"/>
  <c r="A46" i="8"/>
  <c r="F45"/>
  <c r="I46"/>
  <c r="E45"/>
  <c r="G45"/>
  <c r="H45"/>
  <c r="A45" i="7"/>
  <c r="F44"/>
  <c r="G44"/>
  <c r="I45"/>
  <c r="E44"/>
  <c r="H44"/>
  <c r="A47" i="6"/>
  <c r="F46"/>
  <c r="E46"/>
  <c r="G46"/>
  <c r="I47"/>
  <c r="H46"/>
  <c r="I46" i="4"/>
  <c r="F45"/>
  <c r="G45"/>
  <c r="H45"/>
  <c r="A46"/>
  <c r="E45"/>
  <c r="I49" i="19" l="1"/>
  <c r="A49"/>
  <c r="F48"/>
  <c r="E48"/>
  <c r="G48"/>
  <c r="H48"/>
  <c r="F63" i="13"/>
  <c r="A64"/>
  <c r="C64" i="11"/>
  <c r="F64"/>
  <c r="A65"/>
  <c r="G60" i="13"/>
  <c r="B61"/>
  <c r="E60"/>
  <c r="D60" s="1"/>
  <c r="C60" s="1"/>
  <c r="A65" i="9"/>
  <c r="C64"/>
  <c r="B64"/>
  <c r="D64"/>
  <c r="E63"/>
  <c r="F63" s="1"/>
  <c r="G63" s="1"/>
  <c r="G61" i="11"/>
  <c r="B62"/>
  <c r="E61"/>
  <c r="D61" s="1"/>
  <c r="E53" i="9"/>
  <c r="F53" s="1"/>
  <c r="G53" s="1"/>
  <c r="B54" s="1"/>
  <c r="G46" i="8"/>
  <c r="E46"/>
  <c r="F46"/>
  <c r="I47"/>
  <c r="A47"/>
  <c r="H46"/>
  <c r="G45" i="7"/>
  <c r="A46"/>
  <c r="E45"/>
  <c r="I46"/>
  <c r="F45"/>
  <c r="H45"/>
  <c r="G47" i="6"/>
  <c r="A48"/>
  <c r="F47"/>
  <c r="E47"/>
  <c r="I48"/>
  <c r="H47"/>
  <c r="I47" i="4"/>
  <c r="F46"/>
  <c r="E46"/>
  <c r="H46"/>
  <c r="A47"/>
  <c r="G46"/>
  <c r="E49" i="19" l="1"/>
  <c r="G49"/>
  <c r="F49"/>
  <c r="I50"/>
  <c r="A50"/>
  <c r="H49"/>
  <c r="F64" i="13"/>
  <c r="A65"/>
  <c r="E54" i="9"/>
  <c r="F54" s="1"/>
  <c r="G54" s="1"/>
  <c r="B55" s="1"/>
  <c r="E64"/>
  <c r="F64" s="1"/>
  <c r="G64" s="1"/>
  <c r="G61" i="13"/>
  <c r="B62"/>
  <c r="E61"/>
  <c r="D61" s="1"/>
  <c r="C61" s="1"/>
  <c r="B65" i="9"/>
  <c r="A66"/>
  <c r="D65"/>
  <c r="C65"/>
  <c r="F65" i="11"/>
  <c r="A66"/>
  <c r="C65"/>
  <c r="G62"/>
  <c r="B63"/>
  <c r="E62"/>
  <c r="D62" s="1"/>
  <c r="I48" i="8"/>
  <c r="A48"/>
  <c r="F47"/>
  <c r="E47"/>
  <c r="G47"/>
  <c r="H47"/>
  <c r="I47" i="7"/>
  <c r="G46"/>
  <c r="F46"/>
  <c r="A47"/>
  <c r="E46"/>
  <c r="H46"/>
  <c r="I49" i="6"/>
  <c r="G48"/>
  <c r="F48"/>
  <c r="E48"/>
  <c r="A49"/>
  <c r="H48"/>
  <c r="I48" i="4"/>
  <c r="F47"/>
  <c r="G47"/>
  <c r="H47"/>
  <c r="A48"/>
  <c r="E47"/>
  <c r="A51" i="19" l="1"/>
  <c r="F50"/>
  <c r="I51"/>
  <c r="E50"/>
  <c r="G50"/>
  <c r="H50"/>
  <c r="E55" i="9"/>
  <c r="F55" s="1"/>
  <c r="G55" s="1"/>
  <c r="B56" s="1"/>
  <c r="B63" i="13"/>
  <c r="E62"/>
  <c r="D62" s="1"/>
  <c r="C62" s="1"/>
  <c r="G62"/>
  <c r="E63" i="11"/>
  <c r="D63" s="1"/>
  <c r="B64"/>
  <c r="G63"/>
  <c r="E65" i="9"/>
  <c r="F65" s="1"/>
  <c r="G65" s="1"/>
  <c r="A66" i="13"/>
  <c r="F65"/>
  <c r="C66" i="11"/>
  <c r="A67"/>
  <c r="F66"/>
  <c r="C66" i="9"/>
  <c r="B66"/>
  <c r="A67"/>
  <c r="D66"/>
  <c r="E48" i="8"/>
  <c r="G48"/>
  <c r="F48"/>
  <c r="I49"/>
  <c r="A49"/>
  <c r="H48"/>
  <c r="E47" i="7"/>
  <c r="I48"/>
  <c r="F47"/>
  <c r="A48"/>
  <c r="G47"/>
  <c r="H47"/>
  <c r="E49" i="6"/>
  <c r="I50"/>
  <c r="F49"/>
  <c r="A50"/>
  <c r="G49"/>
  <c r="H49"/>
  <c r="I49" i="4"/>
  <c r="F48"/>
  <c r="E48"/>
  <c r="H48"/>
  <c r="A49"/>
  <c r="G48"/>
  <c r="G51" i="19" l="1"/>
  <c r="E51"/>
  <c r="F51"/>
  <c r="I52"/>
  <c r="A52"/>
  <c r="H51"/>
  <c r="E56" i="9"/>
  <c r="F56" s="1"/>
  <c r="G56" s="1"/>
  <c r="B57" s="1"/>
  <c r="A67" i="13"/>
  <c r="F66"/>
  <c r="B65" i="11"/>
  <c r="E64"/>
  <c r="D64" s="1"/>
  <c r="G64"/>
  <c r="B64" i="13"/>
  <c r="E63"/>
  <c r="D63" s="1"/>
  <c r="C63" s="1"/>
  <c r="G63"/>
  <c r="A68" i="9"/>
  <c r="D67"/>
  <c r="C67"/>
  <c r="B67"/>
  <c r="A68" i="11"/>
  <c r="F67"/>
  <c r="C67"/>
  <c r="E66" i="9"/>
  <c r="F66" s="1"/>
  <c r="G66" s="1"/>
  <c r="A50" i="8"/>
  <c r="F49"/>
  <c r="I50"/>
  <c r="E49"/>
  <c r="G49"/>
  <c r="H49"/>
  <c r="A49" i="7"/>
  <c r="F48"/>
  <c r="G48"/>
  <c r="E48"/>
  <c r="I49"/>
  <c r="H48"/>
  <c r="A51" i="6"/>
  <c r="F50"/>
  <c r="E50"/>
  <c r="I51"/>
  <c r="G50"/>
  <c r="H50"/>
  <c r="I50" i="4"/>
  <c r="F49"/>
  <c r="G49"/>
  <c r="H49"/>
  <c r="A50"/>
  <c r="E49"/>
  <c r="I53" i="19" l="1"/>
  <c r="A53"/>
  <c r="F52"/>
  <c r="E52"/>
  <c r="G52"/>
  <c r="H52"/>
  <c r="E57" i="9"/>
  <c r="F57" s="1"/>
  <c r="G57" s="1"/>
  <c r="B58" s="1"/>
  <c r="C68" i="11"/>
  <c r="F68"/>
  <c r="A69"/>
  <c r="D68" i="9"/>
  <c r="C68"/>
  <c r="B68"/>
  <c r="A69"/>
  <c r="F67" i="13"/>
  <c r="A68"/>
  <c r="E67" i="9"/>
  <c r="G65" i="11"/>
  <c r="B66"/>
  <c r="E65"/>
  <c r="D65" s="1"/>
  <c r="F67" i="9"/>
  <c r="G67" s="1"/>
  <c r="G64" i="13"/>
  <c r="E64"/>
  <c r="D64" s="1"/>
  <c r="C64" s="1"/>
  <c r="B65"/>
  <c r="G50" i="8"/>
  <c r="E50"/>
  <c r="F50"/>
  <c r="I51"/>
  <c r="A51"/>
  <c r="H50"/>
  <c r="G49" i="7"/>
  <c r="I50"/>
  <c r="F49"/>
  <c r="A50"/>
  <c r="E49"/>
  <c r="H49"/>
  <c r="G51" i="6"/>
  <c r="A52"/>
  <c r="F51"/>
  <c r="I52"/>
  <c r="E51"/>
  <c r="H51"/>
  <c r="I51" i="4"/>
  <c r="F50"/>
  <c r="E50"/>
  <c r="H50"/>
  <c r="A51"/>
  <c r="G50"/>
  <c r="E53" i="19" l="1"/>
  <c r="G53"/>
  <c r="F53"/>
  <c r="I54"/>
  <c r="A54"/>
  <c r="H53"/>
  <c r="E58" i="9"/>
  <c r="F58" s="1"/>
  <c r="G58" s="1"/>
  <c r="B59" s="1"/>
  <c r="B69"/>
  <c r="A70"/>
  <c r="D69"/>
  <c r="C69"/>
  <c r="F69" i="11"/>
  <c r="A70"/>
  <c r="C69"/>
  <c r="G65" i="13"/>
  <c r="E65"/>
  <c r="D65" s="1"/>
  <c r="C65" s="1"/>
  <c r="B66"/>
  <c r="E68" i="9"/>
  <c r="F68" s="1"/>
  <c r="G68" s="1"/>
  <c r="G66" i="11"/>
  <c r="B67"/>
  <c r="E66"/>
  <c r="D66" s="1"/>
  <c r="F68" i="13"/>
  <c r="A69"/>
  <c r="I52" i="8"/>
  <c r="A52"/>
  <c r="F51"/>
  <c r="E51"/>
  <c r="G51"/>
  <c r="H51"/>
  <c r="I51" i="7"/>
  <c r="A51"/>
  <c r="E50"/>
  <c r="G50"/>
  <c r="F50"/>
  <c r="H50"/>
  <c r="I53" i="6"/>
  <c r="F52"/>
  <c r="G52"/>
  <c r="A53"/>
  <c r="E52"/>
  <c r="H52"/>
  <c r="I52" i="4"/>
  <c r="F51"/>
  <c r="G51"/>
  <c r="H51"/>
  <c r="A52"/>
  <c r="E51"/>
  <c r="A55" i="19" l="1"/>
  <c r="F54"/>
  <c r="I55"/>
  <c r="E54"/>
  <c r="G54"/>
  <c r="H54"/>
  <c r="E59" i="9"/>
  <c r="F59" s="1"/>
  <c r="G59" s="1"/>
  <c r="B60" s="1"/>
  <c r="B68" i="11"/>
  <c r="E67"/>
  <c r="D67" s="1"/>
  <c r="G67"/>
  <c r="C70" i="9"/>
  <c r="A71"/>
  <c r="D70"/>
  <c r="B70"/>
  <c r="E69"/>
  <c r="F69" s="1"/>
  <c r="G69" s="1"/>
  <c r="B67" i="13"/>
  <c r="E66"/>
  <c r="D66" s="1"/>
  <c r="C66" s="1"/>
  <c r="G66"/>
  <c r="C70" i="11"/>
  <c r="A71"/>
  <c r="F70"/>
  <c r="A70" i="13"/>
  <c r="F69"/>
  <c r="E52" i="8"/>
  <c r="G52"/>
  <c r="A53"/>
  <c r="F52"/>
  <c r="I53"/>
  <c r="H52"/>
  <c r="E51" i="7"/>
  <c r="G51"/>
  <c r="I52"/>
  <c r="F51"/>
  <c r="A52"/>
  <c r="H51"/>
  <c r="E53" i="6"/>
  <c r="G53"/>
  <c r="I54"/>
  <c r="A54"/>
  <c r="F53"/>
  <c r="H53"/>
  <c r="I53" i="4"/>
  <c r="F52"/>
  <c r="E52"/>
  <c r="H52"/>
  <c r="A53"/>
  <c r="G52"/>
  <c r="G55" i="19" l="1"/>
  <c r="A56"/>
  <c r="E55"/>
  <c r="I56"/>
  <c r="F55"/>
  <c r="H55"/>
  <c r="E70" i="9"/>
  <c r="F70" s="1"/>
  <c r="G70" s="1"/>
  <c r="A72" i="11"/>
  <c r="F71"/>
  <c r="C71"/>
  <c r="B68" i="13"/>
  <c r="E67"/>
  <c r="D67" s="1"/>
  <c r="C67" s="1"/>
  <c r="G67"/>
  <c r="A72" i="9"/>
  <c r="D71"/>
  <c r="B71"/>
  <c r="C71"/>
  <c r="B69" i="11"/>
  <c r="E68"/>
  <c r="D68" s="1"/>
  <c r="G68"/>
  <c r="E60" i="9"/>
  <c r="F60" s="1"/>
  <c r="G60" s="1"/>
  <c r="B61" s="1"/>
  <c r="A71" i="13"/>
  <c r="F70"/>
  <c r="A54" i="8"/>
  <c r="F53"/>
  <c r="I54"/>
  <c r="G53"/>
  <c r="E53"/>
  <c r="H53"/>
  <c r="A53" i="7"/>
  <c r="F52"/>
  <c r="G52"/>
  <c r="I53"/>
  <c r="E52"/>
  <c r="H52"/>
  <c r="A55" i="6"/>
  <c r="F54"/>
  <c r="I55"/>
  <c r="E54"/>
  <c r="G54"/>
  <c r="H54"/>
  <c r="I54" i="4"/>
  <c r="F53"/>
  <c r="G53"/>
  <c r="H53"/>
  <c r="A54"/>
  <c r="E53"/>
  <c r="G56" i="19" l="1"/>
  <c r="F56"/>
  <c r="E56"/>
  <c r="H56"/>
  <c r="H57" s="1"/>
  <c r="E61" i="9"/>
  <c r="F61" s="1"/>
  <c r="G61" s="1"/>
  <c r="B62" s="1"/>
  <c r="F71" i="13"/>
  <c r="A72"/>
  <c r="E71" i="9"/>
  <c r="F71" s="1"/>
  <c r="G71" s="1"/>
  <c r="C72" i="11"/>
  <c r="F72"/>
  <c r="A73"/>
  <c r="G68" i="13"/>
  <c r="B69"/>
  <c r="E68"/>
  <c r="D68" s="1"/>
  <c r="C68" s="1"/>
  <c r="G69" i="11"/>
  <c r="E69"/>
  <c r="D69" s="1"/>
  <c r="B70"/>
  <c r="A73" i="9"/>
  <c r="C72"/>
  <c r="B72"/>
  <c r="D72"/>
  <c r="G54" i="8"/>
  <c r="A55"/>
  <c r="F54"/>
  <c r="E54"/>
  <c r="I55"/>
  <c r="H54"/>
  <c r="G53" i="7"/>
  <c r="A54"/>
  <c r="E53"/>
  <c r="I54"/>
  <c r="F53"/>
  <c r="H53"/>
  <c r="G55" i="6"/>
  <c r="E55"/>
  <c r="A56"/>
  <c r="F55"/>
  <c r="I56"/>
  <c r="H55"/>
  <c r="I55" i="4"/>
  <c r="F54"/>
  <c r="E54"/>
  <c r="H54"/>
  <c r="A55"/>
  <c r="G54"/>
  <c r="F57" i="19" l="1"/>
  <c r="I7" s="1"/>
  <c r="F61"/>
  <c r="F62" s="1"/>
  <c r="F60" s="1"/>
  <c r="F73" i="11"/>
  <c r="A74"/>
  <c r="C73"/>
  <c r="G70"/>
  <c r="B71"/>
  <c r="E70"/>
  <c r="D70" s="1"/>
  <c r="G69" i="13"/>
  <c r="B70"/>
  <c r="E69"/>
  <c r="D69" s="1"/>
  <c r="C69" s="1"/>
  <c r="F72"/>
  <c r="A73"/>
  <c r="E62" i="9"/>
  <c r="F62" s="1"/>
  <c r="G62" s="1"/>
  <c r="B73"/>
  <c r="A74"/>
  <c r="D73"/>
  <c r="C73"/>
  <c r="E72"/>
  <c r="F72" s="1"/>
  <c r="G72" s="1"/>
  <c r="I56" i="8"/>
  <c r="G55"/>
  <c r="A56"/>
  <c r="F55"/>
  <c r="E55"/>
  <c r="H55"/>
  <c r="I55" i="7"/>
  <c r="G54"/>
  <c r="A55"/>
  <c r="F54"/>
  <c r="E54"/>
  <c r="H54"/>
  <c r="G56" i="6"/>
  <c r="F56"/>
  <c r="E56"/>
  <c r="H56"/>
  <c r="H57" s="1"/>
  <c r="I56" i="4"/>
  <c r="F55"/>
  <c r="G55"/>
  <c r="H55"/>
  <c r="A56"/>
  <c r="E55"/>
  <c r="F58" i="19" l="1"/>
  <c r="I8"/>
  <c r="I9"/>
  <c r="I10"/>
  <c r="I11"/>
  <c r="I12"/>
  <c r="C74" i="11"/>
  <c r="A75"/>
  <c r="F74"/>
  <c r="C74" i="9"/>
  <c r="B74"/>
  <c r="A75"/>
  <c r="D74"/>
  <c r="A74" i="13"/>
  <c r="F73"/>
  <c r="E71" i="11"/>
  <c r="D71" s="1"/>
  <c r="B72"/>
  <c r="G71"/>
  <c r="B71" i="13"/>
  <c r="E70"/>
  <c r="D70" s="1"/>
  <c r="C70" s="1"/>
  <c r="G70"/>
  <c r="E73" i="9"/>
  <c r="F73" s="1"/>
  <c r="G73" s="1"/>
  <c r="E56" i="8"/>
  <c r="G56"/>
  <c r="F56"/>
  <c r="H56"/>
  <c r="H57" s="1"/>
  <c r="E55" i="7"/>
  <c r="I56"/>
  <c r="A56"/>
  <c r="G55"/>
  <c r="F55"/>
  <c r="H55"/>
  <c r="F61" i="6"/>
  <c r="F62" s="1"/>
  <c r="F60" s="1"/>
  <c r="F57"/>
  <c r="E56" i="4"/>
  <c r="H56"/>
  <c r="H57" s="1"/>
  <c r="F56"/>
  <c r="G56"/>
  <c r="A75" i="13" l="1"/>
  <c r="F74"/>
  <c r="B73" i="11"/>
  <c r="E72"/>
  <c r="D72" s="1"/>
  <c r="G72"/>
  <c r="B72" i="13"/>
  <c r="E71"/>
  <c r="D71" s="1"/>
  <c r="C71" s="1"/>
  <c r="G71"/>
  <c r="A76" i="9"/>
  <c r="D75"/>
  <c r="C75"/>
  <c r="B75"/>
  <c r="A76" i="11"/>
  <c r="F75"/>
  <c r="C75"/>
  <c r="E74" i="9"/>
  <c r="F74" s="1"/>
  <c r="G74" s="1"/>
  <c r="F57" i="8"/>
  <c r="F61"/>
  <c r="F62" s="1"/>
  <c r="F60" s="1"/>
  <c r="F56" i="7"/>
  <c r="E56"/>
  <c r="G56"/>
  <c r="H56"/>
  <c r="H57" s="1"/>
  <c r="I7" i="6"/>
  <c r="F61" i="4"/>
  <c r="F62" s="1"/>
  <c r="F60" s="1"/>
  <c r="F57"/>
  <c r="A77" i="9" l="1"/>
  <c r="D76"/>
  <c r="C76"/>
  <c r="B76"/>
  <c r="C76" i="11"/>
  <c r="F76"/>
  <c r="A77"/>
  <c r="E75" i="9"/>
  <c r="F75" i="13"/>
  <c r="A76"/>
  <c r="F75" i="9"/>
  <c r="G75" s="1"/>
  <c r="G72" i="13"/>
  <c r="E72"/>
  <c r="D72" s="1"/>
  <c r="C72" s="1"/>
  <c r="B73"/>
  <c r="G73" i="11"/>
  <c r="B74"/>
  <c r="E73"/>
  <c r="D73" s="1"/>
  <c r="I7" i="8"/>
  <c r="F57" i="7"/>
  <c r="F61"/>
  <c r="F62" s="1"/>
  <c r="F60" s="1"/>
  <c r="F58" i="6"/>
  <c r="A65" s="1"/>
  <c r="I9"/>
  <c r="I8"/>
  <c r="I10"/>
  <c r="I11"/>
  <c r="I12"/>
  <c r="I7" i="4"/>
  <c r="I12" s="1"/>
  <c r="E76" i="9" l="1"/>
  <c r="F76" s="1"/>
  <c r="G76" s="1"/>
  <c r="G74" i="11"/>
  <c r="B75"/>
  <c r="E74"/>
  <c r="D74" s="1"/>
  <c r="B77" i="9"/>
  <c r="A78"/>
  <c r="D77"/>
  <c r="C77"/>
  <c r="G73" i="13"/>
  <c r="E73"/>
  <c r="D73" s="1"/>
  <c r="C73" s="1"/>
  <c r="B74"/>
  <c r="F76"/>
  <c r="A77"/>
  <c r="F77" i="11"/>
  <c r="A78"/>
  <c r="C77"/>
  <c r="F58" i="8"/>
  <c r="I8"/>
  <c r="I9"/>
  <c r="I10"/>
  <c r="I11"/>
  <c r="I12"/>
  <c r="I7" i="7"/>
  <c r="F58" i="4"/>
  <c r="A65" s="1"/>
  <c r="I8"/>
  <c r="I9"/>
  <c r="I10"/>
  <c r="I11"/>
  <c r="C78" i="9" l="1"/>
  <c r="B78"/>
  <c r="A79"/>
  <c r="D78"/>
  <c r="C78" i="11"/>
  <c r="A79"/>
  <c r="F78"/>
  <c r="B75" i="13"/>
  <c r="E74"/>
  <c r="D74" s="1"/>
  <c r="C74" s="1"/>
  <c r="G74"/>
  <c r="B76" i="11"/>
  <c r="E75"/>
  <c r="D75" s="1"/>
  <c r="G75"/>
  <c r="A78" i="13"/>
  <c r="F77"/>
  <c r="E77" i="9"/>
  <c r="F77" s="1"/>
  <c r="G77" s="1"/>
  <c r="F58" i="7"/>
  <c r="I8"/>
  <c r="I9"/>
  <c r="I10"/>
  <c r="I11"/>
  <c r="I12"/>
  <c r="B77" i="11" l="1"/>
  <c r="E76"/>
  <c r="D76" s="1"/>
  <c r="G76"/>
  <c r="A80" i="9"/>
  <c r="D79"/>
  <c r="C79"/>
  <c r="B79"/>
  <c r="B76" i="13"/>
  <c r="E75"/>
  <c r="D75" s="1"/>
  <c r="C75" s="1"/>
  <c r="G75"/>
  <c r="A79"/>
  <c r="F78"/>
  <c r="A80" i="11"/>
  <c r="F79"/>
  <c r="C79"/>
  <c r="E78" i="9"/>
  <c r="F78" s="1"/>
  <c r="G78" s="1"/>
  <c r="C80" i="11" l="1"/>
  <c r="F80"/>
  <c r="A81"/>
  <c r="A81" i="9"/>
  <c r="D80"/>
  <c r="C80"/>
  <c r="B80"/>
  <c r="F79" i="13"/>
  <c r="A80"/>
  <c r="E79" i="9"/>
  <c r="F79" s="1"/>
  <c r="G79" s="1"/>
  <c r="G77" i="11"/>
  <c r="B78"/>
  <c r="E77"/>
  <c r="D77" s="1"/>
  <c r="G76" i="13"/>
  <c r="B77"/>
  <c r="E76"/>
  <c r="D76" s="1"/>
  <c r="C76" s="1"/>
  <c r="F80" l="1"/>
  <c r="A81"/>
  <c r="B81" i="9"/>
  <c r="A82"/>
  <c r="D81"/>
  <c r="C81"/>
  <c r="E80"/>
  <c r="G78" i="11"/>
  <c r="B79"/>
  <c r="E78"/>
  <c r="D78" s="1"/>
  <c r="F80" i="9"/>
  <c r="G80" s="1"/>
  <c r="G77" i="13"/>
  <c r="B78"/>
  <c r="E77"/>
  <c r="D77" s="1"/>
  <c r="C77" s="1"/>
  <c r="F81" i="11"/>
  <c r="A82"/>
  <c r="C81"/>
  <c r="E79" l="1"/>
  <c r="D79" s="1"/>
  <c r="B80"/>
  <c r="G79"/>
  <c r="A82" i="13"/>
  <c r="F81"/>
  <c r="C82" i="11"/>
  <c r="A83"/>
  <c r="F82"/>
  <c r="C82" i="9"/>
  <c r="B82"/>
  <c r="A83"/>
  <c r="D82"/>
  <c r="B79" i="13"/>
  <c r="E78"/>
  <c r="D78" s="1"/>
  <c r="C78" s="1"/>
  <c r="G78"/>
  <c r="E81" i="9"/>
  <c r="F81" s="1"/>
  <c r="G81" s="1"/>
  <c r="B81" i="11" l="1"/>
  <c r="E80"/>
  <c r="D80" s="1"/>
  <c r="G80"/>
  <c r="B80" i="13"/>
  <c r="E79"/>
  <c r="D79" s="1"/>
  <c r="C79" s="1"/>
  <c r="G79"/>
  <c r="A83"/>
  <c r="F82"/>
  <c r="A84" i="9"/>
  <c r="D83"/>
  <c r="C83"/>
  <c r="B83"/>
  <c r="A84" i="11"/>
  <c r="F83"/>
  <c r="C83"/>
  <c r="E82" i="9"/>
  <c r="F82" s="1"/>
  <c r="G82" s="1"/>
  <c r="C84" i="11" l="1"/>
  <c r="F84"/>
  <c r="A85"/>
  <c r="E83" i="9"/>
  <c r="F83" s="1"/>
  <c r="G83" s="1"/>
  <c r="F83" i="13"/>
  <c r="A84"/>
  <c r="G80"/>
  <c r="E80"/>
  <c r="D80" s="1"/>
  <c r="C80" s="1"/>
  <c r="B81"/>
  <c r="A85" i="9"/>
  <c r="D84"/>
  <c r="C84"/>
  <c r="B84"/>
  <c r="G81" i="11"/>
  <c r="B82"/>
  <c r="E81"/>
  <c r="D81" s="1"/>
  <c r="E84" i="9" l="1"/>
  <c r="F84" s="1"/>
  <c r="G84" s="1"/>
  <c r="G82" i="11"/>
  <c r="B83"/>
  <c r="E82"/>
  <c r="D82" s="1"/>
  <c r="G81" i="13"/>
  <c r="E81"/>
  <c r="D81" s="1"/>
  <c r="C81" s="1"/>
  <c r="B82"/>
  <c r="B85" i="9"/>
  <c r="A86"/>
  <c r="D85"/>
  <c r="C85"/>
  <c r="F84" i="13"/>
  <c r="A85"/>
  <c r="F85" i="11"/>
  <c r="A86"/>
  <c r="C85"/>
  <c r="C86" l="1"/>
  <c r="A87"/>
  <c r="F86"/>
  <c r="B84"/>
  <c r="E83"/>
  <c r="D83" s="1"/>
  <c r="G83"/>
  <c r="E85" i="9"/>
  <c r="F85" s="1"/>
  <c r="G85" s="1"/>
  <c r="B83" i="13"/>
  <c r="E82"/>
  <c r="D82" s="1"/>
  <c r="C82" s="1"/>
  <c r="G82"/>
  <c r="A86"/>
  <c r="F85"/>
  <c r="C86" i="9"/>
  <c r="B86"/>
  <c r="A87"/>
  <c r="D86"/>
  <c r="B84" i="13" l="1"/>
  <c r="E83"/>
  <c r="D83" s="1"/>
  <c r="C83" s="1"/>
  <c r="G83"/>
  <c r="A88" i="11"/>
  <c r="F87"/>
  <c r="C87"/>
  <c r="A87" i="13"/>
  <c r="F86"/>
  <c r="E86" i="9"/>
  <c r="F86" s="1"/>
  <c r="G86" s="1"/>
  <c r="A88"/>
  <c r="D87"/>
  <c r="C87"/>
  <c r="B87"/>
  <c r="B85" i="11"/>
  <c r="E84"/>
  <c r="D84" s="1"/>
  <c r="G84"/>
  <c r="C88" l="1"/>
  <c r="F88"/>
  <c r="A89"/>
  <c r="G85"/>
  <c r="E85"/>
  <c r="D85" s="1"/>
  <c r="B86"/>
  <c r="A89" i="9"/>
  <c r="D88"/>
  <c r="C88"/>
  <c r="B88"/>
  <c r="F87" i="13"/>
  <c r="A88"/>
  <c r="G84"/>
  <c r="E84"/>
  <c r="D84" s="1"/>
  <c r="C84" s="1"/>
  <c r="B85"/>
  <c r="E87" i="9"/>
  <c r="F87" s="1"/>
  <c r="G87" s="1"/>
  <c r="G86" i="11" l="1"/>
  <c r="B87"/>
  <c r="E86"/>
  <c r="D86" s="1"/>
  <c r="F88" i="13"/>
  <c r="A89"/>
  <c r="F88" i="9"/>
  <c r="G88" s="1"/>
  <c r="G85" i="13"/>
  <c r="B86"/>
  <c r="E85"/>
  <c r="D85" s="1"/>
  <c r="C85" s="1"/>
  <c r="B89" i="9"/>
  <c r="A90"/>
  <c r="D89"/>
  <c r="C89"/>
  <c r="F89" i="11"/>
  <c r="A90"/>
  <c r="C89"/>
  <c r="E88" i="9"/>
  <c r="E87" i="11" l="1"/>
  <c r="D87" s="1"/>
  <c r="B88"/>
  <c r="G87"/>
  <c r="A90" i="13"/>
  <c r="F89"/>
  <c r="B87"/>
  <c r="E86"/>
  <c r="D86" s="1"/>
  <c r="C86" s="1"/>
  <c r="G86"/>
  <c r="E89" i="9"/>
  <c r="F89" s="1"/>
  <c r="G89" s="1"/>
  <c r="C90" i="11"/>
  <c r="A91"/>
  <c r="F90"/>
  <c r="C90" i="9"/>
  <c r="B90"/>
  <c r="A91"/>
  <c r="D90"/>
  <c r="B89" i="11" l="1"/>
  <c r="E88"/>
  <c r="D88" s="1"/>
  <c r="G88"/>
  <c r="A92" i="9"/>
  <c r="D91"/>
  <c r="C91"/>
  <c r="B91"/>
  <c r="A92" i="11"/>
  <c r="F91"/>
  <c r="C91"/>
  <c r="E90" i="9"/>
  <c r="F90" s="1"/>
  <c r="G90" s="1"/>
  <c r="A91" i="13"/>
  <c r="F90"/>
  <c r="B88"/>
  <c r="E87"/>
  <c r="D87" s="1"/>
  <c r="C87" s="1"/>
  <c r="G87"/>
  <c r="G89" i="11" l="1"/>
  <c r="B90"/>
  <c r="E89"/>
  <c r="D89" s="1"/>
  <c r="G88" i="13"/>
  <c r="B89"/>
  <c r="E88"/>
  <c r="D88" s="1"/>
  <c r="C88" s="1"/>
  <c r="E91" i="9"/>
  <c r="F91" s="1"/>
  <c r="G91" s="1"/>
  <c r="F91" i="13"/>
  <c r="A92"/>
  <c r="C92" i="11"/>
  <c r="F92"/>
  <c r="A93"/>
  <c r="A93" i="9"/>
  <c r="D92"/>
  <c r="C92"/>
  <c r="B92"/>
  <c r="E92" l="1"/>
  <c r="F92" s="1"/>
  <c r="G92" s="1"/>
  <c r="G89" i="13"/>
  <c r="E89"/>
  <c r="D89" s="1"/>
  <c r="C89" s="1"/>
  <c r="B90"/>
  <c r="B93" i="9"/>
  <c r="A94"/>
  <c r="D93"/>
  <c r="C93"/>
  <c r="F92" i="13"/>
  <c r="A93"/>
  <c r="G90" i="11"/>
  <c r="B91"/>
  <c r="E90"/>
  <c r="D90" s="1"/>
  <c r="F93"/>
  <c r="A94"/>
  <c r="C93"/>
  <c r="B92" l="1"/>
  <c r="E91"/>
  <c r="D91" s="1"/>
  <c r="G91"/>
  <c r="C94"/>
  <c r="A95"/>
  <c r="F94"/>
  <c r="A94" i="13"/>
  <c r="F93"/>
  <c r="C94" i="9"/>
  <c r="B94"/>
  <c r="A95"/>
  <c r="D94"/>
  <c r="B91" i="13"/>
  <c r="E90"/>
  <c r="D90" s="1"/>
  <c r="C90" s="1"/>
  <c r="G90"/>
  <c r="E93" i="9"/>
  <c r="F93" s="1"/>
  <c r="G93" s="1"/>
  <c r="E94" l="1"/>
  <c r="F94" s="1"/>
  <c r="G94" s="1"/>
  <c r="B92" i="13"/>
  <c r="E91"/>
  <c r="D91" s="1"/>
  <c r="C91" s="1"/>
  <c r="G91"/>
  <c r="A96" i="11"/>
  <c r="F95"/>
  <c r="C95"/>
  <c r="B93"/>
  <c r="E92"/>
  <c r="D92" s="1"/>
  <c r="G92"/>
  <c r="A96" i="9"/>
  <c r="D95"/>
  <c r="C95"/>
  <c r="B95"/>
  <c r="A95" i="13"/>
  <c r="F94"/>
  <c r="F95" l="1"/>
  <c r="A96"/>
  <c r="A97" i="9"/>
  <c r="D96"/>
  <c r="C96"/>
  <c r="B96"/>
  <c r="E95"/>
  <c r="F95" s="1"/>
  <c r="G95" s="1"/>
  <c r="G92" i="13"/>
  <c r="E92"/>
  <c r="D92" s="1"/>
  <c r="C92" s="1"/>
  <c r="B93"/>
  <c r="G93" i="11"/>
  <c r="B94"/>
  <c r="E93"/>
  <c r="D93" s="1"/>
  <c r="C96"/>
  <c r="F96"/>
  <c r="A97"/>
  <c r="G94" l="1"/>
  <c r="B95"/>
  <c r="E94"/>
  <c r="D94" s="1"/>
  <c r="G93" i="13"/>
  <c r="E93"/>
  <c r="D93" s="1"/>
  <c r="C93" s="1"/>
  <c r="B94"/>
  <c r="B97" i="9"/>
  <c r="A98"/>
  <c r="D97"/>
  <c r="C97"/>
  <c r="F97" i="11"/>
  <c r="A98"/>
  <c r="C97"/>
  <c r="F96" i="9"/>
  <c r="G96" s="1"/>
  <c r="E96"/>
  <c r="F96" i="13"/>
  <c r="A97"/>
  <c r="B95" l="1"/>
  <c r="E94"/>
  <c r="D94" s="1"/>
  <c r="C94" s="1"/>
  <c r="G94"/>
  <c r="C98" i="11"/>
  <c r="A99"/>
  <c r="F98"/>
  <c r="C98" i="9"/>
  <c r="B98"/>
  <c r="A99"/>
  <c r="D98"/>
  <c r="A98" i="13"/>
  <c r="F97"/>
  <c r="E95" i="11"/>
  <c r="D95" s="1"/>
  <c r="B96"/>
  <c r="G95"/>
  <c r="E97" i="9"/>
  <c r="F97" s="1"/>
  <c r="G97" s="1"/>
  <c r="A100" l="1"/>
  <c r="D99"/>
  <c r="C99"/>
  <c r="B99"/>
  <c r="E98"/>
  <c r="F98" s="1"/>
  <c r="G98" s="1"/>
  <c r="A99" i="13"/>
  <c r="F98"/>
  <c r="B97" i="11"/>
  <c r="E96"/>
  <c r="D96" s="1"/>
  <c r="G96"/>
  <c r="A100"/>
  <c r="F99"/>
  <c r="C99"/>
  <c r="B96" i="13"/>
  <c r="E95"/>
  <c r="D95" s="1"/>
  <c r="C95" s="1"/>
  <c r="G95"/>
  <c r="G97" i="11" l="1"/>
  <c r="B98"/>
  <c r="E97"/>
  <c r="D97" s="1"/>
  <c r="A101" i="9"/>
  <c r="D100"/>
  <c r="C100"/>
  <c r="B100"/>
  <c r="G96" i="13"/>
  <c r="B97"/>
  <c r="E96"/>
  <c r="D96" s="1"/>
  <c r="C96" s="1"/>
  <c r="E99" i="9"/>
  <c r="F99" s="1"/>
  <c r="G99" s="1"/>
  <c r="C100" i="11"/>
  <c r="F100"/>
  <c r="A101"/>
  <c r="F99" i="13"/>
  <c r="A100"/>
  <c r="F100" l="1"/>
  <c r="A101"/>
  <c r="F101" i="11"/>
  <c r="A102"/>
  <c r="C101"/>
  <c r="B101" i="9"/>
  <c r="A102"/>
  <c r="D101"/>
  <c r="C101"/>
  <c r="G98" i="11"/>
  <c r="B99"/>
  <c r="E98"/>
  <c r="D98" s="1"/>
  <c r="G97" i="13"/>
  <c r="B98"/>
  <c r="E97"/>
  <c r="D97" s="1"/>
  <c r="C97" s="1"/>
  <c r="E100" i="9"/>
  <c r="F100" s="1"/>
  <c r="G100" s="1"/>
  <c r="B100" i="11" l="1"/>
  <c r="E99"/>
  <c r="D99" s="1"/>
  <c r="G99"/>
  <c r="C102" i="9"/>
  <c r="B102"/>
  <c r="A103"/>
  <c r="D102"/>
  <c r="A102" i="13"/>
  <c r="F101"/>
  <c r="F101" i="9"/>
  <c r="G101" s="1"/>
  <c r="C102" i="11"/>
  <c r="A103"/>
  <c r="F102"/>
  <c r="B99" i="13"/>
  <c r="E98"/>
  <c r="D98" s="1"/>
  <c r="C98" s="1"/>
  <c r="G98"/>
  <c r="E101" i="9"/>
  <c r="B100" i="13" l="1"/>
  <c r="E99"/>
  <c r="D99" s="1"/>
  <c r="C99" s="1"/>
  <c r="G99"/>
  <c r="B101" i="11"/>
  <c r="E100"/>
  <c r="D100" s="1"/>
  <c r="G100"/>
  <c r="A104"/>
  <c r="F103"/>
  <c r="C103"/>
  <c r="A103" i="13"/>
  <c r="F102"/>
  <c r="A104" i="9"/>
  <c r="D103"/>
  <c r="C103"/>
  <c r="B103"/>
  <c r="E102"/>
  <c r="F102" s="1"/>
  <c r="G102" s="1"/>
  <c r="F103" i="13" l="1"/>
  <c r="A104"/>
  <c r="A105" i="9"/>
  <c r="D104"/>
  <c r="C104"/>
  <c r="B104"/>
  <c r="G101" i="11"/>
  <c r="E101"/>
  <c r="D101" s="1"/>
  <c r="B102"/>
  <c r="G103" i="9"/>
  <c r="E103"/>
  <c r="C104" i="11"/>
  <c r="F104"/>
  <c r="A105"/>
  <c r="F103" i="9"/>
  <c r="G100" i="13"/>
  <c r="E100"/>
  <c r="D100" s="1"/>
  <c r="C100" s="1"/>
  <c r="B101"/>
  <c r="G101" l="1"/>
  <c r="B102"/>
  <c r="E101"/>
  <c r="D101" s="1"/>
  <c r="C101" s="1"/>
  <c r="E104" i="9"/>
  <c r="F104" s="1"/>
  <c r="G104" s="1"/>
  <c r="F104" i="13"/>
  <c r="A105"/>
  <c r="B105" i="9"/>
  <c r="A106"/>
  <c r="D105"/>
  <c r="C105"/>
  <c r="F105" i="11"/>
  <c r="A106"/>
  <c r="C105"/>
  <c r="G102"/>
  <c r="B103"/>
  <c r="E102"/>
  <c r="D102" s="1"/>
  <c r="C106" l="1"/>
  <c r="A107"/>
  <c r="F106"/>
  <c r="B103" i="13"/>
  <c r="E102"/>
  <c r="D102" s="1"/>
  <c r="C102" s="1"/>
  <c r="G102"/>
  <c r="A106"/>
  <c r="F105"/>
  <c r="C106" i="9"/>
  <c r="B106"/>
  <c r="A107"/>
  <c r="D106"/>
  <c r="E103" i="11"/>
  <c r="D103" s="1"/>
  <c r="B104"/>
  <c r="G103"/>
  <c r="E105" i="9"/>
  <c r="F105" s="1"/>
  <c r="G105" s="1"/>
  <c r="A108" i="11" l="1"/>
  <c r="F107"/>
  <c r="C107"/>
  <c r="A108" i="9"/>
  <c r="D107"/>
  <c r="C107"/>
  <c r="B107"/>
  <c r="A107" i="13"/>
  <c r="F106"/>
  <c r="B104"/>
  <c r="E103"/>
  <c r="D103" s="1"/>
  <c r="C103" s="1"/>
  <c r="G103"/>
  <c r="B105" i="11"/>
  <c r="E104"/>
  <c r="D104" s="1"/>
  <c r="G104"/>
  <c r="E106" i="9"/>
  <c r="F106" s="1"/>
  <c r="G106" s="1"/>
  <c r="G104" i="13" l="1"/>
  <c r="B105"/>
  <c r="E104"/>
  <c r="D104" s="1"/>
  <c r="C104" s="1"/>
  <c r="F107"/>
  <c r="A108"/>
  <c r="A109" i="9"/>
  <c r="D108"/>
  <c r="C108"/>
  <c r="B108"/>
  <c r="E107"/>
  <c r="F107" s="1"/>
  <c r="G107" s="1"/>
  <c r="G105" i="11"/>
  <c r="B106"/>
  <c r="E105"/>
  <c r="D105" s="1"/>
  <c r="C108"/>
  <c r="F108"/>
  <c r="A109"/>
  <c r="F109" l="1"/>
  <c r="A110"/>
  <c r="C109"/>
  <c r="G105" i="13"/>
  <c r="B106"/>
  <c r="E105"/>
  <c r="D105" s="1"/>
  <c r="C105" s="1"/>
  <c r="G106" i="11"/>
  <c r="B107"/>
  <c r="E106"/>
  <c r="D106" s="1"/>
  <c r="B109" i="9"/>
  <c r="A110"/>
  <c r="D109"/>
  <c r="C109"/>
  <c r="E108"/>
  <c r="F108" s="1"/>
  <c r="G108" s="1"/>
  <c r="F108" i="13"/>
  <c r="A109"/>
  <c r="C110" i="11" l="1"/>
  <c r="A111"/>
  <c r="F110"/>
  <c r="B108"/>
  <c r="E107"/>
  <c r="D107" s="1"/>
  <c r="G107"/>
  <c r="C110" i="9"/>
  <c r="B110"/>
  <c r="A111"/>
  <c r="D110"/>
  <c r="E109"/>
  <c r="F109" s="1"/>
  <c r="G109" s="1"/>
  <c r="A110" i="13"/>
  <c r="F109"/>
  <c r="B107"/>
  <c r="E106"/>
  <c r="D106" s="1"/>
  <c r="C106" s="1"/>
  <c r="G106"/>
  <c r="A111" l="1"/>
  <c r="F110"/>
  <c r="A112" i="11"/>
  <c r="F111"/>
  <c r="C111"/>
  <c r="B108" i="13"/>
  <c r="E107"/>
  <c r="D107" s="1"/>
  <c r="C107" s="1"/>
  <c r="G107"/>
  <c r="A112" i="9"/>
  <c r="D111"/>
  <c r="C111"/>
  <c r="B111"/>
  <c r="E110"/>
  <c r="F110" s="1"/>
  <c r="G110" s="1"/>
  <c r="B109" i="11"/>
  <c r="E108"/>
  <c r="D108" s="1"/>
  <c r="G108"/>
  <c r="E111" i="9" l="1"/>
  <c r="F111" s="1"/>
  <c r="G111" s="1"/>
  <c r="G109" i="11"/>
  <c r="B110"/>
  <c r="E109"/>
  <c r="D109" s="1"/>
  <c r="A113" i="9"/>
  <c r="D112"/>
  <c r="C112"/>
  <c r="B112"/>
  <c r="G108" i="13"/>
  <c r="E108"/>
  <c r="D108" s="1"/>
  <c r="C108" s="1"/>
  <c r="B109"/>
  <c r="C112" i="11"/>
  <c r="F112"/>
  <c r="A113"/>
  <c r="F111" i="13"/>
  <c r="A112"/>
  <c r="F112" l="1"/>
  <c r="A113"/>
  <c r="F113" i="11"/>
  <c r="A114"/>
  <c r="C113"/>
  <c r="G109" i="13"/>
  <c r="E109"/>
  <c r="D109" s="1"/>
  <c r="C109" s="1"/>
  <c r="B110"/>
  <c r="G110" i="11"/>
  <c r="B111"/>
  <c r="E110"/>
  <c r="D110" s="1"/>
  <c r="B113" i="9"/>
  <c r="A114"/>
  <c r="D113"/>
  <c r="C113"/>
  <c r="E112"/>
  <c r="F112" s="1"/>
  <c r="G112" s="1"/>
  <c r="E111" i="11" l="1"/>
  <c r="D111" s="1"/>
  <c r="B112"/>
  <c r="G111"/>
  <c r="E113" i="9"/>
  <c r="F113" s="1"/>
  <c r="G113" s="1"/>
  <c r="B111" i="13"/>
  <c r="E110"/>
  <c r="D110" s="1"/>
  <c r="C110" s="1"/>
  <c r="G110"/>
  <c r="C114" i="11"/>
  <c r="A115"/>
  <c r="F114"/>
  <c r="C114" i="9"/>
  <c r="B114"/>
  <c r="A115"/>
  <c r="D114"/>
  <c r="A114" i="13"/>
  <c r="F113"/>
  <c r="A116" i="11" l="1"/>
  <c r="F115"/>
  <c r="C115"/>
  <c r="A115" i="13"/>
  <c r="F114"/>
  <c r="A116" i="9"/>
  <c r="D115"/>
  <c r="C115"/>
  <c r="B115"/>
  <c r="B112" i="13"/>
  <c r="E111"/>
  <c r="D111" s="1"/>
  <c r="C111" s="1"/>
  <c r="G111"/>
  <c r="B113" i="11"/>
  <c r="E112"/>
  <c r="D112" s="1"/>
  <c r="G112"/>
  <c r="E114" i="9"/>
  <c r="F114" s="1"/>
  <c r="G114" s="1"/>
  <c r="G113" i="11" l="1"/>
  <c r="B114"/>
  <c r="E113"/>
  <c r="D113" s="1"/>
  <c r="E115" i="9"/>
  <c r="F115" s="1"/>
  <c r="G115" s="1"/>
  <c r="F115" i="13"/>
  <c r="A116"/>
  <c r="G112"/>
  <c r="B113"/>
  <c r="E112"/>
  <c r="D112" s="1"/>
  <c r="C112" s="1"/>
  <c r="A117" i="9"/>
  <c r="D116"/>
  <c r="C116"/>
  <c r="B116"/>
  <c r="C116" i="11"/>
  <c r="F116"/>
  <c r="A117"/>
  <c r="F117" l="1"/>
  <c r="A118"/>
  <c r="C117"/>
  <c r="E116" i="9"/>
  <c r="F116" s="1"/>
  <c r="G116" s="1"/>
  <c r="B117"/>
  <c r="A118"/>
  <c r="D117"/>
  <c r="C117"/>
  <c r="F116" i="13"/>
  <c r="A117"/>
  <c r="G114" i="11"/>
  <c r="B115"/>
  <c r="E114"/>
  <c r="D114" s="1"/>
  <c r="G113" i="13"/>
  <c r="E113"/>
  <c r="D113" s="1"/>
  <c r="C113" s="1"/>
  <c r="B114"/>
  <c r="B116" i="11" l="1"/>
  <c r="E115"/>
  <c r="D115" s="1"/>
  <c r="G115"/>
  <c r="A118" i="13"/>
  <c r="F117"/>
  <c r="C118" i="9"/>
  <c r="B118"/>
  <c r="A119"/>
  <c r="D118"/>
  <c r="E117"/>
  <c r="F117" s="1"/>
  <c r="G117" s="1"/>
  <c r="B115" i="13"/>
  <c r="E114"/>
  <c r="D114" s="1"/>
  <c r="C114" s="1"/>
  <c r="G114"/>
  <c r="C118" i="11"/>
  <c r="A119"/>
  <c r="F118"/>
  <c r="A120" l="1"/>
  <c r="F119"/>
  <c r="C119"/>
  <c r="B116" i="13"/>
  <c r="E115"/>
  <c r="D115" s="1"/>
  <c r="C115" s="1"/>
  <c r="G115"/>
  <c r="A120" i="9"/>
  <c r="D119"/>
  <c r="C119"/>
  <c r="B119"/>
  <c r="A119" i="13"/>
  <c r="F118"/>
  <c r="E118" i="9"/>
  <c r="F118" s="1"/>
  <c r="G118" s="1"/>
  <c r="B117" i="11"/>
  <c r="E116"/>
  <c r="D116" s="1"/>
  <c r="G116"/>
  <c r="C120" l="1"/>
  <c r="F120"/>
  <c r="A121"/>
  <c r="G117"/>
  <c r="E117"/>
  <c r="D117" s="1"/>
  <c r="B118"/>
  <c r="F119" i="13"/>
  <c r="A120"/>
  <c r="A121" i="9"/>
  <c r="D120"/>
  <c r="C120"/>
  <c r="B120"/>
  <c r="E119"/>
  <c r="F119" s="1"/>
  <c r="G119" s="1"/>
  <c r="G116" i="13"/>
  <c r="E116"/>
  <c r="D116" s="1"/>
  <c r="C116" s="1"/>
  <c r="B117"/>
  <c r="B121" i="9" l="1"/>
  <c r="A122"/>
  <c r="D121"/>
  <c r="C121"/>
  <c r="E120"/>
  <c r="F120" s="1"/>
  <c r="G120" s="1"/>
  <c r="F120" i="13"/>
  <c r="A121"/>
  <c r="G117"/>
  <c r="B118"/>
  <c r="E117"/>
  <c r="D117" s="1"/>
  <c r="C117" s="1"/>
  <c r="G118" i="11"/>
  <c r="B119"/>
  <c r="E118"/>
  <c r="D118" s="1"/>
  <c r="F121"/>
  <c r="A122"/>
  <c r="C121"/>
  <c r="C122" l="1"/>
  <c r="A123"/>
  <c r="F122"/>
  <c r="E119"/>
  <c r="D119" s="1"/>
  <c r="B120"/>
  <c r="G119"/>
  <c r="E121" i="9"/>
  <c r="F121" s="1"/>
  <c r="G121" s="1"/>
  <c r="A122" i="13"/>
  <c r="F121"/>
  <c r="B119"/>
  <c r="E118"/>
  <c r="D118" s="1"/>
  <c r="C118" s="1"/>
  <c r="G118"/>
  <c r="C122" i="9"/>
  <c r="B122"/>
  <c r="A123"/>
  <c r="D122"/>
  <c r="A123" i="13" l="1"/>
  <c r="F122"/>
  <c r="A124" i="11"/>
  <c r="F123"/>
  <c r="C123"/>
  <c r="E122" i="9"/>
  <c r="F122" s="1"/>
  <c r="G122" s="1"/>
  <c r="B120" i="13"/>
  <c r="E119"/>
  <c r="D119" s="1"/>
  <c r="C119" s="1"/>
  <c r="G119"/>
  <c r="B121" i="11"/>
  <c r="E120"/>
  <c r="D120" s="1"/>
  <c r="G120"/>
  <c r="A124" i="9"/>
  <c r="D123"/>
  <c r="C123"/>
  <c r="B123"/>
  <c r="E123" l="1"/>
  <c r="F123" s="1"/>
  <c r="G123" s="1"/>
  <c r="F123" i="13"/>
  <c r="A124"/>
  <c r="G121" i="11"/>
  <c r="B122"/>
  <c r="E121"/>
  <c r="D121" s="1"/>
  <c r="C124"/>
  <c r="F124"/>
  <c r="A125"/>
  <c r="G120" i="13"/>
  <c r="B121"/>
  <c r="E120"/>
  <c r="D120" s="1"/>
  <c r="C120" s="1"/>
  <c r="A125" i="9"/>
  <c r="D124"/>
  <c r="C124"/>
  <c r="B124"/>
  <c r="E124" l="1"/>
  <c r="F124" s="1"/>
  <c r="G124" s="1"/>
  <c r="F124" i="13"/>
  <c r="A125"/>
  <c r="B125" i="9"/>
  <c r="A126"/>
  <c r="D125"/>
  <c r="C125"/>
  <c r="F125" i="11"/>
  <c r="A126"/>
  <c r="C125"/>
  <c r="G122"/>
  <c r="B123"/>
  <c r="E122"/>
  <c r="D122" s="1"/>
  <c r="G121" i="13"/>
  <c r="E121"/>
  <c r="D121" s="1"/>
  <c r="C121" s="1"/>
  <c r="B122"/>
  <c r="A126" l="1"/>
  <c r="F125"/>
  <c r="B123"/>
  <c r="E122"/>
  <c r="D122" s="1"/>
  <c r="C122" s="1"/>
  <c r="G122"/>
  <c r="B124" i="11"/>
  <c r="E123"/>
  <c r="D123" s="1"/>
  <c r="G123"/>
  <c r="E125" i="9"/>
  <c r="F125" s="1"/>
  <c r="G125" s="1"/>
  <c r="C126" i="11"/>
  <c r="A127"/>
  <c r="F126"/>
  <c r="C126" i="9"/>
  <c r="B126"/>
  <c r="A127"/>
  <c r="D126"/>
  <c r="B124" i="13" l="1"/>
  <c r="E123"/>
  <c r="D123" s="1"/>
  <c r="C123" s="1"/>
  <c r="G123"/>
  <c r="A128" i="9"/>
  <c r="D127"/>
  <c r="C127"/>
  <c r="B127"/>
  <c r="A128" i="11"/>
  <c r="F127"/>
  <c r="C127"/>
  <c r="A127" i="13"/>
  <c r="F126"/>
  <c r="E126" i="9"/>
  <c r="F126" s="1"/>
  <c r="G126" s="1"/>
  <c r="B125" i="11"/>
  <c r="E124"/>
  <c r="D124" s="1"/>
  <c r="G124"/>
  <c r="C128" l="1"/>
  <c r="F128"/>
  <c r="A129"/>
  <c r="F127" i="13"/>
  <c r="A128"/>
  <c r="E127" i="9"/>
  <c r="F127" s="1"/>
  <c r="G127" s="1"/>
  <c r="A129"/>
  <c r="D128"/>
  <c r="C128"/>
  <c r="B128"/>
  <c r="G125" i="11"/>
  <c r="B126"/>
  <c r="E125"/>
  <c r="D125" s="1"/>
  <c r="G124" i="13"/>
  <c r="E124"/>
  <c r="D124" s="1"/>
  <c r="C124" s="1"/>
  <c r="B125"/>
  <c r="E128" i="9" l="1"/>
  <c r="F128" s="1"/>
  <c r="G128" s="1"/>
  <c r="F129" i="11"/>
  <c r="A130"/>
  <c r="C129"/>
  <c r="G125" i="13"/>
  <c r="E125"/>
  <c r="D125" s="1"/>
  <c r="C125" s="1"/>
  <c r="B126"/>
  <c r="G126" i="11"/>
  <c r="B127"/>
  <c r="E126"/>
  <c r="D126" s="1"/>
  <c r="F128" i="13"/>
  <c r="A129"/>
  <c r="B129" i="9"/>
  <c r="A130"/>
  <c r="D129"/>
  <c r="C129"/>
  <c r="A130" i="13" l="1"/>
  <c r="F129"/>
  <c r="B127"/>
  <c r="E126"/>
  <c r="D126" s="1"/>
  <c r="C126" s="1"/>
  <c r="G126"/>
  <c r="C130" i="11"/>
  <c r="A131"/>
  <c r="F130"/>
  <c r="C130" i="9"/>
  <c r="B130"/>
  <c r="A131"/>
  <c r="D130"/>
  <c r="E129"/>
  <c r="F129" s="1"/>
  <c r="G129" s="1"/>
  <c r="E127" i="11"/>
  <c r="D127" s="1"/>
  <c r="B128"/>
  <c r="G127"/>
  <c r="B129" l="1"/>
  <c r="E128"/>
  <c r="D128" s="1"/>
  <c r="G128"/>
  <c r="A132" i="9"/>
  <c r="D131"/>
  <c r="C131"/>
  <c r="B131"/>
  <c r="A132" i="11"/>
  <c r="F131"/>
  <c r="C131"/>
  <c r="B128" i="13"/>
  <c r="E127"/>
  <c r="D127" s="1"/>
  <c r="C127" s="1"/>
  <c r="G127"/>
  <c r="E130" i="9"/>
  <c r="F130" s="1"/>
  <c r="G130" s="1"/>
  <c r="A131" i="13"/>
  <c r="F130"/>
  <c r="F131" l="1"/>
  <c r="A132"/>
  <c r="C132" i="11"/>
  <c r="F132"/>
  <c r="A133"/>
  <c r="B132" i="9"/>
  <c r="D132"/>
  <c r="A133"/>
  <c r="C132"/>
  <c r="G128" i="13"/>
  <c r="B129"/>
  <c r="E128"/>
  <c r="D128" s="1"/>
  <c r="C128" s="1"/>
  <c r="E131" i="9"/>
  <c r="F131" s="1"/>
  <c r="G131" s="1"/>
  <c r="G129" i="11"/>
  <c r="B130"/>
  <c r="E129"/>
  <c r="D129" s="1"/>
  <c r="F132" i="13" l="1"/>
  <c r="A133"/>
  <c r="F133" i="11"/>
  <c r="A134"/>
  <c r="C133"/>
  <c r="C133" i="9"/>
  <c r="D133"/>
  <c r="A134"/>
  <c r="B133"/>
  <c r="E132"/>
  <c r="F132" s="1"/>
  <c r="G132" s="1"/>
  <c r="G130" i="11"/>
  <c r="B131"/>
  <c r="E130"/>
  <c r="D130" s="1"/>
  <c r="G129" i="13"/>
  <c r="B130"/>
  <c r="E129"/>
  <c r="D129" s="1"/>
  <c r="C129" s="1"/>
  <c r="A134" l="1"/>
  <c r="F133"/>
  <c r="B132" i="11"/>
  <c r="E131"/>
  <c r="D131" s="1"/>
  <c r="G131"/>
  <c r="B131" i="13"/>
  <c r="E130"/>
  <c r="D130" s="1"/>
  <c r="C130" s="1"/>
  <c r="G130"/>
  <c r="A135" i="9"/>
  <c r="D134"/>
  <c r="C134"/>
  <c r="B134"/>
  <c r="C134" i="11"/>
  <c r="A135"/>
  <c r="F134"/>
  <c r="E133" i="9"/>
  <c r="F133" s="1"/>
  <c r="G133" s="1"/>
  <c r="B132" i="13" l="1"/>
  <c r="E131"/>
  <c r="D131" s="1"/>
  <c r="C131" s="1"/>
  <c r="G131"/>
  <c r="E134" i="9"/>
  <c r="F134" s="1"/>
  <c r="G134" s="1"/>
  <c r="B133" i="11"/>
  <c r="E132"/>
  <c r="D132" s="1"/>
  <c r="G132"/>
  <c r="A136"/>
  <c r="F135"/>
  <c r="C135"/>
  <c r="B135" i="9"/>
  <c r="D135"/>
  <c r="A136"/>
  <c r="C135"/>
  <c r="A135" i="13"/>
  <c r="F134"/>
  <c r="G132" l="1"/>
  <c r="E132"/>
  <c r="D132" s="1"/>
  <c r="C132" s="1"/>
  <c r="B133"/>
  <c r="F135"/>
  <c r="A136"/>
  <c r="B136" i="9"/>
  <c r="D136"/>
  <c r="A137"/>
  <c r="C136"/>
  <c r="G133" i="11"/>
  <c r="E133"/>
  <c r="D133" s="1"/>
  <c r="B134"/>
  <c r="C136"/>
  <c r="F136"/>
  <c r="A137"/>
  <c r="E135" i="9"/>
  <c r="F135" s="1"/>
  <c r="G135" s="1"/>
  <c r="F137" i="11" l="1"/>
  <c r="A138"/>
  <c r="C137"/>
  <c r="G133" i="13"/>
  <c r="B134"/>
  <c r="E133"/>
  <c r="D133" s="1"/>
  <c r="C133" s="1"/>
  <c r="E136" i="9"/>
  <c r="F136" s="1"/>
  <c r="G136" s="1"/>
  <c r="F136" i="13"/>
  <c r="A137"/>
  <c r="G134" i="11"/>
  <c r="B135"/>
  <c r="E134"/>
  <c r="D134" s="1"/>
  <c r="C137" i="9"/>
  <c r="D137"/>
  <c r="A138"/>
  <c r="B137"/>
  <c r="A138" i="13" l="1"/>
  <c r="F137"/>
  <c r="E137" i="9"/>
  <c r="F137" s="1"/>
  <c r="G137" s="1"/>
  <c r="B135" i="13"/>
  <c r="E134"/>
  <c r="D134" s="1"/>
  <c r="C134" s="1"/>
  <c r="G134"/>
  <c r="C138" i="11"/>
  <c r="A139"/>
  <c r="F138"/>
  <c r="A139" i="9"/>
  <c r="D138"/>
  <c r="B138"/>
  <c r="C138"/>
  <c r="E135" i="11"/>
  <c r="D135" s="1"/>
  <c r="B136"/>
  <c r="G135"/>
  <c r="A140" l="1"/>
  <c r="F139"/>
  <c r="C139"/>
  <c r="D139" i="9"/>
  <c r="A140"/>
  <c r="C139"/>
  <c r="B139"/>
  <c r="E138"/>
  <c r="F138" s="1"/>
  <c r="G138" s="1"/>
  <c r="B136" i="13"/>
  <c r="E135"/>
  <c r="D135" s="1"/>
  <c r="C135" s="1"/>
  <c r="G135"/>
  <c r="A139"/>
  <c r="F138"/>
  <c r="B137" i="11"/>
  <c r="E136"/>
  <c r="D136" s="1"/>
  <c r="G136"/>
  <c r="G136" i="13" l="1"/>
  <c r="B137"/>
  <c r="E136"/>
  <c r="D136" s="1"/>
  <c r="C136" s="1"/>
  <c r="G137" i="11"/>
  <c r="B138"/>
  <c r="E137"/>
  <c r="D137" s="1"/>
  <c r="E139" i="9"/>
  <c r="F139" s="1"/>
  <c r="G139" s="1"/>
  <c r="F139" i="13"/>
  <c r="A140"/>
  <c r="B140" i="9"/>
  <c r="D140"/>
  <c r="A141"/>
  <c r="C140"/>
  <c r="C140" i="11"/>
  <c r="F140"/>
  <c r="A141"/>
  <c r="C141" i="9" l="1"/>
  <c r="A142"/>
  <c r="B141"/>
  <c r="D141"/>
  <c r="G137" i="13"/>
  <c r="B138"/>
  <c r="E137"/>
  <c r="D137" s="1"/>
  <c r="C137" s="1"/>
  <c r="E140" i="9"/>
  <c r="F140" s="1"/>
  <c r="G140" s="1"/>
  <c r="F141" i="11"/>
  <c r="A142"/>
  <c r="C141"/>
  <c r="G138"/>
  <c r="B139"/>
  <c r="E138"/>
  <c r="D138" s="1"/>
  <c r="F140" i="13"/>
  <c r="A141"/>
  <c r="B140" i="11" l="1"/>
  <c r="E139"/>
  <c r="D139" s="1"/>
  <c r="G139"/>
  <c r="B139" i="13"/>
  <c r="E138"/>
  <c r="D138" s="1"/>
  <c r="C138" s="1"/>
  <c r="G138"/>
  <c r="A142"/>
  <c r="F141"/>
  <c r="A143" i="9"/>
  <c r="D142"/>
  <c r="C142"/>
  <c r="B142"/>
  <c r="C142" i="11"/>
  <c r="A143"/>
  <c r="F142"/>
  <c r="E141" i="9"/>
  <c r="F141" s="1"/>
  <c r="G141" s="1"/>
  <c r="A143" i="13" l="1"/>
  <c r="F142"/>
  <c r="B140"/>
  <c r="E139"/>
  <c r="D139" s="1"/>
  <c r="C139" s="1"/>
  <c r="G139"/>
  <c r="D143" i="9"/>
  <c r="A144"/>
  <c r="C143"/>
  <c r="B143"/>
  <c r="E142"/>
  <c r="F142" s="1"/>
  <c r="G142" s="1"/>
  <c r="B141" i="11"/>
  <c r="E140"/>
  <c r="D140" s="1"/>
  <c r="G140"/>
  <c r="A144"/>
  <c r="F143"/>
  <c r="C143"/>
  <c r="E143" i="9" l="1"/>
  <c r="F143" s="1"/>
  <c r="G143" s="1"/>
  <c r="G141" i="11"/>
  <c r="B142"/>
  <c r="E141"/>
  <c r="D141" s="1"/>
  <c r="C144"/>
  <c r="F144"/>
  <c r="A145"/>
  <c r="B144" i="9"/>
  <c r="A145"/>
  <c r="C144"/>
  <c r="D144"/>
  <c r="G140" i="13"/>
  <c r="E140"/>
  <c r="D140" s="1"/>
  <c r="C140" s="1"/>
  <c r="B141"/>
  <c r="F143"/>
  <c r="A144"/>
  <c r="F144" l="1"/>
  <c r="A145"/>
  <c r="E144" i="9"/>
  <c r="F144" s="1"/>
  <c r="G144" s="1"/>
  <c r="F145" i="11"/>
  <c r="A146"/>
  <c r="C145"/>
  <c r="G141" i="13"/>
  <c r="E141"/>
  <c r="D141" s="1"/>
  <c r="C141" s="1"/>
  <c r="B142"/>
  <c r="G142" i="11"/>
  <c r="B143"/>
  <c r="E142"/>
  <c r="D142" s="1"/>
  <c r="C145" i="9"/>
  <c r="D145"/>
  <c r="A146"/>
  <c r="B145"/>
  <c r="C146" i="11" l="1"/>
  <c r="A147"/>
  <c r="F146"/>
  <c r="A147" i="9"/>
  <c r="D146"/>
  <c r="C146"/>
  <c r="B146"/>
  <c r="E143" i="11"/>
  <c r="D143" s="1"/>
  <c r="B144"/>
  <c r="G143"/>
  <c r="E145" i="9"/>
  <c r="F145" s="1"/>
  <c r="G145" s="1"/>
  <c r="B143" i="13"/>
  <c r="E142"/>
  <c r="D142" s="1"/>
  <c r="C142" s="1"/>
  <c r="G142"/>
  <c r="A146"/>
  <c r="F145"/>
  <c r="B144" l="1"/>
  <c r="E143"/>
  <c r="D143" s="1"/>
  <c r="C143" s="1"/>
  <c r="G143"/>
  <c r="A148" i="11"/>
  <c r="F147"/>
  <c r="C147"/>
  <c r="A148" i="9"/>
  <c r="C147"/>
  <c r="B147"/>
  <c r="D147"/>
  <c r="E146"/>
  <c r="F146" s="1"/>
  <c r="G146" s="1"/>
  <c r="A147" i="13"/>
  <c r="F146"/>
  <c r="B145" i="11"/>
  <c r="E144"/>
  <c r="D144" s="1"/>
  <c r="G144"/>
  <c r="C148" l="1"/>
  <c r="F148"/>
  <c r="A149"/>
  <c r="G145"/>
  <c r="B146"/>
  <c r="E145"/>
  <c r="D145" s="1"/>
  <c r="B148" i="9"/>
  <c r="D148"/>
  <c r="A149"/>
  <c r="C148"/>
  <c r="F147" i="13"/>
  <c r="A148"/>
  <c r="E147" i="9"/>
  <c r="F147" s="1"/>
  <c r="G147" s="1"/>
  <c r="G144" i="13"/>
  <c r="B145"/>
  <c r="E144"/>
  <c r="D144" s="1"/>
  <c r="C144" s="1"/>
  <c r="G145" l="1"/>
  <c r="E145"/>
  <c r="D145" s="1"/>
  <c r="C145" s="1"/>
  <c r="B146"/>
  <c r="C149" i="9"/>
  <c r="D149"/>
  <c r="A150"/>
  <c r="B149"/>
  <c r="F148" i="13"/>
  <c r="A149"/>
  <c r="G146" i="11"/>
  <c r="B147"/>
  <c r="E146"/>
  <c r="D146" s="1"/>
  <c r="E148" i="9"/>
  <c r="F148" s="1"/>
  <c r="G148" s="1"/>
  <c r="F149" i="11"/>
  <c r="A150"/>
  <c r="C149"/>
  <c r="A150" i="13" l="1"/>
  <c r="F149"/>
  <c r="B148" i="11"/>
  <c r="E147"/>
  <c r="D147" s="1"/>
  <c r="G147"/>
  <c r="E149" i="9"/>
  <c r="F149" s="1"/>
  <c r="G149" s="1"/>
  <c r="B147" i="13"/>
  <c r="E146"/>
  <c r="D146" s="1"/>
  <c r="C146" s="1"/>
  <c r="G146"/>
  <c r="A151" i="9"/>
  <c r="D150"/>
  <c r="C150"/>
  <c r="B150"/>
  <c r="C150" i="11"/>
  <c r="A151"/>
  <c r="F150"/>
  <c r="C151" i="9" l="1"/>
  <c r="D151"/>
  <c r="B151"/>
  <c r="A152"/>
  <c r="B149" i="11"/>
  <c r="E148"/>
  <c r="D148" s="1"/>
  <c r="G148"/>
  <c r="E150" i="9"/>
  <c r="F150" s="1"/>
  <c r="G150" s="1"/>
  <c r="A152" i="11"/>
  <c r="F151"/>
  <c r="C151"/>
  <c r="B148" i="13"/>
  <c r="E147"/>
  <c r="D147" s="1"/>
  <c r="C147" s="1"/>
  <c r="G147"/>
  <c r="A151"/>
  <c r="F150"/>
  <c r="G148" l="1"/>
  <c r="E148"/>
  <c r="D148" s="1"/>
  <c r="C148" s="1"/>
  <c r="B149"/>
  <c r="G149" i="11"/>
  <c r="E149"/>
  <c r="D149" s="1"/>
  <c r="B150"/>
  <c r="F151" i="13"/>
  <c r="A152"/>
  <c r="A153" i="9"/>
  <c r="D152"/>
  <c r="B152"/>
  <c r="C152"/>
  <c r="E151"/>
  <c r="F151" s="1"/>
  <c r="G151" s="1"/>
  <c r="C152" i="11"/>
  <c r="F152"/>
  <c r="A153"/>
  <c r="G150" l="1"/>
  <c r="B151"/>
  <c r="E150"/>
  <c r="D150" s="1"/>
  <c r="F153"/>
  <c r="A154"/>
  <c r="C153"/>
  <c r="C153" i="9"/>
  <c r="D153"/>
  <c r="B153"/>
  <c r="A154"/>
  <c r="F152" i="13"/>
  <c r="A153"/>
  <c r="E152" i="9"/>
  <c r="F152" s="1"/>
  <c r="G152" s="1"/>
  <c r="G149" i="13"/>
  <c r="B150"/>
  <c r="E149"/>
  <c r="D149" s="1"/>
  <c r="C149" s="1"/>
  <c r="B154" i="9" l="1"/>
  <c r="A155"/>
  <c r="D154"/>
  <c r="C154"/>
  <c r="E151" i="11"/>
  <c r="D151" s="1"/>
  <c r="B152"/>
  <c r="G151"/>
  <c r="E153" i="9"/>
  <c r="F153" s="1"/>
  <c r="G153" s="1"/>
  <c r="C154" i="11"/>
  <c r="A155"/>
  <c r="F154"/>
  <c r="B151" i="13"/>
  <c r="E150"/>
  <c r="D150" s="1"/>
  <c r="C150" s="1"/>
  <c r="G150"/>
  <c r="A154"/>
  <c r="F153"/>
  <c r="A156" i="11" l="1"/>
  <c r="F155"/>
  <c r="C155"/>
  <c r="B153"/>
  <c r="E152"/>
  <c r="D152" s="1"/>
  <c r="G152"/>
  <c r="C155" i="9"/>
  <c r="A156"/>
  <c r="D155"/>
  <c r="B155"/>
  <c r="B152" i="13"/>
  <c r="E151"/>
  <c r="D151" s="1"/>
  <c r="C151" s="1"/>
  <c r="G151"/>
  <c r="E154" i="9"/>
  <c r="F154" s="1"/>
  <c r="G154" s="1"/>
  <c r="A155" i="13"/>
  <c r="F154"/>
  <c r="G152" l="1"/>
  <c r="B153"/>
  <c r="E152"/>
  <c r="D152" s="1"/>
  <c r="C152" s="1"/>
  <c r="E155" i="9"/>
  <c r="F155" s="1"/>
  <c r="G155" s="1"/>
  <c r="F155" i="13"/>
  <c r="A156"/>
  <c r="A157" i="9"/>
  <c r="D156"/>
  <c r="B156"/>
  <c r="C156"/>
  <c r="G153" i="11"/>
  <c r="B154"/>
  <c r="E153"/>
  <c r="D153" s="1"/>
  <c r="C156"/>
  <c r="F156"/>
  <c r="A157"/>
  <c r="F156" i="13" l="1"/>
  <c r="A157"/>
  <c r="E156" i="9"/>
  <c r="F156" s="1"/>
  <c r="G156" s="1"/>
  <c r="F157" i="11"/>
  <c r="A158"/>
  <c r="C157"/>
  <c r="G154"/>
  <c r="B155"/>
  <c r="E154"/>
  <c r="D154" s="1"/>
  <c r="G153" i="13"/>
  <c r="E153"/>
  <c r="D153" s="1"/>
  <c r="C153" s="1"/>
  <c r="B154"/>
  <c r="C157" i="9"/>
  <c r="B157"/>
  <c r="A158"/>
  <c r="D157"/>
  <c r="B155" i="13" l="1"/>
  <c r="E154"/>
  <c r="D154" s="1"/>
  <c r="C154" s="1"/>
  <c r="G154"/>
  <c r="B158" i="9"/>
  <c r="A159"/>
  <c r="D158"/>
  <c r="C158"/>
  <c r="E157"/>
  <c r="F157" s="1"/>
  <c r="G157" s="1"/>
  <c r="C158" i="11"/>
  <c r="A159"/>
  <c r="F158"/>
  <c r="A158" i="13"/>
  <c r="F157"/>
  <c r="B156" i="11"/>
  <c r="E155"/>
  <c r="D155" s="1"/>
  <c r="G155"/>
  <c r="B157" l="1"/>
  <c r="E156"/>
  <c r="D156" s="1"/>
  <c r="G156"/>
  <c r="E158" i="9"/>
  <c r="F158" s="1"/>
  <c r="G158" s="1"/>
  <c r="A160" i="11"/>
  <c r="F159"/>
  <c r="C159"/>
  <c r="A159" i="13"/>
  <c r="F158"/>
  <c r="C159" i="9"/>
  <c r="D159"/>
  <c r="B159"/>
  <c r="A160"/>
  <c r="B156" i="13"/>
  <c r="E155"/>
  <c r="D155" s="1"/>
  <c r="C155" s="1"/>
  <c r="G155"/>
  <c r="E159" i="9" l="1"/>
  <c r="F159" s="1"/>
  <c r="G159" s="1"/>
  <c r="G156" i="13"/>
  <c r="B157"/>
  <c r="E156"/>
  <c r="D156" s="1"/>
  <c r="C156" s="1"/>
  <c r="F159"/>
  <c r="A160"/>
  <c r="C160" i="11"/>
  <c r="F160"/>
  <c r="A161"/>
  <c r="G157"/>
  <c r="B158"/>
  <c r="E157"/>
  <c r="D157" s="1"/>
  <c r="A161" i="9"/>
  <c r="D160"/>
  <c r="B160"/>
  <c r="C160"/>
  <c r="E160" l="1"/>
  <c r="F160" s="1"/>
  <c r="G160" s="1"/>
  <c r="F160" i="13"/>
  <c r="A161"/>
  <c r="G158" i="11"/>
  <c r="B159"/>
  <c r="E158"/>
  <c r="D158" s="1"/>
  <c r="G157" i="13"/>
  <c r="B158"/>
  <c r="E157"/>
  <c r="D157" s="1"/>
  <c r="C157" s="1"/>
  <c r="C161" i="9"/>
  <c r="D161"/>
  <c r="B161"/>
  <c r="A162"/>
  <c r="F161" i="11"/>
  <c r="A162"/>
  <c r="C161"/>
  <c r="B159" i="13" l="1"/>
  <c r="E158"/>
  <c r="D158" s="1"/>
  <c r="C158" s="1"/>
  <c r="G158"/>
  <c r="A162"/>
  <c r="F161"/>
  <c r="E161" i="9"/>
  <c r="F161" s="1"/>
  <c r="G161" s="1"/>
  <c r="C162" i="11"/>
  <c r="A163"/>
  <c r="F162"/>
  <c r="B162" i="9"/>
  <c r="A163"/>
  <c r="D162"/>
  <c r="C162"/>
  <c r="E159" i="11"/>
  <c r="D159" s="1"/>
  <c r="B160"/>
  <c r="G159"/>
  <c r="F162" i="9" l="1"/>
  <c r="G162" s="1"/>
  <c r="E162"/>
  <c r="A164" i="11"/>
  <c r="F163"/>
  <c r="C163"/>
  <c r="B161"/>
  <c r="E160"/>
  <c r="D160" s="1"/>
  <c r="G160"/>
  <c r="C163" i="9"/>
  <c r="A164"/>
  <c r="D163"/>
  <c r="B163"/>
  <c r="A163" i="13"/>
  <c r="F162"/>
  <c r="B160"/>
  <c r="E159"/>
  <c r="D159" s="1"/>
  <c r="C159" s="1"/>
  <c r="G159"/>
  <c r="E163" i="9" l="1"/>
  <c r="G160" i="13"/>
  <c r="E160"/>
  <c r="D160" s="1"/>
  <c r="C160" s="1"/>
  <c r="B161"/>
  <c r="F163" i="9"/>
  <c r="G163" s="1"/>
  <c r="C164" i="11"/>
  <c r="F164"/>
  <c r="A165"/>
  <c r="A165" i="9"/>
  <c r="D164"/>
  <c r="B164"/>
  <c r="C164"/>
  <c r="G161" i="11"/>
  <c r="B162"/>
  <c r="E161"/>
  <c r="D161" s="1"/>
  <c r="F163" i="13"/>
  <c r="A164"/>
  <c r="G161" l="1"/>
  <c r="E161"/>
  <c r="D161" s="1"/>
  <c r="C161" s="1"/>
  <c r="B162"/>
  <c r="E164" i="9"/>
  <c r="F164" i="13"/>
  <c r="A165"/>
  <c r="C165" i="9"/>
  <c r="B165"/>
  <c r="A166"/>
  <c r="D165"/>
  <c r="F165" i="11"/>
  <c r="A166"/>
  <c r="C165"/>
  <c r="G162"/>
  <c r="B163"/>
  <c r="E162"/>
  <c r="D162" s="1"/>
  <c r="F164" i="9"/>
  <c r="G164" s="1"/>
  <c r="E165" l="1"/>
  <c r="B166"/>
  <c r="A167"/>
  <c r="D166"/>
  <c r="C166"/>
  <c r="C166" i="11"/>
  <c r="A167"/>
  <c r="F166"/>
  <c r="B164"/>
  <c r="E163"/>
  <c r="D163" s="1"/>
  <c r="G163"/>
  <c r="F165" i="9"/>
  <c r="G165" s="1"/>
  <c r="A166" i="13"/>
  <c r="F165"/>
  <c r="B163"/>
  <c r="E162"/>
  <c r="D162" s="1"/>
  <c r="C162" s="1"/>
  <c r="G162"/>
  <c r="A167" l="1"/>
  <c r="F166"/>
  <c r="B164"/>
  <c r="E163"/>
  <c r="D163" s="1"/>
  <c r="C163" s="1"/>
  <c r="G163"/>
  <c r="A168" i="11"/>
  <c r="F167"/>
  <c r="C167"/>
  <c r="C167" i="9"/>
  <c r="D167"/>
  <c r="B167"/>
  <c r="A168"/>
  <c r="B165" i="11"/>
  <c r="E164"/>
  <c r="D164" s="1"/>
  <c r="G164"/>
  <c r="E166" i="9"/>
  <c r="F166" s="1"/>
  <c r="G166" s="1"/>
  <c r="A169" l="1"/>
  <c r="D168"/>
  <c r="B168"/>
  <c r="C168"/>
  <c r="E167"/>
  <c r="G164" i="13"/>
  <c r="B165"/>
  <c r="E164"/>
  <c r="D164" s="1"/>
  <c r="C164" s="1"/>
  <c r="F167" i="9"/>
  <c r="G167" s="1"/>
  <c r="C168" i="11"/>
  <c r="F168"/>
  <c r="A169"/>
  <c r="G165"/>
  <c r="E165"/>
  <c r="D165" s="1"/>
  <c r="B166"/>
  <c r="F167" i="13"/>
  <c r="A168"/>
  <c r="F168" l="1"/>
  <c r="A169"/>
  <c r="C169" i="9"/>
  <c r="D169"/>
  <c r="B169"/>
  <c r="A170"/>
  <c r="G166" i="11"/>
  <c r="B167"/>
  <c r="E166"/>
  <c r="D166" s="1"/>
  <c r="G165" i="13"/>
  <c r="B166"/>
  <c r="E165"/>
  <c r="D165" s="1"/>
  <c r="C165" s="1"/>
  <c r="F169" i="11"/>
  <c r="A170"/>
  <c r="C169"/>
  <c r="E168" i="9"/>
  <c r="F168" s="1"/>
  <c r="G168" s="1"/>
  <c r="E169" l="1"/>
  <c r="F169" s="1"/>
  <c r="G169" s="1"/>
  <c r="A170" i="13"/>
  <c r="F169"/>
  <c r="E167" i="11"/>
  <c r="D167" s="1"/>
  <c r="B168"/>
  <c r="G167"/>
  <c r="B167" i="13"/>
  <c r="E166"/>
  <c r="D166" s="1"/>
  <c r="C166" s="1"/>
  <c r="G166"/>
  <c r="C170" i="11"/>
  <c r="A171"/>
  <c r="F170"/>
  <c r="B170" i="9"/>
  <c r="A171"/>
  <c r="D170"/>
  <c r="C170"/>
  <c r="C171" l="1"/>
  <c r="A172"/>
  <c r="D171"/>
  <c r="B171"/>
  <c r="A171" i="13"/>
  <c r="F170"/>
  <c r="A172" i="11"/>
  <c r="F171"/>
  <c r="C171"/>
  <c r="B168" i="13"/>
  <c r="E167"/>
  <c r="D167" s="1"/>
  <c r="C167" s="1"/>
  <c r="G167"/>
  <c r="E170" i="9"/>
  <c r="F170" s="1"/>
  <c r="G170" s="1"/>
  <c r="B169" i="11"/>
  <c r="E168"/>
  <c r="D168" s="1"/>
  <c r="G168"/>
  <c r="A173" i="9" l="1"/>
  <c r="D172"/>
  <c r="B172"/>
  <c r="C172"/>
  <c r="F171" i="13"/>
  <c r="A172"/>
  <c r="C172" i="11"/>
  <c r="F172"/>
  <c r="A173"/>
  <c r="E171" i="9"/>
  <c r="F171" s="1"/>
  <c r="G171" s="1"/>
  <c r="G169" i="11"/>
  <c r="B170"/>
  <c r="E169"/>
  <c r="D169" s="1"/>
  <c r="G168" i="13"/>
  <c r="E168"/>
  <c r="D168" s="1"/>
  <c r="C168" s="1"/>
  <c r="B169"/>
  <c r="G169" l="1"/>
  <c r="E169"/>
  <c r="D169" s="1"/>
  <c r="C169" s="1"/>
  <c r="B170"/>
  <c r="F172"/>
  <c r="A173"/>
  <c r="G170" i="11"/>
  <c r="B171"/>
  <c r="E170"/>
  <c r="D170" s="1"/>
  <c r="F173"/>
  <c r="A174"/>
  <c r="C173"/>
  <c r="C173" i="9"/>
  <c r="B173"/>
  <c r="A174"/>
  <c r="D173"/>
  <c r="E172"/>
  <c r="F172" s="1"/>
  <c r="G172" s="1"/>
  <c r="E173" l="1"/>
  <c r="F173" s="1"/>
  <c r="G173" s="1"/>
  <c r="A174" i="13"/>
  <c r="F173"/>
  <c r="B172" i="11"/>
  <c r="E171"/>
  <c r="D171" s="1"/>
  <c r="G171"/>
  <c r="B171" i="13"/>
  <c r="E170"/>
  <c r="D170" s="1"/>
  <c r="C170" s="1"/>
  <c r="G170"/>
  <c r="B174" i="9"/>
  <c r="A175"/>
  <c r="D174"/>
  <c r="C174"/>
  <c r="C174" i="11"/>
  <c r="A175"/>
  <c r="F174"/>
  <c r="C175" i="9" l="1"/>
  <c r="D175"/>
  <c r="B175"/>
  <c r="A176"/>
  <c r="E174"/>
  <c r="F174" s="1"/>
  <c r="G174" s="1"/>
  <c r="B173" i="11"/>
  <c r="E172"/>
  <c r="D172" s="1"/>
  <c r="G172"/>
  <c r="A176"/>
  <c r="F175"/>
  <c r="C175"/>
  <c r="B172" i="13"/>
  <c r="E171"/>
  <c r="D171" s="1"/>
  <c r="C171" s="1"/>
  <c r="G171"/>
  <c r="A175"/>
  <c r="F174"/>
  <c r="G173" i="11" l="1"/>
  <c r="B174"/>
  <c r="E173"/>
  <c r="D173" s="1"/>
  <c r="A177" i="9"/>
  <c r="D176"/>
  <c r="B176"/>
  <c r="C176"/>
  <c r="G172" i="13"/>
  <c r="B173"/>
  <c r="E172"/>
  <c r="D172" s="1"/>
  <c r="C172" s="1"/>
  <c r="F175"/>
  <c r="A176"/>
  <c r="C176" i="11"/>
  <c r="F176"/>
  <c r="A177"/>
  <c r="E175" i="9"/>
  <c r="F175" s="1"/>
  <c r="G175" s="1"/>
  <c r="E176" l="1"/>
  <c r="F176" s="1"/>
  <c r="G176" s="1"/>
  <c r="G174" i="11"/>
  <c r="B175"/>
  <c r="E174"/>
  <c r="D174" s="1"/>
  <c r="F177"/>
  <c r="A178"/>
  <c r="C177"/>
  <c r="G173" i="13"/>
  <c r="B174"/>
  <c r="E173"/>
  <c r="D173" s="1"/>
  <c r="C173" s="1"/>
  <c r="F176"/>
  <c r="A177"/>
  <c r="C177" i="9"/>
  <c r="D177"/>
  <c r="B177"/>
  <c r="A178"/>
  <c r="A178" i="13" l="1"/>
  <c r="F177"/>
  <c r="E175" i="11"/>
  <c r="D175" s="1"/>
  <c r="B176"/>
  <c r="G175"/>
  <c r="C178"/>
  <c r="A179"/>
  <c r="F178"/>
  <c r="B178" i="9"/>
  <c r="A179"/>
  <c r="D178"/>
  <c r="C178"/>
  <c r="B175" i="13"/>
  <c r="E174"/>
  <c r="D174" s="1"/>
  <c r="C174" s="1"/>
  <c r="G174"/>
  <c r="E177" i="9"/>
  <c r="F177" s="1"/>
  <c r="G177" s="1"/>
  <c r="B176" i="13" l="1"/>
  <c r="E175"/>
  <c r="D175" s="1"/>
  <c r="C175" s="1"/>
  <c r="G175"/>
  <c r="B177" i="11"/>
  <c r="E176"/>
  <c r="D176" s="1"/>
  <c r="G176"/>
  <c r="A180"/>
  <c r="F179"/>
  <c r="C179"/>
  <c r="E178" i="9"/>
  <c r="F178" s="1"/>
  <c r="G178" s="1"/>
  <c r="A179" i="13"/>
  <c r="F178"/>
  <c r="C179" i="9"/>
  <c r="A180"/>
  <c r="D179"/>
  <c r="B179"/>
  <c r="E179" l="1"/>
  <c r="F179" s="1"/>
  <c r="G179" s="1"/>
  <c r="F179" i="13"/>
  <c r="A180"/>
  <c r="A181" i="9"/>
  <c r="D180"/>
  <c r="B180"/>
  <c r="C180"/>
  <c r="C180" i="11"/>
  <c r="F180"/>
  <c r="A181"/>
  <c r="G177"/>
  <c r="B178"/>
  <c r="E177"/>
  <c r="D177" s="1"/>
  <c r="G176" i="13"/>
  <c r="E176"/>
  <c r="D176" s="1"/>
  <c r="C176" s="1"/>
  <c r="B177"/>
  <c r="G177" l="1"/>
  <c r="E177"/>
  <c r="D177" s="1"/>
  <c r="C177" s="1"/>
  <c r="B178"/>
  <c r="F180"/>
  <c r="A181"/>
  <c r="F181" i="11"/>
  <c r="A182"/>
  <c r="C181"/>
  <c r="E180" i="9"/>
  <c r="F180" s="1"/>
  <c r="G180" s="1"/>
  <c r="G178" i="11"/>
  <c r="B179"/>
  <c r="E178"/>
  <c r="D178" s="1"/>
  <c r="C181" i="9"/>
  <c r="B181"/>
  <c r="A182"/>
  <c r="D181"/>
  <c r="B180" i="11" l="1"/>
  <c r="E179"/>
  <c r="D179" s="1"/>
  <c r="G179"/>
  <c r="A182" i="13"/>
  <c r="F181"/>
  <c r="E181" i="9"/>
  <c r="F181" s="1"/>
  <c r="G181" s="1"/>
  <c r="B182"/>
  <c r="A183"/>
  <c r="D182"/>
  <c r="C182"/>
  <c r="C182" i="11"/>
  <c r="A183"/>
  <c r="F182"/>
  <c r="B179" i="13"/>
  <c r="E178"/>
  <c r="D178" s="1"/>
  <c r="C178" s="1"/>
  <c r="G178"/>
  <c r="A184" i="11" l="1"/>
  <c r="F183"/>
  <c r="C183"/>
  <c r="C183" i="9"/>
  <c r="D183"/>
  <c r="B183"/>
  <c r="A184"/>
  <c r="B181" i="11"/>
  <c r="E180"/>
  <c r="D180" s="1"/>
  <c r="G180"/>
  <c r="B180" i="13"/>
  <c r="E179"/>
  <c r="D179" s="1"/>
  <c r="C179" s="1"/>
  <c r="G179"/>
  <c r="F182" i="9"/>
  <c r="G182" s="1"/>
  <c r="E182"/>
  <c r="A183" i="13"/>
  <c r="F182"/>
  <c r="E183" i="9" l="1"/>
  <c r="F183" s="1"/>
  <c r="G183" s="1"/>
  <c r="F183" i="13"/>
  <c r="A184"/>
  <c r="G181" i="11"/>
  <c r="E181"/>
  <c r="D181" s="1"/>
  <c r="B182"/>
  <c r="G180" i="13"/>
  <c r="B181"/>
  <c r="E180"/>
  <c r="D180" s="1"/>
  <c r="C180" s="1"/>
  <c r="A185" i="9"/>
  <c r="D184"/>
  <c r="B184"/>
  <c r="C184"/>
  <c r="C184" i="11"/>
  <c r="F184"/>
  <c r="A185"/>
  <c r="F184" i="13" l="1"/>
  <c r="A185"/>
  <c r="F185" i="11"/>
  <c r="A186"/>
  <c r="C185"/>
  <c r="E184" i="9"/>
  <c r="F184" s="1"/>
  <c r="G184" s="1"/>
  <c r="G181" i="13"/>
  <c r="B182"/>
  <c r="E181"/>
  <c r="D181" s="1"/>
  <c r="C181" s="1"/>
  <c r="C185" i="9"/>
  <c r="D185"/>
  <c r="B185"/>
  <c r="A186"/>
  <c r="G182" i="11"/>
  <c r="B183"/>
  <c r="E182"/>
  <c r="D182" s="1"/>
  <c r="E185" i="9" l="1"/>
  <c r="F185" s="1"/>
  <c r="G185" s="1"/>
  <c r="C186" i="11"/>
  <c r="A187"/>
  <c r="F186"/>
  <c r="B183" i="13"/>
  <c r="E182"/>
  <c r="D182" s="1"/>
  <c r="C182" s="1"/>
  <c r="G182"/>
  <c r="E183" i="11"/>
  <c r="D183" s="1"/>
  <c r="B184"/>
  <c r="G183"/>
  <c r="B186" i="9"/>
  <c r="A187"/>
  <c r="D186"/>
  <c r="C186"/>
  <c r="A186" i="13"/>
  <c r="F185"/>
  <c r="C187" i="9" l="1"/>
  <c r="A188"/>
  <c r="D187"/>
  <c r="B187"/>
  <c r="A187" i="13"/>
  <c r="F186"/>
  <c r="E186" i="9"/>
  <c r="A188" i="11"/>
  <c r="F187"/>
  <c r="C187"/>
  <c r="F186" i="9"/>
  <c r="G186" s="1"/>
  <c r="B185" i="11"/>
  <c r="E184"/>
  <c r="D184" s="1"/>
  <c r="G184"/>
  <c r="B184" i="13"/>
  <c r="E183"/>
  <c r="D183" s="1"/>
  <c r="C183" s="1"/>
  <c r="G183"/>
  <c r="A189" i="9" l="1"/>
  <c r="D188"/>
  <c r="B188"/>
  <c r="C188"/>
  <c r="G184" i="13"/>
  <c r="E184"/>
  <c r="D184" s="1"/>
  <c r="C184" s="1"/>
  <c r="B185"/>
  <c r="E187" i="9"/>
  <c r="F187"/>
  <c r="G187" s="1"/>
  <c r="G185" i="11"/>
  <c r="B186"/>
  <c r="E185"/>
  <c r="D185" s="1"/>
  <c r="C188"/>
  <c r="F188"/>
  <c r="A189"/>
  <c r="F187" i="13"/>
  <c r="A188"/>
  <c r="F188" l="1"/>
  <c r="A189"/>
  <c r="F189" i="11"/>
  <c r="A190"/>
  <c r="C189"/>
  <c r="G186"/>
  <c r="B187"/>
  <c r="E186"/>
  <c r="D186" s="1"/>
  <c r="G185" i="13"/>
  <c r="E185"/>
  <c r="D185" s="1"/>
  <c r="C185" s="1"/>
  <c r="B186"/>
  <c r="E188" i="9"/>
  <c r="F188" s="1"/>
  <c r="G188" s="1"/>
  <c r="C189"/>
  <c r="B189"/>
  <c r="A190"/>
  <c r="D189"/>
  <c r="A190" i="13" l="1"/>
  <c r="F189"/>
  <c r="B190" i="9"/>
  <c r="A191"/>
  <c r="D190"/>
  <c r="C190"/>
  <c r="E189"/>
  <c r="F189" s="1"/>
  <c r="G189" s="1"/>
  <c r="B187" i="13"/>
  <c r="E186"/>
  <c r="D186" s="1"/>
  <c r="C186" s="1"/>
  <c r="G186"/>
  <c r="B188" i="11"/>
  <c r="E187"/>
  <c r="D187" s="1"/>
  <c r="G187"/>
  <c r="C190"/>
  <c r="A191"/>
  <c r="F190"/>
  <c r="B188" i="13" l="1"/>
  <c r="E187"/>
  <c r="D187" s="1"/>
  <c r="C187" s="1"/>
  <c r="G187"/>
  <c r="E190" i="9"/>
  <c r="F190" s="1"/>
  <c r="G190" s="1"/>
  <c r="A191" i="13"/>
  <c r="F190"/>
  <c r="A192" i="11"/>
  <c r="F191"/>
  <c r="C191"/>
  <c r="B189"/>
  <c r="E188"/>
  <c r="D188" s="1"/>
  <c r="G188"/>
  <c r="C191" i="9"/>
  <c r="D191"/>
  <c r="B191"/>
  <c r="A192"/>
  <c r="A193" l="1"/>
  <c r="D192"/>
  <c r="B192"/>
  <c r="C192"/>
  <c r="G189" i="11"/>
  <c r="B190"/>
  <c r="E189"/>
  <c r="D189" s="1"/>
  <c r="F191" i="13"/>
  <c r="A192"/>
  <c r="E191" i="9"/>
  <c r="F191" s="1"/>
  <c r="G191" s="1"/>
  <c r="C192" i="11"/>
  <c r="F192"/>
  <c r="A193"/>
  <c r="G188" i="13"/>
  <c r="B189"/>
  <c r="E188"/>
  <c r="D188" s="1"/>
  <c r="C188" s="1"/>
  <c r="F192" l="1"/>
  <c r="A193"/>
  <c r="F193" i="11"/>
  <c r="A194"/>
  <c r="C193"/>
  <c r="G190"/>
  <c r="B191"/>
  <c r="E190"/>
  <c r="D190" s="1"/>
  <c r="E192" i="9"/>
  <c r="F192" s="1"/>
  <c r="G192" s="1"/>
  <c r="G189" i="13"/>
  <c r="B190"/>
  <c r="E189"/>
  <c r="D189" s="1"/>
  <c r="C189" s="1"/>
  <c r="C193" i="9"/>
  <c r="D193"/>
  <c r="B193"/>
  <c r="A194"/>
  <c r="B194" l="1"/>
  <c r="A195"/>
  <c r="D194"/>
  <c r="C194"/>
  <c r="F193"/>
  <c r="G193" s="1"/>
  <c r="E191" i="11"/>
  <c r="D191" s="1"/>
  <c r="B192"/>
  <c r="G191"/>
  <c r="A194" i="13"/>
  <c r="F193"/>
  <c r="E193" i="9"/>
  <c r="B191" i="13"/>
  <c r="E190"/>
  <c r="D190" s="1"/>
  <c r="C190" s="1"/>
  <c r="G190"/>
  <c r="C194" i="11"/>
  <c r="A195"/>
  <c r="F194"/>
  <c r="B192" i="13" l="1"/>
  <c r="E191"/>
  <c r="D191" s="1"/>
  <c r="C191" s="1"/>
  <c r="G191"/>
  <c r="E194" i="9"/>
  <c r="C195"/>
  <c r="A196"/>
  <c r="D195"/>
  <c r="B195"/>
  <c r="A196" i="11"/>
  <c r="F195"/>
  <c r="C195"/>
  <c r="A195" i="13"/>
  <c r="F194"/>
  <c r="B193" i="11"/>
  <c r="E192"/>
  <c r="D192" s="1"/>
  <c r="G192"/>
  <c r="F194" i="9"/>
  <c r="G194" s="1"/>
  <c r="F195" i="13" l="1"/>
  <c r="A196"/>
  <c r="C196" i="11"/>
  <c r="F196"/>
  <c r="A197"/>
  <c r="E195" i="9"/>
  <c r="F195" s="1"/>
  <c r="G195" s="1"/>
  <c r="G192" i="13"/>
  <c r="E192"/>
  <c r="D192" s="1"/>
  <c r="C192" s="1"/>
  <c r="B193"/>
  <c r="G193" i="11"/>
  <c r="B194"/>
  <c r="E193"/>
  <c r="D193" s="1"/>
  <c r="A197" i="9"/>
  <c r="D196"/>
  <c r="B196"/>
  <c r="C196"/>
  <c r="F197" i="11" l="1"/>
  <c r="A198"/>
  <c r="C197"/>
  <c r="E196" i="9"/>
  <c r="F196" s="1"/>
  <c r="G196" s="1"/>
  <c r="F196" i="13"/>
  <c r="A197"/>
  <c r="G194" i="11"/>
  <c r="B195"/>
  <c r="E194"/>
  <c r="D194" s="1"/>
  <c r="C197" i="9"/>
  <c r="B197"/>
  <c r="A198"/>
  <c r="D197"/>
  <c r="G193" i="13"/>
  <c r="E193"/>
  <c r="D193" s="1"/>
  <c r="C193" s="1"/>
  <c r="B194"/>
  <c r="B195" l="1"/>
  <c r="E194"/>
  <c r="D194" s="1"/>
  <c r="C194" s="1"/>
  <c r="G194"/>
  <c r="C198" i="11"/>
  <c r="A199"/>
  <c r="F198"/>
  <c r="E197" i="9"/>
  <c r="B198"/>
  <c r="A199"/>
  <c r="D198"/>
  <c r="C198"/>
  <c r="B196" i="11"/>
  <c r="E195"/>
  <c r="D195" s="1"/>
  <c r="G195"/>
  <c r="F197" i="9"/>
  <c r="G197" s="1"/>
  <c r="A198" i="13"/>
  <c r="F197"/>
  <c r="B197" i="11" l="1"/>
  <c r="E196"/>
  <c r="D196" s="1"/>
  <c r="G196"/>
  <c r="A200"/>
  <c r="F199"/>
  <c r="C199"/>
  <c r="C199" i="9"/>
  <c r="D199"/>
  <c r="B199"/>
  <c r="A200"/>
  <c r="A199" i="13"/>
  <c r="F198"/>
  <c r="E198" i="9"/>
  <c r="F198" s="1"/>
  <c r="G198" s="1"/>
  <c r="B196" i="13"/>
  <c r="E195"/>
  <c r="D195" s="1"/>
  <c r="C195" s="1"/>
  <c r="G195"/>
  <c r="E199" i="9" l="1"/>
  <c r="F199" s="1"/>
  <c r="G199" s="1"/>
  <c r="C200" i="11"/>
  <c r="F200"/>
  <c r="A201"/>
  <c r="A201" i="9"/>
  <c r="D200"/>
  <c r="B200"/>
  <c r="C200"/>
  <c r="G196" i="13"/>
  <c r="B197"/>
  <c r="E196"/>
  <c r="D196" s="1"/>
  <c r="C196" s="1"/>
  <c r="F199"/>
  <c r="A200"/>
  <c r="G197" i="11"/>
  <c r="E197"/>
  <c r="D197" s="1"/>
  <c r="B198"/>
  <c r="G198" l="1"/>
  <c r="B199"/>
  <c r="E198"/>
  <c r="D198" s="1"/>
  <c r="F201"/>
  <c r="A202"/>
  <c r="C201"/>
  <c r="E200" i="9"/>
  <c r="F200" s="1"/>
  <c r="G200" s="1"/>
  <c r="G197" i="13"/>
  <c r="B198"/>
  <c r="E197"/>
  <c r="D197" s="1"/>
  <c r="C197" s="1"/>
  <c r="F200"/>
  <c r="A201"/>
  <c r="C201" i="9"/>
  <c r="D201"/>
  <c r="B201"/>
  <c r="A202"/>
  <c r="A202" i="13" l="1"/>
  <c r="F201"/>
  <c r="C202" i="11"/>
  <c r="A203"/>
  <c r="F202"/>
  <c r="B202" i="9"/>
  <c r="A203"/>
  <c r="D202"/>
  <c r="C202"/>
  <c r="E199" i="11"/>
  <c r="D199" s="1"/>
  <c r="B200"/>
  <c r="G199"/>
  <c r="E201" i="9"/>
  <c r="F201" s="1"/>
  <c r="G201" s="1"/>
  <c r="B199" i="13"/>
  <c r="E198"/>
  <c r="D198" s="1"/>
  <c r="C198" s="1"/>
  <c r="G198"/>
  <c r="B200" l="1"/>
  <c r="E199"/>
  <c r="D199" s="1"/>
  <c r="C199" s="1"/>
  <c r="G199"/>
  <c r="A204" i="11"/>
  <c r="F203"/>
  <c r="C203"/>
  <c r="E202" i="9"/>
  <c r="F202" s="1"/>
  <c r="G202" s="1"/>
  <c r="B201" i="11"/>
  <c r="E200"/>
  <c r="D200" s="1"/>
  <c r="G200"/>
  <c r="C203" i="9"/>
  <c r="A204"/>
  <c r="D203"/>
  <c r="B203"/>
  <c r="F202" i="13"/>
  <c r="A203"/>
  <c r="A204" l="1"/>
  <c r="F203"/>
  <c r="C204" i="11"/>
  <c r="F204"/>
  <c r="A205"/>
  <c r="E203" i="9"/>
  <c r="F203" s="1"/>
  <c r="G203" s="1"/>
  <c r="A205"/>
  <c r="D204"/>
  <c r="B204"/>
  <c r="C204"/>
  <c r="G201" i="11"/>
  <c r="B202"/>
  <c r="E201"/>
  <c r="D201" s="1"/>
  <c r="G200" i="13"/>
  <c r="E200"/>
  <c r="D200" s="1"/>
  <c r="C200" s="1"/>
  <c r="B201"/>
  <c r="E204" i="9" l="1"/>
  <c r="F204" s="1"/>
  <c r="G204" s="1"/>
  <c r="C205"/>
  <c r="B205"/>
  <c r="A206"/>
  <c r="D205"/>
  <c r="B202" i="13"/>
  <c r="G201"/>
  <c r="E201"/>
  <c r="D201" s="1"/>
  <c r="C201" s="1"/>
  <c r="G202" i="11"/>
  <c r="B203"/>
  <c r="E202"/>
  <c r="D202" s="1"/>
  <c r="F205"/>
  <c r="A206"/>
  <c r="C205"/>
  <c r="A205" i="13"/>
  <c r="F204"/>
  <c r="E205" i="9" l="1"/>
  <c r="F205" s="1"/>
  <c r="G205" s="1"/>
  <c r="C206" i="11"/>
  <c r="A207"/>
  <c r="F206"/>
  <c r="B204"/>
  <c r="E203"/>
  <c r="D203" s="1"/>
  <c r="G203"/>
  <c r="G202" i="13"/>
  <c r="B203"/>
  <c r="E202"/>
  <c r="D202" s="1"/>
  <c r="C202" s="1"/>
  <c r="F205"/>
  <c r="A206"/>
  <c r="B206" i="9"/>
  <c r="A207"/>
  <c r="D206"/>
  <c r="C206"/>
  <c r="F206" i="13" l="1"/>
  <c r="A207"/>
  <c r="C207" i="9"/>
  <c r="D207"/>
  <c r="B207"/>
  <c r="A208"/>
  <c r="E206"/>
  <c r="G203" i="13"/>
  <c r="B204"/>
  <c r="E203"/>
  <c r="D203" s="1"/>
  <c r="C203" s="1"/>
  <c r="B205" i="11"/>
  <c r="E204"/>
  <c r="D204" s="1"/>
  <c r="G204"/>
  <c r="F206" i="9"/>
  <c r="G206" s="1"/>
  <c r="A208" i="11"/>
  <c r="F207"/>
  <c r="C207"/>
  <c r="A209" i="9" l="1"/>
  <c r="D208"/>
  <c r="B208"/>
  <c r="C208"/>
  <c r="C208" i="11"/>
  <c r="F208"/>
  <c r="A209"/>
  <c r="G205"/>
  <c r="B206"/>
  <c r="E205"/>
  <c r="D205" s="1"/>
  <c r="B205" i="13"/>
  <c r="E204"/>
  <c r="D204" s="1"/>
  <c r="C204" s="1"/>
  <c r="G204"/>
  <c r="A208"/>
  <c r="F207"/>
  <c r="E207" i="9"/>
  <c r="F207" s="1"/>
  <c r="G207" s="1"/>
  <c r="B206" i="13" l="1"/>
  <c r="E205"/>
  <c r="D205" s="1"/>
  <c r="C205" s="1"/>
  <c r="G205"/>
  <c r="G206" i="11"/>
  <c r="B207"/>
  <c r="E206"/>
  <c r="D206" s="1"/>
  <c r="C209" i="9"/>
  <c r="D209"/>
  <c r="B209"/>
  <c r="A210"/>
  <c r="A209" i="13"/>
  <c r="F208"/>
  <c r="F209" i="11"/>
  <c r="A210"/>
  <c r="C209"/>
  <c r="E208" i="9"/>
  <c r="F208" s="1"/>
  <c r="G208" s="1"/>
  <c r="E209" l="1"/>
  <c r="F209" s="1"/>
  <c r="G209" s="1"/>
  <c r="E207" i="11"/>
  <c r="D207" s="1"/>
  <c r="B208"/>
  <c r="G207"/>
  <c r="F209" i="13"/>
  <c r="A210"/>
  <c r="G206"/>
  <c r="E206"/>
  <c r="D206" s="1"/>
  <c r="C206" s="1"/>
  <c r="B207"/>
  <c r="C210" i="11"/>
  <c r="A211"/>
  <c r="F210"/>
  <c r="B210" i="9"/>
  <c r="A211"/>
  <c r="D210"/>
  <c r="C210"/>
  <c r="A212" i="11" l="1"/>
  <c r="F211"/>
  <c r="C211"/>
  <c r="C211" i="9"/>
  <c r="A212"/>
  <c r="D211"/>
  <c r="B211"/>
  <c r="B209" i="11"/>
  <c r="E208"/>
  <c r="D208" s="1"/>
  <c r="G208"/>
  <c r="E210" i="9"/>
  <c r="F210" s="1"/>
  <c r="G210" s="1"/>
  <c r="G207" i="13"/>
  <c r="E207"/>
  <c r="D207" s="1"/>
  <c r="C207" s="1"/>
  <c r="B208"/>
  <c r="F210"/>
  <c r="A211"/>
  <c r="A213" i="9" l="1"/>
  <c r="D212"/>
  <c r="B212"/>
  <c r="C212"/>
  <c r="B209" i="13"/>
  <c r="E208"/>
  <c r="D208" s="1"/>
  <c r="C208" s="1"/>
  <c r="G208"/>
  <c r="G209" i="11"/>
  <c r="B210"/>
  <c r="E209"/>
  <c r="D209" s="1"/>
  <c r="A212" i="13"/>
  <c r="F211"/>
  <c r="C212" i="11"/>
  <c r="F212"/>
  <c r="A213"/>
  <c r="E211" i="9"/>
  <c r="F211" s="1"/>
  <c r="G211" s="1"/>
  <c r="B210" i="13" l="1"/>
  <c r="E209"/>
  <c r="D209" s="1"/>
  <c r="C209" s="1"/>
  <c r="G209"/>
  <c r="F213" i="11"/>
  <c r="A214"/>
  <c r="C213"/>
  <c r="A213" i="13"/>
  <c r="F212"/>
  <c r="E212" i="9"/>
  <c r="F212" s="1"/>
  <c r="G212" s="1"/>
  <c r="G210" i="11"/>
  <c r="B211"/>
  <c r="E210"/>
  <c r="D210" s="1"/>
  <c r="C213" i="9"/>
  <c r="B213"/>
  <c r="A214"/>
  <c r="D213"/>
  <c r="C214" i="11" l="1"/>
  <c r="A215"/>
  <c r="F214"/>
  <c r="B212"/>
  <c r="E211"/>
  <c r="D211" s="1"/>
  <c r="G211"/>
  <c r="G210" i="13"/>
  <c r="B211"/>
  <c r="E210"/>
  <c r="D210" s="1"/>
  <c r="C210" s="1"/>
  <c r="B214" i="9"/>
  <c r="A215"/>
  <c r="D214"/>
  <c r="C214"/>
  <c r="E213"/>
  <c r="F213" s="1"/>
  <c r="G213" s="1"/>
  <c r="F213" i="13"/>
  <c r="A214"/>
  <c r="G211" l="1"/>
  <c r="B212"/>
  <c r="E211"/>
  <c r="D211" s="1"/>
  <c r="C211" s="1"/>
  <c r="C215" i="9"/>
  <c r="D215"/>
  <c r="B215"/>
  <c r="A216"/>
  <c r="B213" i="11"/>
  <c r="E212"/>
  <c r="D212" s="1"/>
  <c r="G212"/>
  <c r="F214" i="13"/>
  <c r="A215"/>
  <c r="A216" i="11"/>
  <c r="F215"/>
  <c r="C215"/>
  <c r="E214" i="9"/>
  <c r="F214" s="1"/>
  <c r="G214" s="1"/>
  <c r="C216" i="11" l="1"/>
  <c r="F216"/>
  <c r="A217"/>
  <c r="A217" i="9"/>
  <c r="D216"/>
  <c r="B216"/>
  <c r="C216"/>
  <c r="A216" i="13"/>
  <c r="F215"/>
  <c r="G213" i="11"/>
  <c r="E213"/>
  <c r="D213" s="1"/>
  <c r="B214"/>
  <c r="E215" i="9"/>
  <c r="F215" s="1"/>
  <c r="G215" s="1"/>
  <c r="B213" i="13"/>
  <c r="E212"/>
  <c r="D212" s="1"/>
  <c r="C212" s="1"/>
  <c r="G212"/>
  <c r="A217" l="1"/>
  <c r="F216"/>
  <c r="G214" i="11"/>
  <c r="B215"/>
  <c r="E214"/>
  <c r="D214" s="1"/>
  <c r="C217" i="9"/>
  <c r="D217"/>
  <c r="B217"/>
  <c r="A218"/>
  <c r="B214" i="13"/>
  <c r="E213"/>
  <c r="D213" s="1"/>
  <c r="C213" s="1"/>
  <c r="G213"/>
  <c r="E216" i="9"/>
  <c r="F216" s="1"/>
  <c r="G216" s="1"/>
  <c r="F217" i="11"/>
  <c r="A218"/>
  <c r="C217"/>
  <c r="B218" i="9" l="1"/>
  <c r="A219"/>
  <c r="D218"/>
  <c r="C218"/>
  <c r="E215" i="11"/>
  <c r="D215" s="1"/>
  <c r="B216"/>
  <c r="G215"/>
  <c r="C218"/>
  <c r="A219"/>
  <c r="F218"/>
  <c r="E217" i="9"/>
  <c r="F217" s="1"/>
  <c r="G217" s="1"/>
  <c r="F217" i="13"/>
  <c r="A218"/>
  <c r="G214"/>
  <c r="E214"/>
  <c r="D214" s="1"/>
  <c r="C214" s="1"/>
  <c r="B215"/>
  <c r="B217" i="11" l="1"/>
  <c r="E216"/>
  <c r="D216" s="1"/>
  <c r="G216"/>
  <c r="C219" i="9"/>
  <c r="A220"/>
  <c r="D219"/>
  <c r="B219"/>
  <c r="F218" i="13"/>
  <c r="A219"/>
  <c r="G215"/>
  <c r="E215"/>
  <c r="D215" s="1"/>
  <c r="C215" s="1"/>
  <c r="B216"/>
  <c r="A220" i="11"/>
  <c r="F219"/>
  <c r="C219"/>
  <c r="E218" i="9"/>
  <c r="F218" s="1"/>
  <c r="G218" s="1"/>
  <c r="C220" i="11" l="1"/>
  <c r="F220"/>
  <c r="A221"/>
  <c r="A221" i="9"/>
  <c r="D220"/>
  <c r="B220"/>
  <c r="C220"/>
  <c r="B217" i="13"/>
  <c r="E216"/>
  <c r="D216" s="1"/>
  <c r="C216" s="1"/>
  <c r="G216"/>
  <c r="A220"/>
  <c r="F219"/>
  <c r="G217" i="11"/>
  <c r="B218"/>
  <c r="E217"/>
  <c r="D217" s="1"/>
  <c r="E219" i="9"/>
  <c r="F219" s="1"/>
  <c r="G219" s="1"/>
  <c r="C221" l="1"/>
  <c r="B221"/>
  <c r="A222"/>
  <c r="D221"/>
  <c r="A221" i="13"/>
  <c r="F220"/>
  <c r="B218"/>
  <c r="E217"/>
  <c r="D217" s="1"/>
  <c r="C217" s="1"/>
  <c r="G217"/>
  <c r="G218" i="11"/>
  <c r="B219"/>
  <c r="E218"/>
  <c r="D218" s="1"/>
  <c r="E220" i="9"/>
  <c r="F220" s="1"/>
  <c r="G220" s="1"/>
  <c r="F221" i="11"/>
  <c r="A222"/>
  <c r="C221"/>
  <c r="E221" i="9" l="1"/>
  <c r="F221" s="1"/>
  <c r="G221" s="1"/>
  <c r="F221" i="13"/>
  <c r="A222"/>
  <c r="B220" i="11"/>
  <c r="E219"/>
  <c r="D219" s="1"/>
  <c r="G219"/>
  <c r="G218" i="13"/>
  <c r="B219"/>
  <c r="E218"/>
  <c r="D218" s="1"/>
  <c r="C218" s="1"/>
  <c r="C222" i="11"/>
  <c r="A223"/>
  <c r="F222"/>
  <c r="B222" i="9"/>
  <c r="A223"/>
  <c r="D222"/>
  <c r="C222"/>
  <c r="C223" l="1"/>
  <c r="D223"/>
  <c r="B223"/>
  <c r="A224"/>
  <c r="F222" i="13"/>
  <c r="A223"/>
  <c r="E222" i="9"/>
  <c r="F222" s="1"/>
  <c r="G222" s="1"/>
  <c r="A224" i="11"/>
  <c r="F223"/>
  <c r="C223"/>
  <c r="G219" i="13"/>
  <c r="B220"/>
  <c r="E219"/>
  <c r="D219" s="1"/>
  <c r="C219" s="1"/>
  <c r="B221" i="11"/>
  <c r="E220"/>
  <c r="D220" s="1"/>
  <c r="G220"/>
  <c r="B221" i="13" l="1"/>
  <c r="E220"/>
  <c r="D220" s="1"/>
  <c r="C220" s="1"/>
  <c r="G220"/>
  <c r="G221" i="11"/>
  <c r="B222"/>
  <c r="E221"/>
  <c r="D221" s="1"/>
  <c r="A225" i="9"/>
  <c r="D224"/>
  <c r="B224"/>
  <c r="C224"/>
  <c r="E223"/>
  <c r="F223" s="1"/>
  <c r="G223" s="1"/>
  <c r="C224" i="11"/>
  <c r="F224"/>
  <c r="A225"/>
  <c r="A224" i="13"/>
  <c r="F223"/>
  <c r="E224" i="9" l="1"/>
  <c r="F224" s="1"/>
  <c r="G224" s="1"/>
  <c r="G222" i="11"/>
  <c r="B223"/>
  <c r="E222"/>
  <c r="D222" s="1"/>
  <c r="A225" i="13"/>
  <c r="F224"/>
  <c r="F225" i="11"/>
  <c r="A226"/>
  <c r="C225"/>
  <c r="C225" i="9"/>
  <c r="D225"/>
  <c r="B225"/>
  <c r="A226"/>
  <c r="B222" i="13"/>
  <c r="E221"/>
  <c r="D221" s="1"/>
  <c r="C221" s="1"/>
  <c r="G221"/>
  <c r="B226" i="9" l="1"/>
  <c r="A227"/>
  <c r="D226"/>
  <c r="C226"/>
  <c r="F225" i="13"/>
  <c r="A226"/>
  <c r="E225" i="9"/>
  <c r="C226" i="11"/>
  <c r="A227"/>
  <c r="F226"/>
  <c r="F225" i="9"/>
  <c r="G225" s="1"/>
  <c r="E223" i="11"/>
  <c r="D223" s="1"/>
  <c r="B224"/>
  <c r="G223"/>
  <c r="G222" i="13"/>
  <c r="E222"/>
  <c r="D222" s="1"/>
  <c r="C222" s="1"/>
  <c r="B223"/>
  <c r="B225" i="11" l="1"/>
  <c r="E224"/>
  <c r="D224" s="1"/>
  <c r="G224"/>
  <c r="A228"/>
  <c r="F227"/>
  <c r="C227"/>
  <c r="F226" i="13"/>
  <c r="A227"/>
  <c r="C227" i="9"/>
  <c r="A228"/>
  <c r="D227"/>
  <c r="B227"/>
  <c r="G223" i="13"/>
  <c r="E223"/>
  <c r="D223" s="1"/>
  <c r="C223" s="1"/>
  <c r="B224"/>
  <c r="E226" i="9"/>
  <c r="F226" s="1"/>
  <c r="G226" s="1"/>
  <c r="A229" l="1"/>
  <c r="D228"/>
  <c r="B228"/>
  <c r="C228"/>
  <c r="B225" i="13"/>
  <c r="E224"/>
  <c r="D224" s="1"/>
  <c r="C224" s="1"/>
  <c r="G224"/>
  <c r="E227" i="9"/>
  <c r="F227" s="1"/>
  <c r="G227" s="1"/>
  <c r="A228" i="13"/>
  <c r="F227"/>
  <c r="C228" i="11"/>
  <c r="F228"/>
  <c r="A229"/>
  <c r="G225"/>
  <c r="B226"/>
  <c r="E225"/>
  <c r="D225" s="1"/>
  <c r="G226" l="1"/>
  <c r="B227"/>
  <c r="E226"/>
  <c r="D226" s="1"/>
  <c r="F229"/>
  <c r="A230"/>
  <c r="C229"/>
  <c r="A229" i="13"/>
  <c r="F228"/>
  <c r="B226"/>
  <c r="E225"/>
  <c r="D225" s="1"/>
  <c r="C225" s="1"/>
  <c r="G225"/>
  <c r="E228" i="9"/>
  <c r="F228" s="1"/>
  <c r="G228" s="1"/>
  <c r="C229"/>
  <c r="B229"/>
  <c r="A230"/>
  <c r="D229"/>
  <c r="B230" l="1"/>
  <c r="A231"/>
  <c r="D230"/>
  <c r="C230"/>
  <c r="C230" i="11"/>
  <c r="A231"/>
  <c r="F230"/>
  <c r="E229" i="9"/>
  <c r="F229"/>
  <c r="G229" s="1"/>
  <c r="G226" i="13"/>
  <c r="B227"/>
  <c r="E226"/>
  <c r="D226" s="1"/>
  <c r="C226" s="1"/>
  <c r="B228" i="11"/>
  <c r="E227"/>
  <c r="D227" s="1"/>
  <c r="G227"/>
  <c r="F229" i="13"/>
  <c r="A230"/>
  <c r="B229" i="11" l="1"/>
  <c r="E228"/>
  <c r="D228" s="1"/>
  <c r="G228"/>
  <c r="C231" i="9"/>
  <c r="D231"/>
  <c r="B231"/>
  <c r="A232"/>
  <c r="G227" i="13"/>
  <c r="B228"/>
  <c r="E227"/>
  <c r="D227" s="1"/>
  <c r="C227" s="1"/>
  <c r="F230"/>
  <c r="A231"/>
  <c r="A232" i="11"/>
  <c r="F231"/>
  <c r="C231"/>
  <c r="E230" i="9"/>
  <c r="F230"/>
  <c r="G230" s="1"/>
  <c r="C232" i="11" l="1"/>
  <c r="F232"/>
  <c r="A233"/>
  <c r="A232" i="13"/>
  <c r="F231"/>
  <c r="E231" i="9"/>
  <c r="F231" s="1"/>
  <c r="G231" s="1"/>
  <c r="B229" i="13"/>
  <c r="E228"/>
  <c r="D228" s="1"/>
  <c r="C228" s="1"/>
  <c r="G228"/>
  <c r="G229" i="11"/>
  <c r="E229"/>
  <c r="D229" s="1"/>
  <c r="B230"/>
  <c r="A233" i="9"/>
  <c r="D232"/>
  <c r="B232"/>
  <c r="C232"/>
  <c r="G230" i="11" l="1"/>
  <c r="B231"/>
  <c r="E230"/>
  <c r="D230" s="1"/>
  <c r="C233" i="9"/>
  <c r="D233"/>
  <c r="B233"/>
  <c r="A234"/>
  <c r="F233" i="11"/>
  <c r="A234"/>
  <c r="C233"/>
  <c r="E232" i="9"/>
  <c r="F232" s="1"/>
  <c r="G232" s="1"/>
  <c r="B230" i="13"/>
  <c r="E229"/>
  <c r="D229" s="1"/>
  <c r="C229" s="1"/>
  <c r="G229"/>
  <c r="A233"/>
  <c r="F232"/>
  <c r="B234" i="9" l="1"/>
  <c r="A235"/>
  <c r="D234"/>
  <c r="C234"/>
  <c r="E233"/>
  <c r="F233" s="1"/>
  <c r="G233" s="1"/>
  <c r="G230" i="13"/>
  <c r="E230"/>
  <c r="D230" s="1"/>
  <c r="C230" s="1"/>
  <c r="B231"/>
  <c r="C234" i="11"/>
  <c r="A235"/>
  <c r="F234"/>
  <c r="E231"/>
  <c r="D231" s="1"/>
  <c r="B232"/>
  <c r="G231"/>
  <c r="F233" i="13"/>
  <c r="A234"/>
  <c r="E234" i="9" l="1"/>
  <c r="F234" s="1"/>
  <c r="G234" s="1"/>
  <c r="A236" i="11"/>
  <c r="F235"/>
  <c r="C235"/>
  <c r="B233"/>
  <c r="E232"/>
  <c r="D232" s="1"/>
  <c r="G232"/>
  <c r="C235" i="9"/>
  <c r="A236"/>
  <c r="D235"/>
  <c r="B235"/>
  <c r="F234" i="13"/>
  <c r="A235"/>
  <c r="G231"/>
  <c r="E231"/>
  <c r="D231" s="1"/>
  <c r="C231" s="1"/>
  <c r="B232"/>
  <c r="B233" l="1"/>
  <c r="E232"/>
  <c r="D232" s="1"/>
  <c r="C232" s="1"/>
  <c r="G232"/>
  <c r="A236"/>
  <c r="F235"/>
  <c r="A237" i="9"/>
  <c r="D236"/>
  <c r="B236"/>
  <c r="C236"/>
  <c r="G233" i="11"/>
  <c r="B234"/>
  <c r="E233"/>
  <c r="D233" s="1"/>
  <c r="C236"/>
  <c r="F236"/>
  <c r="A237"/>
  <c r="E235" i="9"/>
  <c r="F235" s="1"/>
  <c r="G235" s="1"/>
  <c r="A237" i="13" l="1"/>
  <c r="F236"/>
  <c r="F237" i="11"/>
  <c r="A238"/>
  <c r="C237"/>
  <c r="G234"/>
  <c r="B235"/>
  <c r="E234"/>
  <c r="D234" s="1"/>
  <c r="F236" i="9"/>
  <c r="G236" s="1"/>
  <c r="E236"/>
  <c r="B234" i="13"/>
  <c r="E233"/>
  <c r="D233" s="1"/>
  <c r="C233" s="1"/>
  <c r="G233"/>
  <c r="C237" i="9"/>
  <c r="B237"/>
  <c r="A238"/>
  <c r="D237"/>
  <c r="E237" l="1"/>
  <c r="F237" s="1"/>
  <c r="G237" s="1"/>
  <c r="G234" i="13"/>
  <c r="B235"/>
  <c r="E234"/>
  <c r="D234" s="1"/>
  <c r="C234" s="1"/>
  <c r="C238" i="11"/>
  <c r="A239"/>
  <c r="F238"/>
  <c r="B236"/>
  <c r="E235"/>
  <c r="D235" s="1"/>
  <c r="G235"/>
  <c r="B238" i="9"/>
  <c r="A239"/>
  <c r="D238"/>
  <c r="C238"/>
  <c r="F237" i="13"/>
  <c r="A238"/>
  <c r="F238" l="1"/>
  <c r="A239"/>
  <c r="A240" i="11"/>
  <c r="F239"/>
  <c r="C239"/>
  <c r="C239" i="9"/>
  <c r="D239"/>
  <c r="B239"/>
  <c r="A240"/>
  <c r="B237" i="11"/>
  <c r="E236"/>
  <c r="D236" s="1"/>
  <c r="G236"/>
  <c r="E238" i="9"/>
  <c r="F238" s="1"/>
  <c r="G238" s="1"/>
  <c r="G235" i="13"/>
  <c r="B236"/>
  <c r="E235"/>
  <c r="D235" s="1"/>
  <c r="C235" s="1"/>
  <c r="B237" l="1"/>
  <c r="E236"/>
  <c r="D236" s="1"/>
  <c r="C236" s="1"/>
  <c r="G236"/>
  <c r="A241" i="9"/>
  <c r="D240"/>
  <c r="B240"/>
  <c r="C240"/>
  <c r="A240" i="13"/>
  <c r="F239"/>
  <c r="E239" i="9"/>
  <c r="F239" s="1"/>
  <c r="G239" s="1"/>
  <c r="G237" i="11"/>
  <c r="B238"/>
  <c r="E237"/>
  <c r="D237" s="1"/>
  <c r="C240"/>
  <c r="F240"/>
  <c r="A241"/>
  <c r="G238" l="1"/>
  <c r="B239"/>
  <c r="E238"/>
  <c r="D238" s="1"/>
  <c r="E240" i="9"/>
  <c r="F240" s="1"/>
  <c r="G240" s="1"/>
  <c r="F241" i="11"/>
  <c r="A242"/>
  <c r="C241"/>
  <c r="A241" i="13"/>
  <c r="F240"/>
  <c r="C241" i="9"/>
  <c r="D241"/>
  <c r="B241"/>
  <c r="A242"/>
  <c r="B238" i="13"/>
  <c r="E237"/>
  <c r="D237" s="1"/>
  <c r="C237" s="1"/>
  <c r="G237"/>
  <c r="F241" l="1"/>
  <c r="A242"/>
  <c r="G238"/>
  <c r="E238"/>
  <c r="D238" s="1"/>
  <c r="C238" s="1"/>
  <c r="B239"/>
  <c r="C242" i="11"/>
  <c r="A243"/>
  <c r="F242"/>
  <c r="E241" i="9"/>
  <c r="F241" s="1"/>
  <c r="G241" s="1"/>
  <c r="E239" i="11"/>
  <c r="D239" s="1"/>
  <c r="B240"/>
  <c r="G239"/>
  <c r="B242" i="9"/>
  <c r="A243"/>
  <c r="D242"/>
  <c r="C242"/>
  <c r="F242" i="13" l="1"/>
  <c r="A243"/>
  <c r="G239"/>
  <c r="E239"/>
  <c r="D239" s="1"/>
  <c r="C239" s="1"/>
  <c r="B240"/>
  <c r="B241" i="11"/>
  <c r="E240"/>
  <c r="D240" s="1"/>
  <c r="G240"/>
  <c r="C243" i="9"/>
  <c r="A244"/>
  <c r="D243"/>
  <c r="B243"/>
  <c r="E242"/>
  <c r="F242" s="1"/>
  <c r="G242" s="1"/>
  <c r="A244" i="11"/>
  <c r="F243"/>
  <c r="C243"/>
  <c r="G241" l="1"/>
  <c r="B242"/>
  <c r="E241"/>
  <c r="D241" s="1"/>
  <c r="E243" i="9"/>
  <c r="B241" i="13"/>
  <c r="E240"/>
  <c r="D240" s="1"/>
  <c r="C240" s="1"/>
  <c r="G240"/>
  <c r="F243" i="9"/>
  <c r="G243" s="1"/>
  <c r="A244" i="13"/>
  <c r="F243"/>
  <c r="C244" i="11"/>
  <c r="F244"/>
  <c r="A245"/>
  <c r="A245" i="9"/>
  <c r="D244"/>
  <c r="B244"/>
  <c r="C244"/>
  <c r="A245" i="13" l="1"/>
  <c r="F244"/>
  <c r="G242" i="11"/>
  <c r="B243"/>
  <c r="E242"/>
  <c r="D242" s="1"/>
  <c r="F245"/>
  <c r="A246"/>
  <c r="C245"/>
  <c r="B242" i="13"/>
  <c r="E241"/>
  <c r="D241" s="1"/>
  <c r="C241" s="1"/>
  <c r="G241"/>
  <c r="E244" i="9"/>
  <c r="F244" s="1"/>
  <c r="G244" s="1"/>
  <c r="C245"/>
  <c r="B245"/>
  <c r="A246"/>
  <c r="D245"/>
  <c r="G242" i="13" l="1"/>
  <c r="B243"/>
  <c r="E242"/>
  <c r="D242" s="1"/>
  <c r="C242" s="1"/>
  <c r="E245" i="9"/>
  <c r="C246" i="11"/>
  <c r="A247"/>
  <c r="F246"/>
  <c r="B244"/>
  <c r="E243"/>
  <c r="D243" s="1"/>
  <c r="G243"/>
  <c r="F245" i="9"/>
  <c r="G245" s="1"/>
  <c r="B246"/>
  <c r="A247"/>
  <c r="D246"/>
  <c r="C246"/>
  <c r="F245" i="13"/>
  <c r="A246"/>
  <c r="C247" i="9" l="1"/>
  <c r="D247"/>
  <c r="B247"/>
  <c r="A248"/>
  <c r="F246" i="13"/>
  <c r="A247"/>
  <c r="G243"/>
  <c r="B244"/>
  <c r="E243"/>
  <c r="D243" s="1"/>
  <c r="C243" s="1"/>
  <c r="E246" i="9"/>
  <c r="F246" s="1"/>
  <c r="G246" s="1"/>
  <c r="B245" i="11"/>
  <c r="E244"/>
  <c r="D244" s="1"/>
  <c r="G244"/>
  <c r="A248"/>
  <c r="F247"/>
  <c r="C247"/>
  <c r="C248" l="1"/>
  <c r="F248"/>
  <c r="A249"/>
  <c r="G245"/>
  <c r="E245"/>
  <c r="D245" s="1"/>
  <c r="B246"/>
  <c r="B245" i="13"/>
  <c r="E244"/>
  <c r="D244" s="1"/>
  <c r="C244" s="1"/>
  <c r="G244"/>
  <c r="A249" i="9"/>
  <c r="D248"/>
  <c r="B248"/>
  <c r="C248"/>
  <c r="E247"/>
  <c r="F247" s="1"/>
  <c r="G247" s="1"/>
  <c r="A248" i="13"/>
  <c r="F247"/>
  <c r="A249" l="1"/>
  <c r="F248"/>
  <c r="E248" i="9"/>
  <c r="F248" s="1"/>
  <c r="G248" s="1"/>
  <c r="B246" i="13"/>
  <c r="E245"/>
  <c r="D245" s="1"/>
  <c r="C245" s="1"/>
  <c r="G245"/>
  <c r="F249" i="11"/>
  <c r="A250"/>
  <c r="C249"/>
  <c r="C249" i="9"/>
  <c r="D249"/>
  <c r="B249"/>
  <c r="A250"/>
  <c r="G246" i="11"/>
  <c r="B247"/>
  <c r="E246"/>
  <c r="D246" s="1"/>
  <c r="E249" i="9" l="1"/>
  <c r="F249" s="1"/>
  <c r="G249" s="1"/>
  <c r="E247" i="11"/>
  <c r="D247" s="1"/>
  <c r="B248"/>
  <c r="G247"/>
  <c r="C250"/>
  <c r="A251"/>
  <c r="F250"/>
  <c r="G246" i="13"/>
  <c r="E246"/>
  <c r="D246" s="1"/>
  <c r="C246" s="1"/>
  <c r="B247"/>
  <c r="B250" i="9"/>
  <c r="A251"/>
  <c r="D250"/>
  <c r="C250"/>
  <c r="F249" i="13"/>
  <c r="A250"/>
  <c r="F250" l="1"/>
  <c r="A251"/>
  <c r="C251" i="9"/>
  <c r="A252"/>
  <c r="D251"/>
  <c r="B251"/>
  <c r="B249" i="11"/>
  <c r="E248"/>
  <c r="D248" s="1"/>
  <c r="G248"/>
  <c r="G247" i="13"/>
  <c r="E247"/>
  <c r="D247" s="1"/>
  <c r="C247" s="1"/>
  <c r="B248"/>
  <c r="A252" i="11"/>
  <c r="F251"/>
  <c r="C251"/>
  <c r="E250" i="9"/>
  <c r="F250" s="1"/>
  <c r="G250" s="1"/>
  <c r="C252" i="11" l="1"/>
  <c r="F252"/>
  <c r="A253"/>
  <c r="E251" i="9"/>
  <c r="F251"/>
  <c r="G251" s="1"/>
  <c r="A253"/>
  <c r="D252"/>
  <c r="B252"/>
  <c r="C252"/>
  <c r="F251" i="13"/>
  <c r="A252"/>
  <c r="B249"/>
  <c r="E248"/>
  <c r="D248" s="1"/>
  <c r="C248" s="1"/>
  <c r="G248"/>
  <c r="G249" i="11"/>
  <c r="B250"/>
  <c r="E249"/>
  <c r="D249" s="1"/>
  <c r="B250" i="13" l="1"/>
  <c r="E249"/>
  <c r="D249" s="1"/>
  <c r="C249" s="1"/>
  <c r="G249"/>
  <c r="A253"/>
  <c r="F252"/>
  <c r="G250" i="11"/>
  <c r="B251"/>
  <c r="E250"/>
  <c r="D250" s="1"/>
  <c r="E252" i="9"/>
  <c r="F252" s="1"/>
  <c r="G252" s="1"/>
  <c r="C253"/>
  <c r="B253"/>
  <c r="A254"/>
  <c r="D253"/>
  <c r="F253" i="11"/>
  <c r="A254"/>
  <c r="C253"/>
  <c r="B254" i="9" l="1"/>
  <c r="A255"/>
  <c r="D254"/>
  <c r="C254"/>
  <c r="C254" i="11"/>
  <c r="A255"/>
  <c r="F254"/>
  <c r="G250" i="13"/>
  <c r="B251"/>
  <c r="E250"/>
  <c r="D250" s="1"/>
  <c r="C250" s="1"/>
  <c r="B252" i="11"/>
  <c r="E251"/>
  <c r="D251" s="1"/>
  <c r="G251"/>
  <c r="A254" i="13"/>
  <c r="F253"/>
  <c r="E253" i="9"/>
  <c r="F253" s="1"/>
  <c r="G253" s="1"/>
  <c r="F254" i="13" l="1"/>
  <c r="A255"/>
  <c r="C255" i="11"/>
  <c r="F255"/>
  <c r="A256"/>
  <c r="C255" i="9"/>
  <c r="D255"/>
  <c r="B255"/>
  <c r="A256"/>
  <c r="G251" i="13"/>
  <c r="B252"/>
  <c r="E251"/>
  <c r="D251" s="1"/>
  <c r="C251" s="1"/>
  <c r="B253" i="11"/>
  <c r="E252"/>
  <c r="D252" s="1"/>
  <c r="G252"/>
  <c r="E254" i="9"/>
  <c r="F254" s="1"/>
  <c r="G254" s="1"/>
  <c r="G253" i="11" l="1"/>
  <c r="B254"/>
  <c r="E253"/>
  <c r="D253" s="1"/>
  <c r="F256"/>
  <c r="A257"/>
  <c r="C256"/>
  <c r="E255" i="9"/>
  <c r="F255" s="1"/>
  <c r="G255" s="1"/>
  <c r="F255" i="13"/>
  <c r="A256"/>
  <c r="A257" i="9"/>
  <c r="D256"/>
  <c r="B256"/>
  <c r="C256"/>
  <c r="G252" i="13"/>
  <c r="E252"/>
  <c r="D252" s="1"/>
  <c r="C252" s="1"/>
  <c r="B253"/>
  <c r="C257" i="9" l="1"/>
  <c r="D257"/>
  <c r="B257"/>
  <c r="A258"/>
  <c r="A257" i="13"/>
  <c r="F256"/>
  <c r="G254" i="11"/>
  <c r="B255"/>
  <c r="E254"/>
  <c r="D254" s="1"/>
  <c r="B254" i="13"/>
  <c r="E253"/>
  <c r="D253" s="1"/>
  <c r="C253" s="1"/>
  <c r="G253"/>
  <c r="E256" i="9"/>
  <c r="F256" s="1"/>
  <c r="G256" s="1"/>
  <c r="C257" i="11"/>
  <c r="A258"/>
  <c r="F257"/>
  <c r="A258" i="13" l="1"/>
  <c r="F257"/>
  <c r="E257" i="9"/>
  <c r="B255" i="13"/>
  <c r="E254"/>
  <c r="D254" s="1"/>
  <c r="C254" s="1"/>
  <c r="G254"/>
  <c r="F257" i="9"/>
  <c r="G257" s="1"/>
  <c r="A259" i="11"/>
  <c r="F258"/>
  <c r="C258"/>
  <c r="B256"/>
  <c r="E255"/>
  <c r="D255" s="1"/>
  <c r="G255"/>
  <c r="B258" i="9"/>
  <c r="A259"/>
  <c r="D258"/>
  <c r="C258"/>
  <c r="C259" l="1"/>
  <c r="A260"/>
  <c r="D259"/>
  <c r="B259"/>
  <c r="G256" i="11"/>
  <c r="B257"/>
  <c r="E256"/>
  <c r="D256" s="1"/>
  <c r="E258" i="9"/>
  <c r="F258" s="1"/>
  <c r="G258" s="1"/>
  <c r="C259" i="11"/>
  <c r="F259"/>
  <c r="A260"/>
  <c r="G255" i="13"/>
  <c r="E255"/>
  <c r="D255" s="1"/>
  <c r="C255" s="1"/>
  <c r="B256"/>
  <c r="F258"/>
  <c r="A259"/>
  <c r="E259" i="9" l="1"/>
  <c r="F259" s="1"/>
  <c r="G259" s="1"/>
  <c r="G256" i="13"/>
  <c r="B257"/>
  <c r="E256"/>
  <c r="D256" s="1"/>
  <c r="C256" s="1"/>
  <c r="F259"/>
  <c r="A260"/>
  <c r="G257" i="11"/>
  <c r="B258"/>
  <c r="E257"/>
  <c r="D257" s="1"/>
  <c r="A261" i="9"/>
  <c r="D260"/>
  <c r="B260"/>
  <c r="C260"/>
  <c r="F260" i="11"/>
  <c r="A261"/>
  <c r="C260"/>
  <c r="E260" i="9" l="1"/>
  <c r="F260" s="1"/>
  <c r="G260" s="1"/>
  <c r="B259" i="11"/>
  <c r="E258"/>
  <c r="D258" s="1"/>
  <c r="G258"/>
  <c r="C261"/>
  <c r="A262"/>
  <c r="F261"/>
  <c r="B258" i="13"/>
  <c r="E257"/>
  <c r="D257" s="1"/>
  <c r="C257" s="1"/>
  <c r="G257"/>
  <c r="C261" i="9"/>
  <c r="B261"/>
  <c r="A262"/>
  <c r="D261"/>
  <c r="A261" i="13"/>
  <c r="F260"/>
  <c r="E261" i="9" l="1"/>
  <c r="F261" s="1"/>
  <c r="G261" s="1"/>
  <c r="B259" i="13"/>
  <c r="E258"/>
  <c r="D258" s="1"/>
  <c r="C258" s="1"/>
  <c r="G258"/>
  <c r="B262" i="9"/>
  <c r="A263"/>
  <c r="D262"/>
  <c r="C262"/>
  <c r="A263" i="11"/>
  <c r="F262"/>
  <c r="C262"/>
  <c r="B260"/>
  <c r="E259"/>
  <c r="D259" s="1"/>
  <c r="G259"/>
  <c r="A262" i="13"/>
  <c r="F261"/>
  <c r="F262" l="1"/>
  <c r="A263"/>
  <c r="C263" i="9"/>
  <c r="D263"/>
  <c r="B263"/>
  <c r="A264"/>
  <c r="G260" i="11"/>
  <c r="E260"/>
  <c r="D260" s="1"/>
  <c r="B261"/>
  <c r="C263"/>
  <c r="F263"/>
  <c r="A264"/>
  <c r="E262" i="9"/>
  <c r="F262" s="1"/>
  <c r="G262" s="1"/>
  <c r="G259" i="13"/>
  <c r="B260"/>
  <c r="E259"/>
  <c r="D259" s="1"/>
  <c r="C259" s="1"/>
  <c r="A265" i="9" l="1"/>
  <c r="D264"/>
  <c r="B264"/>
  <c r="C264"/>
  <c r="G260" i="13"/>
  <c r="E260"/>
  <c r="D260" s="1"/>
  <c r="C260" s="1"/>
  <c r="B261"/>
  <c r="G261" i="11"/>
  <c r="B262"/>
  <c r="E261"/>
  <c r="D261" s="1"/>
  <c r="F263" i="13"/>
  <c r="A264"/>
  <c r="F264" i="11"/>
  <c r="A265"/>
  <c r="C264"/>
  <c r="E263" i="9"/>
  <c r="F263" s="1"/>
  <c r="G263" s="1"/>
  <c r="C265" i="11" l="1"/>
  <c r="A266"/>
  <c r="F265"/>
  <c r="B262" i="13"/>
  <c r="E261"/>
  <c r="D261" s="1"/>
  <c r="C261" s="1"/>
  <c r="G261"/>
  <c r="E264" i="9"/>
  <c r="F264" s="1"/>
  <c r="G264" s="1"/>
  <c r="A265" i="13"/>
  <c r="F264"/>
  <c r="E262" i="11"/>
  <c r="D262" s="1"/>
  <c r="B263"/>
  <c r="G262"/>
  <c r="C265" i="9"/>
  <c r="D265"/>
  <c r="B265"/>
  <c r="A266"/>
  <c r="B266" l="1"/>
  <c r="A267"/>
  <c r="D266"/>
  <c r="C266"/>
  <c r="A266" i="13"/>
  <c r="F265"/>
  <c r="A267" i="11"/>
  <c r="F266"/>
  <c r="C266"/>
  <c r="E265" i="9"/>
  <c r="F265" s="1"/>
  <c r="G265" s="1"/>
  <c r="B264" i="11"/>
  <c r="E263"/>
  <c r="D263" s="1"/>
  <c r="G263"/>
  <c r="B263" i="13"/>
  <c r="E262"/>
  <c r="D262" s="1"/>
  <c r="C262" s="1"/>
  <c r="G262"/>
  <c r="C267" i="11" l="1"/>
  <c r="F267"/>
  <c r="A268"/>
  <c r="C267" i="9"/>
  <c r="A268"/>
  <c r="D267"/>
  <c r="B267"/>
  <c r="F266" i="13"/>
  <c r="A267"/>
  <c r="E266" i="9"/>
  <c r="F266" s="1"/>
  <c r="G266" s="1"/>
  <c r="G263" i="13"/>
  <c r="E263"/>
  <c r="D263" s="1"/>
  <c r="C263" s="1"/>
  <c r="B264"/>
  <c r="G264" i="11"/>
  <c r="B265"/>
  <c r="E264"/>
  <c r="D264" s="1"/>
  <c r="G264" i="13" l="1"/>
  <c r="B265"/>
  <c r="E264"/>
  <c r="D264" s="1"/>
  <c r="C264" s="1"/>
  <c r="F268" i="11"/>
  <c r="A269"/>
  <c r="C268"/>
  <c r="F267" i="13"/>
  <c r="A268"/>
  <c r="A269" i="9"/>
  <c r="D268"/>
  <c r="B268"/>
  <c r="C268"/>
  <c r="G265" i="11"/>
  <c r="B266"/>
  <c r="E265"/>
  <c r="D265" s="1"/>
  <c r="E267" i="9"/>
  <c r="F267" s="1"/>
  <c r="G267" s="1"/>
  <c r="B267" i="11" l="1"/>
  <c r="E266"/>
  <c r="D266" s="1"/>
  <c r="G266"/>
  <c r="C269" i="9"/>
  <c r="B269"/>
  <c r="A270"/>
  <c r="D269"/>
  <c r="C269" i="11"/>
  <c r="A270"/>
  <c r="F269"/>
  <c r="B266" i="13"/>
  <c r="E265"/>
  <c r="D265" s="1"/>
  <c r="C265" s="1"/>
  <c r="G265"/>
  <c r="A269"/>
  <c r="F268"/>
  <c r="E268" i="9"/>
  <c r="F268" s="1"/>
  <c r="G268" s="1"/>
  <c r="A270" i="13" l="1"/>
  <c r="F269"/>
  <c r="B270" i="9"/>
  <c r="A271"/>
  <c r="D270"/>
  <c r="C270"/>
  <c r="A271" i="11"/>
  <c r="F270"/>
  <c r="C270"/>
  <c r="E269" i="9"/>
  <c r="F269" s="1"/>
  <c r="G269" s="1"/>
  <c r="B268" i="11"/>
  <c r="E267"/>
  <c r="D267" s="1"/>
  <c r="G267"/>
  <c r="B267" i="13"/>
  <c r="E266"/>
  <c r="D266" s="1"/>
  <c r="C266" s="1"/>
  <c r="G266"/>
  <c r="G267" l="1"/>
  <c r="B268"/>
  <c r="E267"/>
  <c r="D267" s="1"/>
  <c r="C267" s="1"/>
  <c r="C271" i="11"/>
  <c r="F271"/>
  <c r="A272"/>
  <c r="E270" i="9"/>
  <c r="F270" s="1"/>
  <c r="G270" s="1"/>
  <c r="F270" i="13"/>
  <c r="A271"/>
  <c r="G268" i="11"/>
  <c r="E268"/>
  <c r="D268" s="1"/>
  <c r="B269"/>
  <c r="C271" i="9"/>
  <c r="D271"/>
  <c r="B271"/>
  <c r="A272"/>
  <c r="F271" i="13" l="1"/>
  <c r="A272"/>
  <c r="A273" i="9"/>
  <c r="D272"/>
  <c r="B272"/>
  <c r="C272"/>
  <c r="G269" i="11"/>
  <c r="B270"/>
  <c r="E269"/>
  <c r="D269" s="1"/>
  <c r="F272"/>
  <c r="A273"/>
  <c r="C272"/>
  <c r="G268" i="13"/>
  <c r="E268"/>
  <c r="D268" s="1"/>
  <c r="C268" s="1"/>
  <c r="B269"/>
  <c r="E271" i="9"/>
  <c r="F271"/>
  <c r="G271" s="1"/>
  <c r="B270" i="13" l="1"/>
  <c r="E269"/>
  <c r="D269" s="1"/>
  <c r="C269" s="1"/>
  <c r="G269"/>
  <c r="C273" i="11"/>
  <c r="A274"/>
  <c r="F273"/>
  <c r="C273" i="9"/>
  <c r="D273"/>
  <c r="B273"/>
  <c r="A274"/>
  <c r="A273" i="13"/>
  <c r="F272"/>
  <c r="E272" i="9"/>
  <c r="E270" i="11"/>
  <c r="D270" s="1"/>
  <c r="B271"/>
  <c r="G270"/>
  <c r="F272" i="9"/>
  <c r="G272" s="1"/>
  <c r="A274" i="13" l="1"/>
  <c r="F273"/>
  <c r="B274" i="9"/>
  <c r="A275"/>
  <c r="D274"/>
  <c r="C274"/>
  <c r="E273"/>
  <c r="F273" s="1"/>
  <c r="G273" s="1"/>
  <c r="A275" i="11"/>
  <c r="F274"/>
  <c r="C274"/>
  <c r="B271" i="13"/>
  <c r="E270"/>
  <c r="D270" s="1"/>
  <c r="C270" s="1"/>
  <c r="G270"/>
  <c r="B272" i="11"/>
  <c r="E271"/>
  <c r="D271" s="1"/>
  <c r="G271"/>
  <c r="G272" l="1"/>
  <c r="B273"/>
  <c r="E272"/>
  <c r="D272" s="1"/>
  <c r="E274" i="9"/>
  <c r="F274" s="1"/>
  <c r="G274" s="1"/>
  <c r="C275" i="11"/>
  <c r="F275"/>
  <c r="A276"/>
  <c r="F274" i="13"/>
  <c r="A275"/>
  <c r="G271"/>
  <c r="E271"/>
  <c r="D271" s="1"/>
  <c r="C271" s="1"/>
  <c r="B272"/>
  <c r="C275" i="9"/>
  <c r="A276"/>
  <c r="D275"/>
  <c r="B275"/>
  <c r="F275" i="13" l="1"/>
  <c r="A276"/>
  <c r="E275" i="9"/>
  <c r="F275" s="1"/>
  <c r="G275" s="1"/>
  <c r="G272" i="13"/>
  <c r="B273"/>
  <c r="E272"/>
  <c r="D272" s="1"/>
  <c r="C272" s="1"/>
  <c r="G273" i="11"/>
  <c r="B274"/>
  <c r="E273"/>
  <c r="D273" s="1"/>
  <c r="A277" i="9"/>
  <c r="D276"/>
  <c r="B276"/>
  <c r="C276"/>
  <c r="F276" i="11"/>
  <c r="A277"/>
  <c r="C276"/>
  <c r="E276" i="9" l="1"/>
  <c r="F276" s="1"/>
  <c r="G276" s="1"/>
  <c r="B274" i="13"/>
  <c r="E273"/>
  <c r="D273" s="1"/>
  <c r="C273" s="1"/>
  <c r="G273"/>
  <c r="A277"/>
  <c r="F276"/>
  <c r="C277" i="11"/>
  <c r="A278"/>
  <c r="F277"/>
  <c r="B275"/>
  <c r="E274"/>
  <c r="D274" s="1"/>
  <c r="G274"/>
  <c r="C277" i="9"/>
  <c r="B277"/>
  <c r="A278"/>
  <c r="D277"/>
  <c r="B275" i="13" l="1"/>
  <c r="E274"/>
  <c r="D274" s="1"/>
  <c r="C274" s="1"/>
  <c r="G274"/>
  <c r="A278"/>
  <c r="F277"/>
  <c r="B278" i="9"/>
  <c r="A279"/>
  <c r="D278"/>
  <c r="C278"/>
  <c r="A279" i="11"/>
  <c r="F278"/>
  <c r="C278"/>
  <c r="E277" i="9"/>
  <c r="F277" s="1"/>
  <c r="G277" s="1"/>
  <c r="B276" i="11"/>
  <c r="E275"/>
  <c r="D275" s="1"/>
  <c r="G275"/>
  <c r="C279" l="1"/>
  <c r="F279"/>
  <c r="A280"/>
  <c r="E278" i="9"/>
  <c r="F278" s="1"/>
  <c r="G278" s="1"/>
  <c r="F278" i="13"/>
  <c r="A279"/>
  <c r="G275"/>
  <c r="B276"/>
  <c r="E275"/>
  <c r="D275" s="1"/>
  <c r="C275" s="1"/>
  <c r="G276" i="11"/>
  <c r="E276"/>
  <c r="D276" s="1"/>
  <c r="B277"/>
  <c r="C279" i="9"/>
  <c r="D279"/>
  <c r="B279"/>
  <c r="A280"/>
  <c r="F280" i="11" l="1"/>
  <c r="A281"/>
  <c r="C280"/>
  <c r="A281" i="9"/>
  <c r="D280"/>
  <c r="B280"/>
  <c r="C280"/>
  <c r="G277" i="11"/>
  <c r="B278"/>
  <c r="E277"/>
  <c r="D277" s="1"/>
  <c r="G276" i="13"/>
  <c r="E276"/>
  <c r="D276" s="1"/>
  <c r="C276" s="1"/>
  <c r="B277"/>
  <c r="E279" i="9"/>
  <c r="F279" s="1"/>
  <c r="G279" s="1"/>
  <c r="F279" i="13"/>
  <c r="A280"/>
  <c r="A281" l="1"/>
  <c r="F280"/>
  <c r="E280" i="9"/>
  <c r="F280" s="1"/>
  <c r="G280" s="1"/>
  <c r="C281" i="11"/>
  <c r="A282"/>
  <c r="F281"/>
  <c r="B278" i="13"/>
  <c r="E277"/>
  <c r="D277" s="1"/>
  <c r="C277" s="1"/>
  <c r="G277"/>
  <c r="E278" i="11"/>
  <c r="D278" s="1"/>
  <c r="B279"/>
  <c r="G278"/>
  <c r="C281" i="9"/>
  <c r="D281"/>
  <c r="B281"/>
  <c r="A282"/>
  <c r="B282" l="1"/>
  <c r="A283"/>
  <c r="D282"/>
  <c r="C282"/>
  <c r="A283" i="11"/>
  <c r="F282"/>
  <c r="C282"/>
  <c r="E281" i="9"/>
  <c r="G281"/>
  <c r="A282" i="13"/>
  <c r="F281"/>
  <c r="F281" i="9"/>
  <c r="B280" i="11"/>
  <c r="E279"/>
  <c r="D279" s="1"/>
  <c r="G279"/>
  <c r="B279" i="13"/>
  <c r="E278"/>
  <c r="D278" s="1"/>
  <c r="C278" s="1"/>
  <c r="G278"/>
  <c r="F282" l="1"/>
  <c r="A283"/>
  <c r="C283" i="9"/>
  <c r="A284"/>
  <c r="D283"/>
  <c r="B283"/>
  <c r="G280" i="11"/>
  <c r="B281"/>
  <c r="E280"/>
  <c r="D280" s="1"/>
  <c r="C283"/>
  <c r="F283"/>
  <c r="A284"/>
  <c r="E282" i="9"/>
  <c r="F282" s="1"/>
  <c r="G282" s="1"/>
  <c r="G279" i="13"/>
  <c r="E279"/>
  <c r="D279" s="1"/>
  <c r="C279" s="1"/>
  <c r="B280"/>
  <c r="E283" i="9" l="1"/>
  <c r="F283" s="1"/>
  <c r="G283" s="1"/>
  <c r="F283" i="13"/>
  <c r="A284"/>
  <c r="G280"/>
  <c r="B281"/>
  <c r="E280"/>
  <c r="D280" s="1"/>
  <c r="C280" s="1"/>
  <c r="F284" i="11"/>
  <c r="A285"/>
  <c r="C284"/>
  <c r="G281"/>
  <c r="B282"/>
  <c r="E281"/>
  <c r="D281" s="1"/>
  <c r="A285" i="9"/>
  <c r="D284"/>
  <c r="B284"/>
  <c r="C284"/>
  <c r="C285" l="1"/>
  <c r="B285"/>
  <c r="A286"/>
  <c r="D285"/>
  <c r="C285" i="11"/>
  <c r="A286"/>
  <c r="F285"/>
  <c r="B282" i="13"/>
  <c r="E281"/>
  <c r="D281" s="1"/>
  <c r="C281" s="1"/>
  <c r="G281"/>
  <c r="E284" i="9"/>
  <c r="F284" s="1"/>
  <c r="G284" s="1"/>
  <c r="B283" i="11"/>
  <c r="E282"/>
  <c r="D282" s="1"/>
  <c r="G282"/>
  <c r="A285" i="13"/>
  <c r="F284"/>
  <c r="B286" i="9" l="1"/>
  <c r="A287"/>
  <c r="D286"/>
  <c r="C286"/>
  <c r="A287" i="11"/>
  <c r="F286"/>
  <c r="C286"/>
  <c r="E285" i="9"/>
  <c r="A286" i="13"/>
  <c r="F285"/>
  <c r="B284" i="11"/>
  <c r="E283"/>
  <c r="D283" s="1"/>
  <c r="G283"/>
  <c r="B283" i="13"/>
  <c r="E282"/>
  <c r="D282" s="1"/>
  <c r="C282" s="1"/>
  <c r="G282"/>
  <c r="F285" i="9"/>
  <c r="G285" s="1"/>
  <c r="G283" i="13" l="1"/>
  <c r="B284"/>
  <c r="E283"/>
  <c r="D283" s="1"/>
  <c r="C283" s="1"/>
  <c r="F286"/>
  <c r="A287"/>
  <c r="C287" i="9"/>
  <c r="D287"/>
  <c r="B287"/>
  <c r="A288"/>
  <c r="C287" i="11"/>
  <c r="F287"/>
  <c r="A288"/>
  <c r="E286" i="9"/>
  <c r="F286" s="1"/>
  <c r="G286" s="1"/>
  <c r="G284" i="11"/>
  <c r="E284"/>
  <c r="D284" s="1"/>
  <c r="B285"/>
  <c r="G285" l="1"/>
  <c r="B286"/>
  <c r="E285"/>
  <c r="D285" s="1"/>
  <c r="A289" i="9"/>
  <c r="D288"/>
  <c r="B288"/>
  <c r="C288"/>
  <c r="F287" i="13"/>
  <c r="A288"/>
  <c r="G284"/>
  <c r="E284"/>
  <c r="D284" s="1"/>
  <c r="C284" s="1"/>
  <c r="B285"/>
  <c r="F288" i="11"/>
  <c r="A289"/>
  <c r="C288"/>
  <c r="E287" i="9"/>
  <c r="F287"/>
  <c r="G287" s="1"/>
  <c r="C289" i="11" l="1"/>
  <c r="A290"/>
  <c r="F289"/>
  <c r="E288" i="9"/>
  <c r="E286" i="11"/>
  <c r="D286" s="1"/>
  <c r="B287"/>
  <c r="G286"/>
  <c r="A289" i="13"/>
  <c r="F288"/>
  <c r="F288" i="9"/>
  <c r="G288" s="1"/>
  <c r="B286" i="13"/>
  <c r="E285"/>
  <c r="D285" s="1"/>
  <c r="C285" s="1"/>
  <c r="G285"/>
  <c r="C289" i="9"/>
  <c r="D289"/>
  <c r="B289"/>
  <c r="A290"/>
  <c r="B288" i="11" l="1"/>
  <c r="E287"/>
  <c r="D287" s="1"/>
  <c r="G287"/>
  <c r="B290" i="9"/>
  <c r="A291"/>
  <c r="D290"/>
  <c r="C290"/>
  <c r="A291" i="11"/>
  <c r="F290"/>
  <c r="C290"/>
  <c r="E289" i="9"/>
  <c r="F289" s="1"/>
  <c r="G289" s="1"/>
  <c r="A290" i="13"/>
  <c r="F289"/>
  <c r="B287"/>
  <c r="E286"/>
  <c r="D286" s="1"/>
  <c r="C286" s="1"/>
  <c r="G286"/>
  <c r="F290" l="1"/>
  <c r="A291"/>
  <c r="C291" i="9"/>
  <c r="A292"/>
  <c r="D291"/>
  <c r="B291"/>
  <c r="G288" i="11"/>
  <c r="B289"/>
  <c r="E288"/>
  <c r="D288" s="1"/>
  <c r="G287" i="13"/>
  <c r="E287"/>
  <c r="D287" s="1"/>
  <c r="C287" s="1"/>
  <c r="B288"/>
  <c r="C291" i="11"/>
  <c r="F291"/>
  <c r="A292"/>
  <c r="E290" i="9"/>
  <c r="F290" s="1"/>
  <c r="G290" s="1"/>
  <c r="E291" l="1"/>
  <c r="F291" s="1"/>
  <c r="G291" s="1"/>
  <c r="F291" i="13"/>
  <c r="A292"/>
  <c r="G288"/>
  <c r="B289"/>
  <c r="E288"/>
  <c r="D288" s="1"/>
  <c r="C288" s="1"/>
  <c r="G289" i="11"/>
  <c r="B290"/>
  <c r="E289"/>
  <c r="D289" s="1"/>
  <c r="A293" i="9"/>
  <c r="D292"/>
  <c r="B292"/>
  <c r="C292"/>
  <c r="F292" i="11"/>
  <c r="A293"/>
  <c r="C292"/>
  <c r="B290" i="13" l="1"/>
  <c r="E289"/>
  <c r="D289" s="1"/>
  <c r="C289" s="1"/>
  <c r="G289"/>
  <c r="E292" i="9"/>
  <c r="F292" s="1"/>
  <c r="G292" s="1"/>
  <c r="B291" i="11"/>
  <c r="E290"/>
  <c r="D290" s="1"/>
  <c r="G290"/>
  <c r="C293"/>
  <c r="A294"/>
  <c r="F293"/>
  <c r="C293" i="9"/>
  <c r="B293"/>
  <c r="A294"/>
  <c r="D293"/>
  <c r="A293" i="13"/>
  <c r="F292"/>
  <c r="B294" i="9" l="1"/>
  <c r="A295"/>
  <c r="D294"/>
  <c r="C294"/>
  <c r="E293"/>
  <c r="F293" s="1"/>
  <c r="G293" s="1"/>
  <c r="A295" i="11"/>
  <c r="F294"/>
  <c r="C294"/>
  <c r="B292"/>
  <c r="E291"/>
  <c r="D291" s="1"/>
  <c r="G291"/>
  <c r="A294" i="13"/>
  <c r="F293"/>
  <c r="B291"/>
  <c r="E290"/>
  <c r="D290" s="1"/>
  <c r="C290" s="1"/>
  <c r="G290"/>
  <c r="G291" l="1"/>
  <c r="B292"/>
  <c r="E291"/>
  <c r="D291" s="1"/>
  <c r="C291" s="1"/>
  <c r="C295" i="11"/>
  <c r="F295"/>
  <c r="A296"/>
  <c r="G292"/>
  <c r="E292"/>
  <c r="D292" s="1"/>
  <c r="B293"/>
  <c r="C295" i="9"/>
  <c r="D295"/>
  <c r="B295"/>
  <c r="A296"/>
  <c r="F294" i="13"/>
  <c r="A295"/>
  <c r="E294" i="9"/>
  <c r="F294" s="1"/>
  <c r="G294" s="1"/>
  <c r="A297" l="1"/>
  <c r="D296"/>
  <c r="B296"/>
  <c r="C296"/>
  <c r="G293" i="11"/>
  <c r="B294"/>
  <c r="E293"/>
  <c r="D293" s="1"/>
  <c r="F296"/>
  <c r="A297"/>
  <c r="C296"/>
  <c r="G292" i="13"/>
  <c r="E292"/>
  <c r="D292" s="1"/>
  <c r="C292" s="1"/>
  <c r="B293"/>
  <c r="E295" i="9"/>
  <c r="F295" s="1"/>
  <c r="G295" s="1"/>
  <c r="F295" i="13"/>
  <c r="A296"/>
  <c r="E296" i="9" l="1"/>
  <c r="F296" s="1"/>
  <c r="G296" s="1"/>
  <c r="E294" i="11"/>
  <c r="D294" s="1"/>
  <c r="B295"/>
  <c r="G294"/>
  <c r="A297" i="13"/>
  <c r="F296"/>
  <c r="B294"/>
  <c r="E293"/>
  <c r="D293" s="1"/>
  <c r="C293" s="1"/>
  <c r="G293"/>
  <c r="C297" i="11"/>
  <c r="A298"/>
  <c r="F297"/>
  <c r="C297" i="9"/>
  <c r="D297"/>
  <c r="B297"/>
  <c r="A298"/>
  <c r="A298" i="13" l="1"/>
  <c r="F297"/>
  <c r="B298" i="9"/>
  <c r="A299"/>
  <c r="D298"/>
  <c r="C298"/>
  <c r="E297"/>
  <c r="A299" i="11"/>
  <c r="F298"/>
  <c r="C298"/>
  <c r="B295" i="13"/>
  <c r="E294"/>
  <c r="D294" s="1"/>
  <c r="C294" s="1"/>
  <c r="G294"/>
  <c r="F297" i="9"/>
  <c r="G297" s="1"/>
  <c r="B296" i="11"/>
  <c r="E295"/>
  <c r="D295" s="1"/>
  <c r="G295"/>
  <c r="E298" i="9" l="1"/>
  <c r="F298" s="1"/>
  <c r="G298" s="1"/>
  <c r="C299" i="11"/>
  <c r="F299"/>
  <c r="A300"/>
  <c r="F298" i="13"/>
  <c r="A299"/>
  <c r="G296" i="11"/>
  <c r="B297"/>
  <c r="E296"/>
  <c r="D296" s="1"/>
  <c r="G295" i="13"/>
  <c r="E295"/>
  <c r="D295" s="1"/>
  <c r="C295" s="1"/>
  <c r="B296"/>
  <c r="C299" i="9"/>
  <c r="A300"/>
  <c r="D299"/>
  <c r="B299"/>
  <c r="E299" l="1"/>
  <c r="F299" s="1"/>
  <c r="G299" s="1"/>
  <c r="G296" i="13"/>
  <c r="B297"/>
  <c r="E296"/>
  <c r="D296" s="1"/>
  <c r="C296" s="1"/>
  <c r="G297" i="11"/>
  <c r="B298"/>
  <c r="E297"/>
  <c r="D297" s="1"/>
  <c r="F300"/>
  <c r="A301"/>
  <c r="C300"/>
  <c r="A301" i="9"/>
  <c r="D300"/>
  <c r="B300"/>
  <c r="C300"/>
  <c r="F299" i="13"/>
  <c r="A300"/>
  <c r="E300" i="9" l="1"/>
  <c r="F300" s="1"/>
  <c r="G300" s="1"/>
  <c r="C301" i="11"/>
  <c r="A302"/>
  <c r="F301"/>
  <c r="B299"/>
  <c r="E298"/>
  <c r="D298" s="1"/>
  <c r="G298"/>
  <c r="A301" i="13"/>
  <c r="F300"/>
  <c r="C301" i="9"/>
  <c r="B301"/>
  <c r="A302"/>
  <c r="D301"/>
  <c r="B298" i="13"/>
  <c r="E297"/>
  <c r="D297" s="1"/>
  <c r="C297" s="1"/>
  <c r="G297"/>
  <c r="B302" i="9" l="1"/>
  <c r="A303"/>
  <c r="D302"/>
  <c r="C302"/>
  <c r="B300" i="11"/>
  <c r="E299"/>
  <c r="D299" s="1"/>
  <c r="G299"/>
  <c r="E301" i="9"/>
  <c r="F301" s="1"/>
  <c r="G301" s="1"/>
  <c r="A302" i="13"/>
  <c r="F301"/>
  <c r="B299"/>
  <c r="E298"/>
  <c r="D298" s="1"/>
  <c r="C298" s="1"/>
  <c r="G298"/>
  <c r="A303" i="11"/>
  <c r="F302"/>
  <c r="C302"/>
  <c r="F302" i="13" l="1"/>
  <c r="A303"/>
  <c r="C303" i="9"/>
  <c r="D303"/>
  <c r="B303"/>
  <c r="A304"/>
  <c r="G300" i="11"/>
  <c r="E300"/>
  <c r="D300" s="1"/>
  <c r="B301"/>
  <c r="E302" i="9"/>
  <c r="F302" s="1"/>
  <c r="G302" s="1"/>
  <c r="G299" i="13"/>
  <c r="B300"/>
  <c r="E299"/>
  <c r="D299" s="1"/>
  <c r="C299" s="1"/>
  <c r="C303" i="11"/>
  <c r="F303"/>
  <c r="A304"/>
  <c r="A305" i="9" l="1"/>
  <c r="D304"/>
  <c r="B304"/>
  <c r="C304"/>
  <c r="F303" i="13"/>
  <c r="A304"/>
  <c r="F304" i="11"/>
  <c r="A305"/>
  <c r="C304"/>
  <c r="G300" i="13"/>
  <c r="E300"/>
  <c r="D300" s="1"/>
  <c r="C300" s="1"/>
  <c r="B301"/>
  <c r="G301" i="11"/>
  <c r="B302"/>
  <c r="E301"/>
  <c r="D301" s="1"/>
  <c r="E303" i="9"/>
  <c r="F303"/>
  <c r="G303" s="1"/>
  <c r="E304" l="1"/>
  <c r="F304" s="1"/>
  <c r="G304" s="1"/>
  <c r="E302" i="11"/>
  <c r="D302" s="1"/>
  <c r="B303"/>
  <c r="G302"/>
  <c r="A305" i="13"/>
  <c r="F304"/>
  <c r="C305" i="9"/>
  <c r="D305"/>
  <c r="B305"/>
  <c r="A306"/>
  <c r="B302" i="13"/>
  <c r="E301"/>
  <c r="D301" s="1"/>
  <c r="C301" s="1"/>
  <c r="G301"/>
  <c r="C305" i="11"/>
  <c r="A306"/>
  <c r="F305"/>
  <c r="E305" i="9" l="1"/>
  <c r="F305" s="1"/>
  <c r="G305" s="1"/>
  <c r="A306" i="13"/>
  <c r="F305"/>
  <c r="A307" i="11"/>
  <c r="F306"/>
  <c r="C306"/>
  <c r="B303" i="13"/>
  <c r="E302"/>
  <c r="D302" s="1"/>
  <c r="C302" s="1"/>
  <c r="G302"/>
  <c r="B306" i="9"/>
  <c r="A307"/>
  <c r="D306"/>
  <c r="C306"/>
  <c r="B304" i="11"/>
  <c r="E303"/>
  <c r="D303" s="1"/>
  <c r="G303"/>
  <c r="C307" l="1"/>
  <c r="F307"/>
  <c r="A308"/>
  <c r="C307" i="9"/>
  <c r="A308"/>
  <c r="D307"/>
  <c r="B307"/>
  <c r="G303" i="13"/>
  <c r="E303"/>
  <c r="D303" s="1"/>
  <c r="C303" s="1"/>
  <c r="B304"/>
  <c r="G304" i="11"/>
  <c r="B305"/>
  <c r="E304"/>
  <c r="D304" s="1"/>
  <c r="E306" i="9"/>
  <c r="F306" s="1"/>
  <c r="G306" s="1"/>
  <c r="F306" i="13"/>
  <c r="A307"/>
  <c r="G304" l="1"/>
  <c r="B305"/>
  <c r="E304"/>
  <c r="D304" s="1"/>
  <c r="C304" s="1"/>
  <c r="F307"/>
  <c r="A308"/>
  <c r="A309" i="9"/>
  <c r="D308"/>
  <c r="B308"/>
  <c r="C308"/>
  <c r="G305" i="11"/>
  <c r="B306"/>
  <c r="E305"/>
  <c r="D305" s="1"/>
  <c r="E307" i="9"/>
  <c r="F307" s="1"/>
  <c r="G307" s="1"/>
  <c r="F308" i="11"/>
  <c r="A309"/>
  <c r="C308"/>
  <c r="C309" i="9" l="1"/>
  <c r="B309"/>
  <c r="A310"/>
  <c r="D309"/>
  <c r="A309" i="13"/>
  <c r="F308"/>
  <c r="B306"/>
  <c r="E305"/>
  <c r="D305" s="1"/>
  <c r="C305" s="1"/>
  <c r="G305"/>
  <c r="C309" i="11"/>
  <c r="A310"/>
  <c r="F309"/>
  <c r="E308" i="9"/>
  <c r="F308" s="1"/>
  <c r="G308" s="1"/>
  <c r="B307" i="11"/>
  <c r="E306"/>
  <c r="D306" s="1"/>
  <c r="G306"/>
  <c r="B308" l="1"/>
  <c r="E307"/>
  <c r="D307" s="1"/>
  <c r="G307"/>
  <c r="A311"/>
  <c r="F310"/>
  <c r="C310"/>
  <c r="B307" i="13"/>
  <c r="E306"/>
  <c r="D306" s="1"/>
  <c r="C306" s="1"/>
  <c r="G306"/>
  <c r="B310" i="9"/>
  <c r="A311"/>
  <c r="D310"/>
  <c r="C310"/>
  <c r="E309"/>
  <c r="F309" s="1"/>
  <c r="G309" s="1"/>
  <c r="A310" i="13"/>
  <c r="F309"/>
  <c r="C311" i="9" l="1"/>
  <c r="D311"/>
  <c r="B311"/>
  <c r="A312"/>
  <c r="G307" i="13"/>
  <c r="B308"/>
  <c r="E307"/>
  <c r="D307" s="1"/>
  <c r="C307" s="1"/>
  <c r="E310" i="9"/>
  <c r="G308" i="11"/>
  <c r="E308"/>
  <c r="D308" s="1"/>
  <c r="B309"/>
  <c r="F310" i="13"/>
  <c r="A311"/>
  <c r="F310" i="9"/>
  <c r="G310" s="1"/>
  <c r="C311" i="11"/>
  <c r="F311"/>
  <c r="A312"/>
  <c r="E311" i="9" l="1"/>
  <c r="F312" i="11"/>
  <c r="A313"/>
  <c r="C312"/>
  <c r="F311" i="13"/>
  <c r="A312"/>
  <c r="G308"/>
  <c r="E308"/>
  <c r="D308" s="1"/>
  <c r="C308" s="1"/>
  <c r="B309"/>
  <c r="F311" i="9"/>
  <c r="G311" s="1"/>
  <c r="G309" i="11"/>
  <c r="B310"/>
  <c r="E309"/>
  <c r="D309" s="1"/>
  <c r="A313" i="9"/>
  <c r="D312"/>
  <c r="B312"/>
  <c r="C312"/>
  <c r="C313" l="1"/>
  <c r="D313"/>
  <c r="B313"/>
  <c r="A314"/>
  <c r="A313" i="13"/>
  <c r="F312"/>
  <c r="B310"/>
  <c r="E309"/>
  <c r="D309" s="1"/>
  <c r="C309" s="1"/>
  <c r="G309"/>
  <c r="E312" i="9"/>
  <c r="F312" s="1"/>
  <c r="G312" s="1"/>
  <c r="E310" i="11"/>
  <c r="D310" s="1"/>
  <c r="B311"/>
  <c r="G310"/>
  <c r="C313"/>
  <c r="A314"/>
  <c r="F313"/>
  <c r="A315" l="1"/>
  <c r="F314"/>
  <c r="C314"/>
  <c r="B312"/>
  <c r="E311"/>
  <c r="D311" s="1"/>
  <c r="G311"/>
  <c r="A314" i="13"/>
  <c r="F313"/>
  <c r="B314" i="9"/>
  <c r="A315"/>
  <c r="D314"/>
  <c r="C314"/>
  <c r="B311" i="13"/>
  <c r="E310"/>
  <c r="D310" s="1"/>
  <c r="C310" s="1"/>
  <c r="G310"/>
  <c r="E313" i="9"/>
  <c r="F313" s="1"/>
  <c r="G313" s="1"/>
  <c r="G311" i="13" l="1"/>
  <c r="E311"/>
  <c r="D311" s="1"/>
  <c r="C311" s="1"/>
  <c r="B312"/>
  <c r="E314" i="9"/>
  <c r="F314" s="1"/>
  <c r="G314" s="1"/>
  <c r="C315" i="11"/>
  <c r="F315"/>
  <c r="A316"/>
  <c r="F314" i="13"/>
  <c r="A315"/>
  <c r="C315" i="9"/>
  <c r="A316"/>
  <c r="D315"/>
  <c r="B315"/>
  <c r="G312" i="11"/>
  <c r="B313"/>
  <c r="E312"/>
  <c r="D312" s="1"/>
  <c r="F316" l="1"/>
  <c r="A317"/>
  <c r="C316"/>
  <c r="E315" i="9"/>
  <c r="F315" s="1"/>
  <c r="G315" s="1"/>
  <c r="F315" i="13"/>
  <c r="A316"/>
  <c r="G312"/>
  <c r="B313"/>
  <c r="E312"/>
  <c r="D312" s="1"/>
  <c r="C312" s="1"/>
  <c r="G313" i="11"/>
  <c r="B314"/>
  <c r="E313"/>
  <c r="D313" s="1"/>
  <c r="A317" i="9"/>
  <c r="D316"/>
  <c r="B316"/>
  <c r="C316"/>
  <c r="E316" l="1"/>
  <c r="F316" s="1"/>
  <c r="G316" s="1"/>
  <c r="A317" i="13"/>
  <c r="F316"/>
  <c r="B314"/>
  <c r="E313"/>
  <c r="D313" s="1"/>
  <c r="C313" s="1"/>
  <c r="G313"/>
  <c r="B315" i="11"/>
  <c r="E314"/>
  <c r="D314" s="1"/>
  <c r="G314"/>
  <c r="C317" i="9"/>
  <c r="B317"/>
  <c r="A318"/>
  <c r="D317"/>
  <c r="C317" i="11"/>
  <c r="A318"/>
  <c r="F317"/>
  <c r="B315" i="13" l="1"/>
  <c r="E314"/>
  <c r="D314" s="1"/>
  <c r="C314" s="1"/>
  <c r="G314"/>
  <c r="A319" i="11"/>
  <c r="F318"/>
  <c r="C318"/>
  <c r="B316"/>
  <c r="E315"/>
  <c r="D315" s="1"/>
  <c r="G315"/>
  <c r="A318" i="13"/>
  <c r="F317"/>
  <c r="B318" i="9"/>
  <c r="A319"/>
  <c r="D318"/>
  <c r="C318"/>
  <c r="E317"/>
  <c r="F317"/>
  <c r="G317" s="1"/>
  <c r="F318" i="13" l="1"/>
  <c r="A319"/>
  <c r="E318" i="9"/>
  <c r="C319" i="11"/>
  <c r="F319"/>
  <c r="A320"/>
  <c r="F318" i="9"/>
  <c r="G318" s="1"/>
  <c r="C319"/>
  <c r="D319"/>
  <c r="B319"/>
  <c r="A320"/>
  <c r="G316" i="11"/>
  <c r="E316"/>
  <c r="D316" s="1"/>
  <c r="B317"/>
  <c r="G315" i="13"/>
  <c r="B316"/>
  <c r="E315"/>
  <c r="D315" s="1"/>
  <c r="C315" s="1"/>
  <c r="G316" l="1"/>
  <c r="E316"/>
  <c r="D316" s="1"/>
  <c r="C316" s="1"/>
  <c r="B317"/>
  <c r="A321" i="9"/>
  <c r="D320"/>
  <c r="B320"/>
  <c r="C320"/>
  <c r="F319" i="13"/>
  <c r="A320"/>
  <c r="G317" i="11"/>
  <c r="B318"/>
  <c r="E317"/>
  <c r="D317" s="1"/>
  <c r="E319" i="9"/>
  <c r="F319" s="1"/>
  <c r="G319" s="1"/>
  <c r="F320" i="11"/>
  <c r="A321"/>
  <c r="C320"/>
  <c r="A321" i="13" l="1"/>
  <c r="F320"/>
  <c r="C321" i="11"/>
  <c r="A322"/>
  <c r="F321"/>
  <c r="E318"/>
  <c r="D318" s="1"/>
  <c r="B319"/>
  <c r="G318"/>
  <c r="C321" i="9"/>
  <c r="D321"/>
  <c r="B321"/>
  <c r="A322"/>
  <c r="B318" i="13"/>
  <c r="E317"/>
  <c r="D317" s="1"/>
  <c r="C317" s="1"/>
  <c r="G317"/>
  <c r="E320" i="9"/>
  <c r="F320" s="1"/>
  <c r="G320" s="1"/>
  <c r="B322" l="1"/>
  <c r="A323"/>
  <c r="D322"/>
  <c r="C322"/>
  <c r="A323" i="11"/>
  <c r="F322"/>
  <c r="C322"/>
  <c r="E321" i="9"/>
  <c r="F321" s="1"/>
  <c r="G321" s="1"/>
  <c r="B320" i="11"/>
  <c r="E319"/>
  <c r="D319" s="1"/>
  <c r="G319"/>
  <c r="B319" i="13"/>
  <c r="E318"/>
  <c r="D318" s="1"/>
  <c r="C318" s="1"/>
  <c r="G318"/>
  <c r="A322"/>
  <c r="F321"/>
  <c r="E322" i="9" l="1"/>
  <c r="F322" s="1"/>
  <c r="G322" s="1"/>
  <c r="E319" i="13"/>
  <c r="D319" s="1"/>
  <c r="C319" s="1"/>
  <c r="B320"/>
  <c r="G319"/>
  <c r="C323" i="11"/>
  <c r="F323"/>
  <c r="A324"/>
  <c r="F322" i="13"/>
  <c r="A323"/>
  <c r="G320" i="11"/>
  <c r="B321"/>
  <c r="E320"/>
  <c r="D320" s="1"/>
  <c r="C323" i="9"/>
  <c r="A324"/>
  <c r="D323"/>
  <c r="B323"/>
  <c r="E323" l="1"/>
  <c r="F323" s="1"/>
  <c r="G323" s="1"/>
  <c r="G321" i="11"/>
  <c r="B322"/>
  <c r="E321"/>
  <c r="D321" s="1"/>
  <c r="G320" i="13"/>
  <c r="B321"/>
  <c r="E320"/>
  <c r="D320" s="1"/>
  <c r="C320" s="1"/>
  <c r="A325" i="9"/>
  <c r="D324"/>
  <c r="B324"/>
  <c r="C324"/>
  <c r="F324" i="11"/>
  <c r="A325"/>
  <c r="C324"/>
  <c r="F323" i="13"/>
  <c r="A324"/>
  <c r="C325" i="9" l="1"/>
  <c r="B325"/>
  <c r="A326"/>
  <c r="D325"/>
  <c r="B323" i="11"/>
  <c r="E322"/>
  <c r="D322" s="1"/>
  <c r="G322"/>
  <c r="A325" i="13"/>
  <c r="F324"/>
  <c r="C325" i="11"/>
  <c r="A326"/>
  <c r="F325"/>
  <c r="E324" i="9"/>
  <c r="F324" s="1"/>
  <c r="G324" s="1"/>
  <c r="G321" i="13"/>
  <c r="B322"/>
  <c r="E321"/>
  <c r="D321" s="1"/>
  <c r="C321" s="1"/>
  <c r="B323" l="1"/>
  <c r="E322"/>
  <c r="D322" s="1"/>
  <c r="C322" s="1"/>
  <c r="G322"/>
  <c r="A326"/>
  <c r="F325"/>
  <c r="F325" i="9"/>
  <c r="G325" s="1"/>
  <c r="E325"/>
  <c r="B324" i="11"/>
  <c r="E323"/>
  <c r="D323" s="1"/>
  <c r="G323"/>
  <c r="A327"/>
  <c r="F326"/>
  <c r="C326"/>
  <c r="B326" i="9"/>
  <c r="D326"/>
  <c r="C326"/>
  <c r="A327"/>
  <c r="B327" l="1"/>
  <c r="A328"/>
  <c r="D327"/>
  <c r="C327"/>
  <c r="G324" i="11"/>
  <c r="E324"/>
  <c r="D324" s="1"/>
  <c r="B325"/>
  <c r="C327"/>
  <c r="F327"/>
  <c r="A328"/>
  <c r="A327" i="13"/>
  <c r="F326"/>
  <c r="E326" i="9"/>
  <c r="F326" s="1"/>
  <c r="G326" s="1"/>
  <c r="B324" i="13"/>
  <c r="E323"/>
  <c r="D323" s="1"/>
  <c r="C323" s="1"/>
  <c r="G323"/>
  <c r="E327" i="9" l="1"/>
  <c r="F327" s="1"/>
  <c r="G327" s="1"/>
  <c r="G324" i="13"/>
  <c r="B325"/>
  <c r="E324"/>
  <c r="D324" s="1"/>
  <c r="C324" s="1"/>
  <c r="F327"/>
  <c r="A328"/>
  <c r="C328" i="9"/>
  <c r="A329"/>
  <c r="D328"/>
  <c r="B328"/>
  <c r="F328" i="11"/>
  <c r="A329"/>
  <c r="C328"/>
  <c r="G325"/>
  <c r="B326"/>
  <c r="E325"/>
  <c r="D325" s="1"/>
  <c r="E325" i="13" l="1"/>
  <c r="D325" s="1"/>
  <c r="C325" s="1"/>
  <c r="B326"/>
  <c r="G325"/>
  <c r="C329" i="11"/>
  <c r="A330"/>
  <c r="F329"/>
  <c r="A330" i="9"/>
  <c r="D329"/>
  <c r="B329"/>
  <c r="C329"/>
  <c r="E326" i="11"/>
  <c r="D326" s="1"/>
  <c r="B327"/>
  <c r="G326"/>
  <c r="E328" i="9"/>
  <c r="F328" s="1"/>
  <c r="G328" s="1"/>
  <c r="F328" i="13"/>
  <c r="A329"/>
  <c r="A330" l="1"/>
  <c r="F329"/>
  <c r="E329" i="9"/>
  <c r="A331" i="11"/>
  <c r="F330"/>
  <c r="C330"/>
  <c r="F329" i="9"/>
  <c r="G329" s="1"/>
  <c r="C330"/>
  <c r="B330"/>
  <c r="D330"/>
  <c r="A331"/>
  <c r="B328" i="11"/>
  <c r="E327"/>
  <c r="D327" s="1"/>
  <c r="G327"/>
  <c r="B327" i="13"/>
  <c r="E326"/>
  <c r="D326" s="1"/>
  <c r="C326" s="1"/>
  <c r="G326"/>
  <c r="E330" i="9" l="1"/>
  <c r="F330" s="1"/>
  <c r="G330" s="1"/>
  <c r="G327" i="13"/>
  <c r="B328"/>
  <c r="E327"/>
  <c r="D327" s="1"/>
  <c r="C327" s="1"/>
  <c r="B331" i="9"/>
  <c r="A332"/>
  <c r="D331"/>
  <c r="C331"/>
  <c r="G328" i="11"/>
  <c r="B329"/>
  <c r="E328"/>
  <c r="D328" s="1"/>
  <c r="C331"/>
  <c r="F331"/>
  <c r="A332"/>
  <c r="A331" i="13"/>
  <c r="F330"/>
  <c r="G328" l="1"/>
  <c r="E328"/>
  <c r="D328" s="1"/>
  <c r="C328" s="1"/>
  <c r="B329"/>
  <c r="E331" i="9"/>
  <c r="F331" s="1"/>
  <c r="G331" s="1"/>
  <c r="F331" i="13"/>
  <c r="A332"/>
  <c r="F332" i="11"/>
  <c r="A333"/>
  <c r="C332"/>
  <c r="G329"/>
  <c r="B330"/>
  <c r="E329"/>
  <c r="D329" s="1"/>
  <c r="C332" i="9"/>
  <c r="D332"/>
  <c r="A333"/>
  <c r="B332"/>
  <c r="B331" i="11" l="1"/>
  <c r="E330"/>
  <c r="D330" s="1"/>
  <c r="G330"/>
  <c r="F332" i="13"/>
  <c r="A333"/>
  <c r="E329"/>
  <c r="D329" s="1"/>
  <c r="C329" s="1"/>
  <c r="B330"/>
  <c r="G329"/>
  <c r="E332" i="9"/>
  <c r="F332" s="1"/>
  <c r="G332" s="1"/>
  <c r="C333" i="11"/>
  <c r="A334"/>
  <c r="F333"/>
  <c r="A334" i="9"/>
  <c r="D333"/>
  <c r="B333"/>
  <c r="C333"/>
  <c r="A335" i="11" l="1"/>
  <c r="F334"/>
  <c r="C334"/>
  <c r="B331" i="13"/>
  <c r="E330"/>
  <c r="D330" s="1"/>
  <c r="C330" s="1"/>
  <c r="G330"/>
  <c r="A334"/>
  <c r="F333"/>
  <c r="E333" i="9"/>
  <c r="F333" s="1"/>
  <c r="G333" s="1"/>
  <c r="C334"/>
  <c r="B334"/>
  <c r="A335"/>
  <c r="D334"/>
  <c r="B332" i="11"/>
  <c r="E331"/>
  <c r="D331" s="1"/>
  <c r="G331"/>
  <c r="B335" i="9" l="1"/>
  <c r="A336"/>
  <c r="D335"/>
  <c r="C335"/>
  <c r="E334"/>
  <c r="F334" s="1"/>
  <c r="G334" s="1"/>
  <c r="G331" i="13"/>
  <c r="E331"/>
  <c r="D331" s="1"/>
  <c r="C331" s="1"/>
  <c r="B332"/>
  <c r="F334"/>
  <c r="A335"/>
  <c r="C335" i="11"/>
  <c r="F335"/>
  <c r="A336"/>
  <c r="G332"/>
  <c r="E332"/>
  <c r="D332" s="1"/>
  <c r="B333"/>
  <c r="F335" i="13" l="1"/>
  <c r="A336"/>
  <c r="F336" i="11"/>
  <c r="A337"/>
  <c r="C336"/>
  <c r="C336" i="9"/>
  <c r="A337"/>
  <c r="D336"/>
  <c r="B336"/>
  <c r="G333" i="11"/>
  <c r="B334"/>
  <c r="E333"/>
  <c r="D333" s="1"/>
  <c r="G332" i="13"/>
  <c r="E332"/>
  <c r="D332" s="1"/>
  <c r="C332" s="1"/>
  <c r="B333"/>
  <c r="E335" i="9"/>
  <c r="F335" s="1"/>
  <c r="G335" s="1"/>
  <c r="E336" l="1"/>
  <c r="F336" s="1"/>
  <c r="G336" s="1"/>
  <c r="A337" i="13"/>
  <c r="F336"/>
  <c r="B334"/>
  <c r="G333"/>
  <c r="E333"/>
  <c r="D333" s="1"/>
  <c r="C333" s="1"/>
  <c r="E334" i="11"/>
  <c r="D334" s="1"/>
  <c r="B335"/>
  <c r="G334"/>
  <c r="A338" i="9"/>
  <c r="D337"/>
  <c r="B337"/>
  <c r="C337"/>
  <c r="C337" i="11"/>
  <c r="A338"/>
  <c r="F337"/>
  <c r="C338" i="9" l="1"/>
  <c r="B338"/>
  <c r="A339"/>
  <c r="D338"/>
  <c r="A338" i="13"/>
  <c r="F337"/>
  <c r="A339" i="11"/>
  <c r="F338"/>
  <c r="C338"/>
  <c r="E337" i="9"/>
  <c r="F337" s="1"/>
  <c r="G337" s="1"/>
  <c r="B336" i="11"/>
  <c r="E335"/>
  <c r="D335" s="1"/>
  <c r="G335"/>
  <c r="B335" i="13"/>
  <c r="E334"/>
  <c r="D334" s="1"/>
  <c r="C334" s="1"/>
  <c r="G334"/>
  <c r="E335" l="1"/>
  <c r="D335" s="1"/>
  <c r="C335" s="1"/>
  <c r="B336"/>
  <c r="G335"/>
  <c r="C339" i="11"/>
  <c r="F339"/>
  <c r="A340"/>
  <c r="B339" i="9"/>
  <c r="A340"/>
  <c r="D339"/>
  <c r="C339"/>
  <c r="F338" i="13"/>
  <c r="A339"/>
  <c r="G336" i="11"/>
  <c r="B337"/>
  <c r="E336"/>
  <c r="D336" s="1"/>
  <c r="E338" i="9"/>
  <c r="F338" s="1"/>
  <c r="G338" s="1"/>
  <c r="A340" i="13" l="1"/>
  <c r="F339"/>
  <c r="E339" i="9"/>
  <c r="F339" s="1"/>
  <c r="G339" s="1"/>
  <c r="C340"/>
  <c r="D340"/>
  <c r="A341"/>
  <c r="B340"/>
  <c r="G337" i="11"/>
  <c r="B338"/>
  <c r="E337"/>
  <c r="D337" s="1"/>
  <c r="F340"/>
  <c r="A341"/>
  <c r="C340"/>
  <c r="G336" i="13"/>
  <c r="B337"/>
  <c r="E336"/>
  <c r="D336" s="1"/>
  <c r="C336" s="1"/>
  <c r="C341" i="11" l="1"/>
  <c r="A342"/>
  <c r="F341"/>
  <c r="A342" i="9"/>
  <c r="D341"/>
  <c r="B341"/>
  <c r="C341"/>
  <c r="G337" i="13"/>
  <c r="B338"/>
  <c r="E337"/>
  <c r="D337" s="1"/>
  <c r="C337" s="1"/>
  <c r="E340" i="9"/>
  <c r="B339" i="11"/>
  <c r="E338"/>
  <c r="D338" s="1"/>
  <c r="G338"/>
  <c r="F340" i="9"/>
  <c r="G340" s="1"/>
  <c r="F340" i="13"/>
  <c r="A341"/>
  <c r="F341" l="1"/>
  <c r="A342"/>
  <c r="E341" i="9"/>
  <c r="F341" s="1"/>
  <c r="G341" s="1"/>
  <c r="B340" i="11"/>
  <c r="E339"/>
  <c r="D339" s="1"/>
  <c r="G339"/>
  <c r="C342" i="9"/>
  <c r="B342"/>
  <c r="A343"/>
  <c r="D342"/>
  <c r="A343" i="11"/>
  <c r="F342"/>
  <c r="C342"/>
  <c r="B339" i="13"/>
  <c r="E338"/>
  <c r="D338" s="1"/>
  <c r="C338" s="1"/>
  <c r="G338"/>
  <c r="C343" i="11" l="1"/>
  <c r="F343"/>
  <c r="A344"/>
  <c r="B343" i="9"/>
  <c r="A344"/>
  <c r="D343"/>
  <c r="C343"/>
  <c r="A343" i="13"/>
  <c r="F342"/>
  <c r="E342" i="9"/>
  <c r="F342" s="1"/>
  <c r="G342" s="1"/>
  <c r="G340" i="11"/>
  <c r="E340"/>
  <c r="D340" s="1"/>
  <c r="B341"/>
  <c r="G339" i="13"/>
  <c r="E339"/>
  <c r="D339" s="1"/>
  <c r="C339" s="1"/>
  <c r="B340"/>
  <c r="G341" i="11" l="1"/>
  <c r="B342"/>
  <c r="E341"/>
  <c r="D341" s="1"/>
  <c r="A344" i="13"/>
  <c r="F343"/>
  <c r="E343" i="9"/>
  <c r="F343" s="1"/>
  <c r="G343" s="1"/>
  <c r="F344" i="11"/>
  <c r="A345"/>
  <c r="C344"/>
  <c r="B341" i="13"/>
  <c r="E340"/>
  <c r="D340" s="1"/>
  <c r="C340" s="1"/>
  <c r="G340"/>
  <c r="C344" i="9"/>
  <c r="A345"/>
  <c r="D344"/>
  <c r="B344"/>
  <c r="E344" l="1"/>
  <c r="F344" s="1"/>
  <c r="G344" s="1"/>
  <c r="C345" i="11"/>
  <c r="A346"/>
  <c r="F345"/>
  <c r="A346" i="9"/>
  <c r="D345"/>
  <c r="B345"/>
  <c r="C345"/>
  <c r="G341" i="13"/>
  <c r="B342"/>
  <c r="E341"/>
  <c r="D341" s="1"/>
  <c r="C341" s="1"/>
  <c r="F344"/>
  <c r="A345"/>
  <c r="E342" i="11"/>
  <c r="D342" s="1"/>
  <c r="B343"/>
  <c r="G342"/>
  <c r="B344" l="1"/>
  <c r="E343"/>
  <c r="D343" s="1"/>
  <c r="G343"/>
  <c r="E345" i="9"/>
  <c r="F345" s="1"/>
  <c r="G345" s="1"/>
  <c r="G342" i="13"/>
  <c r="E342"/>
  <c r="D342" s="1"/>
  <c r="C342" s="1"/>
  <c r="B343"/>
  <c r="F345"/>
  <c r="A346"/>
  <c r="C346" i="9"/>
  <c r="B346"/>
  <c r="D346"/>
  <c r="A347"/>
  <c r="A347" i="11"/>
  <c r="F346"/>
  <c r="C346"/>
  <c r="C347" l="1"/>
  <c r="F347"/>
  <c r="A348"/>
  <c r="B344" i="13"/>
  <c r="E343"/>
  <c r="D343" s="1"/>
  <c r="C343" s="1"/>
  <c r="G343"/>
  <c r="B347" i="9"/>
  <c r="A348"/>
  <c r="D347"/>
  <c r="C347"/>
  <c r="F346" i="13"/>
  <c r="A347"/>
  <c r="E346" i="9"/>
  <c r="F346" s="1"/>
  <c r="G346" s="1"/>
  <c r="G344" i="11"/>
  <c r="B345"/>
  <c r="E344"/>
  <c r="D344" s="1"/>
  <c r="G345" l="1"/>
  <c r="B346"/>
  <c r="E345"/>
  <c r="D345" s="1"/>
  <c r="A348" i="13"/>
  <c r="F347"/>
  <c r="C348" i="9"/>
  <c r="D348"/>
  <c r="A349"/>
  <c r="B348"/>
  <c r="B345" i="13"/>
  <c r="E344"/>
  <c r="D344" s="1"/>
  <c r="C344" s="1"/>
  <c r="G344"/>
  <c r="E347" i="9"/>
  <c r="F347" s="1"/>
  <c r="G347" s="1"/>
  <c r="F348" i="11"/>
  <c r="A349"/>
  <c r="C348"/>
  <c r="E345" i="13" l="1"/>
  <c r="D345" s="1"/>
  <c r="C345" s="1"/>
  <c r="B346"/>
  <c r="G345"/>
  <c r="C349" i="11"/>
  <c r="A350"/>
  <c r="F349"/>
  <c r="A350" i="9"/>
  <c r="D349"/>
  <c r="B349"/>
  <c r="C349"/>
  <c r="F348" i="13"/>
  <c r="A349"/>
  <c r="B347" i="11"/>
  <c r="E346"/>
  <c r="D346" s="1"/>
  <c r="G346"/>
  <c r="E348" i="9"/>
  <c r="F348" s="1"/>
  <c r="G348" s="1"/>
  <c r="G346" i="13" l="1"/>
  <c r="B347"/>
  <c r="E346"/>
  <c r="D346" s="1"/>
  <c r="C346" s="1"/>
  <c r="E349" i="9"/>
  <c r="F349" s="1"/>
  <c r="G349" s="1"/>
  <c r="A351" i="11"/>
  <c r="F350"/>
  <c r="C350"/>
  <c r="F349" i="13"/>
  <c r="A350"/>
  <c r="B348" i="11"/>
  <c r="E347"/>
  <c r="D347" s="1"/>
  <c r="G347"/>
  <c r="C350" i="9"/>
  <c r="B350"/>
  <c r="A351"/>
  <c r="D350"/>
  <c r="G347" i="13" l="1"/>
  <c r="E347"/>
  <c r="D347" s="1"/>
  <c r="C347" s="1"/>
  <c r="B348"/>
  <c r="E350" i="9"/>
  <c r="F350" s="1"/>
  <c r="G350" s="1"/>
  <c r="G348" i="11"/>
  <c r="E348"/>
  <c r="D348" s="1"/>
  <c r="B349"/>
  <c r="A351" i="13"/>
  <c r="F350"/>
  <c r="C351" i="11"/>
  <c r="F351"/>
  <c r="A352"/>
  <c r="B351" i="9"/>
  <c r="A352"/>
  <c r="D351"/>
  <c r="C351"/>
  <c r="A352" i="13" l="1"/>
  <c r="F351"/>
  <c r="C352" i="9"/>
  <c r="A353"/>
  <c r="D352"/>
  <c r="B352"/>
  <c r="G349" i="11"/>
  <c r="B350"/>
  <c r="E349"/>
  <c r="D349" s="1"/>
  <c r="E351" i="9"/>
  <c r="F351" s="1"/>
  <c r="G351" s="1"/>
  <c r="B349" i="13"/>
  <c r="E348"/>
  <c r="D348" s="1"/>
  <c r="C348" s="1"/>
  <c r="G348"/>
  <c r="F352" i="11"/>
  <c r="A353"/>
  <c r="C352"/>
  <c r="B350" i="13" l="1"/>
  <c r="G349"/>
  <c r="E349"/>
  <c r="D349" s="1"/>
  <c r="C349" s="1"/>
  <c r="A354" i="9"/>
  <c r="D353"/>
  <c r="B353"/>
  <c r="C353"/>
  <c r="C353" i="11"/>
  <c r="A354"/>
  <c r="F353"/>
  <c r="E350"/>
  <c r="D350" s="1"/>
  <c r="B351"/>
  <c r="G350"/>
  <c r="F352" i="13"/>
  <c r="A353"/>
  <c r="E352" i="9"/>
  <c r="F352" s="1"/>
  <c r="G352" s="1"/>
  <c r="E353" l="1"/>
  <c r="F353" s="1"/>
  <c r="G353" s="1"/>
  <c r="F353" i="13"/>
  <c r="A354"/>
  <c r="C354" i="9"/>
  <c r="B354"/>
  <c r="A355"/>
  <c r="D354"/>
  <c r="A355" i="11"/>
  <c r="F354"/>
  <c r="C354"/>
  <c r="B352"/>
  <c r="E351"/>
  <c r="D351" s="1"/>
  <c r="G351"/>
  <c r="G350" i="13"/>
  <c r="E350"/>
  <c r="D350" s="1"/>
  <c r="C350" s="1"/>
  <c r="B351"/>
  <c r="B352" l="1"/>
  <c r="G351"/>
  <c r="E351"/>
  <c r="D351" s="1"/>
  <c r="C351" s="1"/>
  <c r="G352" i="11"/>
  <c r="B353"/>
  <c r="E352"/>
  <c r="D352" s="1"/>
  <c r="F354" i="13"/>
  <c r="A355"/>
  <c r="E354" i="9"/>
  <c r="F354" s="1"/>
  <c r="G354" s="1"/>
  <c r="C355" i="11"/>
  <c r="F355"/>
  <c r="A356"/>
  <c r="B355" i="9"/>
  <c r="A356"/>
  <c r="D355"/>
  <c r="C355"/>
  <c r="G353" i="11" l="1"/>
  <c r="B354"/>
  <c r="E353"/>
  <c r="D353" s="1"/>
  <c r="C356" i="9"/>
  <c r="D356"/>
  <c r="A357"/>
  <c r="B356"/>
  <c r="F356" i="11"/>
  <c r="A357"/>
  <c r="C356"/>
  <c r="A356" i="13"/>
  <c r="F355"/>
  <c r="B353"/>
  <c r="E352"/>
  <c r="D352" s="1"/>
  <c r="C352" s="1"/>
  <c r="G352"/>
  <c r="E355" i="9"/>
  <c r="F355" s="1"/>
  <c r="G355" s="1"/>
  <c r="F356" i="13" l="1"/>
  <c r="A357"/>
  <c r="E356" i="9"/>
  <c r="F356" s="1"/>
  <c r="G356" s="1"/>
  <c r="E353" i="13"/>
  <c r="D353" s="1"/>
  <c r="C353" s="1"/>
  <c r="G353"/>
  <c r="B354"/>
  <c r="C357" i="11"/>
  <c r="A358"/>
  <c r="F357"/>
  <c r="A358" i="9"/>
  <c r="D357"/>
  <c r="B357"/>
  <c r="C357"/>
  <c r="B355" i="11"/>
  <c r="E354"/>
  <c r="D354" s="1"/>
  <c r="G354"/>
  <c r="C358" i="9" l="1"/>
  <c r="B358"/>
  <c r="A359"/>
  <c r="D358"/>
  <c r="G354" i="13"/>
  <c r="B355"/>
  <c r="E354"/>
  <c r="D354" s="1"/>
  <c r="C354" s="1"/>
  <c r="E357" i="9"/>
  <c r="F357" s="1"/>
  <c r="G357" s="1"/>
  <c r="A359" i="11"/>
  <c r="F358"/>
  <c r="C358"/>
  <c r="B356"/>
  <c r="E355"/>
  <c r="D355" s="1"/>
  <c r="G355"/>
  <c r="F357" i="13"/>
  <c r="A358"/>
  <c r="A359" l="1"/>
  <c r="F358"/>
  <c r="B359" i="9"/>
  <c r="A360"/>
  <c r="D359"/>
  <c r="C359"/>
  <c r="G356" i="11"/>
  <c r="E356"/>
  <c r="D356" s="1"/>
  <c r="B357"/>
  <c r="C359"/>
  <c r="F359"/>
  <c r="A360"/>
  <c r="B356" i="13"/>
  <c r="E355"/>
  <c r="D355" s="1"/>
  <c r="C355" s="1"/>
  <c r="G355"/>
  <c r="E358" i="9"/>
  <c r="F358" s="1"/>
  <c r="G358" s="1"/>
  <c r="G357" i="11" l="1"/>
  <c r="B358"/>
  <c r="E357"/>
  <c r="D357" s="1"/>
  <c r="E359" i="9"/>
  <c r="F359" s="1"/>
  <c r="G359" s="1"/>
  <c r="B357" i="13"/>
  <c r="E356"/>
  <c r="D356" s="1"/>
  <c r="C356" s="1"/>
  <c r="G356"/>
  <c r="F360" i="11"/>
  <c r="A361"/>
  <c r="C360"/>
  <c r="C360" i="9"/>
  <c r="A361"/>
  <c r="D360"/>
  <c r="B360"/>
  <c r="A360" i="13"/>
  <c r="F359"/>
  <c r="A362" i="9" l="1"/>
  <c r="D361"/>
  <c r="B361"/>
  <c r="C361"/>
  <c r="G357" i="13"/>
  <c r="E357"/>
  <c r="D357" s="1"/>
  <c r="C357" s="1"/>
  <c r="B358"/>
  <c r="F360"/>
  <c r="A361"/>
  <c r="E360" i="9"/>
  <c r="F360" s="1"/>
  <c r="G360" s="1"/>
  <c r="E358" i="11"/>
  <c r="D358" s="1"/>
  <c r="B359"/>
  <c r="G358"/>
  <c r="C361"/>
  <c r="A362"/>
  <c r="F361"/>
  <c r="B360" l="1"/>
  <c r="E359"/>
  <c r="D359" s="1"/>
  <c r="G359"/>
  <c r="A363"/>
  <c r="F362"/>
  <c r="C362"/>
  <c r="F361" i="13"/>
  <c r="A362"/>
  <c r="C362" i="9"/>
  <c r="B362"/>
  <c r="D362"/>
  <c r="A363"/>
  <c r="G358" i="13"/>
  <c r="B359"/>
  <c r="E358"/>
  <c r="D358" s="1"/>
  <c r="C358" s="1"/>
  <c r="E361" i="9"/>
  <c r="F361" s="1"/>
  <c r="G361" s="1"/>
  <c r="G360" i="11" l="1"/>
  <c r="B361"/>
  <c r="E360"/>
  <c r="D360" s="1"/>
  <c r="B363" i="9"/>
  <c r="A364"/>
  <c r="D363"/>
  <c r="C363"/>
  <c r="C363" i="11"/>
  <c r="F363"/>
  <c r="A364"/>
  <c r="A363" i="13"/>
  <c r="F362"/>
  <c r="B360"/>
  <c r="E359"/>
  <c r="D359" s="1"/>
  <c r="C359" s="1"/>
  <c r="G359"/>
  <c r="E362" i="9"/>
  <c r="F362" s="1"/>
  <c r="G362" s="1"/>
  <c r="F364" i="11" l="1"/>
  <c r="A365"/>
  <c r="C364"/>
  <c r="G361"/>
  <c r="B362"/>
  <c r="E361"/>
  <c r="D361" s="1"/>
  <c r="C364" i="9"/>
  <c r="D364"/>
  <c r="A365"/>
  <c r="B364"/>
  <c r="A364" i="13"/>
  <c r="F363"/>
  <c r="E363" i="9"/>
  <c r="F363" s="1"/>
  <c r="G363" s="1"/>
  <c r="B361" i="13"/>
  <c r="E360"/>
  <c r="D360" s="1"/>
  <c r="C360" s="1"/>
  <c r="G360"/>
  <c r="E364" i="9" l="1"/>
  <c r="F364" s="1"/>
  <c r="G364" s="1"/>
  <c r="C365" i="11"/>
  <c r="A366"/>
  <c r="F365"/>
  <c r="A366" i="9"/>
  <c r="D365"/>
  <c r="B365"/>
  <c r="C365"/>
  <c r="B363" i="11"/>
  <c r="E362"/>
  <c r="D362" s="1"/>
  <c r="G362"/>
  <c r="G361" i="13"/>
  <c r="B362"/>
  <c r="E361"/>
  <c r="D361" s="1"/>
  <c r="C361" s="1"/>
  <c r="F364"/>
  <c r="A365"/>
  <c r="F365" l="1"/>
  <c r="A366"/>
  <c r="A367" i="11"/>
  <c r="F366"/>
  <c r="C366"/>
  <c r="E365" i="9"/>
  <c r="F365" s="1"/>
  <c r="G365" s="1"/>
  <c r="G362" i="13"/>
  <c r="B363"/>
  <c r="E362"/>
  <c r="D362" s="1"/>
  <c r="C362" s="1"/>
  <c r="B364" i="11"/>
  <c r="E363"/>
  <c r="D363" s="1"/>
  <c r="G363"/>
  <c r="C366" i="9"/>
  <c r="B366"/>
  <c r="A367"/>
  <c r="D366"/>
  <c r="C367" i="11" l="1"/>
  <c r="F367"/>
  <c r="A368"/>
  <c r="B364" i="13"/>
  <c r="E363"/>
  <c r="D363" s="1"/>
  <c r="C363" s="1"/>
  <c r="G363"/>
  <c r="A367"/>
  <c r="F366"/>
  <c r="B367" i="9"/>
  <c r="A368"/>
  <c r="D367"/>
  <c r="C367"/>
  <c r="E366"/>
  <c r="F366" s="1"/>
  <c r="G366" s="1"/>
  <c r="G364" i="11"/>
  <c r="E364"/>
  <c r="D364" s="1"/>
  <c r="B365"/>
  <c r="E367" i="9" l="1"/>
  <c r="F367" s="1"/>
  <c r="G367" s="1"/>
  <c r="A368" i="13"/>
  <c r="F367"/>
  <c r="C368" i="9"/>
  <c r="A369"/>
  <c r="D368"/>
  <c r="B368"/>
  <c r="F368" i="11"/>
  <c r="A369"/>
  <c r="C368"/>
  <c r="G365"/>
  <c r="B366"/>
  <c r="E365"/>
  <c r="D365" s="1"/>
  <c r="B365" i="13"/>
  <c r="E364"/>
  <c r="D364" s="1"/>
  <c r="C364" s="1"/>
  <c r="G364"/>
  <c r="G365" l="1"/>
  <c r="E365"/>
  <c r="D365" s="1"/>
  <c r="C365" s="1"/>
  <c r="B366"/>
  <c r="F368"/>
  <c r="A369"/>
  <c r="C369" i="11"/>
  <c r="A370"/>
  <c r="F369"/>
  <c r="A370" i="9"/>
  <c r="D369"/>
  <c r="B369"/>
  <c r="C369"/>
  <c r="E366" i="11"/>
  <c r="D366" s="1"/>
  <c r="B367"/>
  <c r="G366"/>
  <c r="E368" i="9"/>
  <c r="F368" s="1"/>
  <c r="G368" s="1"/>
  <c r="E369" l="1"/>
  <c r="F369" s="1"/>
  <c r="G369" s="1"/>
  <c r="A371" i="11"/>
  <c r="F370"/>
  <c r="C370"/>
  <c r="B368"/>
  <c r="E367"/>
  <c r="D367" s="1"/>
  <c r="G367"/>
  <c r="G366" i="13"/>
  <c r="E366"/>
  <c r="D366" s="1"/>
  <c r="C366" s="1"/>
  <c r="B367"/>
  <c r="C370" i="9"/>
  <c r="B370"/>
  <c r="A371"/>
  <c r="D370"/>
  <c r="F369" i="13"/>
  <c r="A370"/>
  <c r="B368" l="1"/>
  <c r="E367"/>
  <c r="D367" s="1"/>
  <c r="C367" s="1"/>
  <c r="G367"/>
  <c r="B371" i="9"/>
  <c r="A372"/>
  <c r="D371"/>
  <c r="C371"/>
  <c r="C371" i="11"/>
  <c r="F371"/>
  <c r="A372"/>
  <c r="A371" i="13"/>
  <c r="F370"/>
  <c r="E370" i="9"/>
  <c r="F370" s="1"/>
  <c r="G370" s="1"/>
  <c r="G368" i="11"/>
  <c r="B369"/>
  <c r="E368"/>
  <c r="D368" s="1"/>
  <c r="C372" i="9" l="1"/>
  <c r="D372"/>
  <c r="A373"/>
  <c r="B372"/>
  <c r="B369" i="13"/>
  <c r="E368"/>
  <c r="D368" s="1"/>
  <c r="C368" s="1"/>
  <c r="G368"/>
  <c r="A372"/>
  <c r="F371"/>
  <c r="E371" i="9"/>
  <c r="F371" s="1"/>
  <c r="G371" s="1"/>
  <c r="G369" i="11"/>
  <c r="B370"/>
  <c r="E369"/>
  <c r="D369" s="1"/>
  <c r="F372"/>
  <c r="A373"/>
  <c r="C372"/>
  <c r="B371" l="1"/>
  <c r="E370"/>
  <c r="D370" s="1"/>
  <c r="G370"/>
  <c r="G369" i="13"/>
  <c r="B370"/>
  <c r="E369"/>
  <c r="D369" s="1"/>
  <c r="C369" s="1"/>
  <c r="C373" i="11"/>
  <c r="A374"/>
  <c r="F373"/>
  <c r="F372" i="13"/>
  <c r="A373"/>
  <c r="E372" i="9"/>
  <c r="F372" s="1"/>
  <c r="G372" s="1"/>
  <c r="A374"/>
  <c r="D373"/>
  <c r="B373"/>
  <c r="C373"/>
  <c r="B372" i="11" l="1"/>
  <c r="E371"/>
  <c r="D371" s="1"/>
  <c r="G371"/>
  <c r="E373" i="9"/>
  <c r="F373" s="1"/>
  <c r="G373" s="1"/>
  <c r="A375" i="11"/>
  <c r="F374"/>
  <c r="C374"/>
  <c r="F373" i="13"/>
  <c r="A374"/>
  <c r="G370"/>
  <c r="B371"/>
  <c r="E370"/>
  <c r="D370" s="1"/>
  <c r="C370" s="1"/>
  <c r="C374" i="9"/>
  <c r="B374"/>
  <c r="A375"/>
  <c r="D374"/>
  <c r="B375" l="1"/>
  <c r="A376"/>
  <c r="D375"/>
  <c r="C375"/>
  <c r="B372" i="13"/>
  <c r="E371"/>
  <c r="D371" s="1"/>
  <c r="C371" s="1"/>
  <c r="G371"/>
  <c r="G372" i="11"/>
  <c r="E372"/>
  <c r="D372" s="1"/>
  <c r="B373"/>
  <c r="E374" i="9"/>
  <c r="A375" i="13"/>
  <c r="F374"/>
  <c r="F374" i="9"/>
  <c r="G374" s="1"/>
  <c r="C375" i="11"/>
  <c r="F375"/>
  <c r="A376"/>
  <c r="A376" i="13" l="1"/>
  <c r="F375"/>
  <c r="B373"/>
  <c r="E372"/>
  <c r="D372" s="1"/>
  <c r="C372" s="1"/>
  <c r="G372"/>
  <c r="E375" i="9"/>
  <c r="F375" s="1"/>
  <c r="G375" s="1"/>
  <c r="F376" i="11"/>
  <c r="A377"/>
  <c r="C376"/>
  <c r="G373"/>
  <c r="B374"/>
  <c r="E373"/>
  <c r="D373" s="1"/>
  <c r="C376" i="9"/>
  <c r="A377"/>
  <c r="D376"/>
  <c r="B376"/>
  <c r="E374" i="11" l="1"/>
  <c r="D374" s="1"/>
  <c r="B375"/>
  <c r="G374"/>
  <c r="A378" i="9"/>
  <c r="D377"/>
  <c r="B377"/>
  <c r="C377"/>
  <c r="G373" i="13"/>
  <c r="E373"/>
  <c r="D373" s="1"/>
  <c r="C373" s="1"/>
  <c r="B374"/>
  <c r="F376"/>
  <c r="A377"/>
  <c r="E376" i="9"/>
  <c r="F376" s="1"/>
  <c r="G376" s="1"/>
  <c r="C377" i="11"/>
  <c r="A378"/>
  <c r="F377"/>
  <c r="A379" l="1"/>
  <c r="F378"/>
  <c r="C378"/>
  <c r="G374" i="13"/>
  <c r="B375"/>
  <c r="E374"/>
  <c r="D374" s="1"/>
  <c r="C374" s="1"/>
  <c r="E377" i="9"/>
  <c r="F377" s="1"/>
  <c r="G377" s="1"/>
  <c r="B376" i="11"/>
  <c r="E375"/>
  <c r="D375" s="1"/>
  <c r="G375"/>
  <c r="F377" i="13"/>
  <c r="A378"/>
  <c r="C378" i="9"/>
  <c r="B378"/>
  <c r="D378"/>
  <c r="A379"/>
  <c r="A379" i="13" l="1"/>
  <c r="F378"/>
  <c r="B376"/>
  <c r="E375"/>
  <c r="D375" s="1"/>
  <c r="C375" s="1"/>
  <c r="G375"/>
  <c r="F378" i="9"/>
  <c r="G378" s="1"/>
  <c r="E378"/>
  <c r="B379"/>
  <c r="A380"/>
  <c r="D379"/>
  <c r="C379"/>
  <c r="G376" i="11"/>
  <c r="B377"/>
  <c r="E376"/>
  <c r="D376" s="1"/>
  <c r="C379"/>
  <c r="F379"/>
  <c r="A380"/>
  <c r="B377" i="13" l="1"/>
  <c r="E376"/>
  <c r="D376" s="1"/>
  <c r="C376" s="1"/>
  <c r="G376"/>
  <c r="E379" i="9"/>
  <c r="F379" s="1"/>
  <c r="G379" s="1"/>
  <c r="A380" i="13"/>
  <c r="F379"/>
  <c r="F380" i="11"/>
  <c r="A381"/>
  <c r="C380"/>
  <c r="G377"/>
  <c r="B378"/>
  <c r="E377"/>
  <c r="D377" s="1"/>
  <c r="C380" i="9"/>
  <c r="D380"/>
  <c r="A381"/>
  <c r="B380"/>
  <c r="B379" i="11" l="1"/>
  <c r="E378"/>
  <c r="D378" s="1"/>
  <c r="G378"/>
  <c r="F380" i="13"/>
  <c r="A381"/>
  <c r="F381" s="1"/>
  <c r="F382" s="1"/>
  <c r="A382" i="9"/>
  <c r="D381"/>
  <c r="B381"/>
  <c r="C381"/>
  <c r="E380"/>
  <c r="F380" s="1"/>
  <c r="G380" s="1"/>
  <c r="C381" i="11"/>
  <c r="A382"/>
  <c r="F381"/>
  <c r="G377" i="13"/>
  <c r="B378"/>
  <c r="E377"/>
  <c r="D377" s="1"/>
  <c r="C377" s="1"/>
  <c r="E381" i="9" l="1"/>
  <c r="F381" s="1"/>
  <c r="G381" s="1"/>
  <c r="G378" i="13"/>
  <c r="E378"/>
  <c r="D378" s="1"/>
  <c r="C378" s="1"/>
  <c r="B379"/>
  <c r="B380" i="11"/>
  <c r="E379"/>
  <c r="D379" s="1"/>
  <c r="G379"/>
  <c r="F382"/>
  <c r="F383" s="1"/>
  <c r="C382"/>
  <c r="C382" i="9"/>
  <c r="C383" s="1"/>
  <c r="B382"/>
  <c r="D382"/>
  <c r="E13" i="12" l="1"/>
  <c r="E15" s="1"/>
  <c r="A20" s="1"/>
  <c r="C383" i="11"/>
  <c r="D17"/>
  <c r="G380"/>
  <c r="E380"/>
  <c r="D380" s="1"/>
  <c r="B381"/>
  <c r="E382" i="9"/>
  <c r="E383" s="1"/>
  <c r="D383"/>
  <c r="B380" i="13"/>
  <c r="E379"/>
  <c r="D379" s="1"/>
  <c r="C379" s="1"/>
  <c r="G379"/>
  <c r="F382" i="9" l="1"/>
  <c r="F383" s="1"/>
  <c r="C4" i="15"/>
  <c r="A21" i="12"/>
  <c r="A23"/>
  <c r="B381" i="13"/>
  <c r="E380"/>
  <c r="D380" s="1"/>
  <c r="C380" s="1"/>
  <c r="G380"/>
  <c r="G381" i="11"/>
  <c r="B382"/>
  <c r="E381"/>
  <c r="D381" s="1"/>
  <c r="G382" i="9" l="1"/>
  <c r="E382" i="11"/>
  <c r="G382"/>
  <c r="G381" i="13"/>
  <c r="E381"/>
  <c r="D381" l="1"/>
  <c r="E382"/>
  <c r="D382" i="11"/>
  <c r="E383"/>
  <c r="D383" s="1"/>
  <c r="C381" i="13" l="1"/>
  <c r="C382" s="1"/>
  <c r="D382"/>
</calcChain>
</file>

<file path=xl/comments1.xml><?xml version="1.0" encoding="utf-8"?>
<comments xmlns="http://schemas.openxmlformats.org/spreadsheetml/2006/main">
  <authors>
    <author>IT afdelingen</author>
    <author>Brygger</author>
  </authors>
  <commentList>
    <comment ref="D3" authorId="0">
      <text>
        <r>
          <rPr>
            <b/>
            <sz val="16"/>
            <color indexed="81"/>
            <rFont val="Tahoma"/>
            <family val="2"/>
          </rPr>
          <t>Der må kun tastes i de farvede celler. Indtast hovedstolen her</t>
        </r>
      </text>
    </comment>
    <comment ref="D4" authorId="0">
      <text>
        <r>
          <rPr>
            <b/>
            <sz val="14"/>
            <color indexed="81"/>
            <rFont val="Tahoma"/>
            <family val="2"/>
          </rPr>
          <t xml:space="preserve">Hvis lånet er et obligationslån er det typisk at kursen er under 100 når lånet optagets. Indtastningen kan være
f.eks. 90 eller 95.  Kursen angiver hvor mange % af hovedstolen låntager får udbetalt.
</t>
        </r>
        <r>
          <rPr>
            <sz val="14"/>
            <color indexed="81"/>
            <rFont val="Tahoma"/>
            <family val="2"/>
          </rPr>
          <t xml:space="preserve">
</t>
        </r>
      </text>
    </comment>
    <comment ref="D6" authorId="0">
      <text>
        <r>
          <rPr>
            <b/>
            <sz val="14"/>
            <color indexed="81"/>
            <rFont val="Tahoma"/>
            <family val="2"/>
          </rPr>
          <t xml:space="preserve">De fleste lån har stiftelsesomkostninger / etableringsomkostninger når lånet skal optages. For et lån på 1.000.000 kan det f.eks. være kr. 10.000.
</t>
        </r>
      </text>
    </comment>
    <comment ref="D7" authorId="0">
      <text>
        <r>
          <rPr>
            <b/>
            <sz val="14"/>
            <color indexed="81"/>
            <rFont val="Tahoma"/>
            <family val="2"/>
          </rPr>
          <t>Dette tal kaldes for nettoprovenuet og er de penge som låntager får udbetalt</t>
        </r>
        <r>
          <rPr>
            <b/>
            <sz val="8"/>
            <color indexed="81"/>
            <rFont val="Tahoma"/>
            <family val="2"/>
          </rPr>
          <t xml:space="preserve">
</t>
        </r>
      </text>
    </comment>
    <comment ref="D10" authorId="0">
      <text>
        <r>
          <rPr>
            <b/>
            <sz val="14"/>
            <color indexed="81"/>
            <rFont val="Tahoma"/>
            <family val="2"/>
          </rPr>
          <t>Hvis lånet har årlige ydelser tastes 1
Hvis der er halv årlige ydelser tastes 2 
Hvis der er kvartårlige ydelser tastes 4
Hvis der er måndelige ydelser tastes 12</t>
        </r>
        <r>
          <rPr>
            <sz val="14"/>
            <color indexed="81"/>
            <rFont val="Tahoma"/>
            <family val="2"/>
          </rPr>
          <t xml:space="preserve">
</t>
        </r>
      </text>
    </comment>
    <comment ref="D11" authorId="0">
      <text>
        <r>
          <rPr>
            <sz val="14"/>
            <color indexed="81"/>
            <rFont val="Tahoma"/>
            <family val="2"/>
          </rPr>
          <t>Hvis lånet er 10 årigt med halvårlige terminer udregner excel selv at der skal stå 10*2= 20 i dette felt (20 terminer á et ½ år)</t>
        </r>
      </text>
    </comment>
    <comment ref="D12" authorId="0">
      <text>
        <r>
          <rPr>
            <sz val="14"/>
            <color indexed="81"/>
            <rFont val="Tahoma"/>
            <family val="2"/>
          </rPr>
          <t xml:space="preserve">Nominel rente pr. termin er, nominel rente pr. år divideret med terminer pr år. 
F.eks hvis renten er 10% med 2 terminer pr. år 
er det 5% (10%/2) pr. halvår.
Excel udregner selv de 5%.
</t>
        </r>
      </text>
    </comment>
    <comment ref="D14" authorId="0">
      <text>
        <r>
          <rPr>
            <b/>
            <sz val="14"/>
            <color indexed="81"/>
            <rFont val="Tahoma"/>
            <family val="2"/>
          </rPr>
          <t xml:space="preserve">Normalt er der ikke noget gebyr i opgaverne,
derfor skal der normalt stå 0
</t>
        </r>
      </text>
    </comment>
    <comment ref="D18" authorId="0">
      <text>
        <r>
          <rPr>
            <b/>
            <sz val="14"/>
            <color indexed="81"/>
            <rFont val="Tahoma"/>
            <family val="2"/>
          </rPr>
          <t>Husk den effektive rente er den rigtige rente som låntager betaler for lånet. 
Ved forbruger køb skal den effektive rente oplyses. Den benævnes som ÅOP (Årlige Omkostninger i Procent).</t>
        </r>
      </text>
    </comment>
    <comment ref="A383" authorId="1">
      <text>
        <r>
          <rPr>
            <b/>
            <sz val="8"/>
            <color indexed="81"/>
            <rFont val="Tahoma"/>
            <family val="2"/>
          </rPr>
          <t>Marker de 2 rækker 59 og 380,
højre klik på musen,
vælg vis. 
Lånet får dermed 360 terminer. 
(30 år af 12 terminer)</t>
        </r>
      </text>
    </comment>
  </commentList>
</comments>
</file>

<file path=xl/comments2.xml><?xml version="1.0" encoding="utf-8"?>
<comments xmlns="http://schemas.openxmlformats.org/spreadsheetml/2006/main">
  <authors>
    <author>Jesper Brygger</author>
    <author>IT afdelingen</author>
    <author>Brygger</author>
  </authors>
  <commentList>
    <comment ref="D3" authorId="0">
      <text>
        <r>
          <rPr>
            <b/>
            <sz val="14"/>
            <color indexed="81"/>
            <rFont val="Tahoma"/>
            <family val="2"/>
          </rPr>
          <t>Indtast den nominelle størrelsen på lånet. Det beløb som står i lånedokumentet, ikke beløbet som man får udbetalt. Hvis der ikke er opgivet et beløb i opgaven skrives blot 1 kr.</t>
        </r>
        <r>
          <rPr>
            <sz val="8"/>
            <color indexed="81"/>
            <rFont val="Tahoma"/>
            <family val="2"/>
          </rPr>
          <t xml:space="preserve">
</t>
        </r>
      </text>
    </comment>
    <comment ref="D5" authorId="0">
      <text>
        <r>
          <rPr>
            <b/>
            <sz val="14"/>
            <color indexed="81"/>
            <rFont val="Tahoma"/>
            <family val="2"/>
          </rPr>
          <t>Kursen som lånet udbetales til i tid 0.
Indtastes f.eks. som: 98 eller 95 osv.
Nogle lån udbetales til kurs 100, f.eks. Banklån, men så er der normalt låneomkostninger ved optagelsen af lånet.</t>
        </r>
      </text>
    </comment>
    <comment ref="D7" authorId="0">
      <text>
        <r>
          <rPr>
            <b/>
            <sz val="14"/>
            <color indexed="81"/>
            <rFont val="Tahoma"/>
            <family val="2"/>
          </rPr>
          <t>Der skal ikke tastes minus foran tallet.</t>
        </r>
        <r>
          <rPr>
            <sz val="14"/>
            <color indexed="81"/>
            <rFont val="Tahoma"/>
            <family val="2"/>
          </rPr>
          <t xml:space="preserve">
</t>
        </r>
      </text>
    </comment>
    <comment ref="D9" authorId="1">
      <text>
        <r>
          <rPr>
            <b/>
            <sz val="14"/>
            <color indexed="81"/>
            <rFont val="Tahoma"/>
            <family val="2"/>
          </rPr>
          <t xml:space="preserve">Renten på lånet er normalt opgivet som en % pr. år
</t>
        </r>
      </text>
    </comment>
    <comment ref="D10" authorId="1">
      <text>
        <r>
          <rPr>
            <b/>
            <sz val="14"/>
            <color indexed="81"/>
            <rFont val="Tahoma"/>
            <family val="2"/>
          </rPr>
          <t>Indtast antal år</t>
        </r>
      </text>
    </comment>
    <comment ref="D11" authorId="1">
      <text>
        <r>
          <rPr>
            <b/>
            <sz val="14"/>
            <color indexed="81"/>
            <rFont val="Tahoma"/>
            <family val="2"/>
          </rPr>
          <t xml:space="preserve">Hvis lånet har årlige ydelser tastes 1
Hvis der er halv årlige ydelser tastes 2 
Hvis der er kvartårlige ydelser tastes 4
Hvis der er måndelige ydelser tastes 12
</t>
        </r>
      </text>
    </comment>
    <comment ref="D12" authorId="0">
      <text>
        <r>
          <rPr>
            <b/>
            <sz val="14"/>
            <color indexed="81"/>
            <rFont val="Tahoma"/>
            <family val="2"/>
          </rPr>
          <t xml:space="preserve">N på lommeregneren
Antal gange som der 
betales ydelse 
(rente og afdrag)
Amortisationstabellen kan max. indeholde 360 terminer 
(30 årigt lån med 12 terminer)
</t>
        </r>
        <r>
          <rPr>
            <sz val="8"/>
            <color indexed="81"/>
            <rFont val="Tahoma"/>
            <family val="2"/>
          </rPr>
          <t xml:space="preserve">
</t>
        </r>
      </text>
    </comment>
    <comment ref="D13" authorId="1">
      <text>
        <r>
          <rPr>
            <b/>
            <sz val="14"/>
            <color indexed="81"/>
            <rFont val="Tahoma"/>
            <family val="2"/>
          </rPr>
          <t>Nominel rente pr. termin er, nominel rente pr. år divideret med terminer pr år. 
F.eks hvis renten er 10% med 2 terminer pr. år 
er det 5% (10%/2) pr. halvår.
Excel udregner selv de 5%.</t>
        </r>
      </text>
    </comment>
    <comment ref="A383" authorId="2">
      <text>
        <r>
          <rPr>
            <b/>
            <sz val="8"/>
            <color indexed="81"/>
            <rFont val="Tahoma"/>
            <family val="2"/>
          </rPr>
          <t>Marker de 2 rækker 60 og 380,
højre klik på musen,
vælg vis. 
Lånet får dermed 360 terminer. 
(30 år af 12 terminer)</t>
        </r>
        <r>
          <rPr>
            <sz val="8"/>
            <color indexed="81"/>
            <rFont val="Tahoma"/>
            <family val="2"/>
          </rPr>
          <t xml:space="preserve">
</t>
        </r>
      </text>
    </comment>
  </commentList>
</comments>
</file>

<file path=xl/comments3.xml><?xml version="1.0" encoding="utf-8"?>
<comments xmlns="http://schemas.openxmlformats.org/spreadsheetml/2006/main">
  <authors>
    <author>Brygger</author>
  </authors>
  <commentList>
    <comment ref="A382" authorId="0">
      <text>
        <r>
          <rPr>
            <b/>
            <sz val="8"/>
            <color indexed="81"/>
            <rFont val="Tahoma"/>
            <family val="2"/>
          </rPr>
          <t>Marker de 2 rækker 59 og 380,
højre klik på musen,
vælg vis. 
Lånet får dermed 360 terminer. 
(30 år af 12 terminer)</t>
        </r>
      </text>
    </comment>
  </commentList>
</comments>
</file>

<file path=xl/comments4.xml><?xml version="1.0" encoding="utf-8"?>
<comments xmlns="http://schemas.openxmlformats.org/spreadsheetml/2006/main">
  <authors>
    <author>Roskilde Handelsskole</author>
    <author>Jesper Brygger</author>
  </authors>
  <commentList>
    <comment ref="A4" authorId="0">
      <text>
        <r>
          <rPr>
            <b/>
            <sz val="8"/>
            <color indexed="81"/>
            <rFont val="Tahoma"/>
            <family val="2"/>
          </rPr>
          <t>Det lån med den laveste rente bør vælges</t>
        </r>
      </text>
    </comment>
    <comment ref="A5" authorId="1">
      <text>
        <r>
          <rPr>
            <b/>
            <sz val="9"/>
            <color indexed="81"/>
            <rFont val="Tahoma"/>
            <family val="2"/>
          </rPr>
          <t>Skal være så lavt som muligt</t>
        </r>
        <r>
          <rPr>
            <sz val="9"/>
            <color indexed="81"/>
            <rFont val="Tahoma"/>
            <family val="2"/>
          </rPr>
          <t xml:space="preserve">
</t>
        </r>
      </text>
    </comment>
    <comment ref="A6" authorId="0">
      <text>
        <r>
          <rPr>
            <b/>
            <sz val="8"/>
            <color indexed="81"/>
            <rFont val="Tahoma"/>
            <family val="2"/>
          </rPr>
          <t>en vurdering af om nettoprovenuet dækker låne behovet.</t>
        </r>
      </text>
    </comment>
    <comment ref="A7" authorId="0">
      <text>
        <r>
          <rPr>
            <sz val="8"/>
            <color indexed="81"/>
            <rFont val="Tahoma"/>
            <family val="2"/>
          </rPr>
          <t xml:space="preserve">Lån med den laveste betaling pr. Termin bør vælges
</t>
        </r>
      </text>
    </comment>
    <comment ref="A8" authorId="0">
      <text>
        <r>
          <rPr>
            <b/>
            <sz val="8"/>
            <color indexed="81"/>
            <rFont val="Tahoma"/>
            <family val="2"/>
          </rPr>
          <t>så lang løbetid som muligt</t>
        </r>
      </text>
    </comment>
    <comment ref="A9" authorId="0">
      <text>
        <r>
          <rPr>
            <sz val="8"/>
            <color indexed="81"/>
            <rFont val="Tahoma"/>
            <family val="2"/>
          </rPr>
          <t xml:space="preserve">Man skal aldrig samle alle virksomhedens lån hos en finansieringskilde, f.eks. Banken, så får de for stor magt / indflydelse
</t>
        </r>
      </text>
    </comment>
    <comment ref="A10" authorId="0">
      <text>
        <r>
          <rPr>
            <b/>
            <sz val="8"/>
            <color indexed="81"/>
            <rFont val="Tahoma"/>
            <family val="2"/>
          </rPr>
          <t>Hvis man har indtægter i $ er det en fordel at tage et lån i $, så valutarisikoen er afdækket</t>
        </r>
      </text>
    </comment>
    <comment ref="A11" authorId="0">
      <text>
        <r>
          <rPr>
            <b/>
            <sz val="8"/>
            <color indexed="81"/>
            <rFont val="Tahoma"/>
            <family val="2"/>
          </rPr>
          <t>Vælg altid et lån med fast rente fremfor variabel rente</t>
        </r>
      </text>
    </comment>
    <comment ref="A12" authorId="0">
      <text>
        <r>
          <rPr>
            <sz val="8"/>
            <color indexed="81"/>
            <rFont val="Tahoma"/>
            <family val="2"/>
          </rPr>
          <t xml:space="preserve">Kan lånet indfries, eller er det inkonvertibelt. Er det et obligationslån med en kurs, så vi kan opnå en kursgevinst 7, et kurstab.
</t>
        </r>
      </text>
    </comment>
    <comment ref="A13" authorId="0">
      <text>
        <r>
          <rPr>
            <b/>
            <sz val="8"/>
            <color indexed="81"/>
            <rFont val="Tahoma"/>
            <family val="2"/>
          </rPr>
          <t>Banklån, obligationslån</t>
        </r>
        <r>
          <rPr>
            <sz val="8"/>
            <color indexed="81"/>
            <rFont val="Tahoma"/>
            <family val="2"/>
          </rPr>
          <t xml:space="preserve">
</t>
        </r>
      </text>
    </comment>
  </commentList>
</comments>
</file>

<file path=xl/comments5.xml><?xml version="1.0" encoding="utf-8"?>
<comments xmlns="http://schemas.openxmlformats.org/spreadsheetml/2006/main">
  <authors>
    <author>IT Afdelingen</author>
    <author>Roskilde Handelsskole</author>
    <author>IT afdelingen</author>
  </authors>
  <commentList>
    <comment ref="B3" authorId="0">
      <text>
        <r>
          <rPr>
            <b/>
            <sz val="8"/>
            <color indexed="81"/>
            <rFont val="Tahoma"/>
            <family val="2"/>
          </rPr>
          <t>Her indtastes årstal for regnskabsåret, de andre årstal justeres i forhold til dette</t>
        </r>
      </text>
    </comment>
    <comment ref="A5" authorId="1">
      <text>
        <r>
          <rPr>
            <b/>
            <sz val="14"/>
            <color indexed="81"/>
            <rFont val="Tahoma"/>
            <family val="2"/>
          </rPr>
          <t xml:space="preserve">Her skal du bestemme om det er en produktions eller en handelsvirksomhed.
Hvis det er en produktionsvirksomhed skriver du </t>
        </r>
        <r>
          <rPr>
            <b/>
            <i/>
            <sz val="16"/>
            <color indexed="81"/>
            <rFont val="Tahoma"/>
            <family val="2"/>
          </rPr>
          <t>Råvarer</t>
        </r>
        <r>
          <rPr>
            <b/>
            <sz val="14"/>
            <color indexed="81"/>
            <rFont val="Tahoma"/>
            <family val="2"/>
          </rPr>
          <t xml:space="preserve">.
Hvis det er en handelsvirksomhed skriver du </t>
        </r>
        <r>
          <rPr>
            <b/>
            <i/>
            <sz val="16"/>
            <color indexed="81"/>
            <rFont val="Tahoma"/>
            <family val="2"/>
          </rPr>
          <t>Vareforbrug</t>
        </r>
      </text>
    </comment>
    <comment ref="B35" authorId="2">
      <text>
        <r>
          <rPr>
            <b/>
            <sz val="8"/>
            <color indexed="81"/>
            <rFont val="Tahoma"/>
            <family val="2"/>
          </rPr>
          <t>Hvis der er en kassekredit i opgaven skal der angives et max. Hvis der ikke er angivet et max. i opgaven kan max sættes til primo saldoen.</t>
        </r>
        <r>
          <rPr>
            <sz val="8"/>
            <color indexed="81"/>
            <rFont val="Tahoma"/>
            <family val="2"/>
          </rPr>
          <t xml:space="preserve">
</t>
        </r>
      </text>
    </comment>
    <comment ref="C37" authorId="2">
      <text>
        <r>
          <rPr>
            <b/>
            <sz val="12"/>
            <color indexed="81"/>
            <rFont val="Tahoma"/>
            <family val="2"/>
          </rPr>
          <t>Her skal du bestemme om opgaven skal udarbejdes exclusiv eller inclklusiv moms.
Hvis du vil lave opgaven exclusiv moms tastes: 0</t>
        </r>
        <r>
          <rPr>
            <b/>
            <sz val="12"/>
            <color indexed="81"/>
            <rFont val="Tahoma"/>
            <family val="2"/>
          </rPr>
          <t xml:space="preserve">
Hvis du vil lave opgaven inclusiv moms tastes en momsprocent. I Danmark 25%,
tast: 25</t>
        </r>
        <r>
          <rPr>
            <sz val="12"/>
            <color indexed="81"/>
            <rFont val="Tahoma"/>
            <family val="2"/>
          </rPr>
          <t xml:space="preserve">
</t>
        </r>
      </text>
    </comment>
  </commentList>
</comments>
</file>

<file path=xl/comments6.xml><?xml version="1.0" encoding="utf-8"?>
<comments xmlns="http://schemas.openxmlformats.org/spreadsheetml/2006/main">
  <authors>
    <author>Per</author>
    <author>IT afdelingen</author>
    <author>Brygger</author>
    <author>Roskilde Handelsskole</author>
  </authors>
  <commentList>
    <comment ref="F5" authorId="0">
      <text>
        <r>
          <rPr>
            <sz val="8"/>
            <color indexed="81"/>
            <rFont val="Tahoma"/>
            <family val="2"/>
          </rPr>
          <t xml:space="preserve">Teksten ændrer sig. Hvis der tastes 0 i reserver i resultat budgettet bliver teksten til Egenkapital ellers aktiekapital.
</t>
        </r>
      </text>
    </comment>
    <comment ref="I7" authorId="0">
      <text>
        <r>
          <rPr>
            <b/>
            <sz val="8"/>
            <color indexed="81"/>
            <rFont val="Tahoma"/>
            <family val="2"/>
          </rPr>
          <t>Der skal ikke tastes minus foran privatforbruget</t>
        </r>
        <r>
          <rPr>
            <sz val="8"/>
            <color indexed="81"/>
            <rFont val="Tahoma"/>
            <family val="2"/>
          </rPr>
          <t xml:space="preserve">
</t>
        </r>
      </text>
    </comment>
    <comment ref="H12" authorId="1">
      <text>
        <r>
          <rPr>
            <b/>
            <sz val="14"/>
            <color indexed="81"/>
            <rFont val="Tahoma"/>
            <family val="2"/>
          </rPr>
          <t>Når der afdrages på gælden skal der tastes minus foran tallet.</t>
        </r>
      </text>
    </comment>
    <comment ref="A16" authorId="2">
      <text>
        <r>
          <rPr>
            <b/>
            <sz val="8"/>
            <color indexed="81"/>
            <rFont val="Tahoma"/>
            <family val="2"/>
          </rPr>
          <t>Varelageret må ikke laves om da det danner grundlag for omsætningshastigheden på varelageret</t>
        </r>
      </text>
    </comment>
    <comment ref="F16" authorId="2">
      <text>
        <r>
          <rPr>
            <b/>
            <sz val="8"/>
            <color indexed="81"/>
            <rFont val="Tahoma"/>
            <family val="2"/>
          </rPr>
          <t>Varekreditorerne må ikke laves om da det danner grundlag for omsætningshastigheden på varekreditorer og kreditdage</t>
        </r>
        <r>
          <rPr>
            <sz val="8"/>
            <color indexed="81"/>
            <rFont val="Tahoma"/>
            <family val="2"/>
          </rPr>
          <t xml:space="preserve">
</t>
        </r>
      </text>
    </comment>
    <comment ref="A17" authorId="1">
      <text>
        <r>
          <rPr>
            <b/>
            <sz val="8"/>
            <color indexed="81"/>
            <rFont val="Tahoma"/>
            <family val="2"/>
          </rPr>
          <t>Tast ikke her, det er en celle til produktionen(VUF) i en produktionsvirksomhed</t>
        </r>
      </text>
    </comment>
    <comment ref="A18" authorId="1">
      <text>
        <r>
          <rPr>
            <b/>
            <sz val="8"/>
            <color indexed="81"/>
            <rFont val="Tahoma"/>
            <family val="2"/>
          </rPr>
          <t xml:space="preserve">Tast ikke her, 
det er en celle til færdigvarerlageret i en produktionsvirksomhed
</t>
        </r>
      </text>
    </comment>
    <comment ref="A19" authorId="2">
      <text>
        <r>
          <rPr>
            <b/>
            <sz val="8"/>
            <color indexed="81"/>
            <rFont val="Tahoma"/>
            <family val="2"/>
          </rPr>
          <t xml:space="preserve">Varedebitorerne må ikke laves om da det danner grundlag for omsætningshastigheden på varedebitorer
</t>
        </r>
        <r>
          <rPr>
            <sz val="8"/>
            <color indexed="81"/>
            <rFont val="Tahoma"/>
            <family val="2"/>
          </rPr>
          <t xml:space="preserve">
</t>
        </r>
      </text>
    </comment>
    <comment ref="G23" authorId="1">
      <text>
        <r>
          <rPr>
            <b/>
            <sz val="16"/>
            <color indexed="81"/>
            <rFont val="Tahoma"/>
            <family val="2"/>
          </rPr>
          <t xml:space="preserve">Hvis der indtastes en kassekredit skal der også indtastes et max. Hvis intet max. er oplyst kan det sættes til saldoen på kassekreditten primo
</t>
        </r>
        <r>
          <rPr>
            <sz val="8"/>
            <color indexed="81"/>
            <rFont val="Tahoma"/>
            <family val="2"/>
          </rPr>
          <t xml:space="preserve">
</t>
        </r>
      </text>
    </comment>
    <comment ref="B25" authorId="3">
      <text>
        <r>
          <rPr>
            <b/>
            <sz val="8"/>
            <color indexed="8"/>
            <rFont val="Tahoma"/>
            <family val="2"/>
          </rPr>
          <t>Indtast ikke i felter markeret med fed</t>
        </r>
      </text>
    </comment>
  </commentList>
</comments>
</file>

<file path=xl/comments7.xml><?xml version="1.0" encoding="utf-8"?>
<comments xmlns="http://schemas.openxmlformats.org/spreadsheetml/2006/main">
  <authors>
    <author>Roskilde Handelsskole</author>
  </authors>
  <commentList>
    <comment ref="C116" authorId="0">
      <text>
        <r>
          <rPr>
            <sz val="20"/>
            <color indexed="81"/>
            <rFont val="Tahoma"/>
            <family val="2"/>
          </rPr>
          <t>Find prisen ud fra ovenstående tabeller via en cellereference. 
Træk derefter formlen ud til
kolonne J (celle J115)</t>
        </r>
        <r>
          <rPr>
            <sz val="8"/>
            <color indexed="81"/>
            <rFont val="Tahoma"/>
          </rPr>
          <t xml:space="preserve">
</t>
        </r>
      </text>
    </comment>
    <comment ref="C124" authorId="0">
      <text>
        <r>
          <rPr>
            <sz val="20"/>
            <color indexed="81"/>
            <rFont val="Tahoma"/>
            <family val="2"/>
          </rPr>
          <t>Find prisen ud fra ovenstående tabeller via en cellereference. 
Træk derefter formlen ud til
kolonne J (celle J115)</t>
        </r>
        <r>
          <rPr>
            <sz val="8"/>
            <color indexed="81"/>
            <rFont val="Tahoma"/>
          </rPr>
          <t xml:space="preserve">
</t>
        </r>
      </text>
    </comment>
  </commentList>
</comments>
</file>

<file path=xl/sharedStrings.xml><?xml version="1.0" encoding="utf-8"?>
<sst xmlns="http://schemas.openxmlformats.org/spreadsheetml/2006/main" count="539" uniqueCount="290">
  <si>
    <t>NPV, nutidsværdimetoden, kapitalværdienmetoden</t>
  </si>
  <si>
    <t>Den interne rente (IRR)</t>
  </si>
  <si>
    <t>Tilbagebetalingstiden i år (pay -back)</t>
  </si>
  <si>
    <t>Værdier</t>
  </si>
  <si>
    <t>Resultat</t>
  </si>
  <si>
    <t>N</t>
  </si>
  <si>
    <t>antal terminer, f.eks år</t>
  </si>
  <si>
    <t>I%</t>
  </si>
  <si>
    <t>renten</t>
  </si>
  <si>
    <t>PV</t>
  </si>
  <si>
    <t>Present value, nutidsværdi</t>
  </si>
  <si>
    <t>PMT</t>
  </si>
  <si>
    <t>Betaling pr. termin, ydelsen</t>
  </si>
  <si>
    <t>FV</t>
  </si>
  <si>
    <t>Future value</t>
  </si>
  <si>
    <t>Net Cash-Flow</t>
  </si>
  <si>
    <t>nutidsværdi</t>
  </si>
  <si>
    <t>omregnet til en annuitet</t>
  </si>
  <si>
    <t>år</t>
  </si>
  <si>
    <t>rente</t>
  </si>
  <si>
    <t>Tid / År</t>
  </si>
  <si>
    <t>Indbetalinger</t>
  </si>
  <si>
    <t>Udbetalinger</t>
  </si>
  <si>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</si>
  <si>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r>
      <t>Diskonteringsfaktoren Rentetabel 2  (1+r)</t>
    </r>
    <r>
      <rPr>
        <b/>
        <vertAlign val="superscript"/>
        <sz val="12"/>
        <rFont val="Arial"/>
        <family val="2"/>
      </rPr>
      <t>-n</t>
    </r>
  </si>
  <si>
    <r>
      <t>Diskonteringsfaktoren   (1+r)</t>
    </r>
    <r>
      <rPr>
        <b/>
        <vertAlign val="superscript"/>
        <sz val="12"/>
        <rFont val="Arial"/>
        <family val="2"/>
      </rPr>
      <t xml:space="preserve">-n </t>
    </r>
    <r>
      <rPr>
        <b/>
        <sz val="12"/>
        <rFont val="Arial"/>
        <family val="2"/>
      </rPr>
      <t>ved IRR</t>
    </r>
  </si>
  <si>
    <t>Kommentarer:</t>
  </si>
  <si>
    <r>
      <t xml:space="preserve">Nutidsværdi </t>
    </r>
    <r>
      <rPr>
        <b/>
        <vertAlign val="superscript"/>
        <sz val="12"/>
        <rFont val="Arial"/>
        <family val="2"/>
      </rPr>
      <t xml:space="preserve"> Diskonteringsfaktoren * Net cash-flow</t>
    </r>
  </si>
  <si>
    <t>Annuitetsmetoden (Det årlige resultat)/PMT</t>
  </si>
  <si>
    <t>Skærmbillede 3:</t>
  </si>
  <si>
    <t>Opgave 1.2 maskine 2</t>
  </si>
  <si>
    <t>Opgave 1.1, maskine 1</t>
  </si>
  <si>
    <t>?</t>
  </si>
  <si>
    <t>Ekstra besparelse</t>
  </si>
  <si>
    <t>Opgave 1.3 Differensinvesteringen</t>
  </si>
  <si>
    <t>Beregning af effektiv rente på annuitetslån:</t>
  </si>
  <si>
    <t>Lånets størrelse, Hovedstol</t>
  </si>
  <si>
    <t>Kurs</t>
  </si>
  <si>
    <t>Kurstab</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</si>
  <si>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</si>
  <si>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</si>
  <si>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</si>
  <si>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</si>
  <si>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</si>
  <si>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</si>
  <si>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</si>
  <si>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</si>
  <si>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</si>
  <si>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</si>
  <si>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</si>
  <si>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</si>
  <si>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</si>
  <si>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</si>
  <si>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</si>
  <si>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</si>
  <si>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Afdrag</t>
  </si>
  <si>
    <t>Restgæld ultimo</t>
  </si>
  <si>
    <t>Total</t>
  </si>
  <si>
    <r>
      <t xml:space="preserve">Note til beregningen af den effektive rente på annuitetslån: </t>
    </r>
    <r>
      <rPr>
        <sz val="12"/>
        <rFont val="Arial"/>
        <family val="2"/>
      </rPr>
      <t xml:space="preserve">                                           Den effektive rente på et annuitetslån beregnes ved at bruge nedenstående formel. Først findes ydelsen (b). </t>
    </r>
  </si>
  <si>
    <t>Derefter ændres hovedstolen til nettoprovenuet som sættes lig med annuitets-diskonteringsfaktoren (rentetabel 4) ganget med betalingen/ydelsen pr termin (b). Renten (r) er den ubekendte som skal findes.</t>
  </si>
  <si>
    <t>Først beregnes ydelsen (b) udfra hovedstolen:</t>
  </si>
  <si>
    <t xml:space="preserve">Hovedstolen </t>
  </si>
  <si>
    <t>=</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</si>
  <si>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</si>
  <si>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</si>
  <si>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</si>
  <si>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</si>
  <si>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</si>
  <si>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</si>
  <si>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</si>
  <si>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</si>
  <si>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</si>
  <si>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</si>
  <si>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</si>
  <si>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t>Beregning af effektiv rente på serielån:</t>
  </si>
  <si>
    <t xml:space="preserve">Lånets størrelse, Hovedstol </t>
  </si>
  <si>
    <t>Evt. omk ved låneoptagelse</t>
  </si>
  <si>
    <t>Antal terminer ialt</t>
  </si>
  <si>
    <t>(Beregning: se note til serielån)</t>
  </si>
  <si>
    <t>Effektiv rente pr år</t>
  </si>
  <si>
    <t>Ydelse incl. Gebyr</t>
  </si>
  <si>
    <t>Ydelse</t>
  </si>
  <si>
    <t>Note til beregningen af den effektive rente på serielån:</t>
  </si>
  <si>
    <t>Restgæld</t>
  </si>
  <si>
    <t>Gebyr</t>
  </si>
  <si>
    <t>(1+r)</t>
  </si>
  <si>
    <t>Eller udtrykt i %:</t>
  </si>
  <si>
    <t>Beregning af effektiv rente på stående lån:</t>
  </si>
  <si>
    <t>Nominel rente pr. pr. termin</t>
  </si>
  <si>
    <t>(Beregning: se note til stående lån)</t>
  </si>
  <si>
    <t>Ydelse incl gebyr</t>
  </si>
  <si>
    <t>total</t>
  </si>
  <si>
    <r>
      <t>Note til beregning af den effektive rente på såtende lån:</t>
    </r>
    <r>
      <rPr>
        <sz val="12"/>
        <rFont val="Arial"/>
        <family val="2"/>
      </rPr>
      <t xml:space="preserve">                                                                                                                    Den effektive rente på et stående lån beregnes ved at bruge nedenstående formel. Formlen er en kombination af annuitets-diskonteringsfaktoren og den almindelige diskonteringsfaktor. </t>
    </r>
  </si>
  <si>
    <t>Renten (r) er den ubekendte, b er ydelsen, da ydelsen på et stående lån kun består af rente er b lig med rentebetalingen pr. termin. Afbetalingsbeløbet er afdraget ved lånets udløb.</t>
  </si>
  <si>
    <t>Først beregnes ydelsen udfra hovedstolen:</t>
  </si>
  <si>
    <t>Ydelsen (b)</t>
  </si>
  <si>
    <t>Hovedstolen * renteprocenten pr termin</t>
  </si>
  <si>
    <t xml:space="preserve">Ydelsen, nettoprovenuet og afbetalingsbeløbet indsættes i nedenstående ligning for at finde renten (r): </t>
  </si>
  <si>
    <t>+</t>
  </si>
  <si>
    <t>(</t>
  </si>
  <si>
    <t>Afbetalingsbeløbet</t>
  </si>
  <si>
    <t>)</t>
  </si>
  <si>
    <t>Sammenligning af finansieringskilder</t>
  </si>
  <si>
    <t>Kriterier</t>
  </si>
  <si>
    <t>Annuitetslån</t>
  </si>
  <si>
    <t>Serielån</t>
  </si>
  <si>
    <t>Stående lån</t>
  </si>
  <si>
    <t>Kassekredit</t>
  </si>
  <si>
    <t>Effektive rente</t>
  </si>
  <si>
    <t xml:space="preserve">Stiftelsesomk incl. kurstab </t>
  </si>
  <si>
    <t>nettoprovenu</t>
  </si>
  <si>
    <t>Betaling første år</t>
  </si>
  <si>
    <t>Løbetid år</t>
  </si>
  <si>
    <t>Finanseringskilde / magt</t>
  </si>
  <si>
    <t>Bank</t>
  </si>
  <si>
    <t xml:space="preserve">Industri &amp; håndværk </t>
  </si>
  <si>
    <t>Realkredit</t>
  </si>
  <si>
    <t>Valuta</t>
  </si>
  <si>
    <t>$</t>
  </si>
  <si>
    <t>DKK</t>
  </si>
  <si>
    <t>£</t>
  </si>
  <si>
    <t>DDK</t>
  </si>
  <si>
    <t>Fast / variabel rente</t>
  </si>
  <si>
    <t>Fast</t>
  </si>
  <si>
    <t>Variabel</t>
  </si>
  <si>
    <t>Konvertibelt / inkonvertibelt</t>
  </si>
  <si>
    <t>Inkonvertibelt</t>
  </si>
  <si>
    <t>Konvertibelt</t>
  </si>
  <si>
    <t xml:space="preserve">Konvertibel </t>
  </si>
  <si>
    <t>Lånetype</t>
  </si>
  <si>
    <t>Banklån</t>
  </si>
  <si>
    <t>Kontaktlån i branche org.</t>
  </si>
  <si>
    <t>Obligationslån</t>
  </si>
  <si>
    <t>Kommentarer til valg af lån: Annuitetslånet ud fra en rent omkostningsmæssig betragtning.</t>
  </si>
  <si>
    <t>Likviditeten i lånet</t>
  </si>
  <si>
    <t>Hvem pengene lånes af</t>
  </si>
  <si>
    <t>Om nettoprovenuet dækker investeringsbeløbet</t>
  </si>
  <si>
    <t>Mulighed for konvertering / omlægning</t>
  </si>
  <si>
    <t>Ændring pris</t>
  </si>
  <si>
    <t>Ændring mængde</t>
  </si>
  <si>
    <t>Omsætning</t>
  </si>
  <si>
    <t>Råvarer</t>
  </si>
  <si>
    <t>Bruttofortjeneste</t>
  </si>
  <si>
    <t>-</t>
  </si>
  <si>
    <t>Dækningsbidrag</t>
  </si>
  <si>
    <t>Markedsføringsbidrag</t>
  </si>
  <si>
    <t>KKO</t>
  </si>
  <si>
    <t>Lokale omk.</t>
  </si>
  <si>
    <t>Gager</t>
  </si>
  <si>
    <t>Øvrige omk.</t>
  </si>
  <si>
    <t>Indtjeningsbidrag</t>
  </si>
  <si>
    <t>Afskrivninger</t>
  </si>
  <si>
    <t>Resultat før renter</t>
  </si>
  <si>
    <t>Renteomkostninger</t>
  </si>
  <si>
    <t>Renteindtægter</t>
  </si>
  <si>
    <t>Resultat før eks. omk.</t>
  </si>
  <si>
    <t>Ekstraordinære omk.</t>
  </si>
  <si>
    <t>Resultat før skat</t>
  </si>
  <si>
    <t>Skat</t>
  </si>
  <si>
    <t>Resultat fordeling</t>
  </si>
  <si>
    <t>Udbytte</t>
  </si>
  <si>
    <t>Reserver</t>
  </si>
  <si>
    <t>Ændring</t>
  </si>
  <si>
    <t>Kassekredit max.</t>
  </si>
  <si>
    <t xml:space="preserve">Beregningerne er foretaget </t>
  </si>
  <si>
    <t>Aktie emmision</t>
  </si>
  <si>
    <t>Budgetteret Balance</t>
  </si>
  <si>
    <t>Aktiver:</t>
  </si>
  <si>
    <t>Passiver:</t>
  </si>
  <si>
    <t>Anlægsaktiver:</t>
  </si>
  <si>
    <t>køb</t>
  </si>
  <si>
    <t>Afskrivning</t>
  </si>
  <si>
    <t>Egenkapital:</t>
  </si>
  <si>
    <t>Bygninger</t>
  </si>
  <si>
    <t>Maskiner</t>
  </si>
  <si>
    <t>Reserver+ overskud</t>
  </si>
  <si>
    <t>Inventar</t>
  </si>
  <si>
    <t>Egenkapital ultimo</t>
  </si>
  <si>
    <t>Hensættelser</t>
  </si>
  <si>
    <t>Langfristet gæld:</t>
  </si>
  <si>
    <t>Nyt lån til investeringer</t>
  </si>
  <si>
    <t>Langfristet gæld</t>
  </si>
  <si>
    <t>Realkreditinstitutter</t>
  </si>
  <si>
    <t>Anlægsaktiver i alt</t>
  </si>
  <si>
    <t>Langfristet gæld i alt</t>
  </si>
  <si>
    <t xml:space="preserve">Omsætningsaktiver: </t>
  </si>
  <si>
    <t>Kortfristet gæld:</t>
  </si>
  <si>
    <t>Varekreditorer</t>
  </si>
  <si>
    <t>Varelager</t>
  </si>
  <si>
    <t>Varedebitorer</t>
  </si>
  <si>
    <t>Andre kreditorer</t>
  </si>
  <si>
    <t>Likvide midler</t>
  </si>
  <si>
    <t xml:space="preserve">Omsætningsaktiver i alt </t>
  </si>
  <si>
    <t>Kortfristet gæld i alt</t>
  </si>
  <si>
    <t>Aktiver i alt</t>
  </si>
  <si>
    <t>Passiver i alt</t>
  </si>
  <si>
    <t>Omsætningshastigheder:</t>
  </si>
  <si>
    <t>Formel:</t>
  </si>
  <si>
    <t>*Varekøb  =</t>
  </si>
  <si>
    <t xml:space="preserve">Likviditetsbudget </t>
  </si>
  <si>
    <t>Ændringer i omsætningsaktiver:</t>
  </si>
  <si>
    <t>Primo</t>
  </si>
  <si>
    <t>Ultimo</t>
  </si>
  <si>
    <t>Ændringer i kortfristet gæld:</t>
  </si>
  <si>
    <t>Driftens likviditetsvirkning</t>
  </si>
  <si>
    <t>Anlægsinvesteringer:</t>
  </si>
  <si>
    <t>Køb af anlægsaktiver</t>
  </si>
  <si>
    <t>Finansielle indbetalinger:</t>
  </si>
  <si>
    <t>Finansielle udbetalinger:</t>
  </si>
  <si>
    <t>Periodens Likviditetsforskydning</t>
  </si>
  <si>
    <t>Likvide beholdninger Primo:</t>
  </si>
  <si>
    <t>Træk på kassekredit</t>
  </si>
  <si>
    <t>likvide beholdninger</t>
  </si>
  <si>
    <t>Likvide beholdninger Ultimo</t>
  </si>
  <si>
    <t>I kassen</t>
  </si>
  <si>
    <t>Kassekredit, disponibel ultimo</t>
  </si>
  <si>
    <t>Kassekredit, gæld ultimo</t>
  </si>
  <si>
    <t>Minimum årlig besparelse på på maskine 2 ved 6,91%:</t>
  </si>
  <si>
    <t>Nuværende besparelse</t>
  </si>
  <si>
    <t>Minimum årlig besparelse på maskine 2 ved 6%:</t>
  </si>
  <si>
    <t>Nyværende besparelse</t>
  </si>
  <si>
    <t>Prisoptimering</t>
  </si>
  <si>
    <t>Produkt :</t>
  </si>
  <si>
    <t>Q</t>
  </si>
  <si>
    <t>Produktionstid:</t>
  </si>
  <si>
    <t>stk. pr. time</t>
  </si>
  <si>
    <t>Navn</t>
  </si>
  <si>
    <t>Nr.</t>
  </si>
  <si>
    <t>Pris</t>
  </si>
  <si>
    <t>Afsætning</t>
  </si>
  <si>
    <t>VE</t>
  </si>
  <si>
    <t>VO</t>
  </si>
  <si>
    <t>DB</t>
  </si>
  <si>
    <t>KO,faste</t>
  </si>
  <si>
    <t>Overskud</t>
  </si>
  <si>
    <t>DB pr stk.</t>
  </si>
  <si>
    <t xml:space="preserve">Tidsforbrug </t>
  </si>
  <si>
    <t>DB pr time</t>
  </si>
  <si>
    <t>Differensbidrag pr. time</t>
  </si>
  <si>
    <t>Prioritering</t>
  </si>
  <si>
    <t>ekstra timer</t>
  </si>
  <si>
    <t xml:space="preserve">Optimum </t>
  </si>
  <si>
    <t>i overskud</t>
  </si>
  <si>
    <t>Optimal pris</t>
  </si>
  <si>
    <t>Optimal mængde</t>
  </si>
  <si>
    <t>Z</t>
  </si>
  <si>
    <t>Ekstra timer</t>
  </si>
  <si>
    <t>Udland</t>
  </si>
  <si>
    <t>Optimeringstabel</t>
  </si>
  <si>
    <t>Maks kapacitet</t>
  </si>
  <si>
    <t>timer</t>
  </si>
  <si>
    <t>Prioritet</t>
  </si>
  <si>
    <t>Dif.bidrag</t>
  </si>
  <si>
    <t>Produkt</t>
  </si>
  <si>
    <t>Ekstra timeforbrug</t>
  </si>
  <si>
    <t>Akk. timeforbrug</t>
  </si>
  <si>
    <t>Produktion</t>
  </si>
  <si>
    <t>1 prioritet</t>
  </si>
  <si>
    <t>2 prioritet</t>
  </si>
  <si>
    <t>3 prioritet</t>
  </si>
  <si>
    <t>4 prioritet</t>
  </si>
  <si>
    <t>5 prioritet</t>
  </si>
  <si>
    <t>6 prioritet</t>
  </si>
  <si>
    <t>7 prioritet</t>
  </si>
  <si>
    <t>8 prioritet</t>
  </si>
  <si>
    <t>9 prioritet</t>
  </si>
  <si>
    <t>10 prioritet</t>
  </si>
  <si>
    <t>11 prioritet</t>
  </si>
  <si>
    <t>12 prioritet</t>
  </si>
  <si>
    <t>Afsætningsplan:</t>
  </si>
  <si>
    <t>Produkt:</t>
  </si>
  <si>
    <t>FO</t>
  </si>
  <si>
    <t>I alt</t>
  </si>
  <si>
    <t>Mindste /sortering</t>
  </si>
  <si>
    <t>Største dif. Bidrag</t>
  </si>
  <si>
    <t>Akk time forbrug</t>
  </si>
  <si>
    <t>Ny kapacitet</t>
  </si>
  <si>
    <t>4Q</t>
  </si>
  <si>
    <t>JA</t>
  </si>
  <si>
    <t>overtid</t>
  </si>
  <si>
    <t>Korrigeret DB</t>
  </si>
  <si>
    <t>At prisdifferentiering er mulig, kunderne ikke "snakker sammen"</t>
  </si>
  <si>
    <t>Opgave 1.3</t>
  </si>
  <si>
    <t>Opgave 1.3 maskine 2, test på den interne rente</t>
  </si>
  <si>
    <t>Opgave 2.1</t>
  </si>
  <si>
    <t>Opgave 2.2</t>
  </si>
  <si>
    <t>Opgave 3.1</t>
  </si>
  <si>
    <t>Opgave 3.2</t>
  </si>
  <si>
    <t>Opgave 3.3</t>
  </si>
  <si>
    <t>Opgave 4</t>
  </si>
</sst>
</file>

<file path=xl/styles.xml><?xml version="1.0" encoding="utf-8"?>
<styleSheet xmlns="http://schemas.openxmlformats.org/spreadsheetml/2006/main">
  <numFmts count="12">
    <numFmt numFmtId="43" formatCode="_-* #,##0.00_-;\-* #,##0.00_-;_-* &quot;-&quot;??_-;_-@_-"/>
    <numFmt numFmtId="164" formatCode="&quot;kr&quot;\ #,##0.00_);[Red]\(&quot;kr&quot;\ #,##0.00\)"/>
    <numFmt numFmtId="165" formatCode="0.0%"/>
    <numFmt numFmtId="166" formatCode="#,##0.00000"/>
    <numFmt numFmtId="167" formatCode="_(* #,##0.00_);_(* \(#,##0.00\);_(* &quot;-&quot;??_);_(@_)"/>
    <numFmt numFmtId="168" formatCode="_(* #,##0_);_(* \(#,##0\);_(* &quot;-&quot;???_);_(@_)"/>
    <numFmt numFmtId="169" formatCode="0.0000"/>
    <numFmt numFmtId="170" formatCode="_(* #,##0_);_(* \(#,##0\);_(* &quot;-&quot;??_);_(@_)"/>
    <numFmt numFmtId="171" formatCode="_(* #,##0.0000_);_(* \(#,##0.0000\);_(* &quot;-&quot;??_);_(@_)"/>
    <numFmt numFmtId="172" formatCode="_(* #,##0.000_);_(* \(#,##0.000\);_(* &quot;-&quot;??_);_(@_)"/>
    <numFmt numFmtId="173" formatCode="0.00000%"/>
    <numFmt numFmtId="174" formatCode="_-* #,##0_-;\-* #,##0_-;_-* &quot;-&quot;??_-;_-@_-"/>
  </numFmts>
  <fonts count="42">
    <font>
      <sz val="10"/>
      <name val="Arial"/>
    </font>
    <font>
      <sz val="10"/>
      <name val="Arial"/>
      <family val="2"/>
    </font>
    <font>
      <sz val="14"/>
      <name val="Arial"/>
      <family val="2"/>
    </font>
    <font>
      <sz val="12"/>
      <name val="Arial"/>
      <family val="2"/>
    </font>
    <font>
      <sz val="16"/>
      <name val="Arial"/>
      <family val="2"/>
    </font>
    <font>
      <b/>
      <sz val="12"/>
      <name val="Arial"/>
      <family val="2"/>
    </font>
    <font>
      <b/>
      <vertAlign val="superscript"/>
      <sz val="12"/>
      <name val="Arial"/>
      <family val="2"/>
    </font>
    <font>
      <sz val="14"/>
      <color indexed="13"/>
      <name val="Arial"/>
      <family val="2"/>
    </font>
    <font>
      <b/>
      <sz val="14"/>
      <name val="Arial"/>
      <family val="2"/>
    </font>
    <font>
      <sz val="14"/>
      <name val="Arial"/>
      <family val="2"/>
    </font>
    <font>
      <b/>
      <sz val="20"/>
      <name val="Arial"/>
      <family val="2"/>
    </font>
    <font>
      <b/>
      <sz val="10"/>
      <name val="Arial"/>
      <family val="2"/>
    </font>
    <font>
      <b/>
      <sz val="16"/>
      <color indexed="81"/>
      <name val="Tahoma"/>
      <family val="2"/>
    </font>
    <font>
      <b/>
      <sz val="14"/>
      <color indexed="81"/>
      <name val="Tahoma"/>
      <family val="2"/>
    </font>
    <font>
      <sz val="14"/>
      <color indexed="81"/>
      <name val="Tahoma"/>
      <family val="2"/>
    </font>
    <font>
      <b/>
      <sz val="8"/>
      <color indexed="81"/>
      <name val="Tahoma"/>
      <family val="2"/>
    </font>
    <font>
      <sz val="22"/>
      <name val="Arial"/>
      <family val="2"/>
    </font>
    <font>
      <vertAlign val="superscript"/>
      <sz val="16"/>
      <name val="Arial"/>
      <family val="2"/>
    </font>
    <font>
      <sz val="18"/>
      <name val="Arial"/>
      <family val="2"/>
    </font>
    <font>
      <b/>
      <sz val="18"/>
      <name val="Arial"/>
      <family val="2"/>
    </font>
    <font>
      <b/>
      <sz val="22"/>
      <name val="Arial"/>
      <family val="2"/>
    </font>
    <font>
      <b/>
      <sz val="16"/>
      <name val="Arial"/>
      <family val="2"/>
    </font>
    <font>
      <vertAlign val="superscript"/>
      <sz val="14"/>
      <name val="Arial"/>
      <family val="2"/>
    </font>
    <font>
      <sz val="8"/>
      <color indexed="81"/>
      <name val="Tahoma"/>
      <family val="2"/>
    </font>
    <font>
      <vertAlign val="subscript"/>
      <sz val="14"/>
      <name val="Arial"/>
      <family val="2"/>
    </font>
    <font>
      <vertAlign val="subscript"/>
      <sz val="18"/>
      <name val="Arial"/>
      <family val="2"/>
    </font>
    <font>
      <vertAlign val="superscript"/>
      <sz val="10"/>
      <name val="Arial"/>
      <family val="2"/>
    </font>
    <font>
      <sz val="36"/>
      <name val="Arial"/>
      <family val="2"/>
    </font>
    <font>
      <sz val="20"/>
      <name val="Arial"/>
      <family val="2"/>
    </font>
    <font>
      <vertAlign val="superscript"/>
      <sz val="20"/>
      <name val="Arial"/>
      <family val="2"/>
    </font>
    <font>
      <b/>
      <sz val="9"/>
      <color indexed="81"/>
      <name val="Tahoma"/>
      <family val="2"/>
    </font>
    <font>
      <sz val="9"/>
      <color indexed="81"/>
      <name val="Tahoma"/>
      <family val="2"/>
    </font>
    <font>
      <b/>
      <i/>
      <sz val="16"/>
      <color indexed="81"/>
      <name val="Tahoma"/>
      <family val="2"/>
    </font>
    <font>
      <b/>
      <sz val="12"/>
      <color indexed="81"/>
      <name val="Tahoma"/>
      <family val="2"/>
    </font>
    <font>
      <sz val="12"/>
      <color indexed="81"/>
      <name val="Tahoma"/>
      <family val="2"/>
    </font>
    <font>
      <b/>
      <sz val="8"/>
      <color indexed="8"/>
      <name val="Tahoma"/>
      <family val="2"/>
    </font>
    <font>
      <sz val="10"/>
      <name val="Arial"/>
    </font>
    <font>
      <sz val="12"/>
      <name val="Arial"/>
    </font>
    <font>
      <b/>
      <sz val="11"/>
      <name val="Arial"/>
      <family val="2"/>
    </font>
    <font>
      <sz val="14"/>
      <name val="Arial"/>
    </font>
    <font>
      <sz val="20"/>
      <color indexed="81"/>
      <name val="Tahoma"/>
      <family val="2"/>
    </font>
    <font>
      <sz val="8"/>
      <color indexed="81"/>
      <name val="Tahoma"/>
    </font>
  </fonts>
  <fills count="10">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43" fontId="36" fillId="0" borderId="0" applyFont="0" applyFill="0" applyBorder="0" applyAlignment="0" applyProtection="0"/>
    <xf numFmtId="167" fontId="36" fillId="0" borderId="0" applyFont="0" applyFill="0" applyBorder="0" applyAlignment="0" applyProtection="0"/>
  </cellStyleXfs>
  <cellXfs count="575">
    <xf numFmtId="0" fontId="0" fillId="0" borderId="0" xfId="0"/>
    <xf numFmtId="164" fontId="0" fillId="0" borderId="0" xfId="0" applyNumberFormat="1"/>
    <xf numFmtId="0" fontId="0" fillId="0" borderId="0" xfId="0" applyBorder="1"/>
    <xf numFmtId="9" fontId="0" fillId="0" borderId="0" xfId="0" applyNumberFormat="1"/>
    <xf numFmtId="0" fontId="2" fillId="0" borderId="0" xfId="0" applyFont="1"/>
    <xf numFmtId="0" fontId="3" fillId="0" borderId="1" xfId="0" applyFont="1" applyBorder="1"/>
    <xf numFmtId="0" fontId="4" fillId="0" borderId="2" xfId="0" applyFont="1" applyBorder="1"/>
    <xf numFmtId="0" fontId="4" fillId="0" borderId="3" xfId="0" applyFont="1" applyBorder="1"/>
    <xf numFmtId="0" fontId="4" fillId="0" borderId="0" xfId="0" applyFont="1" applyBorder="1"/>
    <xf numFmtId="2" fontId="4" fillId="2" borderId="4" xfId="0" applyNumberFormat="1" applyFont="1" applyFill="1" applyBorder="1"/>
    <xf numFmtId="4" fontId="4" fillId="2" borderId="4" xfId="0" applyNumberFormat="1" applyFont="1" applyFill="1" applyBorder="1"/>
    <xf numFmtId="165" fontId="4" fillId="2" borderId="4" xfId="0" applyNumberFormat="1" applyFont="1" applyFill="1" applyBorder="1"/>
    <xf numFmtId="0" fontId="4" fillId="0" borderId="5" xfId="0" applyFont="1" applyBorder="1"/>
    <xf numFmtId="0" fontId="4" fillId="0" borderId="6" xfId="0" applyFont="1" applyBorder="1"/>
    <xf numFmtId="4" fontId="4" fillId="2" borderId="7" xfId="0" applyNumberFormat="1" applyFont="1" applyFill="1" applyBorder="1"/>
    <xf numFmtId="0" fontId="2" fillId="0" borderId="0" xfId="0" applyFont="1" applyFill="1" applyBorder="1"/>
    <xf numFmtId="4" fontId="2" fillId="0" borderId="0" xfId="0" applyNumberFormat="1" applyFont="1"/>
    <xf numFmtId="0" fontId="5" fillId="0" borderId="0" xfId="0" applyFont="1"/>
    <xf numFmtId="0" fontId="3" fillId="3" borderId="0" xfId="0" applyFont="1" applyFill="1" applyAlignment="1">
      <alignment horizontal="left" indent="1"/>
    </xf>
    <xf numFmtId="10" fontId="3" fillId="3" borderId="0" xfId="0" applyNumberFormat="1" applyFont="1" applyFill="1" applyAlignment="1">
      <alignment horizontal="left" indent="1"/>
    </xf>
    <xf numFmtId="0" fontId="5" fillId="0" borderId="8" xfId="0" applyFont="1" applyBorder="1" applyAlignment="1">
      <alignment wrapText="1"/>
    </xf>
    <xf numFmtId="0" fontId="5" fillId="3" borderId="9" xfId="0" applyFont="1" applyFill="1" applyBorder="1"/>
    <xf numFmtId="0" fontId="5" fillId="3" borderId="8" xfId="0" applyFont="1" applyFill="1" applyBorder="1"/>
    <xf numFmtId="0" fontId="5" fillId="0" borderId="9" xfId="0" applyFont="1" applyBorder="1" applyAlignment="1">
      <alignment wrapText="1"/>
    </xf>
    <xf numFmtId="0" fontId="2" fillId="0" borderId="10" xfId="0" applyFont="1" applyBorder="1"/>
    <xf numFmtId="3" fontId="2" fillId="3" borderId="0" xfId="0" applyNumberFormat="1" applyFont="1" applyFill="1" applyBorder="1"/>
    <xf numFmtId="3" fontId="2" fillId="3" borderId="11" xfId="0" applyNumberFormat="1" applyFont="1" applyFill="1" applyBorder="1"/>
    <xf numFmtId="4" fontId="2" fillId="0" borderId="11" xfId="0" applyNumberFormat="1" applyFont="1" applyBorder="1"/>
    <xf numFmtId="0" fontId="2" fillId="0" borderId="11" xfId="0" applyFont="1" applyBorder="1"/>
    <xf numFmtId="3" fontId="2" fillId="3" borderId="10" xfId="0" applyNumberFormat="1" applyFont="1" applyFill="1" applyBorder="1"/>
    <xf numFmtId="4" fontId="2" fillId="0" borderId="10" xfId="0" applyNumberFormat="1" applyFont="1" applyBorder="1"/>
    <xf numFmtId="0" fontId="2" fillId="0" borderId="12" xfId="0" applyFont="1" applyBorder="1"/>
    <xf numFmtId="3" fontId="2" fillId="3" borderId="6" xfId="0" applyNumberFormat="1" applyFont="1" applyFill="1" applyBorder="1"/>
    <xf numFmtId="3" fontId="2" fillId="3" borderId="12" xfId="0" applyNumberFormat="1" applyFont="1" applyFill="1" applyBorder="1"/>
    <xf numFmtId="4" fontId="2" fillId="0" borderId="12" xfId="0" applyNumberFormat="1" applyFont="1" applyBorder="1"/>
    <xf numFmtId="0" fontId="2" fillId="4" borderId="13" xfId="0" applyFont="1" applyFill="1" applyBorder="1"/>
    <xf numFmtId="10" fontId="2" fillId="4" borderId="9" xfId="0" applyNumberFormat="1" applyFont="1" applyFill="1" applyBorder="1"/>
    <xf numFmtId="0" fontId="0" fillId="0" borderId="3" xfId="0" applyFill="1" applyBorder="1"/>
    <xf numFmtId="4" fontId="0" fillId="0" borderId="0" xfId="0" applyNumberFormat="1"/>
    <xf numFmtId="0" fontId="2" fillId="4" borderId="3" xfId="0" applyFont="1" applyFill="1" applyBorder="1"/>
    <xf numFmtId="0" fontId="2" fillId="4" borderId="5" xfId="0" applyFont="1" applyFill="1" applyBorder="1"/>
    <xf numFmtId="0" fontId="2" fillId="4" borderId="14" xfId="0" applyFont="1" applyFill="1" applyBorder="1"/>
    <xf numFmtId="0" fontId="7" fillId="4" borderId="0" xfId="0" applyFont="1" applyFill="1" applyBorder="1"/>
    <xf numFmtId="4" fontId="2" fillId="4" borderId="4" xfId="0" applyNumberFormat="1" applyFont="1" applyFill="1" applyBorder="1"/>
    <xf numFmtId="0" fontId="2" fillId="4" borderId="6" xfId="0" applyFont="1" applyFill="1" applyBorder="1"/>
    <xf numFmtId="2" fontId="2" fillId="4" borderId="7" xfId="0" applyNumberFormat="1" applyFont="1" applyFill="1" applyBorder="1"/>
    <xf numFmtId="3" fontId="2" fillId="3" borderId="2" xfId="0" applyNumberFormat="1" applyFont="1" applyFill="1" applyBorder="1"/>
    <xf numFmtId="4" fontId="2" fillId="0" borderId="0" xfId="0" applyNumberFormat="1" applyFont="1" applyFill="1" applyBorder="1"/>
    <xf numFmtId="10" fontId="2" fillId="0" borderId="0" xfId="0" applyNumberFormat="1" applyFont="1" applyFill="1" applyBorder="1"/>
    <xf numFmtId="2" fontId="2" fillId="0" borderId="0" xfId="0" applyNumberFormat="1" applyFont="1" applyFill="1" applyBorder="1"/>
    <xf numFmtId="0" fontId="8" fillId="0" borderId="0" xfId="0" applyFont="1"/>
    <xf numFmtId="3" fontId="2" fillId="0" borderId="11" xfId="0" applyNumberFormat="1" applyFont="1" applyBorder="1"/>
    <xf numFmtId="3" fontId="2" fillId="0" borderId="10" xfId="0" applyNumberFormat="1" applyFont="1" applyBorder="1"/>
    <xf numFmtId="3" fontId="2" fillId="0" borderId="12" xfId="0" applyNumberFormat="1" applyFont="1" applyBorder="1"/>
    <xf numFmtId="166" fontId="2" fillId="0" borderId="10" xfId="0" applyNumberFormat="1" applyFont="1" applyBorder="1" applyAlignment="1">
      <alignment horizontal="right"/>
    </xf>
    <xf numFmtId="40" fontId="2" fillId="0" borderId="0" xfId="0" applyNumberFormat="1" applyFont="1" applyFill="1" applyBorder="1"/>
    <xf numFmtId="166" fontId="2" fillId="0" borderId="11" xfId="0" applyNumberFormat="1" applyFont="1" applyBorder="1" applyAlignment="1">
      <alignment horizontal="right"/>
    </xf>
    <xf numFmtId="166" fontId="2" fillId="0" borderId="12" xfId="0" applyNumberFormat="1" applyFont="1" applyBorder="1" applyAlignment="1">
      <alignment horizontal="right"/>
    </xf>
    <xf numFmtId="0" fontId="9" fillId="0" borderId="0" xfId="0" applyFont="1"/>
    <xf numFmtId="4" fontId="2" fillId="4" borderId="7" xfId="0" applyNumberFormat="1" applyFont="1" applyFill="1" applyBorder="1"/>
    <xf numFmtId="40" fontId="2" fillId="4" borderId="12" xfId="0" applyNumberFormat="1" applyFont="1" applyFill="1" applyBorder="1"/>
    <xf numFmtId="0" fontId="4" fillId="0" borderId="11" xfId="0" applyFont="1" applyBorder="1"/>
    <xf numFmtId="2" fontId="4" fillId="5" borderId="10" xfId="0" applyNumberFormat="1" applyFont="1" applyFill="1" applyBorder="1"/>
    <xf numFmtId="9" fontId="4" fillId="5" borderId="10" xfId="1" applyFont="1" applyFill="1" applyBorder="1"/>
    <xf numFmtId="4" fontId="4" fillId="5" borderId="10" xfId="0" applyNumberFormat="1" applyFont="1" applyFill="1" applyBorder="1"/>
    <xf numFmtId="4" fontId="4" fillId="5" borderId="12" xfId="0" applyNumberFormat="1" applyFont="1" applyFill="1" applyBorder="1"/>
    <xf numFmtId="165" fontId="4" fillId="2" borderId="10" xfId="0" applyNumberFormat="1" applyFont="1" applyFill="1" applyBorder="1"/>
    <xf numFmtId="4" fontId="4" fillId="2" borderId="10" xfId="0" applyNumberFormat="1" applyFont="1" applyFill="1" applyBorder="1"/>
    <xf numFmtId="4" fontId="4" fillId="2" borderId="12" xfId="0" applyNumberFormat="1" applyFont="1" applyFill="1" applyBorder="1"/>
    <xf numFmtId="2" fontId="4" fillId="5" borderId="11" xfId="0" applyNumberFormat="1" applyFont="1" applyFill="1" applyBorder="1"/>
    <xf numFmtId="2" fontId="4" fillId="2" borderId="11" xfId="0" applyNumberFormat="1" applyFont="1" applyFill="1" applyBorder="1"/>
    <xf numFmtId="0" fontId="4" fillId="0" borderId="9" xfId="0" applyFont="1" applyBorder="1"/>
    <xf numFmtId="0" fontId="4" fillId="0" borderId="8" xfId="0" applyFont="1" applyBorder="1"/>
    <xf numFmtId="10" fontId="4" fillId="5" borderId="10" xfId="1" applyNumberFormat="1" applyFont="1" applyFill="1" applyBorder="1"/>
    <xf numFmtId="4" fontId="4" fillId="5" borderId="10" xfId="0" applyNumberFormat="1" applyFont="1" applyFill="1" applyBorder="1" applyAlignment="1">
      <alignment horizontal="right"/>
    </xf>
    <xf numFmtId="0" fontId="1" fillId="0" borderId="0" xfId="2"/>
    <xf numFmtId="3" fontId="1" fillId="6" borderId="15" xfId="3" applyNumberFormat="1" applyFill="1" applyBorder="1" applyProtection="1">
      <protection locked="0"/>
    </xf>
    <xf numFmtId="0" fontId="1" fillId="0" borderId="0" xfId="2" applyBorder="1"/>
    <xf numFmtId="0" fontId="1" fillId="0" borderId="4" xfId="2" applyBorder="1"/>
    <xf numFmtId="1" fontId="1" fillId="6" borderId="4" xfId="2" applyNumberFormat="1" applyFill="1" applyBorder="1" applyProtection="1">
      <protection locked="0"/>
    </xf>
    <xf numFmtId="0" fontId="1" fillId="0" borderId="3" xfId="2" applyFont="1" applyBorder="1" applyAlignment="1">
      <alignment horizontal="left"/>
    </xf>
    <xf numFmtId="0" fontId="1" fillId="0" borderId="0" xfId="2" applyBorder="1" applyAlignment="1">
      <alignment horizontal="left"/>
    </xf>
    <xf numFmtId="3" fontId="0" fillId="0" borderId="4" xfId="3" applyNumberFormat="1" applyFont="1" applyFill="1" applyBorder="1" applyProtection="1">
      <protection locked="0"/>
    </xf>
    <xf numFmtId="3" fontId="1" fillId="6" borderId="4" xfId="2" applyNumberFormat="1" applyFill="1" applyBorder="1" applyProtection="1">
      <protection locked="0"/>
    </xf>
    <xf numFmtId="168" fontId="1" fillId="0" borderId="16" xfId="2" applyNumberFormat="1" applyBorder="1"/>
    <xf numFmtId="3" fontId="1" fillId="6" borderId="4" xfId="2" applyNumberFormat="1" applyFill="1" applyBorder="1"/>
    <xf numFmtId="0" fontId="1" fillId="0" borderId="4" xfId="2" applyFill="1" applyBorder="1" applyProtection="1">
      <protection locked="0"/>
    </xf>
    <xf numFmtId="165" fontId="1" fillId="0" borderId="4" xfId="2" applyNumberFormat="1" applyFill="1" applyBorder="1" applyProtection="1">
      <protection locked="0"/>
    </xf>
    <xf numFmtId="3" fontId="1" fillId="0" borderId="4" xfId="2" applyNumberFormat="1" applyBorder="1"/>
    <xf numFmtId="0" fontId="1" fillId="0" borderId="3" xfId="2" applyBorder="1" applyAlignment="1">
      <alignment horizontal="left"/>
    </xf>
    <xf numFmtId="0" fontId="1" fillId="0" borderId="4" xfId="2" applyBorder="1" applyAlignment="1">
      <alignment horizontal="left"/>
    </xf>
    <xf numFmtId="0" fontId="1" fillId="0" borderId="3" xfId="2" applyBorder="1"/>
    <xf numFmtId="10" fontId="8" fillId="0" borderId="4" xfId="1" applyNumberFormat="1" applyFont="1" applyFill="1" applyBorder="1"/>
    <xf numFmtId="0" fontId="1" fillId="0" borderId="0" xfId="2" applyFill="1"/>
    <xf numFmtId="0" fontId="1" fillId="0" borderId="0" xfId="2" applyFill="1" applyBorder="1"/>
    <xf numFmtId="0" fontId="1" fillId="0" borderId="4" xfId="2" applyFill="1" applyBorder="1"/>
    <xf numFmtId="0" fontId="1" fillId="0" borderId="5" xfId="2" applyFill="1" applyBorder="1"/>
    <xf numFmtId="10" fontId="1" fillId="0" borderId="6" xfId="2" applyNumberFormat="1" applyFill="1" applyBorder="1"/>
    <xf numFmtId="0" fontId="1" fillId="0" borderId="6" xfId="2" applyFill="1" applyBorder="1"/>
    <xf numFmtId="0" fontId="1" fillId="0" borderId="7" xfId="2" applyFill="1" applyBorder="1"/>
    <xf numFmtId="0" fontId="11" fillId="0" borderId="3" xfId="2" applyFont="1" applyFill="1" applyBorder="1"/>
    <xf numFmtId="0" fontId="11" fillId="0" borderId="0" xfId="2" applyFont="1" applyFill="1" applyBorder="1"/>
    <xf numFmtId="0" fontId="1" fillId="0" borderId="0" xfId="2" applyBorder="1" applyAlignment="1">
      <alignment wrapText="1"/>
    </xf>
    <xf numFmtId="0" fontId="1" fillId="0" borderId="0" xfId="2" applyBorder="1" applyAlignment="1">
      <alignment horizontal="center" wrapText="1"/>
    </xf>
    <xf numFmtId="0" fontId="1" fillId="0" borderId="4" xfId="2" applyBorder="1" applyAlignment="1">
      <alignment wrapText="1"/>
    </xf>
    <xf numFmtId="0" fontId="1" fillId="0" borderId="0" xfId="2" applyAlignment="1">
      <alignment wrapText="1"/>
    </xf>
    <xf numFmtId="3" fontId="1" fillId="0" borderId="0" xfId="2" applyNumberFormat="1" applyBorder="1"/>
    <xf numFmtId="3" fontId="1" fillId="0" borderId="0" xfId="3" applyNumberFormat="1" applyBorder="1"/>
    <xf numFmtId="0" fontId="1" fillId="0" borderId="14" xfId="2" applyBorder="1"/>
    <xf numFmtId="3" fontId="1" fillId="0" borderId="13" xfId="2" applyNumberFormat="1" applyBorder="1"/>
    <xf numFmtId="3" fontId="1" fillId="0" borderId="9" xfId="2" applyNumberFormat="1" applyBorder="1"/>
    <xf numFmtId="0" fontId="16" fillId="0" borderId="0" xfId="2" applyFont="1" applyAlignment="1" applyProtection="1">
      <alignment horizontal="center" vertical="center"/>
      <protection locked="0"/>
    </xf>
    <xf numFmtId="0" fontId="2" fillId="0" borderId="6" xfId="2" applyFont="1" applyBorder="1"/>
    <xf numFmtId="49" fontId="17" fillId="0" borderId="6" xfId="2" applyNumberFormat="1" applyFont="1" applyBorder="1"/>
    <xf numFmtId="0" fontId="17" fillId="0" borderId="6" xfId="2" applyNumberFormat="1" applyFont="1" applyBorder="1" applyAlignment="1">
      <alignment horizontal="left"/>
    </xf>
    <xf numFmtId="3" fontId="4" fillId="0" borderId="0" xfId="2" applyNumberFormat="1" applyFont="1" applyAlignment="1">
      <alignment vertical="center"/>
    </xf>
    <xf numFmtId="0" fontId="4" fillId="0" borderId="0" xfId="2" applyFont="1" applyBorder="1" applyAlignment="1">
      <alignment horizontal="center" vertical="center"/>
    </xf>
    <xf numFmtId="0" fontId="18" fillId="0" borderId="0" xfId="2" applyFont="1" applyBorder="1" applyAlignment="1">
      <alignment horizontal="left" vertical="center"/>
    </xf>
    <xf numFmtId="0" fontId="18" fillId="0" borderId="0" xfId="2" applyFont="1" applyAlignment="1">
      <alignment horizontal="right" vertical="center"/>
    </xf>
    <xf numFmtId="170" fontId="4" fillId="0" borderId="0" xfId="3" applyNumberFormat="1" applyFont="1" applyBorder="1" applyAlignment="1">
      <alignment vertical="center" readingOrder="1"/>
    </xf>
    <xf numFmtId="0" fontId="1" fillId="0" borderId="0" xfId="2" applyAlignment="1">
      <alignment horizontal="center"/>
    </xf>
    <xf numFmtId="0" fontId="17" fillId="0" borderId="6" xfId="2" applyFont="1" applyBorder="1" applyAlignment="1">
      <alignment horizontal="left"/>
    </xf>
    <xf numFmtId="0" fontId="16" fillId="0" borderId="0" xfId="2" applyFont="1" applyAlignment="1">
      <alignment horizontal="center" vertical="center"/>
    </xf>
    <xf numFmtId="0" fontId="18" fillId="0" borderId="0" xfId="2" applyFont="1" applyAlignment="1">
      <alignment horizontal="right"/>
    </xf>
    <xf numFmtId="0" fontId="16" fillId="0" borderId="0" xfId="2" applyFont="1" applyAlignment="1">
      <alignment horizontal="center"/>
    </xf>
    <xf numFmtId="169" fontId="4" fillId="0" borderId="0" xfId="1" applyNumberFormat="1" applyFont="1" applyAlignment="1">
      <alignment horizontal="center"/>
    </xf>
    <xf numFmtId="0" fontId="19" fillId="0" borderId="0" xfId="2" applyFont="1" applyAlignment="1">
      <alignment horizontal="right"/>
    </xf>
    <xf numFmtId="0" fontId="20" fillId="0" borderId="0" xfId="2" applyFont="1" applyAlignment="1">
      <alignment horizontal="center"/>
    </xf>
    <xf numFmtId="10" fontId="21" fillId="0" borderId="17" xfId="1" applyNumberFormat="1" applyFont="1" applyBorder="1" applyAlignment="1">
      <alignment horizontal="center"/>
    </xf>
    <xf numFmtId="0" fontId="2" fillId="0" borderId="0" xfId="2" applyFont="1" applyBorder="1" applyAlignment="1">
      <alignment horizontal="right"/>
    </xf>
    <xf numFmtId="3" fontId="22" fillId="0" borderId="0" xfId="2" applyNumberFormat="1" applyFont="1" applyBorder="1" applyAlignment="1">
      <alignment horizontal="left"/>
    </xf>
    <xf numFmtId="0" fontId="2" fillId="0" borderId="0" xfId="2" applyFont="1"/>
    <xf numFmtId="0" fontId="2" fillId="0" borderId="0" xfId="2" applyFont="1" applyAlignment="1">
      <alignment horizontal="right"/>
    </xf>
    <xf numFmtId="0" fontId="22" fillId="0" borderId="0" xfId="2" applyFont="1" applyBorder="1" applyAlignment="1">
      <alignment horizontal="left"/>
    </xf>
    <xf numFmtId="10" fontId="2" fillId="0" borderId="0" xfId="1" applyNumberFormat="1" applyFont="1" applyBorder="1" applyAlignment="1">
      <alignment horizontal="left"/>
    </xf>
    <xf numFmtId="10" fontId="2" fillId="0" borderId="0" xfId="2" applyNumberFormat="1" applyFont="1" applyAlignment="1"/>
    <xf numFmtId="3" fontId="1" fillId="3" borderId="15" xfId="2" applyNumberFormat="1" applyFill="1" applyBorder="1" applyProtection="1">
      <protection locked="0"/>
    </xf>
    <xf numFmtId="3" fontId="1" fillId="3" borderId="4" xfId="2" applyNumberFormat="1" applyFill="1" applyBorder="1"/>
    <xf numFmtId="3" fontId="1" fillId="3" borderId="4" xfId="2" applyNumberFormat="1" applyFill="1" applyBorder="1" applyProtection="1">
      <protection locked="0"/>
    </xf>
    <xf numFmtId="3" fontId="1" fillId="0" borderId="4" xfId="2" applyNumberFormat="1" applyFill="1" applyBorder="1" applyProtection="1">
      <protection locked="0"/>
    </xf>
    <xf numFmtId="3" fontId="1" fillId="0" borderId="16" xfId="2" applyNumberFormat="1" applyBorder="1"/>
    <xf numFmtId="165" fontId="1" fillId="3" borderId="4" xfId="2" applyNumberFormat="1" applyFill="1" applyBorder="1"/>
    <xf numFmtId="10" fontId="8" fillId="0" borderId="4" xfId="2" applyNumberFormat="1" applyFont="1" applyFill="1" applyBorder="1"/>
    <xf numFmtId="0" fontId="1" fillId="0" borderId="3" xfId="2" applyFill="1" applyBorder="1" applyAlignment="1">
      <alignment horizontal="left"/>
    </xf>
    <xf numFmtId="0" fontId="1" fillId="0" borderId="0" xfId="2" applyFill="1" applyBorder="1" applyAlignment="1">
      <alignment horizontal="left"/>
    </xf>
    <xf numFmtId="0" fontId="1" fillId="0" borderId="4" xfId="2" applyFill="1" applyBorder="1" applyAlignment="1">
      <alignment horizontal="left"/>
    </xf>
    <xf numFmtId="0" fontId="1" fillId="0" borderId="6" xfId="2" applyBorder="1"/>
    <xf numFmtId="0" fontId="11" fillId="0" borderId="1" xfId="2" applyFont="1" applyFill="1" applyBorder="1"/>
    <xf numFmtId="0" fontId="1" fillId="0" borderId="2" xfId="2" applyFill="1" applyBorder="1"/>
    <xf numFmtId="0" fontId="1" fillId="0" borderId="15" xfId="2" applyFill="1" applyBorder="1"/>
    <xf numFmtId="0" fontId="1" fillId="0" borderId="3" xfId="2" applyFill="1" applyBorder="1"/>
    <xf numFmtId="0" fontId="1" fillId="0" borderId="0" xfId="2" applyFill="1" applyBorder="1" applyAlignment="1">
      <alignment horizontal="center"/>
    </xf>
    <xf numFmtId="3" fontId="1" fillId="0" borderId="0" xfId="2" applyNumberFormat="1" applyFill="1" applyBorder="1"/>
    <xf numFmtId="3" fontId="1" fillId="0" borderId="4" xfId="2" applyNumberFormat="1" applyFill="1" applyBorder="1"/>
    <xf numFmtId="3" fontId="1" fillId="0" borderId="13" xfId="2" applyNumberFormat="1" applyFill="1" applyBorder="1"/>
    <xf numFmtId="3" fontId="1" fillId="0" borderId="9" xfId="2" applyNumberFormat="1" applyFill="1" applyBorder="1"/>
    <xf numFmtId="0" fontId="2" fillId="0" borderId="0" xfId="2" applyFont="1" applyAlignment="1">
      <alignment horizontal="left" vertical="top" wrapText="1"/>
    </xf>
    <xf numFmtId="0" fontId="24" fillId="0" borderId="20" xfId="2" applyFont="1" applyBorder="1" applyAlignment="1">
      <alignment horizontal="left" wrapText="1"/>
    </xf>
    <xf numFmtId="0" fontId="24" fillId="0" borderId="23" xfId="2" applyFont="1" applyBorder="1" applyAlignment="1">
      <alignment horizontal="left" wrapText="1"/>
    </xf>
    <xf numFmtId="0" fontId="3" fillId="0" borderId="22" xfId="2" applyFont="1" applyBorder="1" applyAlignment="1">
      <alignment horizontal="center" vertical="center" wrapText="1"/>
    </xf>
    <xf numFmtId="3" fontId="1" fillId="0" borderId="0" xfId="2" applyNumberFormat="1"/>
    <xf numFmtId="0" fontId="25" fillId="0" borderId="0" xfId="2" applyFont="1" applyAlignment="1">
      <alignment horizontal="center"/>
    </xf>
    <xf numFmtId="0" fontId="26" fillId="0" borderId="0" xfId="2" applyFont="1" applyAlignment="1">
      <alignment horizontal="left" vertical="top"/>
    </xf>
    <xf numFmtId="170" fontId="0" fillId="0" borderId="0" xfId="3" applyNumberFormat="1" applyFont="1"/>
    <xf numFmtId="0" fontId="26" fillId="0" borderId="0" xfId="2" applyFont="1" applyAlignment="1">
      <alignment vertical="top"/>
    </xf>
    <xf numFmtId="0" fontId="1" fillId="0" borderId="0" xfId="2" applyFont="1" applyAlignment="1">
      <alignment vertical="center"/>
    </xf>
    <xf numFmtId="170" fontId="1" fillId="0" borderId="0" xfId="3" applyNumberFormat="1" applyFont="1" applyAlignment="1">
      <alignment horizontal="right" vertical="center"/>
    </xf>
    <xf numFmtId="0" fontId="1" fillId="0" borderId="0" xfId="2" applyFont="1" applyAlignment="1">
      <alignment horizontal="center" vertical="center"/>
    </xf>
    <xf numFmtId="170" fontId="1" fillId="0" borderId="0" xfId="3" applyNumberFormat="1" applyFont="1" applyAlignment="1">
      <alignment horizontal="center" vertical="center"/>
    </xf>
    <xf numFmtId="170" fontId="1" fillId="0" borderId="0" xfId="3" applyNumberFormat="1" applyFont="1" applyAlignment="1">
      <alignment horizontal="center"/>
    </xf>
    <xf numFmtId="170" fontId="26" fillId="0" borderId="0" xfId="3" applyNumberFormat="1" applyFont="1" applyAlignment="1">
      <alignment horizontal="center" vertical="top"/>
    </xf>
    <xf numFmtId="0" fontId="3" fillId="0" borderId="0" xfId="2" applyFont="1"/>
    <xf numFmtId="169" fontId="3" fillId="0" borderId="0" xfId="2" applyNumberFormat="1" applyFont="1" applyAlignment="1">
      <alignment horizontal="center"/>
    </xf>
    <xf numFmtId="0" fontId="8" fillId="0" borderId="0" xfId="2" applyFont="1"/>
    <xf numFmtId="10" fontId="8" fillId="0" borderId="17" xfId="1" applyNumberFormat="1" applyFont="1" applyBorder="1" applyAlignment="1">
      <alignment horizontal="center"/>
    </xf>
    <xf numFmtId="3" fontId="2" fillId="0" borderId="0" xfId="2" applyNumberFormat="1" applyFont="1" applyBorder="1" applyAlignment="1">
      <alignment horizontal="left"/>
    </xf>
    <xf numFmtId="0" fontId="3" fillId="0" borderId="0" xfId="2" applyFont="1" applyBorder="1" applyAlignment="1"/>
    <xf numFmtId="0" fontId="1" fillId="0" borderId="0" xfId="2" applyAlignment="1"/>
    <xf numFmtId="3" fontId="1" fillId="7" borderId="15" xfId="2" applyNumberFormat="1" applyFill="1" applyBorder="1" applyProtection="1">
      <protection locked="0"/>
    </xf>
    <xf numFmtId="3" fontId="1" fillId="0" borderId="4" xfId="2" applyNumberFormat="1" applyBorder="1" applyProtection="1">
      <protection locked="0"/>
    </xf>
    <xf numFmtId="1" fontId="1" fillId="7" borderId="4" xfId="2" applyNumberFormat="1" applyFill="1" applyBorder="1" applyProtection="1">
      <protection locked="0"/>
    </xf>
    <xf numFmtId="3" fontId="1" fillId="7" borderId="4" xfId="2" applyNumberFormat="1" applyFill="1" applyBorder="1" applyProtection="1">
      <protection locked="0"/>
    </xf>
    <xf numFmtId="165" fontId="1" fillId="7" borderId="4" xfId="2" applyNumberFormat="1" applyFill="1" applyBorder="1" applyProtection="1">
      <protection locked="0"/>
    </xf>
    <xf numFmtId="3" fontId="1" fillId="7" borderId="4" xfId="2" applyNumberFormat="1" applyFill="1" applyBorder="1"/>
    <xf numFmtId="0" fontId="1" fillId="7" borderId="4" xfId="2" applyFill="1" applyBorder="1" applyProtection="1">
      <protection locked="0"/>
    </xf>
    <xf numFmtId="10" fontId="8" fillId="0" borderId="4" xfId="1" applyNumberFormat="1" applyFont="1" applyBorder="1"/>
    <xf numFmtId="173" fontId="1" fillId="0" borderId="0" xfId="1" applyNumberFormat="1" applyFill="1" applyBorder="1"/>
    <xf numFmtId="0" fontId="1" fillId="0" borderId="13" xfId="2" applyBorder="1"/>
    <xf numFmtId="0" fontId="1" fillId="0" borderId="9" xfId="2" applyBorder="1"/>
    <xf numFmtId="0" fontId="5" fillId="0" borderId="0" xfId="2" applyFont="1" applyAlignment="1">
      <alignment horizontal="right" vertical="center" wrapText="1"/>
    </xf>
    <xf numFmtId="0" fontId="3" fillId="0" borderId="0" xfId="2" applyFont="1" applyAlignment="1">
      <alignment horizontal="left" vertical="top" wrapText="1"/>
    </xf>
    <xf numFmtId="0" fontId="5" fillId="0" borderId="0" xfId="2" applyFont="1" applyAlignment="1">
      <alignment horizontal="left" vertical="center" wrapText="1"/>
    </xf>
    <xf numFmtId="0" fontId="5" fillId="0" borderId="0" xfId="2" applyFont="1" applyAlignment="1">
      <alignment horizontal="left" vertical="top" wrapText="1"/>
    </xf>
    <xf numFmtId="169" fontId="4" fillId="0" borderId="0" xfId="1" applyNumberFormat="1" applyFont="1"/>
    <xf numFmtId="10" fontId="21" fillId="0" borderId="17" xfId="1" applyNumberFormat="1" applyFont="1" applyBorder="1"/>
    <xf numFmtId="0" fontId="11" fillId="0" borderId="0" xfId="2" applyFont="1"/>
    <xf numFmtId="0" fontId="2" fillId="0" borderId="0" xfId="2" applyFont="1" applyAlignment="1">
      <alignment horizontal="left"/>
    </xf>
    <xf numFmtId="0" fontId="3" fillId="0" borderId="0" xfId="2" applyFont="1" applyAlignment="1">
      <alignment horizontal="left"/>
    </xf>
    <xf numFmtId="0" fontId="1" fillId="0" borderId="0" xfId="2" applyAlignment="1">
      <alignment horizontal="left"/>
    </xf>
    <xf numFmtId="0" fontId="2" fillId="0" borderId="0" xfId="2" applyFont="1" applyBorder="1" applyAlignment="1"/>
    <xf numFmtId="3" fontId="22" fillId="0" borderId="0" xfId="2" applyNumberFormat="1" applyFont="1" applyAlignment="1">
      <alignment horizontal="left"/>
    </xf>
    <xf numFmtId="0" fontId="18" fillId="0" borderId="0" xfId="2" applyFont="1" applyAlignment="1">
      <alignment wrapText="1"/>
    </xf>
    <xf numFmtId="10" fontId="2" fillId="0" borderId="0" xfId="2" applyNumberFormat="1" applyFont="1"/>
    <xf numFmtId="165" fontId="2" fillId="0" borderId="0" xfId="2" applyNumberFormat="1" applyFont="1"/>
    <xf numFmtId="3" fontId="2" fillId="0" borderId="0" xfId="2" applyNumberFormat="1" applyFont="1"/>
    <xf numFmtId="3" fontId="2" fillId="0" borderId="0" xfId="3" applyNumberFormat="1" applyFont="1"/>
    <xf numFmtId="170" fontId="2" fillId="0" borderId="0" xfId="3" applyNumberFormat="1" applyFont="1"/>
    <xf numFmtId="170" fontId="2" fillId="0" borderId="0" xfId="3" applyNumberFormat="1" applyFont="1" applyAlignment="1">
      <alignment horizontal="right" vertical="top"/>
    </xf>
    <xf numFmtId="3" fontId="2" fillId="0" borderId="0" xfId="2" applyNumberFormat="1" applyFont="1" applyAlignment="1">
      <alignment horizontal="right"/>
    </xf>
    <xf numFmtId="0" fontId="2" fillId="0" borderId="0" xfId="2" applyFont="1" applyAlignment="1">
      <alignment horizontal="right" vertical="top"/>
    </xf>
    <xf numFmtId="0" fontId="2" fillId="8" borderId="0" xfId="2" applyFont="1" applyFill="1" applyAlignment="1">
      <alignment horizontal="right"/>
    </xf>
    <xf numFmtId="165" fontId="1" fillId="6" borderId="4" xfId="1" applyNumberFormat="1" applyFont="1" applyFill="1" applyBorder="1"/>
    <xf numFmtId="0" fontId="4" fillId="0" borderId="0" xfId="2" applyFont="1" applyAlignment="1">
      <alignment horizontal="left"/>
    </xf>
    <xf numFmtId="0" fontId="4" fillId="0" borderId="0" xfId="2" applyFont="1"/>
    <xf numFmtId="0" fontId="0" fillId="0" borderId="0" xfId="0" applyAlignment="1"/>
    <xf numFmtId="0" fontId="1" fillId="0" borderId="25" xfId="2" applyBorder="1"/>
    <xf numFmtId="0" fontId="1" fillId="2" borderId="26" xfId="2" applyFill="1" applyBorder="1"/>
    <xf numFmtId="49" fontId="1" fillId="0" borderId="26" xfId="2" applyNumberFormat="1" applyBorder="1" applyAlignment="1">
      <alignment wrapText="1"/>
    </xf>
    <xf numFmtId="0" fontId="1" fillId="0" borderId="26" xfId="2" applyBorder="1" applyAlignment="1">
      <alignment wrapText="1"/>
    </xf>
    <xf numFmtId="0" fontId="1" fillId="0" borderId="27" xfId="2" applyBorder="1"/>
    <xf numFmtId="170" fontId="0" fillId="2" borderId="28" xfId="3" applyNumberFormat="1" applyFont="1" applyFill="1" applyBorder="1"/>
    <xf numFmtId="2" fontId="1" fillId="2" borderId="28" xfId="2" applyNumberFormat="1" applyFont="1" applyFill="1" applyBorder="1"/>
    <xf numFmtId="170" fontId="0" fillId="0" borderId="29" xfId="3" applyNumberFormat="1" applyFont="1" applyBorder="1"/>
    <xf numFmtId="0" fontId="1" fillId="2" borderId="3" xfId="2" applyFont="1" applyFill="1" applyBorder="1"/>
    <xf numFmtId="2" fontId="1" fillId="2" borderId="28" xfId="2" applyNumberFormat="1" applyFill="1" applyBorder="1"/>
    <xf numFmtId="2" fontId="1" fillId="0" borderId="28" xfId="2" applyNumberFormat="1" applyFill="1" applyBorder="1"/>
    <xf numFmtId="0" fontId="11" fillId="0" borderId="30" xfId="2" applyFont="1" applyBorder="1"/>
    <xf numFmtId="170" fontId="11" fillId="0" borderId="24" xfId="3" applyNumberFormat="1" applyFont="1" applyBorder="1"/>
    <xf numFmtId="2" fontId="11" fillId="0" borderId="24" xfId="2" applyNumberFormat="1" applyFont="1" applyBorder="1"/>
    <xf numFmtId="170" fontId="11" fillId="0" borderId="31" xfId="3" applyNumberFormat="1" applyFont="1" applyBorder="1"/>
    <xf numFmtId="0" fontId="1" fillId="0" borderId="3" xfId="2" applyFont="1" applyBorder="1"/>
    <xf numFmtId="2" fontId="1" fillId="0" borderId="28" xfId="2" applyNumberFormat="1" applyBorder="1"/>
    <xf numFmtId="170" fontId="0" fillId="0" borderId="24" xfId="3" applyNumberFormat="1" applyFont="1" applyBorder="1"/>
    <xf numFmtId="2" fontId="1" fillId="0" borderId="24" xfId="2" applyNumberFormat="1" applyBorder="1"/>
    <xf numFmtId="170" fontId="0" fillId="0" borderId="31" xfId="3" applyNumberFormat="1" applyFont="1" applyBorder="1"/>
    <xf numFmtId="170" fontId="0" fillId="2" borderId="24" xfId="3" applyNumberFormat="1" applyFont="1" applyFill="1" applyBorder="1"/>
    <xf numFmtId="2" fontId="1" fillId="0" borderId="32" xfId="2" applyNumberFormat="1" applyBorder="1"/>
    <xf numFmtId="9" fontId="0" fillId="2" borderId="33" xfId="1" applyFont="1" applyFill="1" applyBorder="1"/>
    <xf numFmtId="0" fontId="11" fillId="0" borderId="34" xfId="2" applyFont="1" applyBorder="1"/>
    <xf numFmtId="170" fontId="0" fillId="0" borderId="35" xfId="3" applyNumberFormat="1" applyFont="1" applyBorder="1"/>
    <xf numFmtId="2" fontId="1" fillId="0" borderId="36" xfId="2" applyNumberFormat="1" applyBorder="1"/>
    <xf numFmtId="170" fontId="0" fillId="0" borderId="37" xfId="3" applyNumberFormat="1" applyFont="1" applyBorder="1"/>
    <xf numFmtId="0" fontId="1" fillId="2" borderId="0" xfId="2" applyFill="1"/>
    <xf numFmtId="0" fontId="1" fillId="0" borderId="22" xfId="2" applyBorder="1"/>
    <xf numFmtId="0" fontId="1" fillId="0" borderId="19" xfId="2" applyBorder="1"/>
    <xf numFmtId="170" fontId="0" fillId="2" borderId="0" xfId="3" applyNumberFormat="1" applyFont="1" applyFill="1" applyAlignment="1"/>
    <xf numFmtId="0" fontId="11" fillId="0" borderId="0" xfId="2" applyFont="1" applyAlignment="1"/>
    <xf numFmtId="0" fontId="11" fillId="0" borderId="0" xfId="2" applyFont="1" applyFill="1" applyAlignment="1"/>
    <xf numFmtId="0" fontId="1" fillId="0" borderId="38" xfId="2" applyBorder="1"/>
    <xf numFmtId="0" fontId="1" fillId="0" borderId="26" xfId="2" applyBorder="1"/>
    <xf numFmtId="0" fontId="1" fillId="0" borderId="39" xfId="2" applyBorder="1"/>
    <xf numFmtId="0" fontId="1" fillId="0" borderId="40" xfId="2" applyBorder="1"/>
    <xf numFmtId="0" fontId="11" fillId="0" borderId="38" xfId="2" applyFont="1" applyFill="1" applyBorder="1"/>
    <xf numFmtId="170" fontId="0" fillId="0" borderId="39" xfId="3" applyNumberFormat="1" applyFont="1" applyBorder="1"/>
    <xf numFmtId="170" fontId="0" fillId="0" borderId="41" xfId="3" applyNumberFormat="1" applyFont="1" applyBorder="1"/>
    <xf numFmtId="170" fontId="0" fillId="0" borderId="28" xfId="3" applyNumberFormat="1" applyFont="1" applyBorder="1"/>
    <xf numFmtId="170" fontId="0" fillId="0" borderId="0" xfId="3" applyNumberFormat="1" applyFont="1" applyBorder="1"/>
    <xf numFmtId="0" fontId="11" fillId="0" borderId="42" xfId="2" applyFont="1" applyFill="1" applyBorder="1"/>
    <xf numFmtId="170" fontId="0" fillId="2" borderId="19" xfId="3" applyNumberFormat="1" applyFont="1" applyFill="1" applyBorder="1"/>
    <xf numFmtId="3" fontId="0" fillId="0" borderId="19" xfId="3" applyNumberFormat="1" applyFont="1" applyBorder="1"/>
    <xf numFmtId="170" fontId="0" fillId="0" borderId="43" xfId="3" applyNumberFormat="1" applyFont="1" applyBorder="1"/>
    <xf numFmtId="0" fontId="1" fillId="0" borderId="3" xfId="2" applyFont="1" applyFill="1" applyBorder="1"/>
    <xf numFmtId="0" fontId="1" fillId="0" borderId="3" xfId="2" applyNumberFormat="1" applyFont="1" applyBorder="1"/>
    <xf numFmtId="170" fontId="0" fillId="2" borderId="0" xfId="3" applyNumberFormat="1" applyFont="1" applyFill="1" applyBorder="1"/>
    <xf numFmtId="3" fontId="0" fillId="0" borderId="0" xfId="3" applyNumberFormat="1" applyFont="1" applyBorder="1"/>
    <xf numFmtId="170" fontId="0" fillId="0" borderId="4" xfId="3" applyNumberFormat="1" applyFont="1" applyBorder="1"/>
    <xf numFmtId="0" fontId="1" fillId="0" borderId="3" xfId="2" applyNumberFormat="1" applyBorder="1"/>
    <xf numFmtId="170" fontId="0" fillId="2" borderId="4" xfId="3" applyNumberFormat="1" applyFont="1" applyFill="1" applyBorder="1"/>
    <xf numFmtId="49" fontId="1" fillId="0" borderId="30" xfId="2" applyNumberFormat="1" applyBorder="1"/>
    <xf numFmtId="170" fontId="0" fillId="0" borderId="22" xfId="3" applyNumberFormat="1" applyFont="1" applyBorder="1"/>
    <xf numFmtId="3" fontId="0" fillId="0" borderId="22" xfId="3" applyNumberFormat="1" applyFont="1" applyBorder="1"/>
    <xf numFmtId="170" fontId="0" fillId="0" borderId="44" xfId="3" applyNumberFormat="1" applyFont="1" applyBorder="1"/>
    <xf numFmtId="49" fontId="1" fillId="0" borderId="3" xfId="2" applyNumberFormat="1" applyBorder="1"/>
    <xf numFmtId="3" fontId="0" fillId="2" borderId="0" xfId="3" applyNumberFormat="1" applyFont="1" applyFill="1" applyBorder="1"/>
    <xf numFmtId="0" fontId="11" fillId="0" borderId="30" xfId="2" applyFont="1" applyFill="1" applyBorder="1"/>
    <xf numFmtId="170" fontId="11" fillId="0" borderId="24" xfId="3" applyNumberFormat="1" applyFont="1" applyFill="1" applyBorder="1"/>
    <xf numFmtId="0" fontId="1" fillId="0" borderId="18" xfId="2" applyFill="1" applyBorder="1"/>
    <xf numFmtId="170" fontId="0" fillId="0" borderId="45" xfId="3" applyNumberFormat="1" applyFont="1" applyFill="1" applyBorder="1"/>
    <xf numFmtId="0" fontId="1" fillId="0" borderId="46" xfId="2" applyFont="1" applyFill="1" applyBorder="1"/>
    <xf numFmtId="167" fontId="0" fillId="2" borderId="28" xfId="3" applyFont="1" applyFill="1" applyBorder="1"/>
    <xf numFmtId="0" fontId="1" fillId="0" borderId="46" xfId="2" applyFill="1" applyBorder="1"/>
    <xf numFmtId="170" fontId="0" fillId="0" borderId="0" xfId="3" applyNumberFormat="1" applyFont="1" applyFill="1" applyBorder="1"/>
    <xf numFmtId="170" fontId="11" fillId="0" borderId="18" xfId="3" applyNumberFormat="1" applyFont="1" applyFill="1" applyBorder="1"/>
    <xf numFmtId="170" fontId="11" fillId="0" borderId="19" xfId="3" applyNumberFormat="1" applyFont="1" applyFill="1" applyBorder="1"/>
    <xf numFmtId="0" fontId="11" fillId="0" borderId="48" xfId="2" applyFont="1" applyFill="1" applyBorder="1"/>
    <xf numFmtId="170" fontId="0" fillId="0" borderId="49" xfId="3" applyNumberFormat="1" applyFont="1" applyBorder="1"/>
    <xf numFmtId="3" fontId="0" fillId="0" borderId="49" xfId="3" applyNumberFormat="1" applyFont="1" applyBorder="1"/>
    <xf numFmtId="170" fontId="0" fillId="0" borderId="50" xfId="3" applyNumberFormat="1" applyFont="1" applyBorder="1"/>
    <xf numFmtId="0" fontId="11" fillId="0" borderId="34" xfId="2" applyFont="1" applyFill="1" applyBorder="1"/>
    <xf numFmtId="170" fontId="11" fillId="0" borderId="51" xfId="3" applyNumberFormat="1" applyFont="1" applyFill="1" applyBorder="1"/>
    <xf numFmtId="170" fontId="11" fillId="0" borderId="36" xfId="3" applyNumberFormat="1" applyFont="1" applyFill="1" applyBorder="1"/>
    <xf numFmtId="170" fontId="11" fillId="0" borderId="36" xfId="3" applyNumberFormat="1" applyFont="1" applyBorder="1"/>
    <xf numFmtId="170" fontId="0" fillId="0" borderId="36" xfId="3" applyNumberFormat="1" applyFont="1" applyBorder="1"/>
    <xf numFmtId="170" fontId="11" fillId="0" borderId="16" xfId="3" applyNumberFormat="1" applyFont="1" applyBorder="1"/>
    <xf numFmtId="170" fontId="11" fillId="0" borderId="0" xfId="3" applyNumberFormat="1" applyFont="1" applyFill="1" applyBorder="1"/>
    <xf numFmtId="170" fontId="0" fillId="0" borderId="0" xfId="3" applyNumberFormat="1" applyFont="1" applyBorder="1" applyAlignment="1">
      <alignment horizontal="center"/>
    </xf>
    <xf numFmtId="170" fontId="11" fillId="0" borderId="0" xfId="3" applyNumberFormat="1" applyFont="1" applyBorder="1"/>
    <xf numFmtId="4" fontId="0" fillId="0" borderId="0" xfId="3" applyNumberFormat="1" applyFont="1" applyBorder="1" applyAlignment="1">
      <alignment horizontal="left"/>
    </xf>
    <xf numFmtId="167" fontId="1" fillId="0" borderId="0" xfId="2" applyNumberFormat="1"/>
    <xf numFmtId="170" fontId="1" fillId="0" borderId="0" xfId="2" applyNumberFormat="1"/>
    <xf numFmtId="170" fontId="1" fillId="0" borderId="6" xfId="2" applyNumberFormat="1" applyBorder="1"/>
    <xf numFmtId="167" fontId="0" fillId="0" borderId="0" xfId="3" applyFont="1"/>
    <xf numFmtId="0" fontId="11" fillId="0" borderId="0" xfId="2" applyFont="1" applyAlignment="1">
      <alignment horizontal="center"/>
    </xf>
    <xf numFmtId="3" fontId="8" fillId="0" borderId="0" xfId="3" applyNumberFormat="1" applyFont="1"/>
    <xf numFmtId="0" fontId="2" fillId="0" borderId="0" xfId="2" applyFont="1" applyAlignment="1"/>
    <xf numFmtId="3" fontId="8" fillId="0" borderId="22" xfId="3" applyNumberFormat="1" applyFont="1" applyBorder="1"/>
    <xf numFmtId="1" fontId="2" fillId="0" borderId="0" xfId="2" applyNumberFormat="1" applyFont="1"/>
    <xf numFmtId="0" fontId="2" fillId="0" borderId="0" xfId="2" applyFont="1" applyFill="1"/>
    <xf numFmtId="3" fontId="8" fillId="0" borderId="22" xfId="2" applyNumberFormat="1" applyFont="1" applyBorder="1"/>
    <xf numFmtId="49" fontId="2" fillId="0" borderId="0" xfId="2" applyNumberFormat="1" applyFont="1"/>
    <xf numFmtId="3" fontId="8" fillId="0" borderId="36" xfId="2" applyNumberFormat="1" applyFont="1" applyBorder="1"/>
    <xf numFmtId="0" fontId="2" fillId="0" borderId="0" xfId="2" applyFont="1" applyBorder="1"/>
    <xf numFmtId="49" fontId="2" fillId="0" borderId="0" xfId="2" applyNumberFormat="1" applyFont="1" applyBorder="1"/>
    <xf numFmtId="170" fontId="2" fillId="0" borderId="0" xfId="3" applyNumberFormat="1" applyFont="1" applyBorder="1"/>
    <xf numFmtId="0" fontId="8" fillId="0" borderId="0" xfId="0" applyFont="1" applyAlignment="1"/>
    <xf numFmtId="0" fontId="0" fillId="0" borderId="0" xfId="0" applyAlignment="1"/>
    <xf numFmtId="0" fontId="37" fillId="4" borderId="0" xfId="0" applyFont="1" applyFill="1" applyAlignment="1">
      <alignment horizontal="center"/>
    </xf>
    <xf numFmtId="0" fontId="11" fillId="0" borderId="8" xfId="0" applyFont="1" applyBorder="1"/>
    <xf numFmtId="0" fontId="38" fillId="0" borderId="53" xfId="0" applyFont="1" applyBorder="1"/>
    <xf numFmtId="0" fontId="38" fillId="0" borderId="54" xfId="0" applyFont="1" applyBorder="1"/>
    <xf numFmtId="0" fontId="38" fillId="0" borderId="55" xfId="0" applyFont="1" applyBorder="1"/>
    <xf numFmtId="0" fontId="38" fillId="0" borderId="53" xfId="0" applyFont="1" applyFill="1" applyBorder="1"/>
    <xf numFmtId="0" fontId="38" fillId="0" borderId="54" xfId="0" applyFont="1" applyFill="1" applyBorder="1"/>
    <xf numFmtId="0" fontId="38" fillId="0" borderId="55" xfId="0" applyFont="1" applyFill="1" applyBorder="1"/>
    <xf numFmtId="0" fontId="38" fillId="0" borderId="56" xfId="0" applyFont="1" applyFill="1" applyBorder="1" applyAlignment="1">
      <alignment wrapText="1"/>
    </xf>
    <xf numFmtId="0" fontId="38" fillId="0" borderId="9" xfId="0" applyFont="1" applyFill="1" applyBorder="1" applyAlignment="1">
      <alignment wrapText="1"/>
    </xf>
    <xf numFmtId="0" fontId="38" fillId="0" borderId="8" xfId="0" applyFont="1" applyFill="1" applyBorder="1" applyAlignment="1">
      <alignment wrapText="1"/>
    </xf>
    <xf numFmtId="170" fontId="0" fillId="0" borderId="12" xfId="5" applyNumberFormat="1" applyFont="1" applyBorder="1"/>
    <xf numFmtId="170" fontId="0" fillId="0" borderId="8" xfId="5" applyNumberFormat="1" applyFont="1" applyBorder="1"/>
    <xf numFmtId="170" fontId="0" fillId="0" borderId="11" xfId="5" applyNumberFormat="1" applyFont="1" applyBorder="1" applyAlignment="1">
      <alignment horizontal="center"/>
    </xf>
    <xf numFmtId="170" fontId="0" fillId="0" borderId="7" xfId="5" applyNumberFormat="1" applyFont="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70" fontId="0" fillId="0" borderId="0" xfId="0" applyNumberFormat="1"/>
    <xf numFmtId="167" fontId="22" fillId="0" borderId="0" xfId="5" applyFont="1" applyBorder="1"/>
    <xf numFmtId="170" fontId="24" fillId="0" borderId="0" xfId="5" applyNumberFormat="1" applyFont="1" applyBorder="1"/>
    <xf numFmtId="167" fontId="0" fillId="0" borderId="0" xfId="5" applyFont="1" applyBorder="1"/>
    <xf numFmtId="167" fontId="24" fillId="0" borderId="0" xfId="5" applyFont="1" applyBorder="1"/>
    <xf numFmtId="0" fontId="37" fillId="3" borderId="0" xfId="0" applyFont="1" applyFill="1" applyAlignment="1">
      <alignment horizontal="center"/>
    </xf>
    <xf numFmtId="0" fontId="11" fillId="0" borderId="8" xfId="0" applyFont="1" applyBorder="1" applyAlignment="1">
      <alignment horizontal="center"/>
    </xf>
    <xf numFmtId="0" fontId="37" fillId="7" borderId="0" xfId="0" applyFont="1" applyFill="1" applyAlignment="1">
      <alignment horizontal="center"/>
    </xf>
    <xf numFmtId="0" fontId="39" fillId="0" borderId="0" xfId="0" applyFont="1" applyAlignment="1"/>
    <xf numFmtId="170" fontId="24" fillId="8" borderId="0" xfId="5" applyNumberFormat="1" applyFont="1" applyFill="1" applyBorder="1"/>
    <xf numFmtId="0" fontId="39" fillId="0" borderId="0" xfId="0" applyFont="1" applyAlignment="1">
      <alignment horizontal="center"/>
    </xf>
    <xf numFmtId="0" fontId="39" fillId="0" borderId="0" xfId="0" applyFont="1" applyAlignment="1">
      <alignment horizontal="center" wrapText="1"/>
    </xf>
    <xf numFmtId="2" fontId="0" fillId="0" borderId="0" xfId="0" applyNumberFormat="1" applyAlignment="1"/>
    <xf numFmtId="0" fontId="36" fillId="0" borderId="0" xfId="0" applyFont="1" applyAlignment="1"/>
    <xf numFmtId="170" fontId="0" fillId="2" borderId="0" xfId="5" applyNumberFormat="1" applyFont="1" applyFill="1" applyAlignment="1"/>
    <xf numFmtId="170" fontId="0" fillId="0" borderId="0" xfId="5" applyNumberFormat="1" applyFont="1" applyFill="1" applyAlignment="1"/>
    <xf numFmtId="170" fontId="0" fillId="0" borderId="0" xfId="5" applyNumberFormat="1" applyFont="1" applyAlignment="1"/>
    <xf numFmtId="0" fontId="0" fillId="0" borderId="8" xfId="0" applyBorder="1"/>
    <xf numFmtId="0" fontId="0" fillId="0" borderId="8" xfId="0" applyBorder="1" applyAlignment="1">
      <alignment wrapText="1"/>
    </xf>
    <xf numFmtId="0" fontId="0" fillId="0" borderId="13" xfId="0" applyBorder="1"/>
    <xf numFmtId="0" fontId="0" fillId="0" borderId="9" xfId="0" applyBorder="1" applyAlignment="1">
      <alignment wrapText="1"/>
    </xf>
    <xf numFmtId="0" fontId="0" fillId="0" borderId="8" xfId="0" applyFill="1" applyBorder="1"/>
    <xf numFmtId="0" fontId="0" fillId="0" borderId="1" xfId="0" applyBorder="1"/>
    <xf numFmtId="0" fontId="0" fillId="0" borderId="2" xfId="0" applyBorder="1"/>
    <xf numFmtId="2" fontId="0" fillId="0" borderId="2" xfId="5" applyNumberFormat="1" applyFont="1" applyBorder="1"/>
    <xf numFmtId="0" fontId="0" fillId="0" borderId="15" xfId="0" applyBorder="1"/>
    <xf numFmtId="2" fontId="0" fillId="0" borderId="2" xfId="0" applyNumberFormat="1" applyBorder="1"/>
    <xf numFmtId="170" fontId="0" fillId="0" borderId="11" xfId="5" applyNumberFormat="1" applyFont="1" applyBorder="1"/>
    <xf numFmtId="170" fontId="0" fillId="0" borderId="15" xfId="5" applyNumberFormat="1" applyFont="1" applyBorder="1"/>
    <xf numFmtId="0" fontId="0" fillId="0" borderId="10" xfId="0" applyBorder="1"/>
    <xf numFmtId="0" fontId="0" fillId="0" borderId="3" xfId="0" applyBorder="1"/>
    <xf numFmtId="2" fontId="0" fillId="0" borderId="0" xfId="5" applyNumberFormat="1" applyFont="1" applyBorder="1"/>
    <xf numFmtId="0" fontId="0" fillId="0" borderId="4" xfId="0" applyBorder="1"/>
    <xf numFmtId="2" fontId="0" fillId="0" borderId="0" xfId="0" applyNumberFormat="1" applyBorder="1"/>
    <xf numFmtId="170" fontId="0" fillId="0" borderId="10" xfId="5" applyNumberFormat="1" applyFont="1" applyBorder="1"/>
    <xf numFmtId="170" fontId="0" fillId="0" borderId="4" xfId="5" applyNumberFormat="1" applyFont="1" applyBorder="1"/>
    <xf numFmtId="0" fontId="0" fillId="0" borderId="6" xfId="0" applyBorder="1"/>
    <xf numFmtId="170" fontId="0" fillId="0" borderId="7" xfId="5" applyNumberFormat="1" applyFont="1" applyBorder="1"/>
    <xf numFmtId="0" fontId="0" fillId="0" borderId="12" xfId="0" applyBorder="1"/>
    <xf numFmtId="0" fontId="0" fillId="0" borderId="5" xfId="0" applyBorder="1"/>
    <xf numFmtId="2" fontId="0" fillId="0" borderId="6" xfId="5" applyNumberFormat="1" applyFont="1" applyBorder="1"/>
    <xf numFmtId="0" fontId="0" fillId="0" borderId="7" xfId="0" applyBorder="1"/>
    <xf numFmtId="2" fontId="0" fillId="0" borderId="6" xfId="0" applyNumberFormat="1" applyBorder="1"/>
    <xf numFmtId="170" fontId="39" fillId="0" borderId="0" xfId="0" applyNumberFormat="1" applyFont="1" applyAlignment="1"/>
    <xf numFmtId="170" fontId="1" fillId="2" borderId="0" xfId="5" applyNumberFormat="1" applyFont="1" applyFill="1" applyAlignment="1"/>
    <xf numFmtId="170" fontId="1" fillId="0" borderId="0" xfId="5" applyNumberFormat="1" applyFont="1" applyAlignment="1"/>
    <xf numFmtId="174" fontId="1" fillId="0" borderId="0" xfId="4" applyNumberFormat="1" applyFont="1" applyAlignment="1"/>
    <xf numFmtId="0" fontId="1" fillId="0" borderId="0" xfId="0" applyFont="1"/>
    <xf numFmtId="170" fontId="1" fillId="0" borderId="0" xfId="0" applyNumberFormat="1" applyFont="1" applyAlignment="1"/>
    <xf numFmtId="0" fontId="4" fillId="0" borderId="12" xfId="0" applyFont="1" applyBorder="1"/>
    <xf numFmtId="0" fontId="4" fillId="0" borderId="7" xfId="0" applyFont="1" applyBorder="1"/>
    <xf numFmtId="0" fontId="4" fillId="0" borderId="14" xfId="0" applyFont="1" applyBorder="1"/>
    <xf numFmtId="0" fontId="4" fillId="0" borderId="13" xfId="0" applyFont="1" applyBorder="1"/>
    <xf numFmtId="4" fontId="4" fillId="9" borderId="13" xfId="0" applyNumberFormat="1" applyFont="1" applyFill="1" applyBorder="1"/>
    <xf numFmtId="4" fontId="4" fillId="9" borderId="9" xfId="0" applyNumberFormat="1" applyFont="1" applyFill="1" applyBorder="1"/>
    <xf numFmtId="0" fontId="3" fillId="0" borderId="3" xfId="0" applyFont="1" applyBorder="1"/>
    <xf numFmtId="0" fontId="4" fillId="0" borderId="14" xfId="0" applyFont="1" applyFill="1" applyBorder="1"/>
    <xf numFmtId="0" fontId="2" fillId="0" borderId="13" xfId="0" applyFont="1" applyBorder="1"/>
    <xf numFmtId="4" fontId="4" fillId="0" borderId="9" xfId="0" applyNumberFormat="1" applyFont="1" applyBorder="1"/>
    <xf numFmtId="0" fontId="8" fillId="0" borderId="0" xfId="0" applyFont="1" applyAlignment="1"/>
    <xf numFmtId="0" fontId="0" fillId="0" borderId="0" xfId="0" applyAlignment="1"/>
    <xf numFmtId="0" fontId="9"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3" xfId="2" applyBorder="1" applyAlignment="1">
      <alignment horizontal="center"/>
    </xf>
    <xf numFmtId="0" fontId="1" fillId="0" borderId="0" xfId="2" applyBorder="1" applyAlignment="1">
      <alignment horizontal="center"/>
    </xf>
    <xf numFmtId="0" fontId="1" fillId="0" borderId="4" xfId="2" applyBorder="1" applyAlignment="1">
      <alignment horizontal="center"/>
    </xf>
    <xf numFmtId="0" fontId="1" fillId="0" borderId="3" xfId="2" applyFill="1" applyBorder="1" applyAlignment="1">
      <alignment horizontal="left"/>
    </xf>
    <xf numFmtId="0" fontId="1" fillId="0" borderId="0" xfId="2" applyFill="1" applyBorder="1" applyAlignment="1">
      <alignment horizontal="left"/>
    </xf>
    <xf numFmtId="0" fontId="1" fillId="0" borderId="4" xfId="2" applyFill="1" applyBorder="1" applyAlignment="1">
      <alignment horizontal="left"/>
    </xf>
    <xf numFmtId="0" fontId="1" fillId="0" borderId="5" xfId="2" applyFill="1" applyBorder="1" applyAlignment="1">
      <alignment horizontal="center"/>
    </xf>
    <xf numFmtId="0" fontId="1" fillId="0" borderId="6" xfId="2" applyFill="1" applyBorder="1" applyAlignment="1">
      <alignment horizontal="center"/>
    </xf>
    <xf numFmtId="0" fontId="1" fillId="0" borderId="7" xfId="2" applyFill="1" applyBorder="1" applyAlignment="1">
      <alignment horizontal="center"/>
    </xf>
    <xf numFmtId="0" fontId="1" fillId="0" borderId="3" xfId="2" applyBorder="1" applyAlignment="1">
      <alignment horizontal="left"/>
    </xf>
    <xf numFmtId="0" fontId="1" fillId="0" borderId="0" xfId="2" applyBorder="1" applyAlignment="1">
      <alignment horizontal="left"/>
    </xf>
    <xf numFmtId="0" fontId="10" fillId="0" borderId="1" xfId="2" applyFont="1" applyBorder="1" applyAlignment="1">
      <alignment horizontal="left"/>
    </xf>
    <xf numFmtId="0" fontId="10" fillId="0" borderId="2" xfId="2" applyFont="1" applyBorder="1" applyAlignment="1">
      <alignment horizontal="left"/>
    </xf>
    <xf numFmtId="0" fontId="10" fillId="0" borderId="15" xfId="2" applyFont="1" applyBorder="1" applyAlignment="1">
      <alignment horizontal="left"/>
    </xf>
    <xf numFmtId="0" fontId="1" fillId="0" borderId="1" xfId="2" applyBorder="1" applyAlignment="1">
      <alignment horizontal="left"/>
    </xf>
    <xf numFmtId="0" fontId="1" fillId="0" borderId="2" xfId="2" applyBorder="1" applyAlignment="1">
      <alignment horizontal="left"/>
    </xf>
    <xf numFmtId="10" fontId="8" fillId="0" borderId="0" xfId="1" applyNumberFormat="1" applyFont="1" applyBorder="1" applyAlignment="1">
      <alignment horizontal="center"/>
    </xf>
    <xf numFmtId="0" fontId="5" fillId="0" borderId="0" xfId="2" applyFont="1" applyAlignment="1">
      <alignment horizontal="left"/>
    </xf>
    <xf numFmtId="171" fontId="4" fillId="0" borderId="0" xfId="2" applyNumberFormat="1" applyFont="1" applyAlignment="1">
      <alignment horizontal="center" vertical="center"/>
    </xf>
    <xf numFmtId="0" fontId="16" fillId="0" borderId="0" xfId="2" applyFont="1" applyAlignment="1">
      <alignment horizontal="center" vertical="center"/>
    </xf>
    <xf numFmtId="0" fontId="18" fillId="0" borderId="0" xfId="2" applyFont="1" applyAlignment="1">
      <alignment horizontal="center"/>
    </xf>
    <xf numFmtId="0" fontId="2" fillId="0" borderId="0" xfId="2" applyFont="1" applyAlignment="1">
      <alignment horizontal="left"/>
    </xf>
    <xf numFmtId="0" fontId="5" fillId="0" borderId="0" xfId="2" applyFont="1" applyBorder="1" applyAlignment="1">
      <alignment horizontal="left"/>
    </xf>
    <xf numFmtId="169" fontId="2" fillId="0" borderId="0" xfId="2" applyNumberFormat="1" applyFont="1" applyAlignment="1">
      <alignment horizontal="right"/>
    </xf>
    <xf numFmtId="172" fontId="5" fillId="0" borderId="0" xfId="2" applyNumberFormat="1" applyFont="1" applyAlignment="1">
      <alignment horizontal="left"/>
    </xf>
    <xf numFmtId="0" fontId="5" fillId="0" borderId="0" xfId="2" applyFont="1" applyAlignment="1" applyProtection="1">
      <alignment horizontal="left" vertical="center"/>
      <protection locked="0"/>
    </xf>
    <xf numFmtId="170" fontId="4" fillId="0" borderId="0" xfId="3" applyNumberFormat="1" applyFont="1" applyAlignment="1">
      <alignment horizontal="right" vertical="center"/>
    </xf>
    <xf numFmtId="0" fontId="16" fillId="0" borderId="0" xfId="2" applyFont="1" applyAlignment="1" applyProtection="1">
      <alignment horizontal="center" vertical="center"/>
      <protection locked="0"/>
    </xf>
    <xf numFmtId="0" fontId="4" fillId="0" borderId="6" xfId="2" applyFont="1" applyBorder="1" applyAlignment="1">
      <alignment vertical="center"/>
    </xf>
    <xf numFmtId="0" fontId="1" fillId="0" borderId="0" xfId="2" applyAlignment="1">
      <alignment vertical="center"/>
    </xf>
    <xf numFmtId="3" fontId="4" fillId="0" borderId="0" xfId="2" applyNumberFormat="1" applyFont="1" applyBorder="1" applyAlignment="1">
      <alignment horizontal="left" vertical="center"/>
    </xf>
    <xf numFmtId="0" fontId="18" fillId="0" borderId="2" xfId="2" applyFont="1" applyBorder="1" applyAlignment="1">
      <alignment horizontal="center"/>
    </xf>
    <xf numFmtId="0" fontId="5" fillId="0" borderId="0" xfId="2" applyFont="1" applyAlignment="1">
      <alignment horizontal="left" vertical="center"/>
    </xf>
    <xf numFmtId="0" fontId="4" fillId="0" borderId="0" xfId="2" applyFont="1" applyAlignment="1" applyProtection="1">
      <alignment vertical="center"/>
      <protection locked="0"/>
    </xf>
    <xf numFmtId="0" fontId="4" fillId="0" borderId="0" xfId="2" applyFont="1" applyAlignment="1">
      <alignment vertical="center"/>
    </xf>
    <xf numFmtId="0" fontId="4" fillId="0" borderId="0" xfId="2" applyFont="1" applyBorder="1" applyAlignment="1">
      <alignment horizontal="center" vertical="center"/>
    </xf>
    <xf numFmtId="0" fontId="18" fillId="0" borderId="0" xfId="2" applyFont="1" applyBorder="1" applyAlignment="1">
      <alignment horizontal="left" vertical="center"/>
    </xf>
    <xf numFmtId="169" fontId="2" fillId="0" borderId="0" xfId="2" applyNumberFormat="1" applyFont="1" applyBorder="1" applyAlignment="1">
      <alignment horizontal="center" vertical="center"/>
    </xf>
    <xf numFmtId="0" fontId="5" fillId="0" borderId="0" xfId="2" applyFont="1" applyAlignment="1">
      <alignment horizontal="left" vertical="top" wrapText="1"/>
    </xf>
    <xf numFmtId="0" fontId="3" fillId="0" borderId="0" xfId="2" applyFont="1" applyAlignment="1">
      <alignment horizontal="left" vertical="top" wrapText="1"/>
    </xf>
    <xf numFmtId="0" fontId="4" fillId="0" borderId="0" xfId="2" applyFont="1" applyAlignment="1" applyProtection="1">
      <alignment horizontal="right" vertical="center"/>
      <protection locked="0"/>
    </xf>
    <xf numFmtId="0" fontId="4" fillId="0" borderId="0" xfId="2" applyFont="1" applyAlignment="1">
      <alignment horizontal="right" vertical="center"/>
    </xf>
    <xf numFmtId="3" fontId="4" fillId="0" borderId="0" xfId="2" applyNumberFormat="1" applyFont="1" applyAlignment="1" applyProtection="1">
      <alignment vertical="center"/>
      <protection locked="0"/>
    </xf>
    <xf numFmtId="0" fontId="2" fillId="0" borderId="2" xfId="2" applyFont="1" applyBorder="1" applyAlignment="1">
      <alignment horizontal="center"/>
    </xf>
    <xf numFmtId="0" fontId="2" fillId="0" borderId="0" xfId="2" applyFont="1" applyAlignment="1">
      <alignment horizontal="left" vertical="top" wrapText="1"/>
    </xf>
    <xf numFmtId="3" fontId="1" fillId="0" borderId="0" xfId="2" applyNumberFormat="1" applyAlignment="1">
      <alignment horizontal="right" vertical="justify" wrapText="1" readingOrder="1"/>
    </xf>
    <xf numFmtId="0" fontId="1" fillId="0" borderId="0" xfId="2" applyAlignment="1">
      <alignment horizontal="right" vertical="justify" wrapText="1" readingOrder="1"/>
    </xf>
    <xf numFmtId="0" fontId="3" fillId="0" borderId="0" xfId="2" applyFont="1" applyAlignment="1">
      <alignment horizontal="right"/>
    </xf>
    <xf numFmtId="0" fontId="8" fillId="0" borderId="0" xfId="2" applyFont="1" applyAlignment="1">
      <alignment horizontal="right"/>
    </xf>
    <xf numFmtId="0" fontId="3" fillId="0" borderId="0" xfId="2" applyFont="1" applyAlignment="1">
      <alignment horizontal="left"/>
    </xf>
    <xf numFmtId="0" fontId="2" fillId="0" borderId="0" xfId="2" applyFont="1" applyBorder="1" applyAlignment="1">
      <alignment horizontal="right"/>
    </xf>
    <xf numFmtId="0" fontId="2" fillId="0" borderId="0" xfId="2" applyFont="1" applyAlignment="1">
      <alignment horizontal="center"/>
    </xf>
    <xf numFmtId="0" fontId="3" fillId="0" borderId="19"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23" xfId="2" applyFont="1" applyBorder="1" applyAlignment="1">
      <alignment horizontal="center" vertical="center" wrapText="1"/>
    </xf>
    <xf numFmtId="3" fontId="2" fillId="0" borderId="24" xfId="2" applyNumberFormat="1" applyFont="1" applyBorder="1" applyAlignment="1">
      <alignment horizontal="right"/>
    </xf>
    <xf numFmtId="170" fontId="2" fillId="0" borderId="24" xfId="3" applyNumberFormat="1" applyFont="1" applyBorder="1" applyAlignment="1">
      <alignment horizontal="center" wrapText="1"/>
    </xf>
    <xf numFmtId="170" fontId="2" fillId="0" borderId="21" xfId="3" applyNumberFormat="1" applyFont="1" applyBorder="1" applyAlignment="1">
      <alignment horizontal="center" wrapText="1"/>
    </xf>
    <xf numFmtId="170" fontId="2" fillId="0" borderId="22" xfId="3" applyNumberFormat="1" applyFont="1" applyBorder="1" applyAlignment="1">
      <alignment horizontal="center" wrapText="1"/>
    </xf>
    <xf numFmtId="170" fontId="2" fillId="0" borderId="23" xfId="3" applyNumberFormat="1" applyFont="1" applyBorder="1" applyAlignment="1">
      <alignment horizontal="center" wrapText="1"/>
    </xf>
    <xf numFmtId="3" fontId="2" fillId="0" borderId="24" xfId="2" applyNumberFormat="1" applyFont="1" applyBorder="1" applyAlignment="1">
      <alignment horizontal="right" wrapText="1"/>
    </xf>
    <xf numFmtId="170" fontId="2" fillId="0" borderId="21" xfId="3" applyNumberFormat="1" applyFont="1" applyBorder="1" applyAlignment="1">
      <alignment horizontal="right" wrapText="1"/>
    </xf>
    <xf numFmtId="170" fontId="2" fillId="0" borderId="22" xfId="3" applyNumberFormat="1" applyFont="1" applyBorder="1" applyAlignment="1">
      <alignment horizontal="right" wrapText="1"/>
    </xf>
    <xf numFmtId="170" fontId="2" fillId="0" borderId="23" xfId="3" applyNumberFormat="1" applyFont="1" applyBorder="1" applyAlignment="1">
      <alignment horizontal="right" wrapText="1"/>
    </xf>
    <xf numFmtId="0" fontId="8" fillId="0" borderId="0" xfId="2" applyFont="1" applyAlignment="1">
      <alignment horizontal="left" vertical="top" wrapText="1"/>
    </xf>
    <xf numFmtId="0" fontId="22" fillId="0" borderId="18" xfId="2" applyFont="1" applyBorder="1" applyAlignment="1">
      <alignment horizontal="right"/>
    </xf>
    <xf numFmtId="0" fontId="22" fillId="0" borderId="19" xfId="2" applyFont="1" applyBorder="1" applyAlignment="1">
      <alignment horizontal="right"/>
    </xf>
    <xf numFmtId="0" fontId="22" fillId="0" borderId="21" xfId="2" applyFont="1" applyBorder="1" applyAlignment="1">
      <alignment horizontal="right"/>
    </xf>
    <xf numFmtId="0" fontId="22" fillId="0" borderId="22" xfId="2" applyFont="1" applyBorder="1" applyAlignment="1">
      <alignment horizontal="right"/>
    </xf>
    <xf numFmtId="0" fontId="1" fillId="0" borderId="3" xfId="2" applyFill="1" applyBorder="1" applyAlignment="1">
      <alignment horizontal="center"/>
    </xf>
    <xf numFmtId="0" fontId="1" fillId="0" borderId="0" xfId="2" applyFill="1" applyBorder="1" applyAlignment="1">
      <alignment horizontal="center"/>
    </xf>
    <xf numFmtId="0" fontId="1" fillId="0" borderId="4" xfId="2" applyFill="1" applyBorder="1" applyAlignment="1">
      <alignment horizontal="center"/>
    </xf>
    <xf numFmtId="0" fontId="1" fillId="0" borderId="3" xfId="2" applyBorder="1" applyAlignment="1"/>
    <xf numFmtId="0" fontId="1" fillId="0" borderId="0" xfId="2" applyBorder="1" applyAlignment="1"/>
    <xf numFmtId="169" fontId="2" fillId="0" borderId="0" xfId="1" applyNumberFormat="1" applyFont="1" applyBorder="1" applyAlignment="1">
      <alignment horizontal="right"/>
    </xf>
    <xf numFmtId="10" fontId="2" fillId="0" borderId="0" xfId="1" applyNumberFormat="1" applyFont="1" applyBorder="1" applyAlignment="1">
      <alignment horizontal="left"/>
    </xf>
    <xf numFmtId="49" fontId="29" fillId="0" borderId="0" xfId="2" applyNumberFormat="1" applyFont="1" applyAlignment="1">
      <alignment horizontal="left" vertical="top"/>
    </xf>
    <xf numFmtId="0" fontId="27" fillId="0" borderId="0" xfId="2" applyFont="1" applyAlignment="1">
      <alignment horizontal="center" vertical="top"/>
    </xf>
    <xf numFmtId="0" fontId="2" fillId="0" borderId="0" xfId="2" applyFont="1" applyAlignment="1" applyProtection="1">
      <alignment horizontal="left" vertical="center"/>
      <protection locked="0"/>
    </xf>
    <xf numFmtId="0" fontId="4" fillId="0" borderId="0" xfId="2" applyFont="1" applyAlignment="1">
      <alignment horizontal="center" vertical="center"/>
    </xf>
    <xf numFmtId="3" fontId="4" fillId="0" borderId="0" xfId="2" applyNumberFormat="1" applyFont="1" applyAlignment="1">
      <alignment horizontal="center" vertical="center"/>
    </xf>
    <xf numFmtId="0" fontId="18" fillId="0" borderId="0" xfId="2" applyFont="1" applyAlignment="1">
      <alignment horizontal="center" vertical="center"/>
    </xf>
    <xf numFmtId="0" fontId="28" fillId="0" borderId="0" xfId="2" applyFont="1" applyAlignment="1">
      <alignment horizontal="center" vertical="center"/>
    </xf>
    <xf numFmtId="0" fontId="17" fillId="0" borderId="0" xfId="2" applyFont="1" applyAlignment="1">
      <alignment horizontal="left" vertical="top"/>
    </xf>
    <xf numFmtId="0" fontId="5" fillId="0" borderId="0" xfId="2" applyFont="1" applyAlignment="1">
      <alignment horizontal="left" vertical="center" wrapText="1"/>
    </xf>
    <xf numFmtId="3" fontId="5" fillId="0" borderId="0" xfId="3" applyNumberFormat="1" applyFont="1" applyAlignment="1">
      <alignment horizontal="center" vertical="center" wrapText="1"/>
    </xf>
    <xf numFmtId="0" fontId="4" fillId="0" borderId="0" xfId="2" applyFont="1" applyAlignment="1">
      <alignment horizontal="left" vertical="center" wrapText="1"/>
    </xf>
    <xf numFmtId="3" fontId="5" fillId="0" borderId="0" xfId="2" applyNumberFormat="1" applyFont="1" applyAlignment="1">
      <alignment horizontal="center" vertical="center" wrapText="1"/>
    </xf>
    <xf numFmtId="0" fontId="5" fillId="0" borderId="0" xfId="2" applyFont="1" applyAlignment="1">
      <alignment horizontal="center" vertical="center" wrapText="1"/>
    </xf>
    <xf numFmtId="0" fontId="28" fillId="0" borderId="0" xfId="2" applyFont="1" applyAlignment="1">
      <alignment horizontal="center"/>
    </xf>
    <xf numFmtId="0" fontId="2" fillId="8" borderId="0" xfId="2" applyFont="1" applyFill="1" applyAlignment="1">
      <alignment horizontal="left" vertical="top" wrapText="1"/>
    </xf>
    <xf numFmtId="0" fontId="1" fillId="8" borderId="0" xfId="2" applyFill="1" applyAlignment="1">
      <alignment horizontal="left" vertical="top" wrapText="1"/>
    </xf>
    <xf numFmtId="0" fontId="18" fillId="0" borderId="6" xfId="2" applyFont="1" applyBorder="1" applyAlignment="1">
      <alignment horizontal="center"/>
    </xf>
    <xf numFmtId="0" fontId="1" fillId="0" borderId="6" xfId="2" applyBorder="1" applyAlignment="1">
      <alignment horizontal="center"/>
    </xf>
    <xf numFmtId="0" fontId="1" fillId="0" borderId="0" xfId="2" applyAlignment="1">
      <alignment horizontal="center"/>
    </xf>
    <xf numFmtId="170" fontId="0" fillId="2" borderId="0" xfId="3" applyNumberFormat="1" applyFont="1" applyFill="1" applyAlignment="1">
      <alignment horizontal="center"/>
    </xf>
    <xf numFmtId="9" fontId="11" fillId="2" borderId="0" xfId="2" applyNumberFormat="1" applyFont="1" applyFill="1" applyAlignment="1"/>
    <xf numFmtId="0" fontId="1" fillId="0" borderId="0" xfId="2" applyAlignment="1"/>
    <xf numFmtId="170" fontId="0" fillId="2" borderId="0" xfId="3" applyNumberFormat="1" applyFont="1" applyFill="1" applyAlignment="1"/>
    <xf numFmtId="170" fontId="0" fillId="0" borderId="46" xfId="3" applyNumberFormat="1" applyFont="1" applyBorder="1" applyAlignment="1">
      <alignment horizontal="center"/>
    </xf>
    <xf numFmtId="170" fontId="0" fillId="0" borderId="47" xfId="3" applyNumberFormat="1" applyFont="1" applyBorder="1" applyAlignment="1">
      <alignment horizontal="center"/>
    </xf>
    <xf numFmtId="0" fontId="19" fillId="0" borderId="0" xfId="2" applyFont="1" applyAlignment="1">
      <alignment horizontal="center"/>
    </xf>
    <xf numFmtId="170" fontId="0" fillId="0" borderId="18" xfId="3" applyNumberFormat="1" applyFont="1" applyBorder="1" applyAlignment="1">
      <alignment horizontal="center"/>
    </xf>
    <xf numFmtId="170" fontId="0" fillId="0" borderId="20" xfId="3" applyNumberFormat="1" applyFont="1" applyBorder="1" applyAlignment="1">
      <alignment horizontal="center"/>
    </xf>
    <xf numFmtId="170" fontId="0" fillId="2" borderId="46" xfId="3" applyNumberFormat="1" applyFont="1" applyFill="1" applyBorder="1" applyAlignment="1">
      <alignment horizontal="center"/>
    </xf>
    <xf numFmtId="170" fontId="0" fillId="2" borderId="47" xfId="3" applyNumberFormat="1" applyFont="1" applyFill="1" applyBorder="1" applyAlignment="1">
      <alignment horizontal="center"/>
    </xf>
    <xf numFmtId="170" fontId="0" fillId="0" borderId="51" xfId="3" applyNumberFormat="1" applyFont="1" applyBorder="1" applyAlignment="1">
      <alignment horizontal="center"/>
    </xf>
    <xf numFmtId="170" fontId="0" fillId="0" borderId="52" xfId="3" applyNumberFormat="1" applyFont="1" applyBorder="1" applyAlignment="1">
      <alignment horizontal="center"/>
    </xf>
    <xf numFmtId="0" fontId="11" fillId="0" borderId="0" xfId="2" applyFont="1" applyAlignment="1"/>
    <xf numFmtId="0" fontId="1" fillId="0" borderId="6" xfId="2" applyBorder="1" applyAlignment="1"/>
    <xf numFmtId="0" fontId="2" fillId="0" borderId="0" xfId="2" applyFont="1" applyAlignment="1"/>
    <xf numFmtId="0" fontId="0" fillId="0" borderId="0" xfId="0" applyAlignment="1">
      <alignment horizontal="center"/>
    </xf>
    <xf numFmtId="170" fontId="0" fillId="0" borderId="0" xfId="0" applyNumberFormat="1" applyAlignment="1">
      <alignment horizontal="center"/>
    </xf>
    <xf numFmtId="0" fontId="39" fillId="0" borderId="0" xfId="0" applyFont="1" applyAlignment="1">
      <alignment horizontal="center"/>
    </xf>
    <xf numFmtId="2" fontId="0" fillId="0" borderId="0" xfId="0" applyNumberFormat="1" applyAlignment="1">
      <alignment horizontal="right"/>
    </xf>
    <xf numFmtId="170" fontId="3" fillId="0" borderId="0" xfId="5" applyNumberFormat="1" applyFont="1" applyFill="1" applyBorder="1" applyAlignment="1">
      <alignment horizontal="center"/>
    </xf>
    <xf numFmtId="167" fontId="0" fillId="0" borderId="0" xfId="0" applyNumberFormat="1" applyFill="1" applyBorder="1" applyAlignment="1">
      <alignment horizontal="center"/>
    </xf>
    <xf numFmtId="0" fontId="0" fillId="0" borderId="0" xfId="0" applyFill="1" applyBorder="1" applyAlignment="1">
      <alignment horizontal="center"/>
    </xf>
    <xf numFmtId="170" fontId="0" fillId="0" borderId="0" xfId="0" applyNumberFormat="1" applyFill="1" applyBorder="1" applyAlignment="1">
      <alignment horizontal="center"/>
    </xf>
    <xf numFmtId="167" fontId="3" fillId="0" borderId="0" xfId="5" applyFont="1" applyFill="1" applyBorder="1" applyAlignment="1">
      <alignment horizontal="center"/>
    </xf>
    <xf numFmtId="170" fontId="0" fillId="0" borderId="11" xfId="5" applyNumberFormat="1" applyFont="1" applyBorder="1" applyAlignment="1">
      <alignment horizontal="center"/>
    </xf>
    <xf numFmtId="170" fontId="0" fillId="0" borderId="12" xfId="5"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7" fontId="3" fillId="7" borderId="11" xfId="5" applyFont="1" applyFill="1" applyBorder="1" applyAlignment="1">
      <alignment horizontal="center"/>
    </xf>
    <xf numFmtId="167" fontId="3" fillId="7" borderId="12" xfId="5" applyFont="1" applyFill="1" applyBorder="1" applyAlignment="1">
      <alignment horizontal="center"/>
    </xf>
    <xf numFmtId="170" fontId="3" fillId="7" borderId="2" xfId="5" applyNumberFormat="1" applyFont="1" applyFill="1" applyBorder="1" applyAlignment="1">
      <alignment horizontal="center"/>
    </xf>
    <xf numFmtId="170" fontId="3" fillId="7" borderId="6" xfId="5" applyNumberFormat="1" applyFont="1" applyFill="1" applyBorder="1" applyAlignment="1">
      <alignment horizontal="center"/>
    </xf>
    <xf numFmtId="170" fontId="3" fillId="0" borderId="11" xfId="5" applyNumberFormat="1" applyFont="1" applyBorder="1" applyAlignment="1">
      <alignment horizontal="center"/>
    </xf>
    <xf numFmtId="170" fontId="3" fillId="0" borderId="12" xfId="5" applyNumberFormat="1" applyFont="1" applyBorder="1" applyAlignment="1">
      <alignment horizontal="center"/>
    </xf>
    <xf numFmtId="167" fontId="3" fillId="0" borderId="11" xfId="5" applyFont="1" applyFill="1" applyBorder="1" applyAlignment="1">
      <alignment horizontal="center"/>
    </xf>
    <xf numFmtId="167" fontId="3" fillId="0" borderId="12" xfId="5" applyFont="1" applyFill="1" applyBorder="1" applyAlignment="1">
      <alignment horizontal="center"/>
    </xf>
    <xf numFmtId="170" fontId="3" fillId="0" borderId="2" xfId="5" applyNumberFormat="1" applyFont="1" applyBorder="1" applyAlignment="1">
      <alignment horizontal="center"/>
    </xf>
    <xf numFmtId="170" fontId="3" fillId="0" borderId="6" xfId="5" applyNumberFormat="1" applyFont="1" applyBorder="1" applyAlignment="1">
      <alignment horizontal="center"/>
    </xf>
    <xf numFmtId="170" fontId="3" fillId="0" borderId="11" xfId="5" applyNumberFormat="1" applyFont="1" applyFill="1" applyBorder="1" applyAlignment="1">
      <alignment horizontal="center"/>
    </xf>
    <xf numFmtId="170" fontId="3" fillId="0" borderId="12" xfId="5" applyNumberFormat="1" applyFont="1" applyFill="1" applyBorder="1" applyAlignment="1">
      <alignment horizontal="center"/>
    </xf>
    <xf numFmtId="170" fontId="3" fillId="0" borderId="57" xfId="5" applyNumberFormat="1" applyFont="1" applyFill="1" applyBorder="1" applyAlignment="1">
      <alignment horizontal="center"/>
    </xf>
    <xf numFmtId="170" fontId="3" fillId="0" borderId="15" xfId="5" applyNumberFormat="1" applyFont="1" applyBorder="1" applyAlignment="1">
      <alignment horizontal="center"/>
    </xf>
    <xf numFmtId="170" fontId="3" fillId="0" borderId="7" xfId="5" applyNumberFormat="1" applyFont="1" applyBorder="1" applyAlignment="1">
      <alignment horizontal="center"/>
    </xf>
    <xf numFmtId="167" fontId="0" fillId="0" borderId="10" xfId="0" applyNumberFormat="1" applyBorder="1" applyAlignment="1">
      <alignment horizontal="center"/>
    </xf>
    <xf numFmtId="170" fontId="0" fillId="0" borderId="10" xfId="0" applyNumberFormat="1" applyBorder="1" applyAlignment="1">
      <alignment horizontal="center"/>
    </xf>
    <xf numFmtId="170" fontId="0" fillId="0" borderId="11" xfId="0" applyNumberFormat="1" applyBorder="1" applyAlignment="1">
      <alignment horizontal="center"/>
    </xf>
    <xf numFmtId="170" fontId="0" fillId="0" borderId="12" xfId="0" applyNumberFormat="1" applyBorder="1" applyAlignment="1">
      <alignment horizontal="center"/>
    </xf>
    <xf numFmtId="170" fontId="0" fillId="0" borderId="7" xfId="5" applyNumberFormat="1" applyFont="1" applyBorder="1" applyAlignment="1">
      <alignment horizontal="center"/>
    </xf>
    <xf numFmtId="167" fontId="0" fillId="0" borderId="11" xfId="0" applyNumberFormat="1" applyBorder="1" applyAlignment="1">
      <alignment horizontal="center"/>
    </xf>
    <xf numFmtId="167" fontId="3" fillId="0" borderId="57" xfId="5" applyFont="1" applyFill="1" applyBorder="1" applyAlignment="1">
      <alignment horizontal="center"/>
    </xf>
    <xf numFmtId="167" fontId="3" fillId="7" borderId="57" xfId="5" applyFont="1" applyFill="1" applyBorder="1" applyAlignment="1">
      <alignment horizontal="center"/>
    </xf>
    <xf numFmtId="170" fontId="3" fillId="7" borderId="49" xfId="5" applyNumberFormat="1" applyFont="1" applyFill="1" applyBorder="1" applyAlignment="1">
      <alignment horizontal="center"/>
    </xf>
    <xf numFmtId="170" fontId="3" fillId="0" borderId="57" xfId="5" applyNumberFormat="1" applyFont="1" applyBorder="1" applyAlignment="1">
      <alignment horizontal="center"/>
    </xf>
    <xf numFmtId="170" fontId="3" fillId="0" borderId="49" xfId="5" applyNumberFormat="1" applyFont="1" applyBorder="1" applyAlignment="1">
      <alignment horizontal="center"/>
    </xf>
    <xf numFmtId="170" fontId="3" fillId="0" borderId="50" xfId="5" applyNumberFormat="1" applyFont="1" applyBorder="1" applyAlignment="1">
      <alignment horizontal="center"/>
    </xf>
    <xf numFmtId="170" fontId="3" fillId="0" borderId="10" xfId="5" applyNumberFormat="1" applyFont="1" applyBorder="1" applyAlignment="1">
      <alignment horizontal="center"/>
    </xf>
    <xf numFmtId="170" fontId="3" fillId="0" borderId="0" xfId="5" applyNumberFormat="1" applyFont="1" applyBorder="1" applyAlignment="1">
      <alignment horizontal="center"/>
    </xf>
    <xf numFmtId="170" fontId="3" fillId="7" borderId="10" xfId="5" applyNumberFormat="1" applyFont="1" applyFill="1" applyBorder="1" applyAlignment="1">
      <alignment horizontal="center"/>
    </xf>
    <xf numFmtId="170" fontId="3" fillId="7" borderId="57" xfId="5" applyNumberFormat="1" applyFont="1" applyFill="1" applyBorder="1" applyAlignment="1">
      <alignment horizontal="center"/>
    </xf>
    <xf numFmtId="170" fontId="3" fillId="0" borderId="4" xfId="5" applyNumberFormat="1" applyFont="1" applyBorder="1" applyAlignment="1">
      <alignment horizontal="center"/>
    </xf>
    <xf numFmtId="167" fontId="3" fillId="7" borderId="10" xfId="5" applyFont="1" applyFill="1" applyBorder="1" applyAlignment="1">
      <alignment horizontal="center"/>
    </xf>
    <xf numFmtId="170" fontId="3" fillId="7" borderId="0" xfId="5" applyNumberFormat="1" applyFont="1" applyFill="1" applyBorder="1" applyAlignment="1">
      <alignment horizontal="center"/>
    </xf>
    <xf numFmtId="167" fontId="3" fillId="3" borderId="11" xfId="5" applyFont="1" applyFill="1" applyBorder="1" applyAlignment="1">
      <alignment horizontal="center"/>
    </xf>
    <xf numFmtId="167" fontId="3" fillId="3" borderId="12" xfId="5" applyFont="1" applyFill="1" applyBorder="1" applyAlignment="1">
      <alignment horizontal="center"/>
    </xf>
    <xf numFmtId="170" fontId="3" fillId="3" borderId="2" xfId="5" applyNumberFormat="1" applyFont="1" applyFill="1" applyBorder="1" applyAlignment="1">
      <alignment horizontal="center"/>
    </xf>
    <xf numFmtId="170" fontId="3" fillId="3" borderId="6" xfId="5" applyNumberFormat="1" applyFont="1" applyFill="1" applyBorder="1" applyAlignment="1">
      <alignment horizontal="center"/>
    </xf>
    <xf numFmtId="167" fontId="3" fillId="3" borderId="57" xfId="5" applyFont="1" applyFill="1" applyBorder="1" applyAlignment="1">
      <alignment horizontal="center"/>
    </xf>
    <xf numFmtId="170" fontId="3" fillId="3" borderId="49" xfId="5" applyNumberFormat="1" applyFont="1" applyFill="1" applyBorder="1" applyAlignment="1">
      <alignment horizontal="center"/>
    </xf>
    <xf numFmtId="170" fontId="3" fillId="3" borderId="11" xfId="5" applyNumberFormat="1" applyFont="1" applyFill="1" applyBorder="1" applyAlignment="1">
      <alignment horizontal="center"/>
    </xf>
    <xf numFmtId="170" fontId="3" fillId="3" borderId="57" xfId="5" applyNumberFormat="1" applyFont="1" applyFill="1" applyBorder="1" applyAlignment="1">
      <alignment horizontal="center"/>
    </xf>
    <xf numFmtId="167" fontId="3" fillId="3" borderId="10" xfId="5" applyFont="1" applyFill="1" applyBorder="1" applyAlignment="1">
      <alignment horizontal="center"/>
    </xf>
    <xf numFmtId="170" fontId="3" fillId="3" borderId="0" xfId="5" applyNumberFormat="1" applyFont="1" applyFill="1" applyBorder="1" applyAlignment="1">
      <alignment horizontal="center"/>
    </xf>
    <xf numFmtId="167" fontId="3" fillId="4" borderId="11" xfId="5" applyFont="1" applyFill="1" applyBorder="1" applyAlignment="1">
      <alignment horizontal="center"/>
    </xf>
    <xf numFmtId="167" fontId="3" fillId="4" borderId="12" xfId="5" applyFont="1" applyFill="1" applyBorder="1" applyAlignment="1">
      <alignment horizontal="center"/>
    </xf>
    <xf numFmtId="170" fontId="3" fillId="4" borderId="2" xfId="5" applyNumberFormat="1" applyFont="1" applyFill="1" applyBorder="1" applyAlignment="1">
      <alignment horizontal="center"/>
    </xf>
    <xf numFmtId="170" fontId="3" fillId="4" borderId="6" xfId="5" applyNumberFormat="1" applyFont="1" applyFill="1" applyBorder="1" applyAlignment="1">
      <alignment horizontal="center"/>
    </xf>
    <xf numFmtId="167" fontId="3" fillId="4" borderId="57" xfId="5" applyFont="1" applyFill="1" applyBorder="1" applyAlignment="1">
      <alignment horizontal="center"/>
    </xf>
    <xf numFmtId="170" fontId="3" fillId="4" borderId="49" xfId="5" applyNumberFormat="1" applyFont="1" applyFill="1" applyBorder="1" applyAlignment="1">
      <alignment horizontal="center"/>
    </xf>
    <xf numFmtId="170" fontId="3" fillId="4" borderId="11" xfId="5" applyNumberFormat="1" applyFont="1" applyFill="1" applyBorder="1" applyAlignment="1">
      <alignment horizontal="center"/>
    </xf>
    <xf numFmtId="170" fontId="3" fillId="4" borderId="57" xfId="5" applyNumberFormat="1" applyFont="1" applyFill="1" applyBorder="1" applyAlignment="1">
      <alignment horizontal="center"/>
    </xf>
    <xf numFmtId="167" fontId="3" fillId="4" borderId="10" xfId="5" applyFont="1" applyFill="1" applyBorder="1" applyAlignment="1">
      <alignment horizontal="center"/>
    </xf>
    <xf numFmtId="170" fontId="3" fillId="4" borderId="0" xfId="5" applyNumberFormat="1" applyFont="1" applyFill="1" applyBorder="1" applyAlignment="1">
      <alignment horizontal="center"/>
    </xf>
  </cellXfs>
  <cellStyles count="6">
    <cellStyle name="1000-sep (2 dec)" xfId="4" builtinId="3"/>
    <cellStyle name="1000-sep (2 dec) 2" xfId="5"/>
    <cellStyle name="Komma 2" xfId="3"/>
    <cellStyle name="Normal" xfId="0" builtinId="0"/>
    <cellStyle name="Normal 2" xfId="2"/>
    <cellStyle name="Pro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bejde/Roskilde%20Handelsskole/BLM/Filer/Effektiv%20ren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ffektiv rente annuitetslån"/>
      <sheetName val="note annuitetslån"/>
      <sheetName val="Effektiv rente serielån"/>
      <sheetName val="note serielån"/>
      <sheetName val="Effektiv rente stående lån"/>
      <sheetName val="note stående lån"/>
      <sheetName val="Sammenligning"/>
      <sheetName val="Effektiv rente kassekredit"/>
      <sheetName val="Betalingsbetingelser"/>
    </sheetNames>
    <sheetDataSet>
      <sheetData sheetId="0"/>
      <sheetData sheetId="1"/>
      <sheetData sheetId="2"/>
      <sheetData sheetId="3"/>
      <sheetData sheetId="4"/>
      <sheetData sheetId="5"/>
      <sheetData sheetId="6"/>
      <sheetData sheetId="7">
        <row r="2">
          <cell r="B2">
            <v>1000000</v>
          </cell>
        </row>
        <row r="4">
          <cell r="B4">
            <v>0.7</v>
          </cell>
        </row>
        <row r="17">
          <cell r="E17">
            <v>0.11927763431903338</v>
          </cell>
        </row>
      </sheetData>
      <sheetData sheetId="8"/>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tabSelected="1" zoomScale="90" zoomScaleNormal="90" workbookViewId="0">
      <selection sqref="A1:C1"/>
    </sheetView>
  </sheetViews>
  <sheetFormatPr defaultRowHeight="12.75"/>
  <cols>
    <col min="1" max="1" width="9.28515625" customWidth="1"/>
    <col min="2" max="2" width="16.140625" customWidth="1"/>
    <col min="3" max="3" width="20.7109375" customWidth="1"/>
    <col min="4" max="4" width="28.28515625" customWidth="1"/>
    <col min="5" max="5" width="27.7109375" customWidth="1"/>
    <col min="6" max="6" width="28.28515625" customWidth="1"/>
    <col min="7" max="7" width="24.7109375" hidden="1" customWidth="1"/>
    <col min="8" max="8" width="24.85546875" customWidth="1"/>
    <col min="9" max="9" width="24.140625" customWidth="1"/>
  </cols>
  <sheetData>
    <row r="1" spans="1:11" ht="18">
      <c r="A1" s="392" t="s">
        <v>31</v>
      </c>
      <c r="B1" s="393"/>
      <c r="C1" s="393"/>
    </row>
    <row r="2" spans="1:11" ht="18">
      <c r="A2" s="50"/>
    </row>
    <row r="3" spans="1:11" ht="15.75">
      <c r="A3" s="17" t="s">
        <v>18</v>
      </c>
      <c r="B3" s="18">
        <v>6</v>
      </c>
    </row>
    <row r="4" spans="1:11" ht="16.5" thickBot="1">
      <c r="A4" s="17" t="s">
        <v>19</v>
      </c>
      <c r="B4" s="19">
        <v>0.06</v>
      </c>
    </row>
    <row r="5" spans="1:11" ht="64.5" customHeight="1" thickBot="1">
      <c r="A5" s="20" t="s">
        <v>20</v>
      </c>
      <c r="B5" s="21" t="s">
        <v>21</v>
      </c>
      <c r="C5" s="22" t="s">
        <v>22</v>
      </c>
      <c r="D5" s="20" t="s">
        <v>15</v>
      </c>
      <c r="E5" s="23" t="s">
        <v>24</v>
      </c>
      <c r="F5" s="20" t="s">
        <v>27</v>
      </c>
      <c r="G5" s="20" t="s">
        <v>25</v>
      </c>
      <c r="H5" s="23" t="str">
        <f>CONCATENATE("Nutidsværdien ved den interne rente (IRR) ",(ROUND(F59,4)*100)," %")</f>
        <v>Nutidsværdien ved den interne rente (IRR) 6.91 %</v>
      </c>
      <c r="I5" s="23" t="s">
        <v>23</v>
      </c>
    </row>
    <row r="6" spans="1:11" ht="18">
      <c r="A6" s="28">
        <v>0</v>
      </c>
      <c r="B6" s="46">
        <v>0</v>
      </c>
      <c r="C6" s="26">
        <v>4350000</v>
      </c>
      <c r="D6" s="51">
        <f t="shared" ref="D6:D56" si="0">B6-C6</f>
        <v>-4350000</v>
      </c>
      <c r="E6" s="56">
        <f t="shared" ref="E6:E56" si="1">IF(A6&lt;=$B$3,POWER((1+$B$4),(A6*-1)),"-")</f>
        <v>1</v>
      </c>
      <c r="F6" s="27">
        <f>D6</f>
        <v>-4350000</v>
      </c>
      <c r="G6" s="56">
        <f>IF(A6&lt;=$B$3,POWER((1+$F$59),(A6*-1)),"-")</f>
        <v>1</v>
      </c>
      <c r="H6" s="27">
        <f>F6</f>
        <v>-4350000</v>
      </c>
      <c r="I6" s="28"/>
    </row>
    <row r="7" spans="1:11" ht="18">
      <c r="A7" s="24">
        <f t="shared" ref="A7:A56" si="2">A6+1</f>
        <v>1</v>
      </c>
      <c r="B7" s="25">
        <v>875000</v>
      </c>
      <c r="C7" s="29">
        <v>0</v>
      </c>
      <c r="D7" s="52">
        <f t="shared" si="0"/>
        <v>875000</v>
      </c>
      <c r="E7" s="54">
        <f t="shared" si="1"/>
        <v>0.94339622641509424</v>
      </c>
      <c r="F7" s="30">
        <f t="shared" ref="F7:F56" si="3">PV($B$4,A7,0,D7)*-1</f>
        <v>825471.69811320747</v>
      </c>
      <c r="G7" s="54">
        <f>IF(A7&lt;=$B$3,POWER((1+$F$59),(A7*-1)),"-")</f>
        <v>0.93538106807473509</v>
      </c>
      <c r="H7" s="30">
        <f t="shared" ref="H7:H56" si="4">PV($F$59,A7,0,D7)*-1</f>
        <v>818458.43456539325</v>
      </c>
      <c r="I7" s="30">
        <f>PMT($B$4,$B$3,$F$57)*-1</f>
        <v>26213.223252928448</v>
      </c>
    </row>
    <row r="8" spans="1:11" ht="18">
      <c r="A8" s="24">
        <f t="shared" si="2"/>
        <v>2</v>
      </c>
      <c r="B8" s="25">
        <v>875000</v>
      </c>
      <c r="C8" s="29">
        <v>0</v>
      </c>
      <c r="D8" s="52">
        <f t="shared" si="0"/>
        <v>875000</v>
      </c>
      <c r="E8" s="54">
        <f t="shared" si="1"/>
        <v>0.88999644001423983</v>
      </c>
      <c r="F8" s="30">
        <f t="shared" si="3"/>
        <v>778746.88501245982</v>
      </c>
      <c r="G8" s="54">
        <f t="shared" ref="G8:G56" si="5">IF(A8&lt;=$B$3,POWER((1+$F$59),(A8*-1)),"-")</f>
        <v>0.87493774251263234</v>
      </c>
      <c r="H8" s="30">
        <f t="shared" si="4"/>
        <v>765570.52469855326</v>
      </c>
      <c r="I8" s="30">
        <f t="shared" ref="I8:I13" si="6">IF(A8&lt;=$B$3,$I$7,0)</f>
        <v>26213.223252928448</v>
      </c>
    </row>
    <row r="9" spans="1:11" ht="18">
      <c r="A9" s="24">
        <f t="shared" si="2"/>
        <v>3</v>
      </c>
      <c r="B9" s="25">
        <v>875000</v>
      </c>
      <c r="C9" s="29">
        <v>0</v>
      </c>
      <c r="D9" s="52">
        <f t="shared" si="0"/>
        <v>875000</v>
      </c>
      <c r="E9" s="54">
        <f t="shared" si="1"/>
        <v>0.8396192830323016</v>
      </c>
      <c r="F9" s="30">
        <f t="shared" si="3"/>
        <v>734666.87265326397</v>
      </c>
      <c r="G9" s="54">
        <f t="shared" si="5"/>
        <v>0.81840020009036363</v>
      </c>
      <c r="H9" s="30">
        <f t="shared" si="4"/>
        <v>716100.17507906817</v>
      </c>
      <c r="I9" s="30">
        <f t="shared" si="6"/>
        <v>26213.223252928448</v>
      </c>
    </row>
    <row r="10" spans="1:11" ht="18">
      <c r="A10" s="24">
        <f t="shared" si="2"/>
        <v>4</v>
      </c>
      <c r="B10" s="25">
        <v>875000</v>
      </c>
      <c r="C10" s="29">
        <v>0</v>
      </c>
      <c r="D10" s="52">
        <f t="shared" si="0"/>
        <v>875000</v>
      </c>
      <c r="E10" s="54">
        <f t="shared" si="1"/>
        <v>0.79209366323802044</v>
      </c>
      <c r="F10" s="30">
        <f t="shared" si="3"/>
        <v>693081.9553332678</v>
      </c>
      <c r="G10" s="54">
        <f t="shared" si="5"/>
        <v>0.76551605327310135</v>
      </c>
      <c r="H10" s="30">
        <f t="shared" si="4"/>
        <v>669826.54661396367</v>
      </c>
      <c r="I10" s="30">
        <f t="shared" si="6"/>
        <v>26213.223252928448</v>
      </c>
    </row>
    <row r="11" spans="1:11" ht="18">
      <c r="A11" s="24">
        <f t="shared" si="2"/>
        <v>5</v>
      </c>
      <c r="B11" s="25">
        <v>875000</v>
      </c>
      <c r="C11" s="29">
        <v>0</v>
      </c>
      <c r="D11" s="52">
        <f>(B11-C11)</f>
        <v>875000</v>
      </c>
      <c r="E11" s="54">
        <f t="shared" si="1"/>
        <v>0.74725817286605689</v>
      </c>
      <c r="F11" s="30">
        <f t="shared" si="3"/>
        <v>653850.90125779982</v>
      </c>
      <c r="G11" s="54">
        <f t="shared" si="5"/>
        <v>0.7160492235389494</v>
      </c>
      <c r="H11" s="30">
        <f t="shared" si="4"/>
        <v>626543.07059658074</v>
      </c>
      <c r="I11" s="30">
        <f t="shared" si="6"/>
        <v>26213.223252928448</v>
      </c>
    </row>
    <row r="12" spans="1:11" ht="18.75" thickBot="1">
      <c r="A12" s="31">
        <f t="shared" si="2"/>
        <v>6</v>
      </c>
      <c r="B12" s="32">
        <f>250000+875000</f>
        <v>1125000</v>
      </c>
      <c r="C12" s="33">
        <v>0</v>
      </c>
      <c r="D12" s="53">
        <f t="shared" si="0"/>
        <v>1125000</v>
      </c>
      <c r="E12" s="57">
        <f t="shared" si="1"/>
        <v>0.70496054043967626</v>
      </c>
      <c r="F12" s="34">
        <f t="shared" si="3"/>
        <v>793080.60799463582</v>
      </c>
      <c r="G12" s="57">
        <f t="shared" si="5"/>
        <v>0.66977888750794734</v>
      </c>
      <c r="H12" s="34">
        <f t="shared" si="4"/>
        <v>753501.24844644079</v>
      </c>
      <c r="I12" s="34">
        <f t="shared" si="6"/>
        <v>26213.223252928448</v>
      </c>
    </row>
    <row r="13" spans="1:11" ht="18" hidden="1">
      <c r="A13" s="24">
        <f t="shared" si="2"/>
        <v>7</v>
      </c>
      <c r="B13" s="25">
        <v>0</v>
      </c>
      <c r="C13" s="29">
        <v>0</v>
      </c>
      <c r="D13" s="52">
        <f t="shared" si="0"/>
        <v>0</v>
      </c>
      <c r="E13" s="54" t="str">
        <f t="shared" si="1"/>
        <v>-</v>
      </c>
      <c r="F13" s="30">
        <f t="shared" si="3"/>
        <v>0</v>
      </c>
      <c r="G13" s="54" t="str">
        <f t="shared" si="5"/>
        <v>-</v>
      </c>
      <c r="H13" s="30">
        <f t="shared" si="4"/>
        <v>0</v>
      </c>
      <c r="I13" s="30">
        <f t="shared" si="6"/>
        <v>0</v>
      </c>
    </row>
    <row r="14" spans="1:11" ht="18" hidden="1">
      <c r="A14" s="24">
        <f t="shared" si="2"/>
        <v>8</v>
      </c>
      <c r="B14" s="25">
        <v>0</v>
      </c>
      <c r="C14" s="29">
        <v>0</v>
      </c>
      <c r="D14" s="52">
        <f t="shared" si="0"/>
        <v>0</v>
      </c>
      <c r="E14" s="54" t="str">
        <f t="shared" si="1"/>
        <v>-</v>
      </c>
      <c r="F14" s="30">
        <f t="shared" si="3"/>
        <v>0</v>
      </c>
      <c r="G14" s="54" t="str">
        <f t="shared" si="5"/>
        <v>-</v>
      </c>
      <c r="H14" s="30">
        <f t="shared" si="4"/>
        <v>0</v>
      </c>
      <c r="I14" s="30">
        <f t="shared" ref="I14:I56" si="7">IF(A13&lt;=$B$3,$I$7,0)</f>
        <v>0</v>
      </c>
      <c r="K14" s="3"/>
    </row>
    <row r="15" spans="1:11" ht="18" hidden="1">
      <c r="A15" s="24">
        <f t="shared" si="2"/>
        <v>9</v>
      </c>
      <c r="B15" s="25">
        <v>0</v>
      </c>
      <c r="C15" s="29">
        <v>0</v>
      </c>
      <c r="D15" s="52">
        <f t="shared" si="0"/>
        <v>0</v>
      </c>
      <c r="E15" s="54" t="str">
        <f t="shared" si="1"/>
        <v>-</v>
      </c>
      <c r="F15" s="30">
        <f t="shared" si="3"/>
        <v>0</v>
      </c>
      <c r="G15" s="54" t="str">
        <f t="shared" si="5"/>
        <v>-</v>
      </c>
      <c r="H15" s="30">
        <f t="shared" si="4"/>
        <v>0</v>
      </c>
      <c r="I15" s="30">
        <f t="shared" si="7"/>
        <v>0</v>
      </c>
    </row>
    <row r="16" spans="1:11" ht="18" hidden="1">
      <c r="A16" s="24">
        <f t="shared" si="2"/>
        <v>10</v>
      </c>
      <c r="B16" s="25">
        <v>0</v>
      </c>
      <c r="C16" s="29">
        <v>0</v>
      </c>
      <c r="D16" s="52">
        <f t="shared" si="0"/>
        <v>0</v>
      </c>
      <c r="E16" s="54" t="str">
        <f t="shared" si="1"/>
        <v>-</v>
      </c>
      <c r="F16" s="30">
        <f t="shared" si="3"/>
        <v>0</v>
      </c>
      <c r="G16" s="54" t="str">
        <f t="shared" si="5"/>
        <v>-</v>
      </c>
      <c r="H16" s="30">
        <f t="shared" si="4"/>
        <v>0</v>
      </c>
      <c r="I16" s="30">
        <f t="shared" si="7"/>
        <v>0</v>
      </c>
    </row>
    <row r="17" spans="1:11" ht="18" hidden="1">
      <c r="A17" s="24">
        <f t="shared" si="2"/>
        <v>11</v>
      </c>
      <c r="B17" s="25">
        <v>0</v>
      </c>
      <c r="C17" s="29">
        <v>0</v>
      </c>
      <c r="D17" s="52">
        <f t="shared" si="0"/>
        <v>0</v>
      </c>
      <c r="E17" s="54" t="str">
        <f t="shared" si="1"/>
        <v>-</v>
      </c>
      <c r="F17" s="30">
        <f t="shared" si="3"/>
        <v>0</v>
      </c>
      <c r="G17" s="54" t="str">
        <f t="shared" si="5"/>
        <v>-</v>
      </c>
      <c r="H17" s="30">
        <f t="shared" si="4"/>
        <v>0</v>
      </c>
      <c r="I17" s="30">
        <f t="shared" si="7"/>
        <v>0</v>
      </c>
    </row>
    <row r="18" spans="1:11" ht="18" hidden="1">
      <c r="A18" s="24">
        <f t="shared" si="2"/>
        <v>12</v>
      </c>
      <c r="B18" s="25">
        <v>0</v>
      </c>
      <c r="C18" s="29">
        <v>0</v>
      </c>
      <c r="D18" s="52">
        <f t="shared" si="0"/>
        <v>0</v>
      </c>
      <c r="E18" s="54" t="str">
        <f t="shared" si="1"/>
        <v>-</v>
      </c>
      <c r="F18" s="30">
        <f t="shared" si="3"/>
        <v>0</v>
      </c>
      <c r="G18" s="54" t="str">
        <f t="shared" si="5"/>
        <v>-</v>
      </c>
      <c r="H18" s="30">
        <f t="shared" si="4"/>
        <v>0</v>
      </c>
      <c r="I18" s="30">
        <f t="shared" si="7"/>
        <v>0</v>
      </c>
    </row>
    <row r="19" spans="1:11" ht="18" hidden="1">
      <c r="A19" s="24">
        <f t="shared" si="2"/>
        <v>13</v>
      </c>
      <c r="B19" s="25">
        <v>0</v>
      </c>
      <c r="C19" s="29">
        <v>0</v>
      </c>
      <c r="D19" s="52">
        <f t="shared" si="0"/>
        <v>0</v>
      </c>
      <c r="E19" s="54" t="str">
        <f t="shared" si="1"/>
        <v>-</v>
      </c>
      <c r="F19" s="30">
        <f t="shared" si="3"/>
        <v>0</v>
      </c>
      <c r="G19" s="54" t="str">
        <f t="shared" si="5"/>
        <v>-</v>
      </c>
      <c r="H19" s="30">
        <f t="shared" si="4"/>
        <v>0</v>
      </c>
      <c r="I19" s="30">
        <f t="shared" si="7"/>
        <v>0</v>
      </c>
      <c r="K19" s="3"/>
    </row>
    <row r="20" spans="1:11" ht="18" hidden="1">
      <c r="A20" s="24">
        <f t="shared" si="2"/>
        <v>14</v>
      </c>
      <c r="B20" s="25">
        <v>0</v>
      </c>
      <c r="C20" s="29">
        <v>0</v>
      </c>
      <c r="D20" s="52">
        <f t="shared" si="0"/>
        <v>0</v>
      </c>
      <c r="E20" s="54" t="str">
        <f t="shared" si="1"/>
        <v>-</v>
      </c>
      <c r="F20" s="30">
        <f t="shared" si="3"/>
        <v>0</v>
      </c>
      <c r="G20" s="54" t="str">
        <f t="shared" si="5"/>
        <v>-</v>
      </c>
      <c r="H20" s="30">
        <f t="shared" si="4"/>
        <v>0</v>
      </c>
      <c r="I20" s="30">
        <f t="shared" si="7"/>
        <v>0</v>
      </c>
    </row>
    <row r="21" spans="1:11" ht="18.75" hidden="1" thickBot="1">
      <c r="A21" s="31">
        <f t="shared" si="2"/>
        <v>15</v>
      </c>
      <c r="B21" s="32">
        <v>0</v>
      </c>
      <c r="C21" s="33">
        <v>0</v>
      </c>
      <c r="D21" s="53">
        <f t="shared" si="0"/>
        <v>0</v>
      </c>
      <c r="E21" s="57" t="str">
        <f t="shared" si="1"/>
        <v>-</v>
      </c>
      <c r="F21" s="34">
        <f t="shared" si="3"/>
        <v>0</v>
      </c>
      <c r="G21" s="57" t="str">
        <f t="shared" si="5"/>
        <v>-</v>
      </c>
      <c r="H21" s="34">
        <f t="shared" si="4"/>
        <v>0</v>
      </c>
      <c r="I21" s="34">
        <f t="shared" si="7"/>
        <v>0</v>
      </c>
    </row>
    <row r="22" spans="1:11" ht="18" hidden="1">
      <c r="A22" s="24">
        <f t="shared" si="2"/>
        <v>16</v>
      </c>
      <c r="B22" s="25">
        <v>0</v>
      </c>
      <c r="C22" s="29">
        <v>0</v>
      </c>
      <c r="D22" s="52">
        <f t="shared" si="0"/>
        <v>0</v>
      </c>
      <c r="E22" s="54" t="str">
        <f t="shared" si="1"/>
        <v>-</v>
      </c>
      <c r="F22" s="30">
        <f t="shared" si="3"/>
        <v>0</v>
      </c>
      <c r="G22" s="54" t="str">
        <f t="shared" si="5"/>
        <v>-</v>
      </c>
      <c r="H22" s="30">
        <f t="shared" si="4"/>
        <v>0</v>
      </c>
      <c r="I22" s="30">
        <f t="shared" si="7"/>
        <v>0</v>
      </c>
    </row>
    <row r="23" spans="1:11" ht="18" hidden="1">
      <c r="A23" s="24">
        <f t="shared" si="2"/>
        <v>17</v>
      </c>
      <c r="B23" s="25">
        <v>0</v>
      </c>
      <c r="C23" s="29">
        <v>0</v>
      </c>
      <c r="D23" s="52">
        <f t="shared" si="0"/>
        <v>0</v>
      </c>
      <c r="E23" s="54" t="str">
        <f t="shared" si="1"/>
        <v>-</v>
      </c>
      <c r="F23" s="30">
        <f t="shared" si="3"/>
        <v>0</v>
      </c>
      <c r="G23" s="54" t="str">
        <f t="shared" si="5"/>
        <v>-</v>
      </c>
      <c r="H23" s="30">
        <f t="shared" si="4"/>
        <v>0</v>
      </c>
      <c r="I23" s="30">
        <f t="shared" si="7"/>
        <v>0</v>
      </c>
    </row>
    <row r="24" spans="1:11" ht="18" hidden="1">
      <c r="A24" s="24">
        <f t="shared" si="2"/>
        <v>18</v>
      </c>
      <c r="B24" s="25">
        <v>0</v>
      </c>
      <c r="C24" s="29">
        <v>0</v>
      </c>
      <c r="D24" s="52">
        <f t="shared" si="0"/>
        <v>0</v>
      </c>
      <c r="E24" s="54" t="str">
        <f t="shared" si="1"/>
        <v>-</v>
      </c>
      <c r="F24" s="30">
        <f t="shared" si="3"/>
        <v>0</v>
      </c>
      <c r="G24" s="54" t="str">
        <f t="shared" si="5"/>
        <v>-</v>
      </c>
      <c r="H24" s="30">
        <f t="shared" si="4"/>
        <v>0</v>
      </c>
      <c r="I24" s="30">
        <f t="shared" si="7"/>
        <v>0</v>
      </c>
    </row>
    <row r="25" spans="1:11" ht="18" hidden="1">
      <c r="A25" s="24">
        <f t="shared" si="2"/>
        <v>19</v>
      </c>
      <c r="B25" s="25">
        <v>0</v>
      </c>
      <c r="C25" s="29">
        <v>0</v>
      </c>
      <c r="D25" s="52">
        <f t="shared" si="0"/>
        <v>0</v>
      </c>
      <c r="E25" s="54" t="str">
        <f t="shared" si="1"/>
        <v>-</v>
      </c>
      <c r="F25" s="30">
        <f t="shared" si="3"/>
        <v>0</v>
      </c>
      <c r="G25" s="54" t="str">
        <f t="shared" si="5"/>
        <v>-</v>
      </c>
      <c r="H25" s="30">
        <f t="shared" si="4"/>
        <v>0</v>
      </c>
      <c r="I25" s="30">
        <f t="shared" si="7"/>
        <v>0</v>
      </c>
    </row>
    <row r="26" spans="1:11" ht="18" hidden="1">
      <c r="A26" s="24">
        <f t="shared" si="2"/>
        <v>20</v>
      </c>
      <c r="B26" s="25">
        <v>0</v>
      </c>
      <c r="C26" s="29">
        <v>0</v>
      </c>
      <c r="D26" s="52">
        <f t="shared" si="0"/>
        <v>0</v>
      </c>
      <c r="E26" s="54" t="str">
        <f t="shared" si="1"/>
        <v>-</v>
      </c>
      <c r="F26" s="30">
        <f t="shared" si="3"/>
        <v>0</v>
      </c>
      <c r="G26" s="54" t="str">
        <f t="shared" si="5"/>
        <v>-</v>
      </c>
      <c r="H26" s="30">
        <f t="shared" si="4"/>
        <v>0</v>
      </c>
      <c r="I26" s="30">
        <f t="shared" si="7"/>
        <v>0</v>
      </c>
    </row>
    <row r="27" spans="1:11" ht="18" hidden="1">
      <c r="A27" s="24">
        <f t="shared" si="2"/>
        <v>21</v>
      </c>
      <c r="B27" s="25">
        <v>0</v>
      </c>
      <c r="C27" s="29">
        <v>0</v>
      </c>
      <c r="D27" s="52">
        <f t="shared" si="0"/>
        <v>0</v>
      </c>
      <c r="E27" s="54" t="str">
        <f t="shared" si="1"/>
        <v>-</v>
      </c>
      <c r="F27" s="30">
        <f t="shared" si="3"/>
        <v>0</v>
      </c>
      <c r="G27" s="54" t="str">
        <f t="shared" si="5"/>
        <v>-</v>
      </c>
      <c r="H27" s="30">
        <f t="shared" si="4"/>
        <v>0</v>
      </c>
      <c r="I27" s="30">
        <f t="shared" si="7"/>
        <v>0</v>
      </c>
    </row>
    <row r="28" spans="1:11" ht="18" hidden="1">
      <c r="A28" s="24">
        <f t="shared" si="2"/>
        <v>22</v>
      </c>
      <c r="B28" s="25">
        <v>0</v>
      </c>
      <c r="C28" s="29">
        <v>0</v>
      </c>
      <c r="D28" s="52">
        <f t="shared" si="0"/>
        <v>0</v>
      </c>
      <c r="E28" s="54" t="str">
        <f t="shared" si="1"/>
        <v>-</v>
      </c>
      <c r="F28" s="30">
        <f t="shared" si="3"/>
        <v>0</v>
      </c>
      <c r="G28" s="54" t="str">
        <f t="shared" si="5"/>
        <v>-</v>
      </c>
      <c r="H28" s="30">
        <f t="shared" si="4"/>
        <v>0</v>
      </c>
      <c r="I28" s="30">
        <f t="shared" si="7"/>
        <v>0</v>
      </c>
    </row>
    <row r="29" spans="1:11" ht="18" hidden="1">
      <c r="A29" s="24">
        <f t="shared" si="2"/>
        <v>23</v>
      </c>
      <c r="B29" s="25">
        <v>0</v>
      </c>
      <c r="C29" s="29">
        <v>0</v>
      </c>
      <c r="D29" s="52">
        <f t="shared" si="0"/>
        <v>0</v>
      </c>
      <c r="E29" s="54" t="str">
        <f t="shared" si="1"/>
        <v>-</v>
      </c>
      <c r="F29" s="30">
        <f t="shared" si="3"/>
        <v>0</v>
      </c>
      <c r="G29" s="54" t="str">
        <f t="shared" si="5"/>
        <v>-</v>
      </c>
      <c r="H29" s="30">
        <f t="shared" si="4"/>
        <v>0</v>
      </c>
      <c r="I29" s="30">
        <f t="shared" si="7"/>
        <v>0</v>
      </c>
    </row>
    <row r="30" spans="1:11" ht="18" hidden="1">
      <c r="A30" s="24">
        <f t="shared" si="2"/>
        <v>24</v>
      </c>
      <c r="B30" s="25">
        <v>0</v>
      </c>
      <c r="C30" s="29">
        <v>0</v>
      </c>
      <c r="D30" s="52">
        <f t="shared" si="0"/>
        <v>0</v>
      </c>
      <c r="E30" s="54" t="str">
        <f t="shared" si="1"/>
        <v>-</v>
      </c>
      <c r="F30" s="30">
        <f t="shared" si="3"/>
        <v>0</v>
      </c>
      <c r="G30" s="54" t="str">
        <f t="shared" si="5"/>
        <v>-</v>
      </c>
      <c r="H30" s="30">
        <f t="shared" si="4"/>
        <v>0</v>
      </c>
      <c r="I30" s="30">
        <f t="shared" si="7"/>
        <v>0</v>
      </c>
    </row>
    <row r="31" spans="1:11" ht="18" hidden="1">
      <c r="A31" s="24">
        <f t="shared" si="2"/>
        <v>25</v>
      </c>
      <c r="B31" s="25">
        <v>0</v>
      </c>
      <c r="C31" s="29">
        <v>0</v>
      </c>
      <c r="D31" s="52">
        <f t="shared" si="0"/>
        <v>0</v>
      </c>
      <c r="E31" s="54" t="str">
        <f t="shared" si="1"/>
        <v>-</v>
      </c>
      <c r="F31" s="30">
        <f t="shared" si="3"/>
        <v>0</v>
      </c>
      <c r="G31" s="54" t="str">
        <f t="shared" si="5"/>
        <v>-</v>
      </c>
      <c r="H31" s="30">
        <f t="shared" si="4"/>
        <v>0</v>
      </c>
      <c r="I31" s="30">
        <f t="shared" si="7"/>
        <v>0</v>
      </c>
    </row>
    <row r="32" spans="1:11" ht="18" hidden="1">
      <c r="A32" s="24">
        <f t="shared" si="2"/>
        <v>26</v>
      </c>
      <c r="B32" s="25">
        <v>0</v>
      </c>
      <c r="C32" s="29">
        <v>0</v>
      </c>
      <c r="D32" s="52">
        <f t="shared" si="0"/>
        <v>0</v>
      </c>
      <c r="E32" s="54" t="str">
        <f t="shared" si="1"/>
        <v>-</v>
      </c>
      <c r="F32" s="30">
        <f t="shared" si="3"/>
        <v>0</v>
      </c>
      <c r="G32" s="54" t="str">
        <f t="shared" si="5"/>
        <v>-</v>
      </c>
      <c r="H32" s="30">
        <f t="shared" si="4"/>
        <v>0</v>
      </c>
      <c r="I32" s="30">
        <f t="shared" si="7"/>
        <v>0</v>
      </c>
    </row>
    <row r="33" spans="1:9" ht="18" hidden="1">
      <c r="A33" s="24">
        <f t="shared" si="2"/>
        <v>27</v>
      </c>
      <c r="B33" s="25">
        <v>0</v>
      </c>
      <c r="C33" s="29">
        <v>0</v>
      </c>
      <c r="D33" s="52">
        <f t="shared" si="0"/>
        <v>0</v>
      </c>
      <c r="E33" s="54" t="str">
        <f t="shared" si="1"/>
        <v>-</v>
      </c>
      <c r="F33" s="30">
        <f t="shared" si="3"/>
        <v>0</v>
      </c>
      <c r="G33" s="54" t="str">
        <f t="shared" si="5"/>
        <v>-</v>
      </c>
      <c r="H33" s="30">
        <f t="shared" si="4"/>
        <v>0</v>
      </c>
      <c r="I33" s="30">
        <f t="shared" si="7"/>
        <v>0</v>
      </c>
    </row>
    <row r="34" spans="1:9" ht="18" hidden="1">
      <c r="A34" s="24">
        <f t="shared" si="2"/>
        <v>28</v>
      </c>
      <c r="B34" s="25">
        <v>0</v>
      </c>
      <c r="C34" s="29">
        <v>0</v>
      </c>
      <c r="D34" s="52">
        <f t="shared" si="0"/>
        <v>0</v>
      </c>
      <c r="E34" s="54" t="str">
        <f t="shared" si="1"/>
        <v>-</v>
      </c>
      <c r="F34" s="30">
        <f t="shared" si="3"/>
        <v>0</v>
      </c>
      <c r="G34" s="54" t="str">
        <f t="shared" si="5"/>
        <v>-</v>
      </c>
      <c r="H34" s="30">
        <f t="shared" si="4"/>
        <v>0</v>
      </c>
      <c r="I34" s="30">
        <f t="shared" si="7"/>
        <v>0</v>
      </c>
    </row>
    <row r="35" spans="1:9" ht="18" hidden="1">
      <c r="A35" s="24">
        <f t="shared" si="2"/>
        <v>29</v>
      </c>
      <c r="B35" s="25">
        <v>0</v>
      </c>
      <c r="C35" s="29">
        <v>0</v>
      </c>
      <c r="D35" s="52">
        <f t="shared" si="0"/>
        <v>0</v>
      </c>
      <c r="E35" s="54" t="str">
        <f t="shared" si="1"/>
        <v>-</v>
      </c>
      <c r="F35" s="30">
        <f t="shared" si="3"/>
        <v>0</v>
      </c>
      <c r="G35" s="54" t="str">
        <f t="shared" si="5"/>
        <v>-</v>
      </c>
      <c r="H35" s="30">
        <f t="shared" si="4"/>
        <v>0</v>
      </c>
      <c r="I35" s="30">
        <f t="shared" si="7"/>
        <v>0</v>
      </c>
    </row>
    <row r="36" spans="1:9" ht="18" hidden="1">
      <c r="A36" s="24">
        <f t="shared" si="2"/>
        <v>30</v>
      </c>
      <c r="B36" s="25">
        <v>0</v>
      </c>
      <c r="C36" s="29">
        <v>0</v>
      </c>
      <c r="D36" s="52">
        <f t="shared" si="0"/>
        <v>0</v>
      </c>
      <c r="E36" s="54" t="str">
        <f t="shared" si="1"/>
        <v>-</v>
      </c>
      <c r="F36" s="30">
        <f t="shared" si="3"/>
        <v>0</v>
      </c>
      <c r="G36" s="54" t="str">
        <f t="shared" si="5"/>
        <v>-</v>
      </c>
      <c r="H36" s="30">
        <f t="shared" si="4"/>
        <v>0</v>
      </c>
      <c r="I36" s="30">
        <f t="shared" si="7"/>
        <v>0</v>
      </c>
    </row>
    <row r="37" spans="1:9" ht="18" hidden="1">
      <c r="A37" s="24">
        <f t="shared" si="2"/>
        <v>31</v>
      </c>
      <c r="B37" s="25">
        <v>0</v>
      </c>
      <c r="C37" s="29">
        <v>0</v>
      </c>
      <c r="D37" s="52">
        <f t="shared" si="0"/>
        <v>0</v>
      </c>
      <c r="E37" s="54" t="str">
        <f t="shared" si="1"/>
        <v>-</v>
      </c>
      <c r="F37" s="30">
        <f t="shared" si="3"/>
        <v>0</v>
      </c>
      <c r="G37" s="54" t="str">
        <f t="shared" si="5"/>
        <v>-</v>
      </c>
      <c r="H37" s="30">
        <f t="shared" si="4"/>
        <v>0</v>
      </c>
      <c r="I37" s="30">
        <f t="shared" si="7"/>
        <v>0</v>
      </c>
    </row>
    <row r="38" spans="1:9" ht="18" hidden="1">
      <c r="A38" s="24">
        <f t="shared" si="2"/>
        <v>32</v>
      </c>
      <c r="B38" s="25">
        <v>0</v>
      </c>
      <c r="C38" s="29">
        <v>0</v>
      </c>
      <c r="D38" s="52">
        <f t="shared" si="0"/>
        <v>0</v>
      </c>
      <c r="E38" s="54" t="str">
        <f t="shared" si="1"/>
        <v>-</v>
      </c>
      <c r="F38" s="30">
        <f t="shared" si="3"/>
        <v>0</v>
      </c>
      <c r="G38" s="54" t="str">
        <f t="shared" si="5"/>
        <v>-</v>
      </c>
      <c r="H38" s="30">
        <f t="shared" si="4"/>
        <v>0</v>
      </c>
      <c r="I38" s="30">
        <f t="shared" si="7"/>
        <v>0</v>
      </c>
    </row>
    <row r="39" spans="1:9" ht="18" hidden="1">
      <c r="A39" s="24">
        <f t="shared" si="2"/>
        <v>33</v>
      </c>
      <c r="B39" s="25">
        <v>0</v>
      </c>
      <c r="C39" s="29">
        <v>0</v>
      </c>
      <c r="D39" s="52">
        <f t="shared" si="0"/>
        <v>0</v>
      </c>
      <c r="E39" s="54" t="str">
        <f t="shared" si="1"/>
        <v>-</v>
      </c>
      <c r="F39" s="30">
        <f t="shared" si="3"/>
        <v>0</v>
      </c>
      <c r="G39" s="54" t="str">
        <f t="shared" si="5"/>
        <v>-</v>
      </c>
      <c r="H39" s="30">
        <f t="shared" si="4"/>
        <v>0</v>
      </c>
      <c r="I39" s="30">
        <f t="shared" si="7"/>
        <v>0</v>
      </c>
    </row>
    <row r="40" spans="1:9" ht="18" hidden="1">
      <c r="A40" s="24">
        <f t="shared" si="2"/>
        <v>34</v>
      </c>
      <c r="B40" s="25">
        <v>0</v>
      </c>
      <c r="C40" s="29">
        <v>0</v>
      </c>
      <c r="D40" s="52">
        <f t="shared" si="0"/>
        <v>0</v>
      </c>
      <c r="E40" s="54" t="str">
        <f t="shared" si="1"/>
        <v>-</v>
      </c>
      <c r="F40" s="30">
        <f t="shared" si="3"/>
        <v>0</v>
      </c>
      <c r="G40" s="54" t="str">
        <f t="shared" si="5"/>
        <v>-</v>
      </c>
      <c r="H40" s="30">
        <f t="shared" si="4"/>
        <v>0</v>
      </c>
      <c r="I40" s="30">
        <f t="shared" si="7"/>
        <v>0</v>
      </c>
    </row>
    <row r="41" spans="1:9" ht="18" hidden="1">
      <c r="A41" s="24">
        <f t="shared" si="2"/>
        <v>35</v>
      </c>
      <c r="B41" s="25">
        <v>0</v>
      </c>
      <c r="C41" s="29">
        <v>0</v>
      </c>
      <c r="D41" s="52">
        <f t="shared" si="0"/>
        <v>0</v>
      </c>
      <c r="E41" s="54" t="str">
        <f t="shared" si="1"/>
        <v>-</v>
      </c>
      <c r="F41" s="30">
        <f t="shared" si="3"/>
        <v>0</v>
      </c>
      <c r="G41" s="54" t="str">
        <f t="shared" si="5"/>
        <v>-</v>
      </c>
      <c r="H41" s="30">
        <f t="shared" si="4"/>
        <v>0</v>
      </c>
      <c r="I41" s="30">
        <f t="shared" si="7"/>
        <v>0</v>
      </c>
    </row>
    <row r="42" spans="1:9" ht="18" hidden="1">
      <c r="A42" s="24">
        <f t="shared" si="2"/>
        <v>36</v>
      </c>
      <c r="B42" s="25">
        <v>0</v>
      </c>
      <c r="C42" s="29">
        <v>0</v>
      </c>
      <c r="D42" s="52">
        <f t="shared" si="0"/>
        <v>0</v>
      </c>
      <c r="E42" s="54" t="str">
        <f t="shared" si="1"/>
        <v>-</v>
      </c>
      <c r="F42" s="30">
        <f t="shared" si="3"/>
        <v>0</v>
      </c>
      <c r="G42" s="54" t="str">
        <f t="shared" si="5"/>
        <v>-</v>
      </c>
      <c r="H42" s="30">
        <f t="shared" si="4"/>
        <v>0</v>
      </c>
      <c r="I42" s="30">
        <f t="shared" si="7"/>
        <v>0</v>
      </c>
    </row>
    <row r="43" spans="1:9" ht="18" hidden="1">
      <c r="A43" s="24">
        <f t="shared" si="2"/>
        <v>37</v>
      </c>
      <c r="B43" s="25">
        <v>0</v>
      </c>
      <c r="C43" s="29">
        <v>0</v>
      </c>
      <c r="D43" s="52">
        <f t="shared" si="0"/>
        <v>0</v>
      </c>
      <c r="E43" s="54" t="str">
        <f t="shared" si="1"/>
        <v>-</v>
      </c>
      <c r="F43" s="30">
        <f t="shared" si="3"/>
        <v>0</v>
      </c>
      <c r="G43" s="54" t="str">
        <f t="shared" si="5"/>
        <v>-</v>
      </c>
      <c r="H43" s="30">
        <f t="shared" si="4"/>
        <v>0</v>
      </c>
      <c r="I43" s="30">
        <f t="shared" si="7"/>
        <v>0</v>
      </c>
    </row>
    <row r="44" spans="1:9" ht="18" hidden="1">
      <c r="A44" s="24">
        <f t="shared" si="2"/>
        <v>38</v>
      </c>
      <c r="B44" s="25">
        <v>0</v>
      </c>
      <c r="C44" s="29">
        <v>0</v>
      </c>
      <c r="D44" s="52">
        <f t="shared" si="0"/>
        <v>0</v>
      </c>
      <c r="E44" s="54" t="str">
        <f t="shared" si="1"/>
        <v>-</v>
      </c>
      <c r="F44" s="30">
        <f t="shared" si="3"/>
        <v>0</v>
      </c>
      <c r="G44" s="54" t="str">
        <f t="shared" si="5"/>
        <v>-</v>
      </c>
      <c r="H44" s="30">
        <f t="shared" si="4"/>
        <v>0</v>
      </c>
      <c r="I44" s="30">
        <f t="shared" si="7"/>
        <v>0</v>
      </c>
    </row>
    <row r="45" spans="1:9" ht="18" hidden="1">
      <c r="A45" s="24">
        <f t="shared" si="2"/>
        <v>39</v>
      </c>
      <c r="B45" s="25">
        <v>0</v>
      </c>
      <c r="C45" s="29">
        <v>0</v>
      </c>
      <c r="D45" s="52">
        <f t="shared" si="0"/>
        <v>0</v>
      </c>
      <c r="E45" s="54" t="str">
        <f t="shared" si="1"/>
        <v>-</v>
      </c>
      <c r="F45" s="30">
        <f t="shared" si="3"/>
        <v>0</v>
      </c>
      <c r="G45" s="54" t="str">
        <f t="shared" si="5"/>
        <v>-</v>
      </c>
      <c r="H45" s="30">
        <f t="shared" si="4"/>
        <v>0</v>
      </c>
      <c r="I45" s="30">
        <f t="shared" si="7"/>
        <v>0</v>
      </c>
    </row>
    <row r="46" spans="1:9" ht="18" hidden="1">
      <c r="A46" s="24">
        <f t="shared" si="2"/>
        <v>40</v>
      </c>
      <c r="B46" s="25">
        <v>0</v>
      </c>
      <c r="C46" s="29">
        <v>0</v>
      </c>
      <c r="D46" s="52">
        <f t="shared" si="0"/>
        <v>0</v>
      </c>
      <c r="E46" s="54" t="str">
        <f t="shared" si="1"/>
        <v>-</v>
      </c>
      <c r="F46" s="30">
        <f t="shared" si="3"/>
        <v>0</v>
      </c>
      <c r="G46" s="54" t="str">
        <f t="shared" si="5"/>
        <v>-</v>
      </c>
      <c r="H46" s="30">
        <f t="shared" si="4"/>
        <v>0</v>
      </c>
      <c r="I46" s="30">
        <f t="shared" si="7"/>
        <v>0</v>
      </c>
    </row>
    <row r="47" spans="1:9" ht="18" hidden="1">
      <c r="A47" s="24">
        <f t="shared" si="2"/>
        <v>41</v>
      </c>
      <c r="B47" s="25">
        <v>0</v>
      </c>
      <c r="C47" s="29">
        <v>0</v>
      </c>
      <c r="D47" s="52">
        <f t="shared" si="0"/>
        <v>0</v>
      </c>
      <c r="E47" s="54" t="str">
        <f t="shared" si="1"/>
        <v>-</v>
      </c>
      <c r="F47" s="30">
        <f t="shared" si="3"/>
        <v>0</v>
      </c>
      <c r="G47" s="54" t="str">
        <f t="shared" si="5"/>
        <v>-</v>
      </c>
      <c r="H47" s="30">
        <f t="shared" si="4"/>
        <v>0</v>
      </c>
      <c r="I47" s="30">
        <f t="shared" si="7"/>
        <v>0</v>
      </c>
    </row>
    <row r="48" spans="1:9" ht="18" hidden="1">
      <c r="A48" s="24">
        <f t="shared" si="2"/>
        <v>42</v>
      </c>
      <c r="B48" s="25">
        <v>0</v>
      </c>
      <c r="C48" s="29">
        <v>0</v>
      </c>
      <c r="D48" s="52">
        <f t="shared" si="0"/>
        <v>0</v>
      </c>
      <c r="E48" s="54" t="str">
        <f t="shared" si="1"/>
        <v>-</v>
      </c>
      <c r="F48" s="30">
        <f t="shared" si="3"/>
        <v>0</v>
      </c>
      <c r="G48" s="54" t="str">
        <f t="shared" si="5"/>
        <v>-</v>
      </c>
      <c r="H48" s="30">
        <f t="shared" si="4"/>
        <v>0</v>
      </c>
      <c r="I48" s="30">
        <f t="shared" si="7"/>
        <v>0</v>
      </c>
    </row>
    <row r="49" spans="1:9" ht="18" hidden="1">
      <c r="A49" s="24">
        <f t="shared" si="2"/>
        <v>43</v>
      </c>
      <c r="B49" s="25">
        <v>0</v>
      </c>
      <c r="C49" s="29">
        <v>0</v>
      </c>
      <c r="D49" s="52">
        <f t="shared" si="0"/>
        <v>0</v>
      </c>
      <c r="E49" s="54" t="str">
        <f t="shared" si="1"/>
        <v>-</v>
      </c>
      <c r="F49" s="30">
        <f t="shared" si="3"/>
        <v>0</v>
      </c>
      <c r="G49" s="54" t="str">
        <f t="shared" si="5"/>
        <v>-</v>
      </c>
      <c r="H49" s="30">
        <f t="shared" si="4"/>
        <v>0</v>
      </c>
      <c r="I49" s="30">
        <f t="shared" si="7"/>
        <v>0</v>
      </c>
    </row>
    <row r="50" spans="1:9" ht="18" hidden="1">
      <c r="A50" s="24">
        <f t="shared" si="2"/>
        <v>44</v>
      </c>
      <c r="B50" s="25">
        <v>0</v>
      </c>
      <c r="C50" s="29">
        <v>0</v>
      </c>
      <c r="D50" s="52">
        <f t="shared" si="0"/>
        <v>0</v>
      </c>
      <c r="E50" s="54" t="str">
        <f t="shared" si="1"/>
        <v>-</v>
      </c>
      <c r="F50" s="30">
        <f t="shared" si="3"/>
        <v>0</v>
      </c>
      <c r="G50" s="54" t="str">
        <f t="shared" si="5"/>
        <v>-</v>
      </c>
      <c r="H50" s="30">
        <f t="shared" si="4"/>
        <v>0</v>
      </c>
      <c r="I50" s="30">
        <f t="shared" si="7"/>
        <v>0</v>
      </c>
    </row>
    <row r="51" spans="1:9" ht="18" hidden="1">
      <c r="A51" s="24">
        <f t="shared" si="2"/>
        <v>45</v>
      </c>
      <c r="B51" s="25">
        <v>0</v>
      </c>
      <c r="C51" s="29">
        <v>0</v>
      </c>
      <c r="D51" s="52">
        <f t="shared" si="0"/>
        <v>0</v>
      </c>
      <c r="E51" s="54" t="str">
        <f t="shared" si="1"/>
        <v>-</v>
      </c>
      <c r="F51" s="30">
        <f t="shared" si="3"/>
        <v>0</v>
      </c>
      <c r="G51" s="54" t="str">
        <f t="shared" si="5"/>
        <v>-</v>
      </c>
      <c r="H51" s="30">
        <f t="shared" si="4"/>
        <v>0</v>
      </c>
      <c r="I51" s="30">
        <f t="shared" si="7"/>
        <v>0</v>
      </c>
    </row>
    <row r="52" spans="1:9" ht="18" hidden="1">
      <c r="A52" s="24">
        <f t="shared" si="2"/>
        <v>46</v>
      </c>
      <c r="B52" s="25">
        <v>0</v>
      </c>
      <c r="C52" s="29">
        <v>0</v>
      </c>
      <c r="D52" s="52">
        <f t="shared" si="0"/>
        <v>0</v>
      </c>
      <c r="E52" s="54" t="str">
        <f t="shared" si="1"/>
        <v>-</v>
      </c>
      <c r="F52" s="30">
        <f t="shared" si="3"/>
        <v>0</v>
      </c>
      <c r="G52" s="54" t="str">
        <f t="shared" si="5"/>
        <v>-</v>
      </c>
      <c r="H52" s="30">
        <f t="shared" si="4"/>
        <v>0</v>
      </c>
      <c r="I52" s="30">
        <f t="shared" si="7"/>
        <v>0</v>
      </c>
    </row>
    <row r="53" spans="1:9" ht="18" hidden="1">
      <c r="A53" s="24">
        <f t="shared" si="2"/>
        <v>47</v>
      </c>
      <c r="B53" s="25">
        <v>0</v>
      </c>
      <c r="C53" s="29">
        <v>0</v>
      </c>
      <c r="D53" s="52">
        <f t="shared" si="0"/>
        <v>0</v>
      </c>
      <c r="E53" s="54" t="str">
        <f t="shared" si="1"/>
        <v>-</v>
      </c>
      <c r="F53" s="30">
        <f t="shared" si="3"/>
        <v>0</v>
      </c>
      <c r="G53" s="54" t="str">
        <f t="shared" si="5"/>
        <v>-</v>
      </c>
      <c r="H53" s="30">
        <f t="shared" si="4"/>
        <v>0</v>
      </c>
      <c r="I53" s="30">
        <f t="shared" si="7"/>
        <v>0</v>
      </c>
    </row>
    <row r="54" spans="1:9" ht="18" hidden="1">
      <c r="A54" s="24">
        <f t="shared" si="2"/>
        <v>48</v>
      </c>
      <c r="B54" s="25">
        <v>0</v>
      </c>
      <c r="C54" s="29">
        <v>0</v>
      </c>
      <c r="D54" s="52">
        <f t="shared" si="0"/>
        <v>0</v>
      </c>
      <c r="E54" s="54" t="str">
        <f t="shared" si="1"/>
        <v>-</v>
      </c>
      <c r="F54" s="30">
        <f t="shared" si="3"/>
        <v>0</v>
      </c>
      <c r="G54" s="54" t="str">
        <f t="shared" si="5"/>
        <v>-</v>
      </c>
      <c r="H54" s="30">
        <f t="shared" si="4"/>
        <v>0</v>
      </c>
      <c r="I54" s="30">
        <f t="shared" si="7"/>
        <v>0</v>
      </c>
    </row>
    <row r="55" spans="1:9" ht="18" hidden="1">
      <c r="A55" s="24">
        <f t="shared" si="2"/>
        <v>49</v>
      </c>
      <c r="B55" s="25">
        <v>0</v>
      </c>
      <c r="C55" s="29">
        <v>0</v>
      </c>
      <c r="D55" s="52">
        <f t="shared" si="0"/>
        <v>0</v>
      </c>
      <c r="E55" s="54" t="str">
        <f t="shared" si="1"/>
        <v>-</v>
      </c>
      <c r="F55" s="30">
        <f t="shared" si="3"/>
        <v>0</v>
      </c>
      <c r="G55" s="54" t="str">
        <f t="shared" si="5"/>
        <v>-</v>
      </c>
      <c r="H55" s="30">
        <f t="shared" si="4"/>
        <v>0</v>
      </c>
      <c r="I55" s="30">
        <f t="shared" si="7"/>
        <v>0</v>
      </c>
    </row>
    <row r="56" spans="1:9" ht="18.75" hidden="1" thickBot="1">
      <c r="A56" s="31">
        <f t="shared" si="2"/>
        <v>50</v>
      </c>
      <c r="B56" s="32">
        <v>0</v>
      </c>
      <c r="C56" s="33">
        <v>0</v>
      </c>
      <c r="D56" s="53">
        <f t="shared" si="0"/>
        <v>0</v>
      </c>
      <c r="E56" s="57" t="str">
        <f t="shared" si="1"/>
        <v>-</v>
      </c>
      <c r="F56" s="34">
        <f t="shared" si="3"/>
        <v>0</v>
      </c>
      <c r="G56" s="57" t="str">
        <f t="shared" si="5"/>
        <v>-</v>
      </c>
      <c r="H56" s="34">
        <f t="shared" si="4"/>
        <v>0</v>
      </c>
      <c r="I56" s="34">
        <f t="shared" si="7"/>
        <v>0</v>
      </c>
    </row>
    <row r="57" spans="1:9" ht="18.75" thickBot="1">
      <c r="A57" s="40" t="s">
        <v>0</v>
      </c>
      <c r="B57" s="44"/>
      <c r="C57" s="44"/>
      <c r="D57" s="44"/>
      <c r="E57" s="44"/>
      <c r="F57" s="59">
        <f>SUM(F6:F56)</f>
        <v>128898.92036463518</v>
      </c>
      <c r="G57" s="55"/>
      <c r="H57" s="60">
        <f>SUM(H6:H56)</f>
        <v>-1.1641532182693481E-10</v>
      </c>
      <c r="I57" s="4"/>
    </row>
    <row r="58" spans="1:9" ht="18.75" thickBot="1">
      <c r="A58" s="39" t="s">
        <v>28</v>
      </c>
      <c r="B58" s="42"/>
      <c r="C58" s="42"/>
      <c r="D58" s="42"/>
      <c r="E58" s="42"/>
      <c r="F58" s="43">
        <f>I7</f>
        <v>26213.223252928448</v>
      </c>
      <c r="G58" s="47"/>
      <c r="H58" s="47"/>
      <c r="I58" s="4"/>
    </row>
    <row r="59" spans="1:9" ht="18.75" thickBot="1">
      <c r="A59" s="41" t="s">
        <v>1</v>
      </c>
      <c r="B59" s="35"/>
      <c r="C59" s="35"/>
      <c r="D59" s="35"/>
      <c r="E59" s="35"/>
      <c r="F59" s="36">
        <f>IRR(D6:D56)</f>
        <v>6.9083001709953296E-2</v>
      </c>
      <c r="G59" s="48"/>
      <c r="H59" s="48"/>
      <c r="I59" s="4"/>
    </row>
    <row r="60" spans="1:9" ht="18.75" thickBot="1">
      <c r="A60" s="40" t="s">
        <v>2</v>
      </c>
      <c r="B60" s="44"/>
      <c r="C60" s="44"/>
      <c r="D60" s="44"/>
      <c r="E60" s="44"/>
      <c r="F60" s="45">
        <f>NPER(B4,F62,F6,0)</f>
        <v>5.7945273565343332</v>
      </c>
      <c r="G60" s="49"/>
      <c r="H60" s="49"/>
      <c r="I60" s="4"/>
    </row>
    <row r="61" spans="1:9" hidden="1">
      <c r="A61" s="37" t="s">
        <v>16</v>
      </c>
      <c r="F61" s="38">
        <f>SUM(F7:F56)</f>
        <v>4478898.9203646351</v>
      </c>
      <c r="G61" s="38"/>
      <c r="H61" s="38"/>
    </row>
    <row r="62" spans="1:9" hidden="1">
      <c r="A62" s="37" t="s">
        <v>17</v>
      </c>
      <c r="F62" s="1">
        <f>PMT(B4,B3,F61,0)*-1</f>
        <v>910840.65711872396</v>
      </c>
      <c r="G62" s="1"/>
      <c r="H62" s="1"/>
    </row>
    <row r="64" spans="1:9" ht="18">
      <c r="A64" s="58" t="s">
        <v>26</v>
      </c>
    </row>
    <row r="65" spans="1:6" ht="78.599999999999994" customHeight="1">
      <c r="A65" s="394" t="str">
        <f>CONCATENATE("Da nutidsværdien er ",IF(F57&gt;=0,"positiv med ","negativ med "),"kr. ",ROUND(F57,0)," er investeringen ",IF(F57&gt;=0,"rentabel ","ikke rentabel "),"og bør ",IF(F57&gt;=0,"foretages. ","ikke foretages. "),"Den interne rente er på ",ROUND(F59,4)*100," hvilket er ",IF(ROUND((F59-B4),4)*100&gt;0,ROUND((F59-B4),4)*100,ROUND((F59-B4),4)*-100)," %-point ",IF(B4&lt;=F59,"over ","under "),"kalkulationsrenten på ",ROUND(B4,2)*100," %. ","Hvis man omregner nutidsværdien til en annuitet bliver det årlige ",IF(F57&gt;=0,"overskud ","underskud "),"på kr. ",ROUND(F58,0),". ","Både den ",IF(F57&gt;=0,"postive ","negative "),"nutidsværdi og det at den interne rente er ",IF(F57&gt;=0,"over ","under "),"kalkulationsrenten bekræfter os i at investeringen ",IF(F57&gt;=0,"bør foretages.","ikke bør foretages."))</f>
        <v>Da nutidsværdien er positiv med kr. 128899 er investeringen rentabel og bør foretages. Den interne rente er på 6.91 hvilket er 0.91 %-point over kalkulationsrenten på 6 %. Hvis man omregner nutidsværdien til en annuitet bliver det årlige overskud på kr. 26213. Både den postive nutidsværdi og det at den interne rente er over kalkulationsrenten bekræfter os i at investeringen bør foretages.</v>
      </c>
      <c r="B65" s="394"/>
      <c r="C65" s="394"/>
      <c r="D65" s="394"/>
      <c r="E65" s="394"/>
      <c r="F65" s="394"/>
    </row>
    <row r="66" spans="1:6">
      <c r="A66" s="2"/>
      <c r="B66" s="2"/>
    </row>
    <row r="67" spans="1:6">
      <c r="A67" s="2"/>
      <c r="B67" s="2"/>
    </row>
  </sheetData>
  <mergeCells count="2">
    <mergeCell ref="A1:C1"/>
    <mergeCell ref="A65:F65"/>
  </mergeCells>
  <pageMargins left="0.78740157480314965" right="0.39370078740157483" top="0.98425196850393704" bottom="0.98425196850393704" header="0" footer="0"/>
  <pageSetup paperSize="9" scale="76"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BA23"/>
  <sheetViews>
    <sheetView workbookViewId="0">
      <selection activeCell="A21" sqref="A21:D21"/>
    </sheetView>
  </sheetViews>
  <sheetFormatPr defaultRowHeight="12.75"/>
  <cols>
    <col min="1" max="1" width="5.85546875" style="75" customWidth="1"/>
    <col min="2" max="2" width="10.7109375" style="75" customWidth="1"/>
    <col min="3" max="3" width="1.7109375" style="75" customWidth="1"/>
    <col min="4" max="4" width="2.7109375" style="75" customWidth="1"/>
    <col min="5" max="5" width="14.5703125" style="75" customWidth="1"/>
    <col min="6" max="6" width="1.85546875" style="75" bestFit="1" customWidth="1"/>
    <col min="7" max="7" width="5.140625" style="75" bestFit="1" customWidth="1"/>
    <col min="8" max="8" width="2.85546875" style="75" bestFit="1" customWidth="1"/>
    <col min="9" max="9" width="2.140625" style="75" bestFit="1" customWidth="1"/>
    <col min="10" max="10" width="13.140625" style="75" customWidth="1"/>
    <col min="11" max="11" width="1.85546875" style="75" bestFit="1" customWidth="1"/>
    <col min="12" max="12" width="5.140625" style="75" bestFit="1" customWidth="1"/>
    <col min="13" max="13" width="1.85546875" style="75" bestFit="1" customWidth="1"/>
    <col min="14" max="14" width="2.140625" style="75" bestFit="1" customWidth="1"/>
    <col min="15" max="15" width="12.5703125" style="75" customWidth="1"/>
    <col min="16" max="16" width="2" style="75" customWidth="1"/>
    <col min="17" max="17" width="5.140625" style="75" bestFit="1" customWidth="1"/>
    <col min="18" max="18" width="2.28515625" style="75" customWidth="1"/>
    <col min="19" max="19" width="1.85546875" style="75" customWidth="1"/>
    <col min="20" max="20" width="12.5703125" style="75" customWidth="1"/>
    <col min="21" max="21" width="2.140625" style="75" customWidth="1"/>
    <col min="22" max="22" width="5.42578125" style="75" customWidth="1"/>
    <col min="23" max="23" width="1.85546875" style="75" bestFit="1" customWidth="1"/>
    <col min="24" max="24" width="1.85546875" style="75" customWidth="1"/>
    <col min="25" max="25" width="11.42578125" style="75" bestFit="1" customWidth="1"/>
    <col min="26" max="26" width="1.85546875" style="75" customWidth="1"/>
    <col min="27" max="27" width="4.7109375" style="75" customWidth="1"/>
    <col min="28" max="28" width="1.85546875" style="75" customWidth="1"/>
    <col min="29" max="29" width="2.42578125" style="75" customWidth="1"/>
    <col min="30" max="30" width="11.42578125" style="75" bestFit="1" customWidth="1"/>
    <col min="31" max="31" width="2.28515625" style="75" customWidth="1"/>
    <col min="32" max="32" width="5.7109375" style="75" customWidth="1"/>
    <col min="33" max="33" width="1.85546875" style="75" customWidth="1"/>
    <col min="34" max="34" width="1.7109375" style="75" customWidth="1"/>
    <col min="35" max="35" width="11.42578125" style="75" bestFit="1" customWidth="1"/>
    <col min="36" max="36" width="2.7109375" style="75" customWidth="1"/>
    <col min="37" max="37" width="5.28515625" style="75" customWidth="1"/>
    <col min="38" max="38" width="2.28515625" style="75" customWidth="1"/>
    <col min="39" max="39" width="2" style="75" customWidth="1"/>
    <col min="40" max="40" width="11.42578125" style="75" bestFit="1" customWidth="1"/>
    <col min="41" max="41" width="1.85546875" style="75" customWidth="1"/>
    <col min="42" max="42" width="4.85546875" style="75" customWidth="1"/>
    <col min="43" max="43" width="2" style="75" customWidth="1"/>
    <col min="44" max="44" width="1.7109375" style="75" customWidth="1"/>
    <col min="45" max="45" width="11.42578125" style="75" bestFit="1" customWidth="1"/>
    <col min="46" max="46" width="2.28515625" style="75" customWidth="1"/>
    <col min="47" max="47" width="4.85546875" style="75" customWidth="1"/>
    <col min="48" max="48" width="2.140625" style="75" customWidth="1"/>
    <col min="49" max="49" width="2" style="75" customWidth="1"/>
    <col min="50" max="50" width="11.42578125" style="75" bestFit="1" customWidth="1"/>
    <col min="51" max="51" width="1.85546875" style="75" customWidth="1"/>
    <col min="52" max="52" width="5.28515625" style="75" customWidth="1"/>
    <col min="53" max="53" width="2.7109375" style="75" customWidth="1"/>
    <col min="54" max="16384" width="9.140625" style="75"/>
  </cols>
  <sheetData>
    <row r="1" spans="1:53" ht="29.25" customHeight="1">
      <c r="A1" s="461" t="s">
        <v>82</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row>
    <row r="2" spans="1:53" ht="63.75" customHeight="1">
      <c r="A2" s="440" t="str">
        <f>CONCATENATE("Først skal ydelsen på lånet beregnes. Ydelsen på et serielån består af et konstant afdrag og en faldende rente. For det pågældende lån med en hovedstol på ",'Effektiv rente serielån'!D3," og ",'Effektiv rente serielån'!D12," terminer udregnes afdraget ved at dividere ",'Effektiv rente serielån'!D3," med ",'Effektiv rente serielån'!D12,". Det giver et afdrag på ",'Effektiv rente serielån'!D14*-1,". Nu skal renten så beregnes udfra restgælden. Nedenstående tabel viser beregningen af ydelsen. ",IF('Effektiv rente serielån'!D12&gt;10," (Beregningen vises maksimalt for 10 terminer, for at vise metoden)"," "))</f>
        <v xml:space="preserve">Først skal ydelsen på lånet beregnes. Ydelsen på et serielån består af et konstant afdrag og en faldende rente. For det pågældende lån med en hovedstol på 4500000 og 6 terminer udregnes afdraget ved at dividere 4500000 med 6. Det giver et afdrag på 750000. Nu skal renten så beregnes udfra restgælden. Nedenstående tabel viser beregningen af ydelsen.  </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row>
    <row r="3" spans="1:53" ht="44.25" customHeight="1">
      <c r="A3" s="156"/>
      <c r="B3" s="156"/>
      <c r="C3" s="156"/>
      <c r="D3" s="156"/>
      <c r="E3" s="462" t="s">
        <v>81</v>
      </c>
      <c r="F3" s="463"/>
      <c r="G3" s="463"/>
      <c r="H3" s="157">
        <v>1</v>
      </c>
      <c r="I3" s="464" t="str">
        <f>IF('Effektiv rente serielån'!$G$23=0,"","Ydelse")</f>
        <v>Ydelse</v>
      </c>
      <c r="J3" s="465"/>
      <c r="K3" s="465"/>
      <c r="L3" s="465"/>
      <c r="M3" s="158" t="str">
        <f>IF('Effektiv rente serielån'!G23=0,"","2")</f>
        <v>2</v>
      </c>
      <c r="N3" s="464" t="str">
        <f>IF('Effektiv rente serielån'!$G$24=0,"","Ydelse")</f>
        <v>Ydelse</v>
      </c>
      <c r="O3" s="465"/>
      <c r="P3" s="465"/>
      <c r="Q3" s="465"/>
      <c r="R3" s="158" t="str">
        <f>IF('Effektiv rente serielån'!$G$24=0,"","3")</f>
        <v>3</v>
      </c>
      <c r="S3" s="464" t="str">
        <f>IF('Effektiv rente serielån'!$G$25=0,"","Ydelse")</f>
        <v>Ydelse</v>
      </c>
      <c r="T3" s="465"/>
      <c r="U3" s="465"/>
      <c r="V3" s="465"/>
      <c r="W3" s="158" t="str">
        <f>IF('Effektiv rente serielån'!$G$25=0,"","4")</f>
        <v>4</v>
      </c>
      <c r="X3" s="464" t="str">
        <f>IF('Effektiv rente serielån'!$G$26=0,"","Ydelse")</f>
        <v>Ydelse</v>
      </c>
      <c r="Y3" s="465"/>
      <c r="Z3" s="465"/>
      <c r="AA3" s="465"/>
      <c r="AB3" s="158" t="str">
        <f>IF('Effektiv rente serielån'!$G$26=0,"","5")</f>
        <v>5</v>
      </c>
      <c r="AC3" s="464" t="str">
        <f>IF('Effektiv rente serielån'!$G$27=0,"","Ydelse")</f>
        <v>Ydelse</v>
      </c>
      <c r="AD3" s="465"/>
      <c r="AE3" s="465"/>
      <c r="AF3" s="465"/>
      <c r="AG3" s="158" t="str">
        <f>IF('Effektiv rente serielån'!$G$27=0,"","6")</f>
        <v>6</v>
      </c>
      <c r="AH3" s="464" t="str">
        <f>IF('Effektiv rente serielån'!$G$28=0,"","Ydelse")</f>
        <v/>
      </c>
      <c r="AI3" s="465"/>
      <c r="AJ3" s="465"/>
      <c r="AK3" s="465"/>
      <c r="AL3" s="158" t="str">
        <f>IF('Effektiv rente serielån'!$G$28=0,"","7")</f>
        <v/>
      </c>
      <c r="AM3" s="464" t="str">
        <f>IF('Effektiv rente serielån'!$G$29=0,"","Ydelse")</f>
        <v/>
      </c>
      <c r="AN3" s="465"/>
      <c r="AO3" s="465"/>
      <c r="AP3" s="465"/>
      <c r="AQ3" s="158" t="str">
        <f>IF('Effektiv rente serielån'!$G$29=0,"","8")</f>
        <v/>
      </c>
      <c r="AR3" s="464" t="str">
        <f>IF('Effektiv rente serielån'!$G$30=0,"","Ydelse")</f>
        <v/>
      </c>
      <c r="AS3" s="465"/>
      <c r="AT3" s="465"/>
      <c r="AU3" s="465"/>
      <c r="AV3" s="158" t="str">
        <f>IF('Effektiv rente serielån'!$G$30=0,"","9")</f>
        <v/>
      </c>
      <c r="AW3" s="464" t="str">
        <f>IF('Effektiv rente serielån'!$G$31=0,"","Ydelse")</f>
        <v/>
      </c>
      <c r="AX3" s="465"/>
      <c r="AY3" s="465"/>
      <c r="AZ3" s="465"/>
      <c r="BA3" s="158" t="str">
        <f>IF('Effektiv rente serielån'!$G$31=0,"","10")</f>
        <v/>
      </c>
    </row>
    <row r="4" spans="1:53" ht="44.25" customHeight="1">
      <c r="A4" s="449" t="s">
        <v>83</v>
      </c>
      <c r="B4" s="450"/>
      <c r="C4" s="450"/>
      <c r="D4" s="451"/>
      <c r="E4" s="457">
        <f>'Effektiv rente serielån'!D3</f>
        <v>4500000</v>
      </c>
      <c r="F4" s="457"/>
      <c r="G4" s="457"/>
      <c r="H4" s="457"/>
      <c r="I4" s="453">
        <f>IF('Effektiv rente serielån'!$G$23=0," ",'Effektiv rente serielån'!$B$24)</f>
        <v>3750000</v>
      </c>
      <c r="J4" s="453"/>
      <c r="K4" s="453"/>
      <c r="L4" s="453"/>
      <c r="M4" s="453"/>
      <c r="N4" s="458">
        <f>IF('Effektiv rente serielån'!$G$24=0," ",'Effektiv rente serielån'!$B$25)</f>
        <v>3000000</v>
      </c>
      <c r="O4" s="459"/>
      <c r="P4" s="459"/>
      <c r="Q4" s="459"/>
      <c r="R4" s="460"/>
      <c r="S4" s="453">
        <f>IF('Effektiv rente serielån'!$G$25=0," ",'Effektiv rente serielån'!$B$26)</f>
        <v>2250000</v>
      </c>
      <c r="T4" s="453"/>
      <c r="U4" s="453"/>
      <c r="V4" s="453"/>
      <c r="W4" s="453"/>
      <c r="X4" s="453">
        <f>IF('Effektiv rente serielån'!$G$26=0," ",'Effektiv rente serielån'!$B$27)</f>
        <v>1500000</v>
      </c>
      <c r="Y4" s="453"/>
      <c r="Z4" s="453"/>
      <c r="AA4" s="453"/>
      <c r="AB4" s="453"/>
      <c r="AC4" s="453">
        <f>IF('Effektiv rente serielån'!$G$27=0," ",'Effektiv rente serielån'!$B$28)</f>
        <v>750000</v>
      </c>
      <c r="AD4" s="453"/>
      <c r="AE4" s="453"/>
      <c r="AF4" s="453"/>
      <c r="AG4" s="453"/>
      <c r="AH4" s="453" t="str">
        <f>IF('Effektiv rente serielån'!$G$28=0," ",'Effektiv rente serielån'!$B$29)</f>
        <v xml:space="preserve"> </v>
      </c>
      <c r="AI4" s="453"/>
      <c r="AJ4" s="453"/>
      <c r="AK4" s="453"/>
      <c r="AL4" s="453"/>
      <c r="AM4" s="453" t="str">
        <f>IF('Effektiv rente serielån'!$G$29=0," ",'Effektiv rente serielån'!$B$30)</f>
        <v xml:space="preserve"> </v>
      </c>
      <c r="AN4" s="453"/>
      <c r="AO4" s="453"/>
      <c r="AP4" s="453"/>
      <c r="AQ4" s="453"/>
      <c r="AR4" s="453" t="str">
        <f>IF('Effektiv rente serielån'!$G$30=0," ",'Effektiv rente serielån'!$B$31)</f>
        <v xml:space="preserve"> </v>
      </c>
      <c r="AS4" s="453"/>
      <c r="AT4" s="453"/>
      <c r="AU4" s="453"/>
      <c r="AV4" s="453"/>
      <c r="AW4" s="453" t="str">
        <f>IF('Effektiv rente serielån'!$G$31=0," ",'Effektiv rente serielån'!$B$32)</f>
        <v xml:space="preserve"> </v>
      </c>
      <c r="AX4" s="453"/>
      <c r="AY4" s="453"/>
      <c r="AZ4" s="453"/>
      <c r="BA4" s="453"/>
    </row>
    <row r="5" spans="1:53" ht="44.25" customHeight="1">
      <c r="A5" s="449" t="str">
        <f>CONCATENATE("Rente ",'Effektiv rente serielån'!D13*100,"% af restgælden")</f>
        <v>Rente 3.5% af restgælden</v>
      </c>
      <c r="B5" s="450"/>
      <c r="C5" s="450"/>
      <c r="D5" s="451"/>
      <c r="E5" s="457">
        <f>'Effektiv rente serielån'!E23</f>
        <v>157500.00000000003</v>
      </c>
      <c r="F5" s="457"/>
      <c r="G5" s="457"/>
      <c r="H5" s="457"/>
      <c r="I5" s="453">
        <f>IF('Effektiv rente serielån'!$G$23=0," ",'Effektiv rente serielån'!$E$24)</f>
        <v>131250</v>
      </c>
      <c r="J5" s="453"/>
      <c r="K5" s="453"/>
      <c r="L5" s="453"/>
      <c r="M5" s="453"/>
      <c r="N5" s="453">
        <f>IF('Effektiv rente serielån'!$G$24=0," ",'Effektiv rente serielån'!$E$25)</f>
        <v>105000.00000000001</v>
      </c>
      <c r="O5" s="453"/>
      <c r="P5" s="453"/>
      <c r="Q5" s="453"/>
      <c r="R5" s="453"/>
      <c r="S5" s="453">
        <f>IF('Effektiv rente serielån'!$G$25=0," ",'Effektiv rente serielån'!$E$26)</f>
        <v>78750.000000000015</v>
      </c>
      <c r="T5" s="453"/>
      <c r="U5" s="453"/>
      <c r="V5" s="453"/>
      <c r="W5" s="453"/>
      <c r="X5" s="453">
        <f>IF('Effektiv rente serielån'!$G$26=0," ",'Effektiv rente serielån'!$E$27)</f>
        <v>52500.000000000007</v>
      </c>
      <c r="Y5" s="453"/>
      <c r="Z5" s="453"/>
      <c r="AA5" s="453"/>
      <c r="AB5" s="453"/>
      <c r="AC5" s="453">
        <f>IF('Effektiv rente serielån'!$G$27=0," ",'Effektiv rente serielån'!$E$28)</f>
        <v>26250.000000000004</v>
      </c>
      <c r="AD5" s="453"/>
      <c r="AE5" s="453"/>
      <c r="AF5" s="453"/>
      <c r="AG5" s="453"/>
      <c r="AH5" s="453" t="str">
        <f>IF('Effektiv rente serielån'!$G$28=0," ",'Effektiv rente serielån'!$E$29)</f>
        <v xml:space="preserve"> </v>
      </c>
      <c r="AI5" s="453"/>
      <c r="AJ5" s="453"/>
      <c r="AK5" s="453"/>
      <c r="AL5" s="453"/>
      <c r="AM5" s="453" t="str">
        <f>IF('Effektiv rente serielån'!$G$29=0," ",'Effektiv rente serielån'!$E$30)</f>
        <v xml:space="preserve"> </v>
      </c>
      <c r="AN5" s="453"/>
      <c r="AO5" s="453"/>
      <c r="AP5" s="453"/>
      <c r="AQ5" s="453"/>
      <c r="AR5" s="453" t="str">
        <f>IF('Effektiv rente serielån'!$G$30=0," ",'Effektiv rente serielån'!$E$31)</f>
        <v xml:space="preserve"> </v>
      </c>
      <c r="AS5" s="453"/>
      <c r="AT5" s="453"/>
      <c r="AU5" s="453"/>
      <c r="AV5" s="453"/>
      <c r="AW5" s="453" t="str">
        <f>IF('Effektiv rente serielån'!$G$31=0," ",'Effektiv rente serielån'!$E$32)</f>
        <v xml:space="preserve"> </v>
      </c>
      <c r="AX5" s="453"/>
      <c r="AY5" s="453"/>
      <c r="AZ5" s="453"/>
      <c r="BA5" s="453"/>
    </row>
    <row r="6" spans="1:53" ht="33.75" customHeight="1">
      <c r="A6" s="449" t="s">
        <v>55</v>
      </c>
      <c r="B6" s="450"/>
      <c r="C6" s="450"/>
      <c r="D6" s="451"/>
      <c r="E6" s="457">
        <f>'Effektiv rente serielån'!F23</f>
        <v>750000</v>
      </c>
      <c r="F6" s="457"/>
      <c r="G6" s="457"/>
      <c r="H6" s="457"/>
      <c r="I6" s="453">
        <f>IF('Effektiv rente serielån'!$G$23=0," ",'Effektiv rente serielån'!$F$24)</f>
        <v>750000</v>
      </c>
      <c r="J6" s="453"/>
      <c r="K6" s="453"/>
      <c r="L6" s="453"/>
      <c r="M6" s="453"/>
      <c r="N6" s="453">
        <f>IF('Effektiv rente serielån'!$G$24=0," ",'Effektiv rente serielån'!$F$25)</f>
        <v>750000</v>
      </c>
      <c r="O6" s="453"/>
      <c r="P6" s="453"/>
      <c r="Q6" s="453"/>
      <c r="R6" s="453"/>
      <c r="S6" s="453">
        <f>IF('Effektiv rente serielån'!$G$25=0," ",'Effektiv rente serielån'!$F$26)</f>
        <v>750000</v>
      </c>
      <c r="T6" s="453"/>
      <c r="U6" s="453"/>
      <c r="V6" s="453"/>
      <c r="W6" s="453"/>
      <c r="X6" s="453">
        <f>IF('Effektiv rente serielån'!$G$26=0," ",'Effektiv rente serielån'!$F$27)</f>
        <v>750000</v>
      </c>
      <c r="Y6" s="453"/>
      <c r="Z6" s="453"/>
      <c r="AA6" s="453"/>
      <c r="AB6" s="453"/>
      <c r="AC6" s="453">
        <f>IF('Effektiv rente serielån'!$G$27=0," ",'Effektiv rente serielån'!$F$28)</f>
        <v>750000</v>
      </c>
      <c r="AD6" s="453"/>
      <c r="AE6" s="453"/>
      <c r="AF6" s="453"/>
      <c r="AG6" s="453"/>
      <c r="AH6" s="453" t="str">
        <f>IF('Effektiv rente serielån'!$G$28=0," ",'Effektiv rente serielån'!$F$29)</f>
        <v xml:space="preserve"> </v>
      </c>
      <c r="AI6" s="453"/>
      <c r="AJ6" s="453"/>
      <c r="AK6" s="453"/>
      <c r="AL6" s="453"/>
      <c r="AM6" s="453" t="str">
        <f>IF('Effektiv rente serielån'!$G$29=0," ",'Effektiv rente serielån'!$F$30)</f>
        <v xml:space="preserve"> </v>
      </c>
      <c r="AN6" s="453"/>
      <c r="AO6" s="453"/>
      <c r="AP6" s="453"/>
      <c r="AQ6" s="453"/>
      <c r="AR6" s="453" t="str">
        <f>IF('Effektiv rente serielån'!$G$30=0," ",'Effektiv rente serielån'!$F$31)</f>
        <v xml:space="preserve"> </v>
      </c>
      <c r="AS6" s="453"/>
      <c r="AT6" s="453"/>
      <c r="AU6" s="453"/>
      <c r="AV6" s="453"/>
      <c r="AW6" s="453" t="str">
        <f>IF('Effektiv rente serielån'!$G$31=0," ",'Effektiv rente serielån'!$F$32)</f>
        <v xml:space="preserve"> </v>
      </c>
      <c r="AX6" s="453"/>
      <c r="AY6" s="453"/>
      <c r="AZ6" s="453"/>
      <c r="BA6" s="453"/>
    </row>
    <row r="7" spans="1:53" ht="33.75" hidden="1" customHeight="1">
      <c r="A7" s="449" t="s">
        <v>84</v>
      </c>
      <c r="B7" s="450"/>
      <c r="C7" s="451"/>
      <c r="D7" s="159"/>
      <c r="E7" s="454">
        <f>'Effektiv rente serielån'!D15</f>
        <v>0</v>
      </c>
      <c r="F7" s="455"/>
      <c r="G7" s="455"/>
      <c r="H7" s="456"/>
      <c r="I7" s="453">
        <f>IF('Effektiv rente serielån'!$G$23=0," ",'Effektiv rente serielån'!$D15)</f>
        <v>0</v>
      </c>
      <c r="J7" s="453"/>
      <c r="K7" s="453"/>
      <c r="L7" s="453"/>
      <c r="M7" s="453"/>
      <c r="N7" s="453">
        <f>IF('Effektiv rente serielån'!$G$24=0," ",'Effektiv rente serielån'!$D15)</f>
        <v>0</v>
      </c>
      <c r="O7" s="453"/>
      <c r="P7" s="453"/>
      <c r="Q7" s="453"/>
      <c r="R7" s="453"/>
      <c r="S7" s="453">
        <f>IF('Effektiv rente serielån'!$G$25=0," ",'Effektiv rente serielån'!$D$15)</f>
        <v>0</v>
      </c>
      <c r="T7" s="453"/>
      <c r="U7" s="453"/>
      <c r="V7" s="453"/>
      <c r="W7" s="453"/>
      <c r="X7" s="453">
        <f>IF('Effektiv rente serielån'!$G$26=0," ",'Effektiv rente serielån'!$D15)</f>
        <v>0</v>
      </c>
      <c r="Y7" s="453"/>
      <c r="Z7" s="453"/>
      <c r="AA7" s="453"/>
      <c r="AB7" s="453"/>
      <c r="AC7" s="453">
        <f>IF('Effektiv rente serielån'!$G$27=0," ",'Effektiv rente serielån'!$D15)</f>
        <v>0</v>
      </c>
      <c r="AD7" s="453"/>
      <c r="AE7" s="453"/>
      <c r="AF7" s="453"/>
      <c r="AG7" s="453"/>
      <c r="AH7" s="453" t="str">
        <f>IF('Effektiv rente serielån'!$G$28=0," ",'Effektiv rente serielån'!$D15)</f>
        <v xml:space="preserve"> </v>
      </c>
      <c r="AI7" s="453"/>
      <c r="AJ7" s="453"/>
      <c r="AK7" s="453"/>
      <c r="AL7" s="453"/>
      <c r="AM7" s="453" t="str">
        <f>IF('Effektiv rente serielån'!$G$29=0," ",'Effektiv rente serielån'!$D15)</f>
        <v xml:space="preserve"> </v>
      </c>
      <c r="AN7" s="453"/>
      <c r="AO7" s="453"/>
      <c r="AP7" s="453"/>
      <c r="AQ7" s="453"/>
      <c r="AR7" s="453" t="str">
        <f>IF('Effektiv rente serielån'!$G$30=0," ",'Effektiv rente serielån'!$D15)</f>
        <v xml:space="preserve"> </v>
      </c>
      <c r="AS7" s="453"/>
      <c r="AT7" s="453"/>
      <c r="AU7" s="453"/>
      <c r="AV7" s="453"/>
      <c r="AW7" s="453" t="str">
        <f>IF('Effektiv rente serielån'!$G$31=0," ",'Effektiv rente serielån'!$D15)</f>
        <v xml:space="preserve"> </v>
      </c>
      <c r="AX7" s="453"/>
      <c r="AY7" s="453"/>
      <c r="AZ7" s="453"/>
      <c r="BA7" s="453"/>
    </row>
    <row r="8" spans="1:53" ht="44.25" customHeight="1">
      <c r="A8" s="449" t="str">
        <f>IF('Effektiv rente serielån'!D15=0,"Ydelse                     (afdrag + rente)","Ydelse      (afdrag+rente   +gebyr)")</f>
        <v>Ydelse                     (afdrag + rente)</v>
      </c>
      <c r="B8" s="450"/>
      <c r="C8" s="450"/>
      <c r="D8" s="451"/>
      <c r="E8" s="452">
        <f>'Effektiv rente serielån'!C23</f>
        <v>907500</v>
      </c>
      <c r="F8" s="452"/>
      <c r="G8" s="452"/>
      <c r="H8" s="452"/>
      <c r="I8" s="453">
        <f>IF('Effektiv rente serielån'!$G$23=0," ",'Effektiv rente serielån'!$C$24)</f>
        <v>881250</v>
      </c>
      <c r="J8" s="453"/>
      <c r="K8" s="453"/>
      <c r="L8" s="453"/>
      <c r="M8" s="453"/>
      <c r="N8" s="453">
        <f>IF('Effektiv rente serielån'!$G$24=0," ",'Effektiv rente serielån'!$C$25)</f>
        <v>855000</v>
      </c>
      <c r="O8" s="453"/>
      <c r="P8" s="453"/>
      <c r="Q8" s="453"/>
      <c r="R8" s="453"/>
      <c r="S8" s="453">
        <f>IF('Effektiv rente serielån'!$G$25=0," ",'Effektiv rente serielån'!$C$26)</f>
        <v>828750</v>
      </c>
      <c r="T8" s="453"/>
      <c r="U8" s="453"/>
      <c r="V8" s="453"/>
      <c r="W8" s="453"/>
      <c r="X8" s="453">
        <f>IF('Effektiv rente serielån'!$G$26=0," ",'Effektiv rente serielån'!$C$27)</f>
        <v>802500</v>
      </c>
      <c r="Y8" s="453"/>
      <c r="Z8" s="453"/>
      <c r="AA8" s="453"/>
      <c r="AB8" s="453"/>
      <c r="AC8" s="453">
        <f>IF('Effektiv rente serielån'!$G$27=0," ",'Effektiv rente serielån'!$C$28)</f>
        <v>776250</v>
      </c>
      <c r="AD8" s="453"/>
      <c r="AE8" s="453"/>
      <c r="AF8" s="453"/>
      <c r="AG8" s="453"/>
      <c r="AH8" s="453" t="str">
        <f>IF('Effektiv rente serielån'!$G$28=0," ",'Effektiv rente serielån'!$C$29)</f>
        <v xml:space="preserve"> </v>
      </c>
      <c r="AI8" s="453"/>
      <c r="AJ8" s="453"/>
      <c r="AK8" s="453"/>
      <c r="AL8" s="453"/>
      <c r="AM8" s="453" t="str">
        <f>IF('Effektiv rente serielån'!$G$29=0," ",'Effektiv rente serielån'!$C$30)</f>
        <v xml:space="preserve"> </v>
      </c>
      <c r="AN8" s="453"/>
      <c r="AO8" s="453"/>
      <c r="AP8" s="453"/>
      <c r="AQ8" s="453"/>
      <c r="AR8" s="453" t="str">
        <f>IF('Effektiv rente serielån'!$G$30=0," ",'Effektiv rente serielån'!$C$31)</f>
        <v xml:space="preserve"> </v>
      </c>
      <c r="AS8" s="453"/>
      <c r="AT8" s="453"/>
      <c r="AU8" s="453"/>
      <c r="AV8" s="453"/>
      <c r="AW8" s="453" t="str">
        <f>IF('Effektiv rente serielån'!$G$31=0," ",'Effektiv rente serielån'!$C$32)</f>
        <v xml:space="preserve"> </v>
      </c>
      <c r="AX8" s="453"/>
      <c r="AY8" s="453"/>
      <c r="AZ8" s="453"/>
      <c r="BA8" s="453"/>
    </row>
    <row r="9" spans="1:53" ht="34.5" customHeight="1">
      <c r="A9" s="448"/>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row>
    <row r="10" spans="1:53" ht="41.25" customHeight="1">
      <c r="A10" s="440"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ubekendt.",IF('Effektiv rente serielån'!D12&gt;10," (Beregningen vises maximalt for 10 terminer for at vise metoden)"," "))</f>
        <v xml:space="preserv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row>
    <row r="11" spans="1:53" ht="26.25" customHeight="1">
      <c r="A11" s="441" t="str">
        <f>CONCATENATE("(Nettoprovenuet)     ",'Effektiv rente serielån'!D8)</f>
        <v>(Nettoprovenuet)     4340000</v>
      </c>
      <c r="B11" s="442"/>
      <c r="C11" s="75" t="s">
        <v>62</v>
      </c>
      <c r="E11" s="160">
        <f>'Effektiv rente serielån'!C23</f>
        <v>907500</v>
      </c>
      <c r="F11" s="161" t="s">
        <v>65</v>
      </c>
      <c r="G11" s="75" t="s">
        <v>85</v>
      </c>
      <c r="H11" s="162">
        <v>-1</v>
      </c>
      <c r="I11" s="75" t="str">
        <f>IF('Effektiv rente serielån'!C24=0,"","+")</f>
        <v>+</v>
      </c>
      <c r="J11" s="163">
        <f>IF('Effektiv rente serielån'!C24=0,"",'Effektiv rente serielån'!C24)</f>
        <v>881250</v>
      </c>
      <c r="K11" s="75" t="str">
        <f>IF('Effektiv rente serielån'!C24=0,"","*")</f>
        <v>*</v>
      </c>
      <c r="L11" s="75" t="str">
        <f>IF('Effektiv rente serielån'!C24=0,"","(1+r)")</f>
        <v>(1+r)</v>
      </c>
      <c r="M11" s="164" t="str">
        <f>IF('Effektiv rente serielån'!C24=0,"","-2")</f>
        <v>-2</v>
      </c>
      <c r="N11" s="165" t="str">
        <f>IF('Effektiv rente serielån'!C25=0,"","+")</f>
        <v>+</v>
      </c>
      <c r="O11" s="166">
        <f>IF('Effektiv rente serielån'!C25=0,"",'Effektiv rente serielån'!C25)</f>
        <v>855000</v>
      </c>
      <c r="P11" s="165" t="str">
        <f>IF('Effektiv rente serielån'!C25=0,"","*")</f>
        <v>*</v>
      </c>
      <c r="Q11" s="165" t="str">
        <f>IF('Effektiv rente serielån'!C25=0,"","(1+r)")</f>
        <v>(1+r)</v>
      </c>
      <c r="R11" s="164" t="str">
        <f>IF('Effektiv rente serielån'!C25=0,"","-3")</f>
        <v>-3</v>
      </c>
      <c r="S11" s="167" t="str">
        <f>IF('Effektiv rente serielån'!C26=0,"","+")</f>
        <v>+</v>
      </c>
      <c r="T11" s="168">
        <f>IF('Effektiv rente serielån'!C26=0,"",'Effektiv rente serielån'!C26)</f>
        <v>828750</v>
      </c>
      <c r="U11" s="168" t="str">
        <f>IF('Effektiv rente serielån'!C26=0,"","*")</f>
        <v>*</v>
      </c>
      <c r="V11" s="169" t="str">
        <f>IF('Effektiv rente serielån'!C26=0,"","(1+r)")</f>
        <v>(1+r)</v>
      </c>
      <c r="W11" s="170" t="str">
        <f>IF('Effektiv rente serielån'!C26=0,"","-4")</f>
        <v>-4</v>
      </c>
      <c r="X11" s="168" t="str">
        <f>IF('Effektiv rente serielån'!C27=0,"","+")</f>
        <v>+</v>
      </c>
      <c r="Y11" s="168">
        <f>IF('Effektiv rente serielån'!C27=0,"",'Effektiv rente serielån'!C27)</f>
        <v>802500</v>
      </c>
      <c r="Z11" s="168" t="str">
        <f>IF('Effektiv rente serielån'!C27=0,"","*")</f>
        <v>*</v>
      </c>
      <c r="AA11" s="168" t="str">
        <f>IF('Effektiv rente serielån'!C27=0,"","(1+r)")</f>
        <v>(1+r)</v>
      </c>
      <c r="AB11" s="170" t="str">
        <f>IF('Effektiv rente serielån'!C27=0,"","-5")</f>
        <v>-5</v>
      </c>
      <c r="AC11" s="168" t="str">
        <f>IF('Effektiv rente serielån'!C28=0,"","+")</f>
        <v>+</v>
      </c>
      <c r="AD11" s="168">
        <f>IF('Effektiv rente serielån'!C28=0,"",'Effektiv rente serielån'!C28)</f>
        <v>776250</v>
      </c>
      <c r="AE11" s="168" t="str">
        <f>IF('Effektiv rente serielån'!C28=0,"","*")</f>
        <v>*</v>
      </c>
      <c r="AF11" s="168" t="str">
        <f>IF('Effektiv rente serielån'!C28=0,"","(1+r)")</f>
        <v>(1+r)</v>
      </c>
      <c r="AG11" s="170" t="str">
        <f>IF('Effektiv rente serielån'!C28=0,"","-6")</f>
        <v>-6</v>
      </c>
      <c r="AH11" s="168" t="str">
        <f>IF('Effektiv rente serielån'!C29=0,"","+")</f>
        <v/>
      </c>
      <c r="AI11" s="168" t="str">
        <f>IF('Effektiv rente serielån'!C29=0,"",'Effektiv rente serielån'!C29)</f>
        <v/>
      </c>
      <c r="AJ11" s="168" t="str">
        <f>IF('Effektiv rente serielån'!C29=0,"","*")</f>
        <v/>
      </c>
      <c r="AK11" s="168" t="str">
        <f>IF('Effektiv rente serielån'!C29=0,"","(1+r)")</f>
        <v/>
      </c>
      <c r="AL11" s="170" t="str">
        <f>IF('Effektiv rente serielån'!C29=0,"","-7")</f>
        <v/>
      </c>
      <c r="AM11" s="168" t="str">
        <f>IF('Effektiv rente serielån'!C30=0,"","+")</f>
        <v/>
      </c>
      <c r="AN11" s="168" t="str">
        <f>IF('Effektiv rente serielån'!C30=0,"",'Effektiv rente serielån'!C30)</f>
        <v/>
      </c>
      <c r="AO11" s="168" t="str">
        <f>IF('Effektiv rente serielån'!C30=0,"","*")</f>
        <v/>
      </c>
      <c r="AP11" s="168" t="str">
        <f>IF('Effektiv rente serielån'!C30=0,"","(1+r)")</f>
        <v/>
      </c>
      <c r="AQ11" s="170" t="str">
        <f>IF('Effektiv rente serielån'!C30=0,"","-8")</f>
        <v/>
      </c>
      <c r="AR11" s="168" t="str">
        <f>IF('Effektiv rente serielån'!C31=0,"","+")</f>
        <v/>
      </c>
      <c r="AS11" s="168" t="str">
        <f>IF('Effektiv rente serielån'!C31=0,"",'Effektiv rente serielån'!C31)</f>
        <v/>
      </c>
      <c r="AT11" s="168" t="str">
        <f>IF('Effektiv rente serielån'!C31=0,"","*")</f>
        <v/>
      </c>
      <c r="AU11" s="168" t="str">
        <f>IF('Effektiv rente serielån'!C31=0,"","(1+r)")</f>
        <v/>
      </c>
      <c r="AV11" s="170" t="str">
        <f>IF('Effektiv rente serielån'!C31=0,"","-9")</f>
        <v/>
      </c>
      <c r="AW11" s="168" t="str">
        <f>IF('Effektiv rente serielån'!C32=0,"","+")</f>
        <v/>
      </c>
      <c r="AX11" s="168" t="str">
        <f>IF('Effektiv rente serielån'!C32=0,"",'Effektiv rente serielån'!C32)</f>
        <v/>
      </c>
      <c r="AY11" s="168" t="str">
        <f>IF('Effektiv rente serielån'!C32=0,"","*")</f>
        <v/>
      </c>
      <c r="AZ11" s="168" t="str">
        <f>IF('Effektiv rente serielån'!C32=0,"","(1+r)")</f>
        <v/>
      </c>
      <c r="BA11" s="170" t="str">
        <f>IF('Effektiv rente serielån'!C32=0,"","-10")</f>
        <v/>
      </c>
    </row>
    <row r="12" spans="1:53" ht="20.25" customHeight="1">
      <c r="A12" s="417" t="s">
        <v>72</v>
      </c>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row>
    <row r="13" spans="1:53" ht="24" customHeight="1">
      <c r="A13" s="443" t="s">
        <v>67</v>
      </c>
      <c r="B13" s="443"/>
      <c r="C13" s="171" t="s">
        <v>62</v>
      </c>
      <c r="D13" s="171"/>
      <c r="E13" s="172">
        <f>IRR('Effektiv rente serielån'!C22:C382)</f>
        <v>4.6440105554629414E-2</v>
      </c>
    </row>
    <row r="14" spans="1:53" ht="24" customHeight="1">
      <c r="A14" s="417" t="s">
        <v>86</v>
      </c>
      <c r="B14" s="417"/>
      <c r="C14" s="417"/>
      <c r="D14" s="417"/>
      <c r="E14" s="417"/>
    </row>
    <row r="15" spans="1:53" ht="25.15" customHeight="1" thickBot="1">
      <c r="A15" s="444" t="s">
        <v>67</v>
      </c>
      <c r="B15" s="444"/>
      <c r="C15" s="173" t="s">
        <v>62</v>
      </c>
      <c r="D15" s="173"/>
      <c r="E15" s="174">
        <f>E13</f>
        <v>4.6440105554629414E-2</v>
      </c>
    </row>
    <row r="16" spans="1:53" ht="13.5" thickTop="1"/>
    <row r="17" spans="1:20" ht="21" customHeight="1">
      <c r="A17" s="445" t="str">
        <f>IF('Effektiv rente serielån'!D11=1,"",CONCATENATE("Da terminerne på lånet er ",'Effektiv rente serielån'!D11," gange pr. år skal følgende beregning foretages:"))</f>
        <v/>
      </c>
      <c r="B17" s="445"/>
      <c r="C17" s="445"/>
      <c r="D17" s="445"/>
      <c r="E17" s="445"/>
      <c r="F17" s="445"/>
      <c r="G17" s="445"/>
      <c r="H17" s="445"/>
      <c r="I17" s="445"/>
      <c r="J17" s="445"/>
      <c r="K17" s="445"/>
      <c r="L17" s="445"/>
      <c r="M17" s="445"/>
      <c r="N17" s="445"/>
      <c r="O17" s="445"/>
      <c r="P17" s="445"/>
      <c r="Q17" s="445"/>
      <c r="R17" s="445"/>
      <c r="S17" s="445"/>
      <c r="T17" s="445"/>
    </row>
    <row r="18" spans="1:20" ht="32.450000000000003" customHeight="1">
      <c r="A18" s="446" t="str">
        <f>IF('Effektiv rente serielån'!$D$11=1,"","(1+r)")</f>
        <v/>
      </c>
      <c r="B18" s="446"/>
      <c r="C18" s="130" t="str">
        <f>IF('Effektiv rente serielån'!$D$11=1,"",'Effektiv rente serielån'!$D$11)</f>
        <v/>
      </c>
      <c r="D18" s="175" t="str">
        <f>IF('Effektiv rente serielån'!$D$11=1,"","-1")</f>
        <v/>
      </c>
      <c r="E18" s="131" t="str">
        <f>IF('Effektiv rente serielån'!$D$11=1,"",CONCATENATE("="," Årlig rente"))</f>
        <v/>
      </c>
    </row>
    <row r="19" spans="1:20" ht="23.45" customHeight="1">
      <c r="A19" s="176" t="str">
        <f>IF('Effektiv rente serielån'!$D$11=1,"","Ved at indsætte fås:")</f>
        <v/>
      </c>
      <c r="B19" s="176"/>
      <c r="C19" s="176"/>
      <c r="D19" s="176"/>
      <c r="E19" s="176"/>
      <c r="F19" s="176"/>
      <c r="G19" s="176"/>
      <c r="H19" s="177"/>
      <c r="I19" s="177"/>
      <c r="J19" s="177"/>
      <c r="K19" s="177"/>
      <c r="L19" s="177"/>
      <c r="M19" s="177"/>
      <c r="N19" s="177"/>
      <c r="O19" s="177"/>
      <c r="P19" s="177"/>
      <c r="Q19" s="177"/>
      <c r="R19" s="177"/>
      <c r="S19" s="177"/>
      <c r="T19" s="177"/>
    </row>
    <row r="20" spans="1:20" ht="30.6" customHeight="1">
      <c r="A20" s="447" t="str">
        <f>IF('Effektiv rente serielån'!D11=1,"",CONCATENATE("(1+",ROUND(E15,4),")"))</f>
        <v/>
      </c>
      <c r="B20" s="447"/>
      <c r="C20" s="130" t="str">
        <f>IF('Effektiv rente serielån'!$D$11=1,"",'Effektiv rente serielån'!$D$11)</f>
        <v/>
      </c>
      <c r="D20" s="175" t="str">
        <f>IF('Effektiv rente serielån'!$D$11=1,"","-1")</f>
        <v/>
      </c>
      <c r="E20" s="131" t="str">
        <f>IF('Effektiv rente serielån'!$D$11=1,"",CONCATENATE("="," Årlig rente"))</f>
        <v/>
      </c>
    </row>
    <row r="21" spans="1:20" ht="31.15" customHeight="1">
      <c r="A21" s="419" t="str">
        <f>IF('Effektiv rente serielån'!D11=1,"",'Effektiv rente serielån'!D17)</f>
        <v/>
      </c>
      <c r="B21" s="419"/>
      <c r="C21" s="419"/>
      <c r="D21" s="419"/>
      <c r="E21" s="131" t="str">
        <f>E20</f>
        <v/>
      </c>
    </row>
    <row r="22" spans="1:20" ht="18">
      <c r="A22" s="417" t="str">
        <f>IF('Effektiv rente serielån'!D11=1,"","Eller udtrykt i %:")</f>
        <v/>
      </c>
      <c r="B22" s="417"/>
      <c r="C22" s="417"/>
      <c r="D22" s="417"/>
      <c r="E22" s="417"/>
    </row>
    <row r="23" spans="1:20" ht="24.6" customHeight="1">
      <c r="A23" s="412" t="str">
        <f>IF('Effektiv rente serielån'!$D$11=1,"",CONCATENATE("Årlig rente = ",ROUND('Effektiv rente serielån'!D17*100,2),"%"))</f>
        <v/>
      </c>
      <c r="B23" s="412"/>
      <c r="C23" s="412"/>
      <c r="D23" s="412"/>
      <c r="E23" s="412"/>
      <c r="F23" s="412"/>
    </row>
  </sheetData>
  <mergeCells count="80">
    <mergeCell ref="A1:BA1"/>
    <mergeCell ref="A2:BA2"/>
    <mergeCell ref="E3:G3"/>
    <mergeCell ref="I3:L3"/>
    <mergeCell ref="N3:Q3"/>
    <mergeCell ref="S3:V3"/>
    <mergeCell ref="X3:AA3"/>
    <mergeCell ref="AC3:AF3"/>
    <mergeCell ref="AH3:AK3"/>
    <mergeCell ref="AM3:AP3"/>
    <mergeCell ref="AR3:AU3"/>
    <mergeCell ref="AW3:AZ3"/>
    <mergeCell ref="AR4:AV4"/>
    <mergeCell ref="A4:D4"/>
    <mergeCell ref="E4:H4"/>
    <mergeCell ref="I4:M4"/>
    <mergeCell ref="N4:R4"/>
    <mergeCell ref="S4:W4"/>
    <mergeCell ref="AW4:BA4"/>
    <mergeCell ref="A5:D5"/>
    <mergeCell ref="E5:H5"/>
    <mergeCell ref="I5:M5"/>
    <mergeCell ref="N5:R5"/>
    <mergeCell ref="S5:W5"/>
    <mergeCell ref="X5:AB5"/>
    <mergeCell ref="AC5:AG5"/>
    <mergeCell ref="AH5:AL5"/>
    <mergeCell ref="AM5:AQ5"/>
    <mergeCell ref="AR5:AV5"/>
    <mergeCell ref="AW5:BA5"/>
    <mergeCell ref="X4:AB4"/>
    <mergeCell ref="AC4:AG4"/>
    <mergeCell ref="AH4:AL4"/>
    <mergeCell ref="AM4:AQ4"/>
    <mergeCell ref="X6:AB6"/>
    <mergeCell ref="A7:C7"/>
    <mergeCell ref="E7:H7"/>
    <mergeCell ref="I7:M7"/>
    <mergeCell ref="N7:R7"/>
    <mergeCell ref="S7:W7"/>
    <mergeCell ref="X7:AB7"/>
    <mergeCell ref="A6:D6"/>
    <mergeCell ref="E6:H6"/>
    <mergeCell ref="I6:M6"/>
    <mergeCell ref="N6:R6"/>
    <mergeCell ref="S6:W6"/>
    <mergeCell ref="AW7:BA7"/>
    <mergeCell ref="AC6:AG6"/>
    <mergeCell ref="AH6:AL6"/>
    <mergeCell ref="AM6:AQ6"/>
    <mergeCell ref="AR6:AV6"/>
    <mergeCell ref="AW6:BA6"/>
    <mergeCell ref="AC7:AG7"/>
    <mergeCell ref="AH7:AL7"/>
    <mergeCell ref="AM7:AQ7"/>
    <mergeCell ref="AR7:AV7"/>
    <mergeCell ref="A9:BA9"/>
    <mergeCell ref="A8:D8"/>
    <mergeCell ref="E8:H8"/>
    <mergeCell ref="I8:M8"/>
    <mergeCell ref="N8:R8"/>
    <mergeCell ref="S8:W8"/>
    <mergeCell ref="X8:AB8"/>
    <mergeCell ref="AC8:AG8"/>
    <mergeCell ref="AH8:AL8"/>
    <mergeCell ref="AM8:AQ8"/>
    <mergeCell ref="AR8:AV8"/>
    <mergeCell ref="AW8:BA8"/>
    <mergeCell ref="A23:F23"/>
    <mergeCell ref="A10:BA10"/>
    <mergeCell ref="A11:B11"/>
    <mergeCell ref="A12:BA12"/>
    <mergeCell ref="A13:B13"/>
    <mergeCell ref="A14:E14"/>
    <mergeCell ref="A15:B15"/>
    <mergeCell ref="A17:T17"/>
    <mergeCell ref="A18:B18"/>
    <mergeCell ref="A20:B20"/>
    <mergeCell ref="A21:D21"/>
    <mergeCell ref="A22:E22"/>
  </mergeCells>
  <pageMargins left="0.39370078740157483" right="0.39370078740157483" top="0.98425196850393704" bottom="0.98425196850393704" header="0" footer="0"/>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K383"/>
  <sheetViews>
    <sheetView zoomScale="150" workbookViewId="0">
      <selection activeCell="A2" sqref="A2:G2"/>
    </sheetView>
  </sheetViews>
  <sheetFormatPr defaultRowHeight="12.75"/>
  <cols>
    <col min="1" max="1" width="6.140625" style="75" customWidth="1"/>
    <col min="2" max="2" width="14.42578125" style="75" customWidth="1"/>
    <col min="3" max="3" width="15" style="75" customWidth="1"/>
    <col min="4" max="4" width="16.7109375" style="75" customWidth="1"/>
    <col min="5" max="5" width="11.7109375" style="75" customWidth="1"/>
    <col min="6" max="6" width="12.42578125" style="75" customWidth="1"/>
    <col min="7" max="7" width="14.42578125" style="75" customWidth="1"/>
    <col min="8" max="16384" width="9.140625" style="75"/>
  </cols>
  <sheetData>
    <row r="1" spans="1:11" ht="13.5" thickBot="1">
      <c r="A1" s="75" t="s">
        <v>284</v>
      </c>
    </row>
    <row r="2" spans="1:11" ht="27" thickBot="1">
      <c r="A2" s="407" t="s">
        <v>87</v>
      </c>
      <c r="B2" s="408"/>
      <c r="C2" s="408"/>
      <c r="D2" s="408"/>
      <c r="E2" s="408"/>
      <c r="F2" s="408"/>
      <c r="G2" s="409"/>
    </row>
    <row r="3" spans="1:11">
      <c r="A3" s="410" t="s">
        <v>36</v>
      </c>
      <c r="B3" s="411"/>
      <c r="C3" s="411"/>
      <c r="D3" s="178">
        <v>4500000</v>
      </c>
      <c r="E3" s="77"/>
      <c r="F3" s="77"/>
      <c r="G3" s="78"/>
    </row>
    <row r="4" spans="1:11" hidden="1">
      <c r="A4" s="91" t="s">
        <v>13</v>
      </c>
      <c r="B4" s="77"/>
      <c r="C4" s="77"/>
      <c r="D4" s="179">
        <f>D3*-1</f>
        <v>-4500000</v>
      </c>
      <c r="E4" s="77"/>
      <c r="F4" s="77"/>
      <c r="G4" s="78"/>
    </row>
    <row r="5" spans="1:11">
      <c r="A5" s="405" t="s">
        <v>37</v>
      </c>
      <c r="B5" s="406"/>
      <c r="C5" s="406"/>
      <c r="D5" s="180">
        <v>97</v>
      </c>
      <c r="E5" s="77"/>
      <c r="F5" s="77"/>
      <c r="G5" s="78"/>
    </row>
    <row r="6" spans="1:11">
      <c r="A6" s="80" t="s">
        <v>38</v>
      </c>
      <c r="B6" s="81"/>
      <c r="C6" s="81"/>
      <c r="D6" s="82">
        <f>D3*(100-D5)/100</f>
        <v>135000</v>
      </c>
      <c r="E6" s="77"/>
      <c r="F6" s="77"/>
      <c r="G6" s="78"/>
    </row>
    <row r="7" spans="1:11">
      <c r="A7" s="469" t="s">
        <v>76</v>
      </c>
      <c r="B7" s="470"/>
      <c r="C7" s="470"/>
      <c r="D7" s="181">
        <v>20000</v>
      </c>
      <c r="E7" s="77"/>
      <c r="F7" s="77"/>
      <c r="G7" s="78"/>
    </row>
    <row r="8" spans="1:11" ht="13.5" thickBot="1">
      <c r="A8" s="469" t="s">
        <v>40</v>
      </c>
      <c r="B8" s="470"/>
      <c r="C8" s="470"/>
      <c r="D8" s="140">
        <f>(D3*(D5/100))-D7</f>
        <v>4345000</v>
      </c>
      <c r="E8" s="77"/>
      <c r="F8" s="77"/>
      <c r="G8" s="78"/>
    </row>
    <row r="9" spans="1:11" ht="13.5" thickTop="1">
      <c r="A9" s="469" t="s">
        <v>41</v>
      </c>
      <c r="B9" s="470"/>
      <c r="C9" s="470"/>
      <c r="D9" s="182">
        <v>0.04</v>
      </c>
      <c r="E9" s="77"/>
      <c r="F9" s="77"/>
      <c r="G9" s="78"/>
    </row>
    <row r="10" spans="1:11">
      <c r="A10" s="469" t="s">
        <v>42</v>
      </c>
      <c r="B10" s="470"/>
      <c r="C10" s="470"/>
      <c r="D10" s="183">
        <v>6</v>
      </c>
      <c r="E10" s="77"/>
      <c r="F10" s="77"/>
      <c r="G10" s="78"/>
    </row>
    <row r="11" spans="1:11">
      <c r="A11" s="469" t="s">
        <v>43</v>
      </c>
      <c r="B11" s="470"/>
      <c r="C11" s="470"/>
      <c r="D11" s="183">
        <v>2</v>
      </c>
      <c r="E11" s="77"/>
      <c r="F11" s="77"/>
      <c r="G11" s="78"/>
    </row>
    <row r="12" spans="1:11">
      <c r="A12" s="469" t="s">
        <v>44</v>
      </c>
      <c r="B12" s="470"/>
      <c r="C12" s="470"/>
      <c r="D12" s="86">
        <f>D10*D11</f>
        <v>12</v>
      </c>
      <c r="E12" s="77"/>
      <c r="F12" s="77"/>
      <c r="G12" s="78"/>
    </row>
    <row r="13" spans="1:11">
      <c r="A13" s="469" t="s">
        <v>88</v>
      </c>
      <c r="B13" s="470"/>
      <c r="C13" s="470"/>
      <c r="D13" s="87">
        <f>D9/D11</f>
        <v>0.02</v>
      </c>
      <c r="E13" s="77"/>
      <c r="F13" s="77"/>
      <c r="G13" s="78"/>
    </row>
    <row r="14" spans="1:11">
      <c r="A14" s="469" t="s">
        <v>81</v>
      </c>
      <c r="B14" s="470"/>
      <c r="C14" s="470"/>
      <c r="D14" s="88">
        <f>D3*D13*-1</f>
        <v>-90000</v>
      </c>
      <c r="E14" s="399" t="s">
        <v>89</v>
      </c>
      <c r="F14" s="400"/>
      <c r="G14" s="401"/>
    </row>
    <row r="15" spans="1:11" hidden="1">
      <c r="A15" s="405" t="s">
        <v>48</v>
      </c>
      <c r="B15" s="406"/>
      <c r="C15" s="406"/>
      <c r="D15" s="184">
        <v>0</v>
      </c>
      <c r="E15" s="77"/>
      <c r="F15" s="77"/>
      <c r="G15" s="78"/>
    </row>
    <row r="16" spans="1:11">
      <c r="A16" s="466"/>
      <c r="B16" s="467"/>
      <c r="C16" s="467"/>
      <c r="D16" s="468"/>
      <c r="E16" s="94"/>
      <c r="F16" s="94"/>
      <c r="G16" s="95"/>
      <c r="H16" s="93"/>
      <c r="I16" s="93"/>
      <c r="J16" s="93"/>
      <c r="K16" s="93"/>
    </row>
    <row r="17" spans="1:11" ht="18">
      <c r="A17" s="399" t="s">
        <v>79</v>
      </c>
      <c r="B17" s="400"/>
      <c r="C17" s="400"/>
      <c r="D17" s="185">
        <f>(POWER((RATE(D12,D14-D15,D8,D4)+1),D11))-1</f>
        <v>4.7191813507986513E-2</v>
      </c>
      <c r="E17" s="399" t="str">
        <f>E14</f>
        <v>(Beregning: se note til stående lån)</v>
      </c>
      <c r="F17" s="400"/>
      <c r="G17" s="401"/>
      <c r="H17" s="93"/>
      <c r="I17" s="93"/>
      <c r="J17" s="93"/>
      <c r="K17" s="93"/>
    </row>
    <row r="18" spans="1:11" ht="13.5" thickBot="1">
      <c r="A18" s="402"/>
      <c r="B18" s="403"/>
      <c r="C18" s="403"/>
      <c r="D18" s="404"/>
      <c r="E18" s="94"/>
      <c r="F18" s="186"/>
      <c r="G18" s="95"/>
      <c r="H18" s="93"/>
      <c r="I18" s="93"/>
      <c r="J18" s="93"/>
      <c r="K18" s="93"/>
    </row>
    <row r="19" spans="1:11" ht="13.5" thickBot="1">
      <c r="A19" s="96"/>
      <c r="B19" s="98"/>
      <c r="C19" s="98"/>
      <c r="D19" s="98"/>
      <c r="E19" s="98"/>
      <c r="F19" s="98"/>
      <c r="G19" s="99"/>
      <c r="H19" s="93"/>
      <c r="I19" s="93"/>
      <c r="J19" s="93"/>
      <c r="K19" s="93"/>
    </row>
    <row r="20" spans="1:11">
      <c r="A20" s="147" t="str">
        <f>CONCATENATE("Amortisationstabel for stående lån (",D12," terminer)")</f>
        <v>Amortisationstabel for stående lån (12 terminer)</v>
      </c>
      <c r="B20" s="94"/>
      <c r="C20" s="94"/>
      <c r="D20" s="94"/>
      <c r="E20" s="94"/>
      <c r="F20" s="94"/>
      <c r="G20" s="95"/>
      <c r="H20" s="93"/>
      <c r="I20" s="93"/>
      <c r="J20" s="93"/>
      <c r="K20" s="93"/>
    </row>
    <row r="21" spans="1:11">
      <c r="A21" s="150" t="s">
        <v>50</v>
      </c>
      <c r="B21" s="94" t="s">
        <v>51</v>
      </c>
      <c r="C21" s="94" t="s">
        <v>90</v>
      </c>
      <c r="D21" s="151" t="s">
        <v>81</v>
      </c>
      <c r="E21" s="94" t="s">
        <v>54</v>
      </c>
      <c r="F21" s="94" t="s">
        <v>55</v>
      </c>
      <c r="G21" s="95" t="s">
        <v>56</v>
      </c>
      <c r="H21" s="93"/>
      <c r="I21" s="93"/>
      <c r="J21" s="93"/>
      <c r="K21" s="93"/>
    </row>
    <row r="22" spans="1:11">
      <c r="A22" s="150">
        <v>1</v>
      </c>
      <c r="B22" s="152">
        <f>D3</f>
        <v>4500000</v>
      </c>
      <c r="C22" s="152">
        <f>IF(D22=0,0,D22+$D$15)</f>
        <v>90000</v>
      </c>
      <c r="D22" s="152">
        <f>E22+F22</f>
        <v>90000</v>
      </c>
      <c r="E22" s="152">
        <f>D14*-1</f>
        <v>90000</v>
      </c>
      <c r="F22" s="106">
        <f t="shared" ref="F22:F85" si="0">IF(A22=$D$12,$D$3,0)</f>
        <v>0</v>
      </c>
      <c r="G22" s="153">
        <f t="shared" ref="G22:G85" si="1">B22-F22</f>
        <v>4500000</v>
      </c>
      <c r="H22" s="93"/>
      <c r="I22" s="93"/>
      <c r="J22" s="93"/>
      <c r="K22" s="93"/>
    </row>
    <row r="23" spans="1:11">
      <c r="A23" s="91">
        <f t="shared" ref="A23:A86" si="2">A22+1</f>
        <v>2</v>
      </c>
      <c r="B23" s="106">
        <f t="shared" ref="B23:B86" si="3">B22-F22</f>
        <v>4500000</v>
      </c>
      <c r="C23" s="152">
        <f t="shared" ref="C23:C86" si="4">IF(D23=0,0,D23+$D$15)</f>
        <v>90000</v>
      </c>
      <c r="D23" s="152">
        <f t="shared" ref="D23:D86" si="5">E23+F23</f>
        <v>90000</v>
      </c>
      <c r="E23" s="106">
        <f t="shared" ref="E23:E86" si="6">IF(B23&gt;0,E22,0)</f>
        <v>90000</v>
      </c>
      <c r="F23" s="106">
        <f t="shared" si="0"/>
        <v>0</v>
      </c>
      <c r="G23" s="153">
        <f t="shared" si="1"/>
        <v>4500000</v>
      </c>
    </row>
    <row r="24" spans="1:11">
      <c r="A24" s="91">
        <f t="shared" si="2"/>
        <v>3</v>
      </c>
      <c r="B24" s="106">
        <f t="shared" si="3"/>
        <v>4500000</v>
      </c>
      <c r="C24" s="152">
        <f t="shared" si="4"/>
        <v>90000</v>
      </c>
      <c r="D24" s="152">
        <f t="shared" si="5"/>
        <v>90000</v>
      </c>
      <c r="E24" s="106">
        <f t="shared" si="6"/>
        <v>90000</v>
      </c>
      <c r="F24" s="106">
        <f t="shared" si="0"/>
        <v>0</v>
      </c>
      <c r="G24" s="153">
        <f t="shared" si="1"/>
        <v>4500000</v>
      </c>
    </row>
    <row r="25" spans="1:11">
      <c r="A25" s="91">
        <f t="shared" si="2"/>
        <v>4</v>
      </c>
      <c r="B25" s="106">
        <f t="shared" si="3"/>
        <v>4500000</v>
      </c>
      <c r="C25" s="152">
        <f t="shared" si="4"/>
        <v>90000</v>
      </c>
      <c r="D25" s="152">
        <f t="shared" si="5"/>
        <v>90000</v>
      </c>
      <c r="E25" s="106">
        <f t="shared" si="6"/>
        <v>90000</v>
      </c>
      <c r="F25" s="106">
        <f t="shared" si="0"/>
        <v>0</v>
      </c>
      <c r="G25" s="153">
        <f t="shared" si="1"/>
        <v>4500000</v>
      </c>
    </row>
    <row r="26" spans="1:11">
      <c r="A26" s="91">
        <f t="shared" si="2"/>
        <v>5</v>
      </c>
      <c r="B26" s="106">
        <f t="shared" si="3"/>
        <v>4500000</v>
      </c>
      <c r="C26" s="152">
        <f t="shared" si="4"/>
        <v>90000</v>
      </c>
      <c r="D26" s="152">
        <f t="shared" si="5"/>
        <v>90000</v>
      </c>
      <c r="E26" s="106">
        <f t="shared" si="6"/>
        <v>90000</v>
      </c>
      <c r="F26" s="106">
        <f t="shared" si="0"/>
        <v>0</v>
      </c>
      <c r="G26" s="153">
        <f t="shared" si="1"/>
        <v>4500000</v>
      </c>
    </row>
    <row r="27" spans="1:11">
      <c r="A27" s="91">
        <f t="shared" si="2"/>
        <v>6</v>
      </c>
      <c r="B27" s="106">
        <f t="shared" si="3"/>
        <v>4500000</v>
      </c>
      <c r="C27" s="152">
        <f t="shared" si="4"/>
        <v>90000</v>
      </c>
      <c r="D27" s="152">
        <f t="shared" si="5"/>
        <v>90000</v>
      </c>
      <c r="E27" s="106">
        <f t="shared" si="6"/>
        <v>90000</v>
      </c>
      <c r="F27" s="106">
        <f t="shared" si="0"/>
        <v>0</v>
      </c>
      <c r="G27" s="153">
        <f t="shared" si="1"/>
        <v>4500000</v>
      </c>
    </row>
    <row r="28" spans="1:11">
      <c r="A28" s="91">
        <f t="shared" si="2"/>
        <v>7</v>
      </c>
      <c r="B28" s="106">
        <f t="shared" si="3"/>
        <v>4500000</v>
      </c>
      <c r="C28" s="152">
        <f t="shared" si="4"/>
        <v>90000</v>
      </c>
      <c r="D28" s="152">
        <f t="shared" si="5"/>
        <v>90000</v>
      </c>
      <c r="E28" s="106">
        <f t="shared" si="6"/>
        <v>90000</v>
      </c>
      <c r="F28" s="106">
        <f t="shared" si="0"/>
        <v>0</v>
      </c>
      <c r="G28" s="153">
        <f t="shared" si="1"/>
        <v>4500000</v>
      </c>
    </row>
    <row r="29" spans="1:11">
      <c r="A29" s="91">
        <f t="shared" si="2"/>
        <v>8</v>
      </c>
      <c r="B29" s="106">
        <f t="shared" si="3"/>
        <v>4500000</v>
      </c>
      <c r="C29" s="152">
        <f t="shared" si="4"/>
        <v>90000</v>
      </c>
      <c r="D29" s="152">
        <f t="shared" si="5"/>
        <v>90000</v>
      </c>
      <c r="E29" s="106">
        <f t="shared" si="6"/>
        <v>90000</v>
      </c>
      <c r="F29" s="106">
        <f t="shared" si="0"/>
        <v>0</v>
      </c>
      <c r="G29" s="153">
        <f t="shared" si="1"/>
        <v>4500000</v>
      </c>
    </row>
    <row r="30" spans="1:11">
      <c r="A30" s="91">
        <f t="shared" si="2"/>
        <v>9</v>
      </c>
      <c r="B30" s="106">
        <f t="shared" si="3"/>
        <v>4500000</v>
      </c>
      <c r="C30" s="152">
        <f t="shared" si="4"/>
        <v>90000</v>
      </c>
      <c r="D30" s="152">
        <f t="shared" si="5"/>
        <v>90000</v>
      </c>
      <c r="E30" s="106">
        <f t="shared" si="6"/>
        <v>90000</v>
      </c>
      <c r="F30" s="106">
        <f t="shared" si="0"/>
        <v>0</v>
      </c>
      <c r="G30" s="153">
        <f t="shared" si="1"/>
        <v>4500000</v>
      </c>
    </row>
    <row r="31" spans="1:11">
      <c r="A31" s="91">
        <f t="shared" si="2"/>
        <v>10</v>
      </c>
      <c r="B31" s="106">
        <f t="shared" si="3"/>
        <v>4500000</v>
      </c>
      <c r="C31" s="152">
        <f t="shared" si="4"/>
        <v>90000</v>
      </c>
      <c r="D31" s="152">
        <f t="shared" si="5"/>
        <v>90000</v>
      </c>
      <c r="E31" s="106">
        <f t="shared" si="6"/>
        <v>90000</v>
      </c>
      <c r="F31" s="106">
        <f t="shared" si="0"/>
        <v>0</v>
      </c>
      <c r="G31" s="153">
        <f t="shared" si="1"/>
        <v>4500000</v>
      </c>
    </row>
    <row r="32" spans="1:11">
      <c r="A32" s="91">
        <f t="shared" si="2"/>
        <v>11</v>
      </c>
      <c r="B32" s="106">
        <f t="shared" si="3"/>
        <v>4500000</v>
      </c>
      <c r="C32" s="152">
        <f t="shared" si="4"/>
        <v>90000</v>
      </c>
      <c r="D32" s="152">
        <f t="shared" si="5"/>
        <v>90000</v>
      </c>
      <c r="E32" s="106">
        <f t="shared" si="6"/>
        <v>90000</v>
      </c>
      <c r="F32" s="106">
        <f t="shared" si="0"/>
        <v>0</v>
      </c>
      <c r="G32" s="153">
        <f t="shared" si="1"/>
        <v>4500000</v>
      </c>
    </row>
    <row r="33" spans="1:7" ht="13.5" thickBot="1">
      <c r="A33" s="91">
        <f t="shared" si="2"/>
        <v>12</v>
      </c>
      <c r="B33" s="106">
        <f t="shared" si="3"/>
        <v>4500000</v>
      </c>
      <c r="C33" s="152">
        <f t="shared" si="4"/>
        <v>4590000</v>
      </c>
      <c r="D33" s="152">
        <f t="shared" si="5"/>
        <v>4590000</v>
      </c>
      <c r="E33" s="106">
        <f t="shared" si="6"/>
        <v>90000</v>
      </c>
      <c r="F33" s="106">
        <f t="shared" si="0"/>
        <v>4500000</v>
      </c>
      <c r="G33" s="153">
        <f t="shared" si="1"/>
        <v>0</v>
      </c>
    </row>
    <row r="34" spans="1:7" hidden="1">
      <c r="A34" s="91">
        <f t="shared" si="2"/>
        <v>13</v>
      </c>
      <c r="B34" s="106">
        <f t="shared" si="3"/>
        <v>0</v>
      </c>
      <c r="C34" s="152">
        <f t="shared" si="4"/>
        <v>0</v>
      </c>
      <c r="D34" s="152">
        <f t="shared" si="5"/>
        <v>0</v>
      </c>
      <c r="E34" s="106">
        <f t="shared" si="6"/>
        <v>0</v>
      </c>
      <c r="F34" s="106">
        <f t="shared" si="0"/>
        <v>0</v>
      </c>
      <c r="G34" s="153">
        <f t="shared" si="1"/>
        <v>0</v>
      </c>
    </row>
    <row r="35" spans="1:7" hidden="1">
      <c r="A35" s="91">
        <f t="shared" si="2"/>
        <v>14</v>
      </c>
      <c r="B35" s="106">
        <f t="shared" si="3"/>
        <v>0</v>
      </c>
      <c r="C35" s="152">
        <f t="shared" si="4"/>
        <v>0</v>
      </c>
      <c r="D35" s="152">
        <f t="shared" si="5"/>
        <v>0</v>
      </c>
      <c r="E35" s="106">
        <f t="shared" si="6"/>
        <v>0</v>
      </c>
      <c r="F35" s="106">
        <f t="shared" si="0"/>
        <v>0</v>
      </c>
      <c r="G35" s="153">
        <f t="shared" si="1"/>
        <v>0</v>
      </c>
    </row>
    <row r="36" spans="1:7" hidden="1">
      <c r="A36" s="91">
        <f t="shared" si="2"/>
        <v>15</v>
      </c>
      <c r="B36" s="106">
        <f t="shared" si="3"/>
        <v>0</v>
      </c>
      <c r="C36" s="152">
        <f t="shared" si="4"/>
        <v>0</v>
      </c>
      <c r="D36" s="152">
        <f t="shared" si="5"/>
        <v>0</v>
      </c>
      <c r="E36" s="106">
        <f t="shared" si="6"/>
        <v>0</v>
      </c>
      <c r="F36" s="106">
        <f t="shared" si="0"/>
        <v>0</v>
      </c>
      <c r="G36" s="153">
        <f t="shared" si="1"/>
        <v>0</v>
      </c>
    </row>
    <row r="37" spans="1:7" hidden="1">
      <c r="A37" s="91">
        <f t="shared" si="2"/>
        <v>16</v>
      </c>
      <c r="B37" s="106">
        <f t="shared" si="3"/>
        <v>0</v>
      </c>
      <c r="C37" s="152">
        <f t="shared" si="4"/>
        <v>0</v>
      </c>
      <c r="D37" s="152">
        <f t="shared" si="5"/>
        <v>0</v>
      </c>
      <c r="E37" s="106">
        <f t="shared" si="6"/>
        <v>0</v>
      </c>
      <c r="F37" s="106">
        <f t="shared" si="0"/>
        <v>0</v>
      </c>
      <c r="G37" s="153">
        <f t="shared" si="1"/>
        <v>0</v>
      </c>
    </row>
    <row r="38" spans="1:7" hidden="1">
      <c r="A38" s="91">
        <f t="shared" si="2"/>
        <v>17</v>
      </c>
      <c r="B38" s="106">
        <f t="shared" si="3"/>
        <v>0</v>
      </c>
      <c r="C38" s="152">
        <f t="shared" si="4"/>
        <v>0</v>
      </c>
      <c r="D38" s="152">
        <f t="shared" si="5"/>
        <v>0</v>
      </c>
      <c r="E38" s="106">
        <f t="shared" si="6"/>
        <v>0</v>
      </c>
      <c r="F38" s="106">
        <f t="shared" si="0"/>
        <v>0</v>
      </c>
      <c r="G38" s="153">
        <f t="shared" si="1"/>
        <v>0</v>
      </c>
    </row>
    <row r="39" spans="1:7" hidden="1">
      <c r="A39" s="91">
        <f t="shared" si="2"/>
        <v>18</v>
      </c>
      <c r="B39" s="106">
        <f t="shared" si="3"/>
        <v>0</v>
      </c>
      <c r="C39" s="152">
        <f t="shared" si="4"/>
        <v>0</v>
      </c>
      <c r="D39" s="152">
        <f t="shared" si="5"/>
        <v>0</v>
      </c>
      <c r="E39" s="106">
        <f t="shared" si="6"/>
        <v>0</v>
      </c>
      <c r="F39" s="106">
        <f t="shared" si="0"/>
        <v>0</v>
      </c>
      <c r="G39" s="153">
        <f t="shared" si="1"/>
        <v>0</v>
      </c>
    </row>
    <row r="40" spans="1:7" hidden="1">
      <c r="A40" s="91">
        <f t="shared" si="2"/>
        <v>19</v>
      </c>
      <c r="B40" s="106">
        <f t="shared" si="3"/>
        <v>0</v>
      </c>
      <c r="C40" s="152">
        <f t="shared" si="4"/>
        <v>0</v>
      </c>
      <c r="D40" s="152">
        <f t="shared" si="5"/>
        <v>0</v>
      </c>
      <c r="E40" s="106">
        <f t="shared" si="6"/>
        <v>0</v>
      </c>
      <c r="F40" s="106">
        <f t="shared" si="0"/>
        <v>0</v>
      </c>
      <c r="G40" s="153">
        <f t="shared" si="1"/>
        <v>0</v>
      </c>
    </row>
    <row r="41" spans="1:7" hidden="1">
      <c r="A41" s="91">
        <f t="shared" si="2"/>
        <v>20</v>
      </c>
      <c r="B41" s="106">
        <f t="shared" si="3"/>
        <v>0</v>
      </c>
      <c r="C41" s="152">
        <f t="shared" si="4"/>
        <v>0</v>
      </c>
      <c r="D41" s="152">
        <f t="shared" si="5"/>
        <v>0</v>
      </c>
      <c r="E41" s="106">
        <f t="shared" si="6"/>
        <v>0</v>
      </c>
      <c r="F41" s="106">
        <f t="shared" si="0"/>
        <v>0</v>
      </c>
      <c r="G41" s="153">
        <f t="shared" si="1"/>
        <v>0</v>
      </c>
    </row>
    <row r="42" spans="1:7" hidden="1">
      <c r="A42" s="91">
        <f t="shared" si="2"/>
        <v>21</v>
      </c>
      <c r="B42" s="106">
        <f t="shared" si="3"/>
        <v>0</v>
      </c>
      <c r="C42" s="152">
        <f t="shared" si="4"/>
        <v>0</v>
      </c>
      <c r="D42" s="152">
        <f t="shared" si="5"/>
        <v>0</v>
      </c>
      <c r="E42" s="106">
        <f t="shared" si="6"/>
        <v>0</v>
      </c>
      <c r="F42" s="106">
        <f t="shared" si="0"/>
        <v>0</v>
      </c>
      <c r="G42" s="153">
        <f t="shared" si="1"/>
        <v>0</v>
      </c>
    </row>
    <row r="43" spans="1:7" hidden="1">
      <c r="A43" s="91">
        <f t="shared" si="2"/>
        <v>22</v>
      </c>
      <c r="B43" s="106">
        <f t="shared" si="3"/>
        <v>0</v>
      </c>
      <c r="C43" s="152">
        <f t="shared" si="4"/>
        <v>0</v>
      </c>
      <c r="D43" s="152">
        <f t="shared" si="5"/>
        <v>0</v>
      </c>
      <c r="E43" s="106">
        <f t="shared" si="6"/>
        <v>0</v>
      </c>
      <c r="F43" s="106">
        <f t="shared" si="0"/>
        <v>0</v>
      </c>
      <c r="G43" s="153">
        <f t="shared" si="1"/>
        <v>0</v>
      </c>
    </row>
    <row r="44" spans="1:7" hidden="1">
      <c r="A44" s="91">
        <f t="shared" si="2"/>
        <v>23</v>
      </c>
      <c r="B44" s="106">
        <f t="shared" si="3"/>
        <v>0</v>
      </c>
      <c r="C44" s="152">
        <f t="shared" si="4"/>
        <v>0</v>
      </c>
      <c r="D44" s="152">
        <f t="shared" si="5"/>
        <v>0</v>
      </c>
      <c r="E44" s="106">
        <f t="shared" si="6"/>
        <v>0</v>
      </c>
      <c r="F44" s="106">
        <f t="shared" si="0"/>
        <v>0</v>
      </c>
      <c r="G44" s="153">
        <f t="shared" si="1"/>
        <v>0</v>
      </c>
    </row>
    <row r="45" spans="1:7" hidden="1">
      <c r="A45" s="91">
        <f t="shared" si="2"/>
        <v>24</v>
      </c>
      <c r="B45" s="106">
        <f t="shared" si="3"/>
        <v>0</v>
      </c>
      <c r="C45" s="152">
        <f t="shared" si="4"/>
        <v>0</v>
      </c>
      <c r="D45" s="152">
        <f t="shared" si="5"/>
        <v>0</v>
      </c>
      <c r="E45" s="106">
        <f t="shared" si="6"/>
        <v>0</v>
      </c>
      <c r="F45" s="106">
        <f t="shared" si="0"/>
        <v>0</v>
      </c>
      <c r="G45" s="153">
        <f t="shared" si="1"/>
        <v>0</v>
      </c>
    </row>
    <row r="46" spans="1:7" hidden="1">
      <c r="A46" s="91">
        <f t="shared" si="2"/>
        <v>25</v>
      </c>
      <c r="B46" s="106">
        <f t="shared" si="3"/>
        <v>0</v>
      </c>
      <c r="C46" s="152">
        <f t="shared" si="4"/>
        <v>0</v>
      </c>
      <c r="D46" s="152">
        <f t="shared" si="5"/>
        <v>0</v>
      </c>
      <c r="E46" s="106">
        <f t="shared" si="6"/>
        <v>0</v>
      </c>
      <c r="F46" s="106">
        <f t="shared" si="0"/>
        <v>0</v>
      </c>
      <c r="G46" s="153">
        <f t="shared" si="1"/>
        <v>0</v>
      </c>
    </row>
    <row r="47" spans="1:7" hidden="1">
      <c r="A47" s="91">
        <f t="shared" si="2"/>
        <v>26</v>
      </c>
      <c r="B47" s="106">
        <f t="shared" si="3"/>
        <v>0</v>
      </c>
      <c r="C47" s="152">
        <f t="shared" si="4"/>
        <v>0</v>
      </c>
      <c r="D47" s="152">
        <f t="shared" si="5"/>
        <v>0</v>
      </c>
      <c r="E47" s="106">
        <f t="shared" si="6"/>
        <v>0</v>
      </c>
      <c r="F47" s="106">
        <f t="shared" si="0"/>
        <v>0</v>
      </c>
      <c r="G47" s="153">
        <f t="shared" si="1"/>
        <v>0</v>
      </c>
    </row>
    <row r="48" spans="1:7" hidden="1">
      <c r="A48" s="91">
        <f t="shared" si="2"/>
        <v>27</v>
      </c>
      <c r="B48" s="106">
        <f t="shared" si="3"/>
        <v>0</v>
      </c>
      <c r="C48" s="152">
        <f t="shared" si="4"/>
        <v>0</v>
      </c>
      <c r="D48" s="152">
        <f t="shared" si="5"/>
        <v>0</v>
      </c>
      <c r="E48" s="106">
        <f t="shared" si="6"/>
        <v>0</v>
      </c>
      <c r="F48" s="106">
        <f t="shared" si="0"/>
        <v>0</v>
      </c>
      <c r="G48" s="153">
        <f t="shared" si="1"/>
        <v>0</v>
      </c>
    </row>
    <row r="49" spans="1:7" hidden="1">
      <c r="A49" s="91">
        <f t="shared" si="2"/>
        <v>28</v>
      </c>
      <c r="B49" s="106">
        <f t="shared" si="3"/>
        <v>0</v>
      </c>
      <c r="C49" s="152">
        <f t="shared" si="4"/>
        <v>0</v>
      </c>
      <c r="D49" s="152">
        <f t="shared" si="5"/>
        <v>0</v>
      </c>
      <c r="E49" s="106">
        <f t="shared" si="6"/>
        <v>0</v>
      </c>
      <c r="F49" s="106">
        <f t="shared" si="0"/>
        <v>0</v>
      </c>
      <c r="G49" s="153">
        <f t="shared" si="1"/>
        <v>0</v>
      </c>
    </row>
    <row r="50" spans="1:7" hidden="1">
      <c r="A50" s="91">
        <f t="shared" si="2"/>
        <v>29</v>
      </c>
      <c r="B50" s="106">
        <f t="shared" si="3"/>
        <v>0</v>
      </c>
      <c r="C50" s="152">
        <f t="shared" si="4"/>
        <v>0</v>
      </c>
      <c r="D50" s="152">
        <f t="shared" si="5"/>
        <v>0</v>
      </c>
      <c r="E50" s="106">
        <f t="shared" si="6"/>
        <v>0</v>
      </c>
      <c r="F50" s="106">
        <f t="shared" si="0"/>
        <v>0</v>
      </c>
      <c r="G50" s="153">
        <f t="shared" si="1"/>
        <v>0</v>
      </c>
    </row>
    <row r="51" spans="1:7" hidden="1">
      <c r="A51" s="91">
        <f t="shared" si="2"/>
        <v>30</v>
      </c>
      <c r="B51" s="106">
        <f t="shared" si="3"/>
        <v>0</v>
      </c>
      <c r="C51" s="152">
        <f t="shared" si="4"/>
        <v>0</v>
      </c>
      <c r="D51" s="152">
        <f t="shared" si="5"/>
        <v>0</v>
      </c>
      <c r="E51" s="106">
        <f t="shared" si="6"/>
        <v>0</v>
      </c>
      <c r="F51" s="106">
        <f t="shared" si="0"/>
        <v>0</v>
      </c>
      <c r="G51" s="153">
        <f t="shared" si="1"/>
        <v>0</v>
      </c>
    </row>
    <row r="52" spans="1:7" hidden="1">
      <c r="A52" s="91">
        <f t="shared" si="2"/>
        <v>31</v>
      </c>
      <c r="B52" s="106">
        <f t="shared" si="3"/>
        <v>0</v>
      </c>
      <c r="C52" s="152">
        <f t="shared" si="4"/>
        <v>0</v>
      </c>
      <c r="D52" s="152">
        <f t="shared" si="5"/>
        <v>0</v>
      </c>
      <c r="E52" s="106">
        <f t="shared" si="6"/>
        <v>0</v>
      </c>
      <c r="F52" s="106">
        <f t="shared" si="0"/>
        <v>0</v>
      </c>
      <c r="G52" s="153">
        <f t="shared" si="1"/>
        <v>0</v>
      </c>
    </row>
    <row r="53" spans="1:7" hidden="1">
      <c r="A53" s="91">
        <f t="shared" si="2"/>
        <v>32</v>
      </c>
      <c r="B53" s="106">
        <f t="shared" si="3"/>
        <v>0</v>
      </c>
      <c r="C53" s="152">
        <f t="shared" si="4"/>
        <v>0</v>
      </c>
      <c r="D53" s="152">
        <f t="shared" si="5"/>
        <v>0</v>
      </c>
      <c r="E53" s="106">
        <f t="shared" si="6"/>
        <v>0</v>
      </c>
      <c r="F53" s="106">
        <f t="shared" si="0"/>
        <v>0</v>
      </c>
      <c r="G53" s="153">
        <f t="shared" si="1"/>
        <v>0</v>
      </c>
    </row>
    <row r="54" spans="1:7" hidden="1">
      <c r="A54" s="91">
        <f t="shared" si="2"/>
        <v>33</v>
      </c>
      <c r="B54" s="106">
        <f t="shared" si="3"/>
        <v>0</v>
      </c>
      <c r="C54" s="152">
        <f t="shared" si="4"/>
        <v>0</v>
      </c>
      <c r="D54" s="152">
        <f t="shared" si="5"/>
        <v>0</v>
      </c>
      <c r="E54" s="106">
        <f t="shared" si="6"/>
        <v>0</v>
      </c>
      <c r="F54" s="106">
        <f t="shared" si="0"/>
        <v>0</v>
      </c>
      <c r="G54" s="153">
        <f t="shared" si="1"/>
        <v>0</v>
      </c>
    </row>
    <row r="55" spans="1:7" hidden="1">
      <c r="A55" s="91">
        <f t="shared" si="2"/>
        <v>34</v>
      </c>
      <c r="B55" s="106">
        <f t="shared" si="3"/>
        <v>0</v>
      </c>
      <c r="C55" s="152">
        <f t="shared" si="4"/>
        <v>0</v>
      </c>
      <c r="D55" s="152">
        <f t="shared" si="5"/>
        <v>0</v>
      </c>
      <c r="E55" s="106">
        <f t="shared" si="6"/>
        <v>0</v>
      </c>
      <c r="F55" s="106">
        <f t="shared" si="0"/>
        <v>0</v>
      </c>
      <c r="G55" s="153">
        <f t="shared" si="1"/>
        <v>0</v>
      </c>
    </row>
    <row r="56" spans="1:7" hidden="1">
      <c r="A56" s="91">
        <f t="shared" si="2"/>
        <v>35</v>
      </c>
      <c r="B56" s="106">
        <f t="shared" si="3"/>
        <v>0</v>
      </c>
      <c r="C56" s="152">
        <f t="shared" si="4"/>
        <v>0</v>
      </c>
      <c r="D56" s="152">
        <f t="shared" si="5"/>
        <v>0</v>
      </c>
      <c r="E56" s="106">
        <f t="shared" si="6"/>
        <v>0</v>
      </c>
      <c r="F56" s="106">
        <f t="shared" si="0"/>
        <v>0</v>
      </c>
      <c r="G56" s="153">
        <f t="shared" si="1"/>
        <v>0</v>
      </c>
    </row>
    <row r="57" spans="1:7" hidden="1">
      <c r="A57" s="91">
        <f t="shared" si="2"/>
        <v>36</v>
      </c>
      <c r="B57" s="106">
        <f t="shared" si="3"/>
        <v>0</v>
      </c>
      <c r="C57" s="152">
        <f t="shared" si="4"/>
        <v>0</v>
      </c>
      <c r="D57" s="152">
        <f t="shared" si="5"/>
        <v>0</v>
      </c>
      <c r="E57" s="106">
        <f t="shared" si="6"/>
        <v>0</v>
      </c>
      <c r="F57" s="106">
        <f t="shared" si="0"/>
        <v>0</v>
      </c>
      <c r="G57" s="153">
        <f t="shared" si="1"/>
        <v>0</v>
      </c>
    </row>
    <row r="58" spans="1:7" hidden="1">
      <c r="A58" s="91">
        <f t="shared" si="2"/>
        <v>37</v>
      </c>
      <c r="B58" s="106">
        <f t="shared" si="3"/>
        <v>0</v>
      </c>
      <c r="C58" s="152">
        <f t="shared" si="4"/>
        <v>0</v>
      </c>
      <c r="D58" s="152">
        <f t="shared" si="5"/>
        <v>0</v>
      </c>
      <c r="E58" s="106">
        <f t="shared" si="6"/>
        <v>0</v>
      </c>
      <c r="F58" s="106">
        <f t="shared" si="0"/>
        <v>0</v>
      </c>
      <c r="G58" s="153">
        <f t="shared" si="1"/>
        <v>0</v>
      </c>
    </row>
    <row r="59" spans="1:7" hidden="1">
      <c r="A59" s="91">
        <f t="shared" si="2"/>
        <v>38</v>
      </c>
      <c r="B59" s="106">
        <f t="shared" si="3"/>
        <v>0</v>
      </c>
      <c r="C59" s="152">
        <f t="shared" si="4"/>
        <v>0</v>
      </c>
      <c r="D59" s="152">
        <f t="shared" si="5"/>
        <v>0</v>
      </c>
      <c r="E59" s="106">
        <f t="shared" si="6"/>
        <v>0</v>
      </c>
      <c r="F59" s="106">
        <f t="shared" si="0"/>
        <v>0</v>
      </c>
      <c r="G59" s="153">
        <f t="shared" si="1"/>
        <v>0</v>
      </c>
    </row>
    <row r="60" spans="1:7" hidden="1">
      <c r="A60" s="91">
        <f t="shared" si="2"/>
        <v>39</v>
      </c>
      <c r="B60" s="106">
        <f t="shared" si="3"/>
        <v>0</v>
      </c>
      <c r="C60" s="152">
        <f t="shared" si="4"/>
        <v>0</v>
      </c>
      <c r="D60" s="152">
        <f t="shared" si="5"/>
        <v>0</v>
      </c>
      <c r="E60" s="106">
        <f t="shared" si="6"/>
        <v>0</v>
      </c>
      <c r="F60" s="106">
        <f t="shared" si="0"/>
        <v>0</v>
      </c>
      <c r="G60" s="153">
        <f t="shared" si="1"/>
        <v>0</v>
      </c>
    </row>
    <row r="61" spans="1:7" ht="13.5" hidden="1" thickBot="1">
      <c r="A61" s="91">
        <f t="shared" si="2"/>
        <v>40</v>
      </c>
      <c r="B61" s="106">
        <f t="shared" si="3"/>
        <v>0</v>
      </c>
      <c r="C61" s="152">
        <f t="shared" si="4"/>
        <v>0</v>
      </c>
      <c r="D61" s="152">
        <f t="shared" si="5"/>
        <v>0</v>
      </c>
      <c r="E61" s="106">
        <f t="shared" si="6"/>
        <v>0</v>
      </c>
      <c r="F61" s="106">
        <f t="shared" si="0"/>
        <v>0</v>
      </c>
      <c r="G61" s="153">
        <f t="shared" si="1"/>
        <v>0</v>
      </c>
    </row>
    <row r="62" spans="1:7" ht="13.5" hidden="1" thickBot="1">
      <c r="A62" s="91">
        <f t="shared" si="2"/>
        <v>41</v>
      </c>
      <c r="B62" s="106">
        <f t="shared" si="3"/>
        <v>0</v>
      </c>
      <c r="C62" s="152">
        <f t="shared" si="4"/>
        <v>0</v>
      </c>
      <c r="D62" s="152">
        <f t="shared" si="5"/>
        <v>0</v>
      </c>
      <c r="E62" s="106">
        <f t="shared" si="6"/>
        <v>0</v>
      </c>
      <c r="F62" s="106">
        <f t="shared" si="0"/>
        <v>0</v>
      </c>
      <c r="G62" s="153">
        <f t="shared" si="1"/>
        <v>0</v>
      </c>
    </row>
    <row r="63" spans="1:7" ht="13.5" hidden="1" thickBot="1">
      <c r="A63" s="91">
        <f t="shared" si="2"/>
        <v>42</v>
      </c>
      <c r="B63" s="106">
        <f t="shared" si="3"/>
        <v>0</v>
      </c>
      <c r="C63" s="152">
        <f t="shared" si="4"/>
        <v>0</v>
      </c>
      <c r="D63" s="152">
        <f t="shared" si="5"/>
        <v>0</v>
      </c>
      <c r="E63" s="106">
        <f t="shared" si="6"/>
        <v>0</v>
      </c>
      <c r="F63" s="106">
        <f t="shared" si="0"/>
        <v>0</v>
      </c>
      <c r="G63" s="153">
        <f t="shared" si="1"/>
        <v>0</v>
      </c>
    </row>
    <row r="64" spans="1:7" ht="13.5" hidden="1" thickBot="1">
      <c r="A64" s="91">
        <f t="shared" si="2"/>
        <v>43</v>
      </c>
      <c r="B64" s="106">
        <f t="shared" si="3"/>
        <v>0</v>
      </c>
      <c r="C64" s="152">
        <f t="shared" si="4"/>
        <v>0</v>
      </c>
      <c r="D64" s="152">
        <f t="shared" si="5"/>
        <v>0</v>
      </c>
      <c r="E64" s="106">
        <f t="shared" si="6"/>
        <v>0</v>
      </c>
      <c r="F64" s="106">
        <f t="shared" si="0"/>
        <v>0</v>
      </c>
      <c r="G64" s="153">
        <f t="shared" si="1"/>
        <v>0</v>
      </c>
    </row>
    <row r="65" spans="1:7" ht="13.5" hidden="1" thickBot="1">
      <c r="A65" s="91">
        <f t="shared" si="2"/>
        <v>44</v>
      </c>
      <c r="B65" s="106">
        <f t="shared" si="3"/>
        <v>0</v>
      </c>
      <c r="C65" s="152">
        <f t="shared" si="4"/>
        <v>0</v>
      </c>
      <c r="D65" s="152">
        <f t="shared" si="5"/>
        <v>0</v>
      </c>
      <c r="E65" s="106">
        <f t="shared" si="6"/>
        <v>0</v>
      </c>
      <c r="F65" s="106">
        <f t="shared" si="0"/>
        <v>0</v>
      </c>
      <c r="G65" s="153">
        <f t="shared" si="1"/>
        <v>0</v>
      </c>
    </row>
    <row r="66" spans="1:7" ht="13.5" hidden="1" thickBot="1">
      <c r="A66" s="91">
        <f t="shared" si="2"/>
        <v>45</v>
      </c>
      <c r="B66" s="106">
        <f t="shared" si="3"/>
        <v>0</v>
      </c>
      <c r="C66" s="152">
        <f t="shared" si="4"/>
        <v>0</v>
      </c>
      <c r="D66" s="152">
        <f t="shared" si="5"/>
        <v>0</v>
      </c>
      <c r="E66" s="106">
        <f t="shared" si="6"/>
        <v>0</v>
      </c>
      <c r="F66" s="106">
        <f t="shared" si="0"/>
        <v>0</v>
      </c>
      <c r="G66" s="153">
        <f t="shared" si="1"/>
        <v>0</v>
      </c>
    </row>
    <row r="67" spans="1:7" ht="13.5" hidden="1" thickBot="1">
      <c r="A67" s="91">
        <f t="shared" si="2"/>
        <v>46</v>
      </c>
      <c r="B67" s="106">
        <f t="shared" si="3"/>
        <v>0</v>
      </c>
      <c r="C67" s="152">
        <f t="shared" si="4"/>
        <v>0</v>
      </c>
      <c r="D67" s="152">
        <f t="shared" si="5"/>
        <v>0</v>
      </c>
      <c r="E67" s="106">
        <f t="shared" si="6"/>
        <v>0</v>
      </c>
      <c r="F67" s="106">
        <f t="shared" si="0"/>
        <v>0</v>
      </c>
      <c r="G67" s="153">
        <f t="shared" si="1"/>
        <v>0</v>
      </c>
    </row>
    <row r="68" spans="1:7" ht="13.5" hidden="1" thickBot="1">
      <c r="A68" s="91">
        <f t="shared" si="2"/>
        <v>47</v>
      </c>
      <c r="B68" s="106">
        <f t="shared" si="3"/>
        <v>0</v>
      </c>
      <c r="C68" s="152">
        <f t="shared" si="4"/>
        <v>0</v>
      </c>
      <c r="D68" s="152">
        <f t="shared" si="5"/>
        <v>0</v>
      </c>
      <c r="E68" s="106">
        <f t="shared" si="6"/>
        <v>0</v>
      </c>
      <c r="F68" s="106">
        <f t="shared" si="0"/>
        <v>0</v>
      </c>
      <c r="G68" s="153">
        <f t="shared" si="1"/>
        <v>0</v>
      </c>
    </row>
    <row r="69" spans="1:7" ht="13.5" hidden="1" thickBot="1">
      <c r="A69" s="91">
        <f t="shared" si="2"/>
        <v>48</v>
      </c>
      <c r="B69" s="106">
        <f t="shared" si="3"/>
        <v>0</v>
      </c>
      <c r="C69" s="152">
        <f t="shared" si="4"/>
        <v>0</v>
      </c>
      <c r="D69" s="152">
        <f t="shared" si="5"/>
        <v>0</v>
      </c>
      <c r="E69" s="106">
        <f t="shared" si="6"/>
        <v>0</v>
      </c>
      <c r="F69" s="106">
        <f t="shared" si="0"/>
        <v>0</v>
      </c>
      <c r="G69" s="153">
        <f t="shared" si="1"/>
        <v>0</v>
      </c>
    </row>
    <row r="70" spans="1:7" ht="13.5" hidden="1" thickBot="1">
      <c r="A70" s="91">
        <f t="shared" si="2"/>
        <v>49</v>
      </c>
      <c r="B70" s="106">
        <f t="shared" si="3"/>
        <v>0</v>
      </c>
      <c r="C70" s="152">
        <f t="shared" si="4"/>
        <v>0</v>
      </c>
      <c r="D70" s="152">
        <f t="shared" si="5"/>
        <v>0</v>
      </c>
      <c r="E70" s="106">
        <f t="shared" si="6"/>
        <v>0</v>
      </c>
      <c r="F70" s="106">
        <f t="shared" si="0"/>
        <v>0</v>
      </c>
      <c r="G70" s="153">
        <f t="shared" si="1"/>
        <v>0</v>
      </c>
    </row>
    <row r="71" spans="1:7" ht="13.5" hidden="1" thickBot="1">
      <c r="A71" s="91">
        <f t="shared" si="2"/>
        <v>50</v>
      </c>
      <c r="B71" s="106">
        <f t="shared" si="3"/>
        <v>0</v>
      </c>
      <c r="C71" s="152">
        <f t="shared" si="4"/>
        <v>0</v>
      </c>
      <c r="D71" s="152">
        <f t="shared" si="5"/>
        <v>0</v>
      </c>
      <c r="E71" s="106">
        <f t="shared" si="6"/>
        <v>0</v>
      </c>
      <c r="F71" s="106">
        <f t="shared" si="0"/>
        <v>0</v>
      </c>
      <c r="G71" s="153">
        <f t="shared" si="1"/>
        <v>0</v>
      </c>
    </row>
    <row r="72" spans="1:7" ht="13.5" hidden="1" thickBot="1">
      <c r="A72" s="91">
        <f t="shared" si="2"/>
        <v>51</v>
      </c>
      <c r="B72" s="106">
        <f t="shared" si="3"/>
        <v>0</v>
      </c>
      <c r="C72" s="152">
        <f t="shared" si="4"/>
        <v>0</v>
      </c>
      <c r="D72" s="152">
        <f t="shared" si="5"/>
        <v>0</v>
      </c>
      <c r="E72" s="106">
        <f t="shared" si="6"/>
        <v>0</v>
      </c>
      <c r="F72" s="106">
        <f t="shared" si="0"/>
        <v>0</v>
      </c>
      <c r="G72" s="153">
        <f t="shared" si="1"/>
        <v>0</v>
      </c>
    </row>
    <row r="73" spans="1:7" ht="13.5" hidden="1" thickBot="1">
      <c r="A73" s="91">
        <f t="shared" si="2"/>
        <v>52</v>
      </c>
      <c r="B73" s="106">
        <f t="shared" si="3"/>
        <v>0</v>
      </c>
      <c r="C73" s="152">
        <f t="shared" si="4"/>
        <v>0</v>
      </c>
      <c r="D73" s="152">
        <f t="shared" si="5"/>
        <v>0</v>
      </c>
      <c r="E73" s="106">
        <f t="shared" si="6"/>
        <v>0</v>
      </c>
      <c r="F73" s="106">
        <f t="shared" si="0"/>
        <v>0</v>
      </c>
      <c r="G73" s="153">
        <f t="shared" si="1"/>
        <v>0</v>
      </c>
    </row>
    <row r="74" spans="1:7" ht="13.5" hidden="1" thickBot="1">
      <c r="A74" s="91">
        <f t="shared" si="2"/>
        <v>53</v>
      </c>
      <c r="B74" s="106">
        <f t="shared" si="3"/>
        <v>0</v>
      </c>
      <c r="C74" s="152">
        <f t="shared" si="4"/>
        <v>0</v>
      </c>
      <c r="D74" s="152">
        <f t="shared" si="5"/>
        <v>0</v>
      </c>
      <c r="E74" s="106">
        <f t="shared" si="6"/>
        <v>0</v>
      </c>
      <c r="F74" s="106">
        <f t="shared" si="0"/>
        <v>0</v>
      </c>
      <c r="G74" s="153">
        <f t="shared" si="1"/>
        <v>0</v>
      </c>
    </row>
    <row r="75" spans="1:7" ht="13.5" hidden="1" thickBot="1">
      <c r="A75" s="91">
        <f t="shared" si="2"/>
        <v>54</v>
      </c>
      <c r="B75" s="106">
        <f t="shared" si="3"/>
        <v>0</v>
      </c>
      <c r="C75" s="152">
        <f t="shared" si="4"/>
        <v>0</v>
      </c>
      <c r="D75" s="152">
        <f t="shared" si="5"/>
        <v>0</v>
      </c>
      <c r="E75" s="106">
        <f t="shared" si="6"/>
        <v>0</v>
      </c>
      <c r="F75" s="106">
        <f t="shared" si="0"/>
        <v>0</v>
      </c>
      <c r="G75" s="153">
        <f t="shared" si="1"/>
        <v>0</v>
      </c>
    </row>
    <row r="76" spans="1:7" ht="13.5" hidden="1" thickBot="1">
      <c r="A76" s="91">
        <f t="shared" si="2"/>
        <v>55</v>
      </c>
      <c r="B76" s="106">
        <f t="shared" si="3"/>
        <v>0</v>
      </c>
      <c r="C76" s="152">
        <f t="shared" si="4"/>
        <v>0</v>
      </c>
      <c r="D76" s="152">
        <f t="shared" si="5"/>
        <v>0</v>
      </c>
      <c r="E76" s="106">
        <f t="shared" si="6"/>
        <v>0</v>
      </c>
      <c r="F76" s="106">
        <f t="shared" si="0"/>
        <v>0</v>
      </c>
      <c r="G76" s="153">
        <f t="shared" si="1"/>
        <v>0</v>
      </c>
    </row>
    <row r="77" spans="1:7" ht="13.5" hidden="1" thickBot="1">
      <c r="A77" s="91">
        <f t="shared" si="2"/>
        <v>56</v>
      </c>
      <c r="B77" s="106">
        <f t="shared" si="3"/>
        <v>0</v>
      </c>
      <c r="C77" s="152">
        <f t="shared" si="4"/>
        <v>0</v>
      </c>
      <c r="D77" s="152">
        <f t="shared" si="5"/>
        <v>0</v>
      </c>
      <c r="E77" s="106">
        <f t="shared" si="6"/>
        <v>0</v>
      </c>
      <c r="F77" s="106">
        <f t="shared" si="0"/>
        <v>0</v>
      </c>
      <c r="G77" s="153">
        <f t="shared" si="1"/>
        <v>0</v>
      </c>
    </row>
    <row r="78" spans="1:7" ht="13.5" hidden="1" thickBot="1">
      <c r="A78" s="91">
        <f t="shared" si="2"/>
        <v>57</v>
      </c>
      <c r="B78" s="106">
        <f t="shared" si="3"/>
        <v>0</v>
      </c>
      <c r="C78" s="152">
        <f t="shared" si="4"/>
        <v>0</v>
      </c>
      <c r="D78" s="152">
        <f t="shared" si="5"/>
        <v>0</v>
      </c>
      <c r="E78" s="106">
        <f t="shared" si="6"/>
        <v>0</v>
      </c>
      <c r="F78" s="106">
        <f t="shared" si="0"/>
        <v>0</v>
      </c>
      <c r="G78" s="153">
        <f t="shared" si="1"/>
        <v>0</v>
      </c>
    </row>
    <row r="79" spans="1:7" ht="13.5" hidden="1" thickBot="1">
      <c r="A79" s="91">
        <f t="shared" si="2"/>
        <v>58</v>
      </c>
      <c r="B79" s="106">
        <f t="shared" si="3"/>
        <v>0</v>
      </c>
      <c r="C79" s="152">
        <f t="shared" si="4"/>
        <v>0</v>
      </c>
      <c r="D79" s="152">
        <f t="shared" si="5"/>
        <v>0</v>
      </c>
      <c r="E79" s="106">
        <f t="shared" si="6"/>
        <v>0</v>
      </c>
      <c r="F79" s="106">
        <f t="shared" si="0"/>
        <v>0</v>
      </c>
      <c r="G79" s="153">
        <f t="shared" si="1"/>
        <v>0</v>
      </c>
    </row>
    <row r="80" spans="1:7" ht="13.5" hidden="1" thickBot="1">
      <c r="A80" s="91">
        <f t="shared" si="2"/>
        <v>59</v>
      </c>
      <c r="B80" s="106">
        <f t="shared" si="3"/>
        <v>0</v>
      </c>
      <c r="C80" s="152">
        <f t="shared" si="4"/>
        <v>0</v>
      </c>
      <c r="D80" s="152">
        <f t="shared" si="5"/>
        <v>0</v>
      </c>
      <c r="E80" s="106">
        <f t="shared" si="6"/>
        <v>0</v>
      </c>
      <c r="F80" s="106">
        <f t="shared" si="0"/>
        <v>0</v>
      </c>
      <c r="G80" s="153">
        <f t="shared" si="1"/>
        <v>0</v>
      </c>
    </row>
    <row r="81" spans="1:7" ht="13.5" hidden="1" thickBot="1">
      <c r="A81" s="91">
        <f t="shared" si="2"/>
        <v>60</v>
      </c>
      <c r="B81" s="106">
        <f t="shared" si="3"/>
        <v>0</v>
      </c>
      <c r="C81" s="152">
        <f t="shared" si="4"/>
        <v>0</v>
      </c>
      <c r="D81" s="152">
        <f t="shared" si="5"/>
        <v>0</v>
      </c>
      <c r="E81" s="106">
        <f t="shared" si="6"/>
        <v>0</v>
      </c>
      <c r="F81" s="106">
        <f t="shared" si="0"/>
        <v>0</v>
      </c>
      <c r="G81" s="153">
        <f t="shared" si="1"/>
        <v>0</v>
      </c>
    </row>
    <row r="82" spans="1:7" ht="13.5" hidden="1" thickBot="1">
      <c r="A82" s="91">
        <f t="shared" si="2"/>
        <v>61</v>
      </c>
      <c r="B82" s="106">
        <f t="shared" si="3"/>
        <v>0</v>
      </c>
      <c r="C82" s="152">
        <f t="shared" si="4"/>
        <v>0</v>
      </c>
      <c r="D82" s="152">
        <f t="shared" si="5"/>
        <v>0</v>
      </c>
      <c r="E82" s="106">
        <f t="shared" si="6"/>
        <v>0</v>
      </c>
      <c r="F82" s="106">
        <f t="shared" si="0"/>
        <v>0</v>
      </c>
      <c r="G82" s="153">
        <f t="shared" si="1"/>
        <v>0</v>
      </c>
    </row>
    <row r="83" spans="1:7" ht="13.5" hidden="1" thickBot="1">
      <c r="A83" s="91">
        <f t="shared" si="2"/>
        <v>62</v>
      </c>
      <c r="B83" s="106">
        <f t="shared" si="3"/>
        <v>0</v>
      </c>
      <c r="C83" s="152">
        <f t="shared" si="4"/>
        <v>0</v>
      </c>
      <c r="D83" s="152">
        <f t="shared" si="5"/>
        <v>0</v>
      </c>
      <c r="E83" s="106">
        <f t="shared" si="6"/>
        <v>0</v>
      </c>
      <c r="F83" s="106">
        <f t="shared" si="0"/>
        <v>0</v>
      </c>
      <c r="G83" s="153">
        <f t="shared" si="1"/>
        <v>0</v>
      </c>
    </row>
    <row r="84" spans="1:7" ht="13.5" hidden="1" thickBot="1">
      <c r="A84" s="91">
        <f t="shared" si="2"/>
        <v>63</v>
      </c>
      <c r="B84" s="106">
        <f t="shared" si="3"/>
        <v>0</v>
      </c>
      <c r="C84" s="152">
        <f t="shared" si="4"/>
        <v>0</v>
      </c>
      <c r="D84" s="152">
        <f t="shared" si="5"/>
        <v>0</v>
      </c>
      <c r="E84" s="106">
        <f t="shared" si="6"/>
        <v>0</v>
      </c>
      <c r="F84" s="106">
        <f t="shared" si="0"/>
        <v>0</v>
      </c>
      <c r="G84" s="153">
        <f t="shared" si="1"/>
        <v>0</v>
      </c>
    </row>
    <row r="85" spans="1:7" ht="13.5" hidden="1" thickBot="1">
      <c r="A85" s="91">
        <f t="shared" si="2"/>
        <v>64</v>
      </c>
      <c r="B85" s="106">
        <f t="shared" si="3"/>
        <v>0</v>
      </c>
      <c r="C85" s="152">
        <f t="shared" si="4"/>
        <v>0</v>
      </c>
      <c r="D85" s="152">
        <f t="shared" si="5"/>
        <v>0</v>
      </c>
      <c r="E85" s="106">
        <f t="shared" si="6"/>
        <v>0</v>
      </c>
      <c r="F85" s="106">
        <f t="shared" si="0"/>
        <v>0</v>
      </c>
      <c r="G85" s="153">
        <f t="shared" si="1"/>
        <v>0</v>
      </c>
    </row>
    <row r="86" spans="1:7" ht="13.5" hidden="1" thickBot="1">
      <c r="A86" s="91">
        <f t="shared" si="2"/>
        <v>65</v>
      </c>
      <c r="B86" s="106">
        <f t="shared" si="3"/>
        <v>0</v>
      </c>
      <c r="C86" s="152">
        <f t="shared" si="4"/>
        <v>0</v>
      </c>
      <c r="D86" s="152">
        <f t="shared" si="5"/>
        <v>0</v>
      </c>
      <c r="E86" s="106">
        <f t="shared" si="6"/>
        <v>0</v>
      </c>
      <c r="F86" s="106">
        <f t="shared" ref="F86:F149" si="7">IF(A86=$D$12,$D$3,0)</f>
        <v>0</v>
      </c>
      <c r="G86" s="153">
        <f t="shared" ref="G86:G149" si="8">B86-F86</f>
        <v>0</v>
      </c>
    </row>
    <row r="87" spans="1:7" ht="13.5" hidden="1" thickBot="1">
      <c r="A87" s="91">
        <f t="shared" ref="A87:A150" si="9">A86+1</f>
        <v>66</v>
      </c>
      <c r="B87" s="106">
        <f t="shared" ref="B87:B150" si="10">B86-F86</f>
        <v>0</v>
      </c>
      <c r="C87" s="152">
        <f t="shared" ref="C87:C150" si="11">IF(D87=0,0,D87+$D$15)</f>
        <v>0</v>
      </c>
      <c r="D87" s="152">
        <f t="shared" ref="D87:D150" si="12">E87+F87</f>
        <v>0</v>
      </c>
      <c r="E87" s="106">
        <f t="shared" ref="E87:E150" si="13">IF(B87&gt;0,E86,0)</f>
        <v>0</v>
      </c>
      <c r="F87" s="106">
        <f t="shared" si="7"/>
        <v>0</v>
      </c>
      <c r="G87" s="153">
        <f t="shared" si="8"/>
        <v>0</v>
      </c>
    </row>
    <row r="88" spans="1:7" ht="13.5" hidden="1" thickBot="1">
      <c r="A88" s="91">
        <f t="shared" si="9"/>
        <v>67</v>
      </c>
      <c r="B88" s="106">
        <f t="shared" si="10"/>
        <v>0</v>
      </c>
      <c r="C88" s="152">
        <f t="shared" si="11"/>
        <v>0</v>
      </c>
      <c r="D88" s="152">
        <f t="shared" si="12"/>
        <v>0</v>
      </c>
      <c r="E88" s="106">
        <f t="shared" si="13"/>
        <v>0</v>
      </c>
      <c r="F88" s="106">
        <f t="shared" si="7"/>
        <v>0</v>
      </c>
      <c r="G88" s="153">
        <f t="shared" si="8"/>
        <v>0</v>
      </c>
    </row>
    <row r="89" spans="1:7" ht="13.5" hidden="1" thickBot="1">
      <c r="A89" s="91">
        <f t="shared" si="9"/>
        <v>68</v>
      </c>
      <c r="B89" s="106">
        <f t="shared" si="10"/>
        <v>0</v>
      </c>
      <c r="C89" s="152">
        <f t="shared" si="11"/>
        <v>0</v>
      </c>
      <c r="D89" s="152">
        <f t="shared" si="12"/>
        <v>0</v>
      </c>
      <c r="E89" s="106">
        <f t="shared" si="13"/>
        <v>0</v>
      </c>
      <c r="F89" s="106">
        <f t="shared" si="7"/>
        <v>0</v>
      </c>
      <c r="G89" s="153">
        <f t="shared" si="8"/>
        <v>0</v>
      </c>
    </row>
    <row r="90" spans="1:7" ht="13.5" hidden="1" thickBot="1">
      <c r="A90" s="91">
        <f t="shared" si="9"/>
        <v>69</v>
      </c>
      <c r="B90" s="106">
        <f t="shared" si="10"/>
        <v>0</v>
      </c>
      <c r="C90" s="152">
        <f t="shared" si="11"/>
        <v>0</v>
      </c>
      <c r="D90" s="152">
        <f t="shared" si="12"/>
        <v>0</v>
      </c>
      <c r="E90" s="106">
        <f t="shared" si="13"/>
        <v>0</v>
      </c>
      <c r="F90" s="106">
        <f t="shared" si="7"/>
        <v>0</v>
      </c>
      <c r="G90" s="153">
        <f t="shared" si="8"/>
        <v>0</v>
      </c>
    </row>
    <row r="91" spans="1:7" ht="13.5" hidden="1" thickBot="1">
      <c r="A91" s="91">
        <f t="shared" si="9"/>
        <v>70</v>
      </c>
      <c r="B91" s="106">
        <f t="shared" si="10"/>
        <v>0</v>
      </c>
      <c r="C91" s="152">
        <f t="shared" si="11"/>
        <v>0</v>
      </c>
      <c r="D91" s="152">
        <f t="shared" si="12"/>
        <v>0</v>
      </c>
      <c r="E91" s="106">
        <f t="shared" si="13"/>
        <v>0</v>
      </c>
      <c r="F91" s="106">
        <f t="shared" si="7"/>
        <v>0</v>
      </c>
      <c r="G91" s="153">
        <f t="shared" si="8"/>
        <v>0</v>
      </c>
    </row>
    <row r="92" spans="1:7" ht="13.5" hidden="1" thickBot="1">
      <c r="A92" s="91">
        <f t="shared" si="9"/>
        <v>71</v>
      </c>
      <c r="B92" s="106">
        <f t="shared" si="10"/>
        <v>0</v>
      </c>
      <c r="C92" s="152">
        <f t="shared" si="11"/>
        <v>0</v>
      </c>
      <c r="D92" s="152">
        <f t="shared" si="12"/>
        <v>0</v>
      </c>
      <c r="E92" s="106">
        <f t="shared" si="13"/>
        <v>0</v>
      </c>
      <c r="F92" s="106">
        <f t="shared" si="7"/>
        <v>0</v>
      </c>
      <c r="G92" s="153">
        <f t="shared" si="8"/>
        <v>0</v>
      </c>
    </row>
    <row r="93" spans="1:7" ht="13.5" hidden="1" thickBot="1">
      <c r="A93" s="91">
        <f t="shared" si="9"/>
        <v>72</v>
      </c>
      <c r="B93" s="106">
        <f t="shared" si="10"/>
        <v>0</v>
      </c>
      <c r="C93" s="152">
        <f t="shared" si="11"/>
        <v>0</v>
      </c>
      <c r="D93" s="152">
        <f t="shared" si="12"/>
        <v>0</v>
      </c>
      <c r="E93" s="106">
        <f t="shared" si="13"/>
        <v>0</v>
      </c>
      <c r="F93" s="106">
        <f t="shared" si="7"/>
        <v>0</v>
      </c>
      <c r="G93" s="153">
        <f t="shared" si="8"/>
        <v>0</v>
      </c>
    </row>
    <row r="94" spans="1:7" ht="13.5" hidden="1" thickBot="1">
      <c r="A94" s="91">
        <f t="shared" si="9"/>
        <v>73</v>
      </c>
      <c r="B94" s="106">
        <f t="shared" si="10"/>
        <v>0</v>
      </c>
      <c r="C94" s="152">
        <f t="shared" si="11"/>
        <v>0</v>
      </c>
      <c r="D94" s="152">
        <f t="shared" si="12"/>
        <v>0</v>
      </c>
      <c r="E94" s="106">
        <f t="shared" si="13"/>
        <v>0</v>
      </c>
      <c r="F94" s="106">
        <f t="shared" si="7"/>
        <v>0</v>
      </c>
      <c r="G94" s="153">
        <f t="shared" si="8"/>
        <v>0</v>
      </c>
    </row>
    <row r="95" spans="1:7" ht="13.5" hidden="1" thickBot="1">
      <c r="A95" s="91">
        <f t="shared" si="9"/>
        <v>74</v>
      </c>
      <c r="B95" s="106">
        <f t="shared" si="10"/>
        <v>0</v>
      </c>
      <c r="C95" s="152">
        <f t="shared" si="11"/>
        <v>0</v>
      </c>
      <c r="D95" s="152">
        <f t="shared" si="12"/>
        <v>0</v>
      </c>
      <c r="E95" s="106">
        <f t="shared" si="13"/>
        <v>0</v>
      </c>
      <c r="F95" s="106">
        <f t="shared" si="7"/>
        <v>0</v>
      </c>
      <c r="G95" s="153">
        <f t="shared" si="8"/>
        <v>0</v>
      </c>
    </row>
    <row r="96" spans="1:7" ht="13.5" hidden="1" thickBot="1">
      <c r="A96" s="91">
        <f t="shared" si="9"/>
        <v>75</v>
      </c>
      <c r="B96" s="106">
        <f t="shared" si="10"/>
        <v>0</v>
      </c>
      <c r="C96" s="152">
        <f t="shared" si="11"/>
        <v>0</v>
      </c>
      <c r="D96" s="152">
        <f t="shared" si="12"/>
        <v>0</v>
      </c>
      <c r="E96" s="106">
        <f t="shared" si="13"/>
        <v>0</v>
      </c>
      <c r="F96" s="106">
        <f t="shared" si="7"/>
        <v>0</v>
      </c>
      <c r="G96" s="153">
        <f t="shared" si="8"/>
        <v>0</v>
      </c>
    </row>
    <row r="97" spans="1:7" ht="13.5" hidden="1" thickBot="1">
      <c r="A97" s="91">
        <f t="shared" si="9"/>
        <v>76</v>
      </c>
      <c r="B97" s="106">
        <f t="shared" si="10"/>
        <v>0</v>
      </c>
      <c r="C97" s="152">
        <f t="shared" si="11"/>
        <v>0</v>
      </c>
      <c r="D97" s="152">
        <f t="shared" si="12"/>
        <v>0</v>
      </c>
      <c r="E97" s="106">
        <f t="shared" si="13"/>
        <v>0</v>
      </c>
      <c r="F97" s="106">
        <f t="shared" si="7"/>
        <v>0</v>
      </c>
      <c r="G97" s="153">
        <f t="shared" si="8"/>
        <v>0</v>
      </c>
    </row>
    <row r="98" spans="1:7" ht="13.5" hidden="1" thickBot="1">
      <c r="A98" s="91">
        <f t="shared" si="9"/>
        <v>77</v>
      </c>
      <c r="B98" s="106">
        <f t="shared" si="10"/>
        <v>0</v>
      </c>
      <c r="C98" s="152">
        <f t="shared" si="11"/>
        <v>0</v>
      </c>
      <c r="D98" s="152">
        <f t="shared" si="12"/>
        <v>0</v>
      </c>
      <c r="E98" s="106">
        <f t="shared" si="13"/>
        <v>0</v>
      </c>
      <c r="F98" s="106">
        <f t="shared" si="7"/>
        <v>0</v>
      </c>
      <c r="G98" s="153">
        <f t="shared" si="8"/>
        <v>0</v>
      </c>
    </row>
    <row r="99" spans="1:7" ht="13.5" hidden="1" thickBot="1">
      <c r="A99" s="91">
        <f t="shared" si="9"/>
        <v>78</v>
      </c>
      <c r="B99" s="106">
        <f t="shared" si="10"/>
        <v>0</v>
      </c>
      <c r="C99" s="152">
        <f t="shared" si="11"/>
        <v>0</v>
      </c>
      <c r="D99" s="152">
        <f t="shared" si="12"/>
        <v>0</v>
      </c>
      <c r="E99" s="106">
        <f t="shared" si="13"/>
        <v>0</v>
      </c>
      <c r="F99" s="106">
        <f t="shared" si="7"/>
        <v>0</v>
      </c>
      <c r="G99" s="153">
        <f t="shared" si="8"/>
        <v>0</v>
      </c>
    </row>
    <row r="100" spans="1:7" ht="13.5" hidden="1" thickBot="1">
      <c r="A100" s="91">
        <f t="shared" si="9"/>
        <v>79</v>
      </c>
      <c r="B100" s="106">
        <f t="shared" si="10"/>
        <v>0</v>
      </c>
      <c r="C100" s="152">
        <f t="shared" si="11"/>
        <v>0</v>
      </c>
      <c r="D100" s="152">
        <f t="shared" si="12"/>
        <v>0</v>
      </c>
      <c r="E100" s="106">
        <f t="shared" si="13"/>
        <v>0</v>
      </c>
      <c r="F100" s="106">
        <f t="shared" si="7"/>
        <v>0</v>
      </c>
      <c r="G100" s="153">
        <f t="shared" si="8"/>
        <v>0</v>
      </c>
    </row>
    <row r="101" spans="1:7" ht="13.5" hidden="1" thickBot="1">
      <c r="A101" s="91">
        <f t="shared" si="9"/>
        <v>80</v>
      </c>
      <c r="B101" s="106">
        <f t="shared" si="10"/>
        <v>0</v>
      </c>
      <c r="C101" s="152">
        <f t="shared" si="11"/>
        <v>0</v>
      </c>
      <c r="D101" s="152">
        <f t="shared" si="12"/>
        <v>0</v>
      </c>
      <c r="E101" s="106">
        <f t="shared" si="13"/>
        <v>0</v>
      </c>
      <c r="F101" s="106">
        <f t="shared" si="7"/>
        <v>0</v>
      </c>
      <c r="G101" s="153">
        <f t="shared" si="8"/>
        <v>0</v>
      </c>
    </row>
    <row r="102" spans="1:7" ht="13.5" hidden="1" thickBot="1">
      <c r="A102" s="91">
        <f t="shared" si="9"/>
        <v>81</v>
      </c>
      <c r="B102" s="106">
        <f t="shared" si="10"/>
        <v>0</v>
      </c>
      <c r="C102" s="152">
        <f t="shared" si="11"/>
        <v>0</v>
      </c>
      <c r="D102" s="152">
        <f t="shared" si="12"/>
        <v>0</v>
      </c>
      <c r="E102" s="106">
        <f t="shared" si="13"/>
        <v>0</v>
      </c>
      <c r="F102" s="106">
        <f t="shared" si="7"/>
        <v>0</v>
      </c>
      <c r="G102" s="153">
        <f t="shared" si="8"/>
        <v>0</v>
      </c>
    </row>
    <row r="103" spans="1:7" ht="13.5" hidden="1" thickBot="1">
      <c r="A103" s="91">
        <f t="shared" si="9"/>
        <v>82</v>
      </c>
      <c r="B103" s="106">
        <f t="shared" si="10"/>
        <v>0</v>
      </c>
      <c r="C103" s="152">
        <f t="shared" si="11"/>
        <v>0</v>
      </c>
      <c r="D103" s="152">
        <f t="shared" si="12"/>
        <v>0</v>
      </c>
      <c r="E103" s="106">
        <f t="shared" si="13"/>
        <v>0</v>
      </c>
      <c r="F103" s="106">
        <f t="shared" si="7"/>
        <v>0</v>
      </c>
      <c r="G103" s="153">
        <f t="shared" si="8"/>
        <v>0</v>
      </c>
    </row>
    <row r="104" spans="1:7" ht="13.5" hidden="1" thickBot="1">
      <c r="A104" s="91">
        <f t="shared" si="9"/>
        <v>83</v>
      </c>
      <c r="B104" s="106">
        <f t="shared" si="10"/>
        <v>0</v>
      </c>
      <c r="C104" s="152">
        <f t="shared" si="11"/>
        <v>0</v>
      </c>
      <c r="D104" s="152">
        <f t="shared" si="12"/>
        <v>0</v>
      </c>
      <c r="E104" s="106">
        <f t="shared" si="13"/>
        <v>0</v>
      </c>
      <c r="F104" s="106">
        <f t="shared" si="7"/>
        <v>0</v>
      </c>
      <c r="G104" s="153">
        <f t="shared" si="8"/>
        <v>0</v>
      </c>
    </row>
    <row r="105" spans="1:7" ht="13.5" hidden="1" thickBot="1">
      <c r="A105" s="91">
        <f t="shared" si="9"/>
        <v>84</v>
      </c>
      <c r="B105" s="106">
        <f t="shared" si="10"/>
        <v>0</v>
      </c>
      <c r="C105" s="152">
        <f t="shared" si="11"/>
        <v>0</v>
      </c>
      <c r="D105" s="152">
        <f t="shared" si="12"/>
        <v>0</v>
      </c>
      <c r="E105" s="106">
        <f t="shared" si="13"/>
        <v>0</v>
      </c>
      <c r="F105" s="106">
        <f t="shared" si="7"/>
        <v>0</v>
      </c>
      <c r="G105" s="153">
        <f t="shared" si="8"/>
        <v>0</v>
      </c>
    </row>
    <row r="106" spans="1:7" ht="13.5" hidden="1" thickBot="1">
      <c r="A106" s="91">
        <f t="shared" si="9"/>
        <v>85</v>
      </c>
      <c r="B106" s="106">
        <f t="shared" si="10"/>
        <v>0</v>
      </c>
      <c r="C106" s="152">
        <f t="shared" si="11"/>
        <v>0</v>
      </c>
      <c r="D106" s="152">
        <f t="shared" si="12"/>
        <v>0</v>
      </c>
      <c r="E106" s="106">
        <f t="shared" si="13"/>
        <v>0</v>
      </c>
      <c r="F106" s="106">
        <f t="shared" si="7"/>
        <v>0</v>
      </c>
      <c r="G106" s="153">
        <f t="shared" si="8"/>
        <v>0</v>
      </c>
    </row>
    <row r="107" spans="1:7" ht="13.5" hidden="1" thickBot="1">
      <c r="A107" s="91">
        <f t="shared" si="9"/>
        <v>86</v>
      </c>
      <c r="B107" s="106">
        <f t="shared" si="10"/>
        <v>0</v>
      </c>
      <c r="C107" s="152">
        <f t="shared" si="11"/>
        <v>0</v>
      </c>
      <c r="D107" s="152">
        <f t="shared" si="12"/>
        <v>0</v>
      </c>
      <c r="E107" s="106">
        <f t="shared" si="13"/>
        <v>0</v>
      </c>
      <c r="F107" s="106">
        <f t="shared" si="7"/>
        <v>0</v>
      </c>
      <c r="G107" s="153">
        <f t="shared" si="8"/>
        <v>0</v>
      </c>
    </row>
    <row r="108" spans="1:7" ht="13.5" hidden="1" thickBot="1">
      <c r="A108" s="91">
        <f t="shared" si="9"/>
        <v>87</v>
      </c>
      <c r="B108" s="106">
        <f t="shared" si="10"/>
        <v>0</v>
      </c>
      <c r="C108" s="152">
        <f t="shared" si="11"/>
        <v>0</v>
      </c>
      <c r="D108" s="152">
        <f t="shared" si="12"/>
        <v>0</v>
      </c>
      <c r="E108" s="106">
        <f t="shared" si="13"/>
        <v>0</v>
      </c>
      <c r="F108" s="106">
        <f t="shared" si="7"/>
        <v>0</v>
      </c>
      <c r="G108" s="153">
        <f t="shared" si="8"/>
        <v>0</v>
      </c>
    </row>
    <row r="109" spans="1:7" ht="13.5" hidden="1" thickBot="1">
      <c r="A109" s="91">
        <f t="shared" si="9"/>
        <v>88</v>
      </c>
      <c r="B109" s="106">
        <f t="shared" si="10"/>
        <v>0</v>
      </c>
      <c r="C109" s="152">
        <f t="shared" si="11"/>
        <v>0</v>
      </c>
      <c r="D109" s="152">
        <f t="shared" si="12"/>
        <v>0</v>
      </c>
      <c r="E109" s="106">
        <f t="shared" si="13"/>
        <v>0</v>
      </c>
      <c r="F109" s="106">
        <f t="shared" si="7"/>
        <v>0</v>
      </c>
      <c r="G109" s="153">
        <f t="shared" si="8"/>
        <v>0</v>
      </c>
    </row>
    <row r="110" spans="1:7" ht="13.5" hidden="1" thickBot="1">
      <c r="A110" s="91">
        <f t="shared" si="9"/>
        <v>89</v>
      </c>
      <c r="B110" s="106">
        <f t="shared" si="10"/>
        <v>0</v>
      </c>
      <c r="C110" s="152">
        <f t="shared" si="11"/>
        <v>0</v>
      </c>
      <c r="D110" s="152">
        <f t="shared" si="12"/>
        <v>0</v>
      </c>
      <c r="E110" s="106">
        <f t="shared" si="13"/>
        <v>0</v>
      </c>
      <c r="F110" s="106">
        <f t="shared" si="7"/>
        <v>0</v>
      </c>
      <c r="G110" s="153">
        <f t="shared" si="8"/>
        <v>0</v>
      </c>
    </row>
    <row r="111" spans="1:7" ht="13.5" hidden="1" thickBot="1">
      <c r="A111" s="91">
        <f t="shared" si="9"/>
        <v>90</v>
      </c>
      <c r="B111" s="106">
        <f t="shared" si="10"/>
        <v>0</v>
      </c>
      <c r="C111" s="152">
        <f t="shared" si="11"/>
        <v>0</v>
      </c>
      <c r="D111" s="152">
        <f t="shared" si="12"/>
        <v>0</v>
      </c>
      <c r="E111" s="106">
        <f t="shared" si="13"/>
        <v>0</v>
      </c>
      <c r="F111" s="106">
        <f t="shared" si="7"/>
        <v>0</v>
      </c>
      <c r="G111" s="153">
        <f t="shared" si="8"/>
        <v>0</v>
      </c>
    </row>
    <row r="112" spans="1:7" ht="13.5" hidden="1" thickBot="1">
      <c r="A112" s="91">
        <f t="shared" si="9"/>
        <v>91</v>
      </c>
      <c r="B112" s="106">
        <f t="shared" si="10"/>
        <v>0</v>
      </c>
      <c r="C112" s="152">
        <f t="shared" si="11"/>
        <v>0</v>
      </c>
      <c r="D112" s="152">
        <f t="shared" si="12"/>
        <v>0</v>
      </c>
      <c r="E112" s="106">
        <f t="shared" si="13"/>
        <v>0</v>
      </c>
      <c r="F112" s="106">
        <f t="shared" si="7"/>
        <v>0</v>
      </c>
      <c r="G112" s="153">
        <f t="shared" si="8"/>
        <v>0</v>
      </c>
    </row>
    <row r="113" spans="1:7" ht="13.5" hidden="1" thickBot="1">
      <c r="A113" s="91">
        <f t="shared" si="9"/>
        <v>92</v>
      </c>
      <c r="B113" s="106">
        <f t="shared" si="10"/>
        <v>0</v>
      </c>
      <c r="C113" s="152">
        <f t="shared" si="11"/>
        <v>0</v>
      </c>
      <c r="D113" s="152">
        <f t="shared" si="12"/>
        <v>0</v>
      </c>
      <c r="E113" s="106">
        <f t="shared" si="13"/>
        <v>0</v>
      </c>
      <c r="F113" s="106">
        <f t="shared" si="7"/>
        <v>0</v>
      </c>
      <c r="G113" s="153">
        <f t="shared" si="8"/>
        <v>0</v>
      </c>
    </row>
    <row r="114" spans="1:7" ht="13.5" hidden="1" thickBot="1">
      <c r="A114" s="91">
        <f t="shared" si="9"/>
        <v>93</v>
      </c>
      <c r="B114" s="106">
        <f t="shared" si="10"/>
        <v>0</v>
      </c>
      <c r="C114" s="152">
        <f t="shared" si="11"/>
        <v>0</v>
      </c>
      <c r="D114" s="152">
        <f t="shared" si="12"/>
        <v>0</v>
      </c>
      <c r="E114" s="106">
        <f t="shared" si="13"/>
        <v>0</v>
      </c>
      <c r="F114" s="106">
        <f t="shared" si="7"/>
        <v>0</v>
      </c>
      <c r="G114" s="153">
        <f t="shared" si="8"/>
        <v>0</v>
      </c>
    </row>
    <row r="115" spans="1:7" ht="13.5" hidden="1" thickBot="1">
      <c r="A115" s="91">
        <f t="shared" si="9"/>
        <v>94</v>
      </c>
      <c r="B115" s="106">
        <f t="shared" si="10"/>
        <v>0</v>
      </c>
      <c r="C115" s="152">
        <f t="shared" si="11"/>
        <v>0</v>
      </c>
      <c r="D115" s="152">
        <f t="shared" si="12"/>
        <v>0</v>
      </c>
      <c r="E115" s="106">
        <f t="shared" si="13"/>
        <v>0</v>
      </c>
      <c r="F115" s="106">
        <f t="shared" si="7"/>
        <v>0</v>
      </c>
      <c r="G115" s="153">
        <f t="shared" si="8"/>
        <v>0</v>
      </c>
    </row>
    <row r="116" spans="1:7" ht="13.5" hidden="1" thickBot="1">
      <c r="A116" s="91">
        <f t="shared" si="9"/>
        <v>95</v>
      </c>
      <c r="B116" s="106">
        <f t="shared" si="10"/>
        <v>0</v>
      </c>
      <c r="C116" s="152">
        <f t="shared" si="11"/>
        <v>0</v>
      </c>
      <c r="D116" s="152">
        <f t="shared" si="12"/>
        <v>0</v>
      </c>
      <c r="E116" s="106">
        <f t="shared" si="13"/>
        <v>0</v>
      </c>
      <c r="F116" s="106">
        <f t="shared" si="7"/>
        <v>0</v>
      </c>
      <c r="G116" s="153">
        <f t="shared" si="8"/>
        <v>0</v>
      </c>
    </row>
    <row r="117" spans="1:7" ht="13.5" hidden="1" thickBot="1">
      <c r="A117" s="91">
        <f t="shared" si="9"/>
        <v>96</v>
      </c>
      <c r="B117" s="106">
        <f t="shared" si="10"/>
        <v>0</v>
      </c>
      <c r="C117" s="152">
        <f t="shared" si="11"/>
        <v>0</v>
      </c>
      <c r="D117" s="152">
        <f t="shared" si="12"/>
        <v>0</v>
      </c>
      <c r="E117" s="106">
        <f t="shared" si="13"/>
        <v>0</v>
      </c>
      <c r="F117" s="106">
        <f t="shared" si="7"/>
        <v>0</v>
      </c>
      <c r="G117" s="153">
        <f t="shared" si="8"/>
        <v>0</v>
      </c>
    </row>
    <row r="118" spans="1:7" ht="13.5" hidden="1" thickBot="1">
      <c r="A118" s="91">
        <f t="shared" si="9"/>
        <v>97</v>
      </c>
      <c r="B118" s="106">
        <f t="shared" si="10"/>
        <v>0</v>
      </c>
      <c r="C118" s="152">
        <f t="shared" si="11"/>
        <v>0</v>
      </c>
      <c r="D118" s="152">
        <f t="shared" si="12"/>
        <v>0</v>
      </c>
      <c r="E118" s="106">
        <f t="shared" si="13"/>
        <v>0</v>
      </c>
      <c r="F118" s="106">
        <f t="shared" si="7"/>
        <v>0</v>
      </c>
      <c r="G118" s="153">
        <f t="shared" si="8"/>
        <v>0</v>
      </c>
    </row>
    <row r="119" spans="1:7" ht="13.5" hidden="1" thickBot="1">
      <c r="A119" s="91">
        <f t="shared" si="9"/>
        <v>98</v>
      </c>
      <c r="B119" s="106">
        <f t="shared" si="10"/>
        <v>0</v>
      </c>
      <c r="C119" s="152">
        <f t="shared" si="11"/>
        <v>0</v>
      </c>
      <c r="D119" s="152">
        <f t="shared" si="12"/>
        <v>0</v>
      </c>
      <c r="E119" s="106">
        <f t="shared" si="13"/>
        <v>0</v>
      </c>
      <c r="F119" s="106">
        <f t="shared" si="7"/>
        <v>0</v>
      </c>
      <c r="G119" s="153">
        <f t="shared" si="8"/>
        <v>0</v>
      </c>
    </row>
    <row r="120" spans="1:7" ht="13.5" hidden="1" thickBot="1">
      <c r="A120" s="91">
        <f t="shared" si="9"/>
        <v>99</v>
      </c>
      <c r="B120" s="106">
        <f t="shared" si="10"/>
        <v>0</v>
      </c>
      <c r="C120" s="152">
        <f t="shared" si="11"/>
        <v>0</v>
      </c>
      <c r="D120" s="152">
        <f t="shared" si="12"/>
        <v>0</v>
      </c>
      <c r="E120" s="106">
        <f t="shared" si="13"/>
        <v>0</v>
      </c>
      <c r="F120" s="106">
        <f t="shared" si="7"/>
        <v>0</v>
      </c>
      <c r="G120" s="153">
        <f t="shared" si="8"/>
        <v>0</v>
      </c>
    </row>
    <row r="121" spans="1:7" ht="13.5" hidden="1" thickBot="1">
      <c r="A121" s="91">
        <f t="shared" si="9"/>
        <v>100</v>
      </c>
      <c r="B121" s="106">
        <f t="shared" si="10"/>
        <v>0</v>
      </c>
      <c r="C121" s="152">
        <f t="shared" si="11"/>
        <v>0</v>
      </c>
      <c r="D121" s="152">
        <f t="shared" si="12"/>
        <v>0</v>
      </c>
      <c r="E121" s="106">
        <f t="shared" si="13"/>
        <v>0</v>
      </c>
      <c r="F121" s="106">
        <f t="shared" si="7"/>
        <v>0</v>
      </c>
      <c r="G121" s="153">
        <f t="shared" si="8"/>
        <v>0</v>
      </c>
    </row>
    <row r="122" spans="1:7" ht="13.5" hidden="1" thickBot="1">
      <c r="A122" s="91">
        <f t="shared" si="9"/>
        <v>101</v>
      </c>
      <c r="B122" s="106">
        <f t="shared" si="10"/>
        <v>0</v>
      </c>
      <c r="C122" s="152">
        <f t="shared" si="11"/>
        <v>0</v>
      </c>
      <c r="D122" s="152">
        <f t="shared" si="12"/>
        <v>0</v>
      </c>
      <c r="E122" s="106">
        <f t="shared" si="13"/>
        <v>0</v>
      </c>
      <c r="F122" s="106">
        <f t="shared" si="7"/>
        <v>0</v>
      </c>
      <c r="G122" s="153">
        <f t="shared" si="8"/>
        <v>0</v>
      </c>
    </row>
    <row r="123" spans="1:7" ht="13.5" hidden="1" thickBot="1">
      <c r="A123" s="91">
        <f t="shared" si="9"/>
        <v>102</v>
      </c>
      <c r="B123" s="106">
        <f t="shared" si="10"/>
        <v>0</v>
      </c>
      <c r="C123" s="152">
        <f t="shared" si="11"/>
        <v>0</v>
      </c>
      <c r="D123" s="152">
        <f t="shared" si="12"/>
        <v>0</v>
      </c>
      <c r="E123" s="106">
        <f t="shared" si="13"/>
        <v>0</v>
      </c>
      <c r="F123" s="106">
        <f t="shared" si="7"/>
        <v>0</v>
      </c>
      <c r="G123" s="153">
        <f t="shared" si="8"/>
        <v>0</v>
      </c>
    </row>
    <row r="124" spans="1:7" ht="13.5" hidden="1" thickBot="1">
      <c r="A124" s="91">
        <f t="shared" si="9"/>
        <v>103</v>
      </c>
      <c r="B124" s="106">
        <f t="shared" si="10"/>
        <v>0</v>
      </c>
      <c r="C124" s="152">
        <f t="shared" si="11"/>
        <v>0</v>
      </c>
      <c r="D124" s="152">
        <f t="shared" si="12"/>
        <v>0</v>
      </c>
      <c r="E124" s="106">
        <f t="shared" si="13"/>
        <v>0</v>
      </c>
      <c r="F124" s="106">
        <f t="shared" si="7"/>
        <v>0</v>
      </c>
      <c r="G124" s="153">
        <f t="shared" si="8"/>
        <v>0</v>
      </c>
    </row>
    <row r="125" spans="1:7" ht="13.5" hidden="1" thickBot="1">
      <c r="A125" s="91">
        <f t="shared" si="9"/>
        <v>104</v>
      </c>
      <c r="B125" s="106">
        <f t="shared" si="10"/>
        <v>0</v>
      </c>
      <c r="C125" s="152">
        <f t="shared" si="11"/>
        <v>0</v>
      </c>
      <c r="D125" s="152">
        <f t="shared" si="12"/>
        <v>0</v>
      </c>
      <c r="E125" s="106">
        <f t="shared" si="13"/>
        <v>0</v>
      </c>
      <c r="F125" s="106">
        <f t="shared" si="7"/>
        <v>0</v>
      </c>
      <c r="G125" s="153">
        <f t="shared" si="8"/>
        <v>0</v>
      </c>
    </row>
    <row r="126" spans="1:7" ht="13.5" hidden="1" thickBot="1">
      <c r="A126" s="91">
        <f t="shared" si="9"/>
        <v>105</v>
      </c>
      <c r="B126" s="106">
        <f t="shared" si="10"/>
        <v>0</v>
      </c>
      <c r="C126" s="152">
        <f t="shared" si="11"/>
        <v>0</v>
      </c>
      <c r="D126" s="152">
        <f t="shared" si="12"/>
        <v>0</v>
      </c>
      <c r="E126" s="106">
        <f t="shared" si="13"/>
        <v>0</v>
      </c>
      <c r="F126" s="106">
        <f t="shared" si="7"/>
        <v>0</v>
      </c>
      <c r="G126" s="153">
        <f t="shared" si="8"/>
        <v>0</v>
      </c>
    </row>
    <row r="127" spans="1:7" ht="13.5" hidden="1" thickBot="1">
      <c r="A127" s="91">
        <f t="shared" si="9"/>
        <v>106</v>
      </c>
      <c r="B127" s="106">
        <f t="shared" si="10"/>
        <v>0</v>
      </c>
      <c r="C127" s="152">
        <f t="shared" si="11"/>
        <v>0</v>
      </c>
      <c r="D127" s="152">
        <f t="shared" si="12"/>
        <v>0</v>
      </c>
      <c r="E127" s="106">
        <f t="shared" si="13"/>
        <v>0</v>
      </c>
      <c r="F127" s="106">
        <f t="shared" si="7"/>
        <v>0</v>
      </c>
      <c r="G127" s="153">
        <f t="shared" si="8"/>
        <v>0</v>
      </c>
    </row>
    <row r="128" spans="1:7" ht="13.5" hidden="1" thickBot="1">
      <c r="A128" s="91">
        <f t="shared" si="9"/>
        <v>107</v>
      </c>
      <c r="B128" s="106">
        <f t="shared" si="10"/>
        <v>0</v>
      </c>
      <c r="C128" s="152">
        <f t="shared" si="11"/>
        <v>0</v>
      </c>
      <c r="D128" s="152">
        <f t="shared" si="12"/>
        <v>0</v>
      </c>
      <c r="E128" s="106">
        <f t="shared" si="13"/>
        <v>0</v>
      </c>
      <c r="F128" s="106">
        <f t="shared" si="7"/>
        <v>0</v>
      </c>
      <c r="G128" s="153">
        <f t="shared" si="8"/>
        <v>0</v>
      </c>
    </row>
    <row r="129" spans="1:7" ht="13.5" hidden="1" thickBot="1">
      <c r="A129" s="91">
        <f t="shared" si="9"/>
        <v>108</v>
      </c>
      <c r="B129" s="106">
        <f t="shared" si="10"/>
        <v>0</v>
      </c>
      <c r="C129" s="152">
        <f t="shared" si="11"/>
        <v>0</v>
      </c>
      <c r="D129" s="152">
        <f t="shared" si="12"/>
        <v>0</v>
      </c>
      <c r="E129" s="106">
        <f t="shared" si="13"/>
        <v>0</v>
      </c>
      <c r="F129" s="106">
        <f t="shared" si="7"/>
        <v>0</v>
      </c>
      <c r="G129" s="153">
        <f t="shared" si="8"/>
        <v>0</v>
      </c>
    </row>
    <row r="130" spans="1:7" ht="13.5" hidden="1" thickBot="1">
      <c r="A130" s="91">
        <f t="shared" si="9"/>
        <v>109</v>
      </c>
      <c r="B130" s="106">
        <f t="shared" si="10"/>
        <v>0</v>
      </c>
      <c r="C130" s="152">
        <f t="shared" si="11"/>
        <v>0</v>
      </c>
      <c r="D130" s="152">
        <f t="shared" si="12"/>
        <v>0</v>
      </c>
      <c r="E130" s="106">
        <f t="shared" si="13"/>
        <v>0</v>
      </c>
      <c r="F130" s="106">
        <f t="shared" si="7"/>
        <v>0</v>
      </c>
      <c r="G130" s="153">
        <f t="shared" si="8"/>
        <v>0</v>
      </c>
    </row>
    <row r="131" spans="1:7" ht="13.5" hidden="1" thickBot="1">
      <c r="A131" s="91">
        <f t="shared" si="9"/>
        <v>110</v>
      </c>
      <c r="B131" s="106">
        <f t="shared" si="10"/>
        <v>0</v>
      </c>
      <c r="C131" s="152">
        <f t="shared" si="11"/>
        <v>0</v>
      </c>
      <c r="D131" s="152">
        <f t="shared" si="12"/>
        <v>0</v>
      </c>
      <c r="E131" s="106">
        <f t="shared" si="13"/>
        <v>0</v>
      </c>
      <c r="F131" s="106">
        <f t="shared" si="7"/>
        <v>0</v>
      </c>
      <c r="G131" s="153">
        <f t="shared" si="8"/>
        <v>0</v>
      </c>
    </row>
    <row r="132" spans="1:7" ht="13.5" hidden="1" thickBot="1">
      <c r="A132" s="91">
        <f t="shared" si="9"/>
        <v>111</v>
      </c>
      <c r="B132" s="106">
        <f t="shared" si="10"/>
        <v>0</v>
      </c>
      <c r="C132" s="152">
        <f t="shared" si="11"/>
        <v>0</v>
      </c>
      <c r="D132" s="152">
        <f t="shared" si="12"/>
        <v>0</v>
      </c>
      <c r="E132" s="106">
        <f t="shared" si="13"/>
        <v>0</v>
      </c>
      <c r="F132" s="106">
        <f t="shared" si="7"/>
        <v>0</v>
      </c>
      <c r="G132" s="153">
        <f t="shared" si="8"/>
        <v>0</v>
      </c>
    </row>
    <row r="133" spans="1:7" ht="13.5" hidden="1" thickBot="1">
      <c r="A133" s="91">
        <f t="shared" si="9"/>
        <v>112</v>
      </c>
      <c r="B133" s="106">
        <f t="shared" si="10"/>
        <v>0</v>
      </c>
      <c r="C133" s="152">
        <f t="shared" si="11"/>
        <v>0</v>
      </c>
      <c r="D133" s="152">
        <f t="shared" si="12"/>
        <v>0</v>
      </c>
      <c r="E133" s="106">
        <f t="shared" si="13"/>
        <v>0</v>
      </c>
      <c r="F133" s="106">
        <f t="shared" si="7"/>
        <v>0</v>
      </c>
      <c r="G133" s="153">
        <f t="shared" si="8"/>
        <v>0</v>
      </c>
    </row>
    <row r="134" spans="1:7" ht="13.5" hidden="1" thickBot="1">
      <c r="A134" s="91">
        <f t="shared" si="9"/>
        <v>113</v>
      </c>
      <c r="B134" s="106">
        <f t="shared" si="10"/>
        <v>0</v>
      </c>
      <c r="C134" s="152">
        <f t="shared" si="11"/>
        <v>0</v>
      </c>
      <c r="D134" s="152">
        <f t="shared" si="12"/>
        <v>0</v>
      </c>
      <c r="E134" s="106">
        <f t="shared" si="13"/>
        <v>0</v>
      </c>
      <c r="F134" s="106">
        <f t="shared" si="7"/>
        <v>0</v>
      </c>
      <c r="G134" s="153">
        <f t="shared" si="8"/>
        <v>0</v>
      </c>
    </row>
    <row r="135" spans="1:7" ht="13.5" hidden="1" thickBot="1">
      <c r="A135" s="91">
        <f t="shared" si="9"/>
        <v>114</v>
      </c>
      <c r="B135" s="106">
        <f t="shared" si="10"/>
        <v>0</v>
      </c>
      <c r="C135" s="152">
        <f t="shared" si="11"/>
        <v>0</v>
      </c>
      <c r="D135" s="152">
        <f t="shared" si="12"/>
        <v>0</v>
      </c>
      <c r="E135" s="106">
        <f t="shared" si="13"/>
        <v>0</v>
      </c>
      <c r="F135" s="106">
        <f t="shared" si="7"/>
        <v>0</v>
      </c>
      <c r="G135" s="153">
        <f t="shared" si="8"/>
        <v>0</v>
      </c>
    </row>
    <row r="136" spans="1:7" ht="13.5" hidden="1" thickBot="1">
      <c r="A136" s="91">
        <f t="shared" si="9"/>
        <v>115</v>
      </c>
      <c r="B136" s="106">
        <f t="shared" si="10"/>
        <v>0</v>
      </c>
      <c r="C136" s="152">
        <f t="shared" si="11"/>
        <v>0</v>
      </c>
      <c r="D136" s="152">
        <f t="shared" si="12"/>
        <v>0</v>
      </c>
      <c r="E136" s="106">
        <f t="shared" si="13"/>
        <v>0</v>
      </c>
      <c r="F136" s="106">
        <f t="shared" si="7"/>
        <v>0</v>
      </c>
      <c r="G136" s="153">
        <f t="shared" si="8"/>
        <v>0</v>
      </c>
    </row>
    <row r="137" spans="1:7" ht="13.5" hidden="1" thickBot="1">
      <c r="A137" s="91">
        <f t="shared" si="9"/>
        <v>116</v>
      </c>
      <c r="B137" s="106">
        <f t="shared" si="10"/>
        <v>0</v>
      </c>
      <c r="C137" s="152">
        <f t="shared" si="11"/>
        <v>0</v>
      </c>
      <c r="D137" s="152">
        <f t="shared" si="12"/>
        <v>0</v>
      </c>
      <c r="E137" s="106">
        <f t="shared" si="13"/>
        <v>0</v>
      </c>
      <c r="F137" s="106">
        <f t="shared" si="7"/>
        <v>0</v>
      </c>
      <c r="G137" s="153">
        <f t="shared" si="8"/>
        <v>0</v>
      </c>
    </row>
    <row r="138" spans="1:7" ht="13.5" hidden="1" thickBot="1">
      <c r="A138" s="91">
        <f t="shared" si="9"/>
        <v>117</v>
      </c>
      <c r="B138" s="106">
        <f t="shared" si="10"/>
        <v>0</v>
      </c>
      <c r="C138" s="152">
        <f t="shared" si="11"/>
        <v>0</v>
      </c>
      <c r="D138" s="152">
        <f t="shared" si="12"/>
        <v>0</v>
      </c>
      <c r="E138" s="106">
        <f t="shared" si="13"/>
        <v>0</v>
      </c>
      <c r="F138" s="106">
        <f t="shared" si="7"/>
        <v>0</v>
      </c>
      <c r="G138" s="153">
        <f t="shared" si="8"/>
        <v>0</v>
      </c>
    </row>
    <row r="139" spans="1:7" ht="13.5" hidden="1" thickBot="1">
      <c r="A139" s="91">
        <f t="shared" si="9"/>
        <v>118</v>
      </c>
      <c r="B139" s="106">
        <f t="shared" si="10"/>
        <v>0</v>
      </c>
      <c r="C139" s="152">
        <f t="shared" si="11"/>
        <v>0</v>
      </c>
      <c r="D139" s="152">
        <f t="shared" si="12"/>
        <v>0</v>
      </c>
      <c r="E139" s="106">
        <f t="shared" si="13"/>
        <v>0</v>
      </c>
      <c r="F139" s="106">
        <f t="shared" si="7"/>
        <v>0</v>
      </c>
      <c r="G139" s="153">
        <f t="shared" si="8"/>
        <v>0</v>
      </c>
    </row>
    <row r="140" spans="1:7" ht="13.5" hidden="1" thickBot="1">
      <c r="A140" s="91">
        <f t="shared" si="9"/>
        <v>119</v>
      </c>
      <c r="B140" s="106">
        <f t="shared" si="10"/>
        <v>0</v>
      </c>
      <c r="C140" s="152">
        <f t="shared" si="11"/>
        <v>0</v>
      </c>
      <c r="D140" s="152">
        <f t="shared" si="12"/>
        <v>0</v>
      </c>
      <c r="E140" s="106">
        <f t="shared" si="13"/>
        <v>0</v>
      </c>
      <c r="F140" s="106">
        <f t="shared" si="7"/>
        <v>0</v>
      </c>
      <c r="G140" s="153">
        <f t="shared" si="8"/>
        <v>0</v>
      </c>
    </row>
    <row r="141" spans="1:7" ht="13.5" hidden="1" thickBot="1">
      <c r="A141" s="91">
        <f t="shared" si="9"/>
        <v>120</v>
      </c>
      <c r="B141" s="106">
        <f t="shared" si="10"/>
        <v>0</v>
      </c>
      <c r="C141" s="152">
        <f t="shared" si="11"/>
        <v>0</v>
      </c>
      <c r="D141" s="152">
        <f t="shared" si="12"/>
        <v>0</v>
      </c>
      <c r="E141" s="106">
        <f t="shared" si="13"/>
        <v>0</v>
      </c>
      <c r="F141" s="106">
        <f t="shared" si="7"/>
        <v>0</v>
      </c>
      <c r="G141" s="153">
        <f t="shared" si="8"/>
        <v>0</v>
      </c>
    </row>
    <row r="142" spans="1:7" ht="13.5" hidden="1" thickBot="1">
      <c r="A142" s="91">
        <f t="shared" si="9"/>
        <v>121</v>
      </c>
      <c r="B142" s="106">
        <f t="shared" si="10"/>
        <v>0</v>
      </c>
      <c r="C142" s="152">
        <f t="shared" si="11"/>
        <v>0</v>
      </c>
      <c r="D142" s="152">
        <f t="shared" si="12"/>
        <v>0</v>
      </c>
      <c r="E142" s="106">
        <f t="shared" si="13"/>
        <v>0</v>
      </c>
      <c r="F142" s="106">
        <f t="shared" si="7"/>
        <v>0</v>
      </c>
      <c r="G142" s="153">
        <f t="shared" si="8"/>
        <v>0</v>
      </c>
    </row>
    <row r="143" spans="1:7" ht="13.5" hidden="1" thickBot="1">
      <c r="A143" s="91">
        <f t="shared" si="9"/>
        <v>122</v>
      </c>
      <c r="B143" s="106">
        <f t="shared" si="10"/>
        <v>0</v>
      </c>
      <c r="C143" s="152">
        <f t="shared" si="11"/>
        <v>0</v>
      </c>
      <c r="D143" s="152">
        <f t="shared" si="12"/>
        <v>0</v>
      </c>
      <c r="E143" s="106">
        <f t="shared" si="13"/>
        <v>0</v>
      </c>
      <c r="F143" s="106">
        <f t="shared" si="7"/>
        <v>0</v>
      </c>
      <c r="G143" s="153">
        <f t="shared" si="8"/>
        <v>0</v>
      </c>
    </row>
    <row r="144" spans="1:7" ht="13.5" hidden="1" thickBot="1">
      <c r="A144" s="91">
        <f t="shared" si="9"/>
        <v>123</v>
      </c>
      <c r="B144" s="106">
        <f t="shared" si="10"/>
        <v>0</v>
      </c>
      <c r="C144" s="152">
        <f t="shared" si="11"/>
        <v>0</v>
      </c>
      <c r="D144" s="152">
        <f t="shared" si="12"/>
        <v>0</v>
      </c>
      <c r="E144" s="106">
        <f t="shared" si="13"/>
        <v>0</v>
      </c>
      <c r="F144" s="106">
        <f t="shared" si="7"/>
        <v>0</v>
      </c>
      <c r="G144" s="153">
        <f t="shared" si="8"/>
        <v>0</v>
      </c>
    </row>
    <row r="145" spans="1:7" ht="13.5" hidden="1" thickBot="1">
      <c r="A145" s="91">
        <f t="shared" si="9"/>
        <v>124</v>
      </c>
      <c r="B145" s="106">
        <f t="shared" si="10"/>
        <v>0</v>
      </c>
      <c r="C145" s="152">
        <f t="shared" si="11"/>
        <v>0</v>
      </c>
      <c r="D145" s="152">
        <f t="shared" si="12"/>
        <v>0</v>
      </c>
      <c r="E145" s="106">
        <f t="shared" si="13"/>
        <v>0</v>
      </c>
      <c r="F145" s="106">
        <f t="shared" si="7"/>
        <v>0</v>
      </c>
      <c r="G145" s="153">
        <f t="shared" si="8"/>
        <v>0</v>
      </c>
    </row>
    <row r="146" spans="1:7" ht="13.5" hidden="1" thickBot="1">
      <c r="A146" s="91">
        <f t="shared" si="9"/>
        <v>125</v>
      </c>
      <c r="B146" s="106">
        <f t="shared" si="10"/>
        <v>0</v>
      </c>
      <c r="C146" s="152">
        <f t="shared" si="11"/>
        <v>0</v>
      </c>
      <c r="D146" s="152">
        <f t="shared" si="12"/>
        <v>0</v>
      </c>
      <c r="E146" s="106">
        <f t="shared" si="13"/>
        <v>0</v>
      </c>
      <c r="F146" s="106">
        <f t="shared" si="7"/>
        <v>0</v>
      </c>
      <c r="G146" s="153">
        <f t="shared" si="8"/>
        <v>0</v>
      </c>
    </row>
    <row r="147" spans="1:7" ht="13.5" hidden="1" thickBot="1">
      <c r="A147" s="91">
        <f t="shared" si="9"/>
        <v>126</v>
      </c>
      <c r="B147" s="106">
        <f t="shared" si="10"/>
        <v>0</v>
      </c>
      <c r="C147" s="152">
        <f t="shared" si="11"/>
        <v>0</v>
      </c>
      <c r="D147" s="152">
        <f t="shared" si="12"/>
        <v>0</v>
      </c>
      <c r="E147" s="106">
        <f t="shared" si="13"/>
        <v>0</v>
      </c>
      <c r="F147" s="106">
        <f t="shared" si="7"/>
        <v>0</v>
      </c>
      <c r="G147" s="153">
        <f t="shared" si="8"/>
        <v>0</v>
      </c>
    </row>
    <row r="148" spans="1:7" ht="13.5" hidden="1" thickBot="1">
      <c r="A148" s="91">
        <f t="shared" si="9"/>
        <v>127</v>
      </c>
      <c r="B148" s="106">
        <f t="shared" si="10"/>
        <v>0</v>
      </c>
      <c r="C148" s="152">
        <f t="shared" si="11"/>
        <v>0</v>
      </c>
      <c r="D148" s="152">
        <f t="shared" si="12"/>
        <v>0</v>
      </c>
      <c r="E148" s="106">
        <f t="shared" si="13"/>
        <v>0</v>
      </c>
      <c r="F148" s="106">
        <f t="shared" si="7"/>
        <v>0</v>
      </c>
      <c r="G148" s="153">
        <f t="shared" si="8"/>
        <v>0</v>
      </c>
    </row>
    <row r="149" spans="1:7" ht="13.5" hidden="1" thickBot="1">
      <c r="A149" s="91">
        <f t="shared" si="9"/>
        <v>128</v>
      </c>
      <c r="B149" s="106">
        <f t="shared" si="10"/>
        <v>0</v>
      </c>
      <c r="C149" s="152">
        <f t="shared" si="11"/>
        <v>0</v>
      </c>
      <c r="D149" s="152">
        <f t="shared" si="12"/>
        <v>0</v>
      </c>
      <c r="E149" s="106">
        <f t="shared" si="13"/>
        <v>0</v>
      </c>
      <c r="F149" s="106">
        <f t="shared" si="7"/>
        <v>0</v>
      </c>
      <c r="G149" s="153">
        <f t="shared" si="8"/>
        <v>0</v>
      </c>
    </row>
    <row r="150" spans="1:7" ht="13.5" hidden="1" thickBot="1">
      <c r="A150" s="91">
        <f t="shared" si="9"/>
        <v>129</v>
      </c>
      <c r="B150" s="106">
        <f t="shared" si="10"/>
        <v>0</v>
      </c>
      <c r="C150" s="152">
        <f t="shared" si="11"/>
        <v>0</v>
      </c>
      <c r="D150" s="152">
        <f t="shared" si="12"/>
        <v>0</v>
      </c>
      <c r="E150" s="106">
        <f t="shared" si="13"/>
        <v>0</v>
      </c>
      <c r="F150" s="106">
        <f t="shared" ref="F150:F213" si="14">IF(A150=$D$12,$D$3,0)</f>
        <v>0</v>
      </c>
      <c r="G150" s="153">
        <f t="shared" ref="G150:G213" si="15">B150-F150</f>
        <v>0</v>
      </c>
    </row>
    <row r="151" spans="1:7" ht="13.5" hidden="1" thickBot="1">
      <c r="A151" s="91">
        <f t="shared" ref="A151:A214" si="16">A150+1</f>
        <v>130</v>
      </c>
      <c r="B151" s="106">
        <f t="shared" ref="B151:B214" si="17">B150-F150</f>
        <v>0</v>
      </c>
      <c r="C151" s="152">
        <f t="shared" ref="C151:C214" si="18">IF(D151=0,0,D151+$D$15)</f>
        <v>0</v>
      </c>
      <c r="D151" s="152">
        <f t="shared" ref="D151:D214" si="19">E151+F151</f>
        <v>0</v>
      </c>
      <c r="E151" s="106">
        <f t="shared" ref="E151:E214" si="20">IF(B151&gt;0,E150,0)</f>
        <v>0</v>
      </c>
      <c r="F151" s="106">
        <f t="shared" si="14"/>
        <v>0</v>
      </c>
      <c r="G151" s="153">
        <f t="shared" si="15"/>
        <v>0</v>
      </c>
    </row>
    <row r="152" spans="1:7" ht="13.5" hidden="1" thickBot="1">
      <c r="A152" s="91">
        <f t="shared" si="16"/>
        <v>131</v>
      </c>
      <c r="B152" s="106">
        <f t="shared" si="17"/>
        <v>0</v>
      </c>
      <c r="C152" s="152">
        <f t="shared" si="18"/>
        <v>0</v>
      </c>
      <c r="D152" s="152">
        <f t="shared" si="19"/>
        <v>0</v>
      </c>
      <c r="E152" s="106">
        <f t="shared" si="20"/>
        <v>0</v>
      </c>
      <c r="F152" s="106">
        <f t="shared" si="14"/>
        <v>0</v>
      </c>
      <c r="G152" s="153">
        <f t="shared" si="15"/>
        <v>0</v>
      </c>
    </row>
    <row r="153" spans="1:7" ht="13.5" hidden="1" thickBot="1">
      <c r="A153" s="91">
        <f t="shared" si="16"/>
        <v>132</v>
      </c>
      <c r="B153" s="106">
        <f t="shared" si="17"/>
        <v>0</v>
      </c>
      <c r="C153" s="152">
        <f t="shared" si="18"/>
        <v>0</v>
      </c>
      <c r="D153" s="152">
        <f t="shared" si="19"/>
        <v>0</v>
      </c>
      <c r="E153" s="106">
        <f t="shared" si="20"/>
        <v>0</v>
      </c>
      <c r="F153" s="106">
        <f t="shared" si="14"/>
        <v>0</v>
      </c>
      <c r="G153" s="153">
        <f t="shared" si="15"/>
        <v>0</v>
      </c>
    </row>
    <row r="154" spans="1:7" ht="13.5" hidden="1" thickBot="1">
      <c r="A154" s="91">
        <f t="shared" si="16"/>
        <v>133</v>
      </c>
      <c r="B154" s="106">
        <f t="shared" si="17"/>
        <v>0</v>
      </c>
      <c r="C154" s="152">
        <f t="shared" si="18"/>
        <v>0</v>
      </c>
      <c r="D154" s="152">
        <f t="shared" si="19"/>
        <v>0</v>
      </c>
      <c r="E154" s="106">
        <f t="shared" si="20"/>
        <v>0</v>
      </c>
      <c r="F154" s="106">
        <f t="shared" si="14"/>
        <v>0</v>
      </c>
      <c r="G154" s="153">
        <f t="shared" si="15"/>
        <v>0</v>
      </c>
    </row>
    <row r="155" spans="1:7" ht="13.5" hidden="1" thickBot="1">
      <c r="A155" s="91">
        <f t="shared" si="16"/>
        <v>134</v>
      </c>
      <c r="B155" s="106">
        <f t="shared" si="17"/>
        <v>0</v>
      </c>
      <c r="C155" s="152">
        <f t="shared" si="18"/>
        <v>0</v>
      </c>
      <c r="D155" s="152">
        <f t="shared" si="19"/>
        <v>0</v>
      </c>
      <c r="E155" s="106">
        <f t="shared" si="20"/>
        <v>0</v>
      </c>
      <c r="F155" s="106">
        <f t="shared" si="14"/>
        <v>0</v>
      </c>
      <c r="G155" s="153">
        <f t="shared" si="15"/>
        <v>0</v>
      </c>
    </row>
    <row r="156" spans="1:7" ht="13.5" hidden="1" thickBot="1">
      <c r="A156" s="91">
        <f t="shared" si="16"/>
        <v>135</v>
      </c>
      <c r="B156" s="106">
        <f t="shared" si="17"/>
        <v>0</v>
      </c>
      <c r="C156" s="152">
        <f t="shared" si="18"/>
        <v>0</v>
      </c>
      <c r="D156" s="152">
        <f t="shared" si="19"/>
        <v>0</v>
      </c>
      <c r="E156" s="106">
        <f t="shared" si="20"/>
        <v>0</v>
      </c>
      <c r="F156" s="106">
        <f t="shared" si="14"/>
        <v>0</v>
      </c>
      <c r="G156" s="153">
        <f t="shared" si="15"/>
        <v>0</v>
      </c>
    </row>
    <row r="157" spans="1:7" ht="13.5" hidden="1" thickBot="1">
      <c r="A157" s="91">
        <f t="shared" si="16"/>
        <v>136</v>
      </c>
      <c r="B157" s="106">
        <f t="shared" si="17"/>
        <v>0</v>
      </c>
      <c r="C157" s="152">
        <f t="shared" si="18"/>
        <v>0</v>
      </c>
      <c r="D157" s="152">
        <f t="shared" si="19"/>
        <v>0</v>
      </c>
      <c r="E157" s="106">
        <f t="shared" si="20"/>
        <v>0</v>
      </c>
      <c r="F157" s="106">
        <f t="shared" si="14"/>
        <v>0</v>
      </c>
      <c r="G157" s="153">
        <f t="shared" si="15"/>
        <v>0</v>
      </c>
    </row>
    <row r="158" spans="1:7" ht="13.5" hidden="1" thickBot="1">
      <c r="A158" s="91">
        <f t="shared" si="16"/>
        <v>137</v>
      </c>
      <c r="B158" s="106">
        <f t="shared" si="17"/>
        <v>0</v>
      </c>
      <c r="C158" s="152">
        <f t="shared" si="18"/>
        <v>0</v>
      </c>
      <c r="D158" s="152">
        <f t="shared" si="19"/>
        <v>0</v>
      </c>
      <c r="E158" s="106">
        <f t="shared" si="20"/>
        <v>0</v>
      </c>
      <c r="F158" s="106">
        <f t="shared" si="14"/>
        <v>0</v>
      </c>
      <c r="G158" s="153">
        <f t="shared" si="15"/>
        <v>0</v>
      </c>
    </row>
    <row r="159" spans="1:7" ht="13.5" hidden="1" thickBot="1">
      <c r="A159" s="91">
        <f t="shared" si="16"/>
        <v>138</v>
      </c>
      <c r="B159" s="106">
        <f t="shared" si="17"/>
        <v>0</v>
      </c>
      <c r="C159" s="152">
        <f t="shared" si="18"/>
        <v>0</v>
      </c>
      <c r="D159" s="152">
        <f t="shared" si="19"/>
        <v>0</v>
      </c>
      <c r="E159" s="106">
        <f t="shared" si="20"/>
        <v>0</v>
      </c>
      <c r="F159" s="106">
        <f t="shared" si="14"/>
        <v>0</v>
      </c>
      <c r="G159" s="153">
        <f t="shared" si="15"/>
        <v>0</v>
      </c>
    </row>
    <row r="160" spans="1:7" ht="13.5" hidden="1" thickBot="1">
      <c r="A160" s="91">
        <f t="shared" si="16"/>
        <v>139</v>
      </c>
      <c r="B160" s="106">
        <f t="shared" si="17"/>
        <v>0</v>
      </c>
      <c r="C160" s="152">
        <f t="shared" si="18"/>
        <v>0</v>
      </c>
      <c r="D160" s="152">
        <f t="shared" si="19"/>
        <v>0</v>
      </c>
      <c r="E160" s="106">
        <f t="shared" si="20"/>
        <v>0</v>
      </c>
      <c r="F160" s="106">
        <f t="shared" si="14"/>
        <v>0</v>
      </c>
      <c r="G160" s="153">
        <f t="shared" si="15"/>
        <v>0</v>
      </c>
    </row>
    <row r="161" spans="1:7" ht="13.5" hidden="1" thickBot="1">
      <c r="A161" s="91">
        <f t="shared" si="16"/>
        <v>140</v>
      </c>
      <c r="B161" s="106">
        <f t="shared" si="17"/>
        <v>0</v>
      </c>
      <c r="C161" s="152">
        <f t="shared" si="18"/>
        <v>0</v>
      </c>
      <c r="D161" s="152">
        <f t="shared" si="19"/>
        <v>0</v>
      </c>
      <c r="E161" s="106">
        <f t="shared" si="20"/>
        <v>0</v>
      </c>
      <c r="F161" s="106">
        <f t="shared" si="14"/>
        <v>0</v>
      </c>
      <c r="G161" s="153">
        <f t="shared" si="15"/>
        <v>0</v>
      </c>
    </row>
    <row r="162" spans="1:7" ht="13.5" hidden="1" thickBot="1">
      <c r="A162" s="91">
        <f t="shared" si="16"/>
        <v>141</v>
      </c>
      <c r="B162" s="106">
        <f t="shared" si="17"/>
        <v>0</v>
      </c>
      <c r="C162" s="152">
        <f t="shared" si="18"/>
        <v>0</v>
      </c>
      <c r="D162" s="152">
        <f t="shared" si="19"/>
        <v>0</v>
      </c>
      <c r="E162" s="106">
        <f t="shared" si="20"/>
        <v>0</v>
      </c>
      <c r="F162" s="106">
        <f t="shared" si="14"/>
        <v>0</v>
      </c>
      <c r="G162" s="153">
        <f t="shared" si="15"/>
        <v>0</v>
      </c>
    </row>
    <row r="163" spans="1:7" ht="13.5" hidden="1" thickBot="1">
      <c r="A163" s="91">
        <f t="shared" si="16"/>
        <v>142</v>
      </c>
      <c r="B163" s="106">
        <f t="shared" si="17"/>
        <v>0</v>
      </c>
      <c r="C163" s="152">
        <f t="shared" si="18"/>
        <v>0</v>
      </c>
      <c r="D163" s="152">
        <f t="shared" si="19"/>
        <v>0</v>
      </c>
      <c r="E163" s="106">
        <f t="shared" si="20"/>
        <v>0</v>
      </c>
      <c r="F163" s="106">
        <f t="shared" si="14"/>
        <v>0</v>
      </c>
      <c r="G163" s="153">
        <f t="shared" si="15"/>
        <v>0</v>
      </c>
    </row>
    <row r="164" spans="1:7" ht="13.5" hidden="1" thickBot="1">
      <c r="A164" s="91">
        <f t="shared" si="16"/>
        <v>143</v>
      </c>
      <c r="B164" s="106">
        <f t="shared" si="17"/>
        <v>0</v>
      </c>
      <c r="C164" s="152">
        <f t="shared" si="18"/>
        <v>0</v>
      </c>
      <c r="D164" s="152">
        <f t="shared" si="19"/>
        <v>0</v>
      </c>
      <c r="E164" s="106">
        <f t="shared" si="20"/>
        <v>0</v>
      </c>
      <c r="F164" s="106">
        <f t="shared" si="14"/>
        <v>0</v>
      </c>
      <c r="G164" s="153">
        <f t="shared" si="15"/>
        <v>0</v>
      </c>
    </row>
    <row r="165" spans="1:7" ht="13.5" hidden="1" thickBot="1">
      <c r="A165" s="91">
        <f t="shared" si="16"/>
        <v>144</v>
      </c>
      <c r="B165" s="106">
        <f t="shared" si="17"/>
        <v>0</v>
      </c>
      <c r="C165" s="152">
        <f t="shared" si="18"/>
        <v>0</v>
      </c>
      <c r="D165" s="152">
        <f t="shared" si="19"/>
        <v>0</v>
      </c>
      <c r="E165" s="106">
        <f t="shared" si="20"/>
        <v>0</v>
      </c>
      <c r="F165" s="106">
        <f t="shared" si="14"/>
        <v>0</v>
      </c>
      <c r="G165" s="153">
        <f t="shared" si="15"/>
        <v>0</v>
      </c>
    </row>
    <row r="166" spans="1:7" ht="13.5" hidden="1" thickBot="1">
      <c r="A166" s="91">
        <f t="shared" si="16"/>
        <v>145</v>
      </c>
      <c r="B166" s="106">
        <f t="shared" si="17"/>
        <v>0</v>
      </c>
      <c r="C166" s="152">
        <f t="shared" si="18"/>
        <v>0</v>
      </c>
      <c r="D166" s="152">
        <f t="shared" si="19"/>
        <v>0</v>
      </c>
      <c r="E166" s="106">
        <f t="shared" si="20"/>
        <v>0</v>
      </c>
      <c r="F166" s="106">
        <f t="shared" si="14"/>
        <v>0</v>
      </c>
      <c r="G166" s="153">
        <f t="shared" si="15"/>
        <v>0</v>
      </c>
    </row>
    <row r="167" spans="1:7" ht="13.5" hidden="1" thickBot="1">
      <c r="A167" s="91">
        <f t="shared" si="16"/>
        <v>146</v>
      </c>
      <c r="B167" s="106">
        <f t="shared" si="17"/>
        <v>0</v>
      </c>
      <c r="C167" s="152">
        <f t="shared" si="18"/>
        <v>0</v>
      </c>
      <c r="D167" s="152">
        <f t="shared" si="19"/>
        <v>0</v>
      </c>
      <c r="E167" s="106">
        <f t="shared" si="20"/>
        <v>0</v>
      </c>
      <c r="F167" s="106">
        <f t="shared" si="14"/>
        <v>0</v>
      </c>
      <c r="G167" s="153">
        <f t="shared" si="15"/>
        <v>0</v>
      </c>
    </row>
    <row r="168" spans="1:7" ht="13.5" hidden="1" thickBot="1">
      <c r="A168" s="91">
        <f t="shared" si="16"/>
        <v>147</v>
      </c>
      <c r="B168" s="106">
        <f t="shared" si="17"/>
        <v>0</v>
      </c>
      <c r="C168" s="152">
        <f t="shared" si="18"/>
        <v>0</v>
      </c>
      <c r="D168" s="152">
        <f t="shared" si="19"/>
        <v>0</v>
      </c>
      <c r="E168" s="106">
        <f t="shared" si="20"/>
        <v>0</v>
      </c>
      <c r="F168" s="106">
        <f t="shared" si="14"/>
        <v>0</v>
      </c>
      <c r="G168" s="153">
        <f t="shared" si="15"/>
        <v>0</v>
      </c>
    </row>
    <row r="169" spans="1:7" ht="13.5" hidden="1" thickBot="1">
      <c r="A169" s="91">
        <f t="shared" si="16"/>
        <v>148</v>
      </c>
      <c r="B169" s="106">
        <f t="shared" si="17"/>
        <v>0</v>
      </c>
      <c r="C169" s="152">
        <f t="shared" si="18"/>
        <v>0</v>
      </c>
      <c r="D169" s="152">
        <f t="shared" si="19"/>
        <v>0</v>
      </c>
      <c r="E169" s="106">
        <f t="shared" si="20"/>
        <v>0</v>
      </c>
      <c r="F169" s="106">
        <f t="shared" si="14"/>
        <v>0</v>
      </c>
      <c r="G169" s="153">
        <f t="shared" si="15"/>
        <v>0</v>
      </c>
    </row>
    <row r="170" spans="1:7" ht="13.5" hidden="1" thickBot="1">
      <c r="A170" s="91">
        <f t="shared" si="16"/>
        <v>149</v>
      </c>
      <c r="B170" s="106">
        <f t="shared" si="17"/>
        <v>0</v>
      </c>
      <c r="C170" s="152">
        <f t="shared" si="18"/>
        <v>0</v>
      </c>
      <c r="D170" s="152">
        <f t="shared" si="19"/>
        <v>0</v>
      </c>
      <c r="E170" s="106">
        <f t="shared" si="20"/>
        <v>0</v>
      </c>
      <c r="F170" s="106">
        <f t="shared" si="14"/>
        <v>0</v>
      </c>
      <c r="G170" s="153">
        <f t="shared" si="15"/>
        <v>0</v>
      </c>
    </row>
    <row r="171" spans="1:7" ht="13.5" hidden="1" thickBot="1">
      <c r="A171" s="91">
        <f t="shared" si="16"/>
        <v>150</v>
      </c>
      <c r="B171" s="106">
        <f t="shared" si="17"/>
        <v>0</v>
      </c>
      <c r="C171" s="152">
        <f t="shared" si="18"/>
        <v>0</v>
      </c>
      <c r="D171" s="152">
        <f t="shared" si="19"/>
        <v>0</v>
      </c>
      <c r="E171" s="106">
        <f t="shared" si="20"/>
        <v>0</v>
      </c>
      <c r="F171" s="106">
        <f t="shared" si="14"/>
        <v>0</v>
      </c>
      <c r="G171" s="153">
        <f t="shared" si="15"/>
        <v>0</v>
      </c>
    </row>
    <row r="172" spans="1:7" ht="13.5" hidden="1" thickBot="1">
      <c r="A172" s="91">
        <f t="shared" si="16"/>
        <v>151</v>
      </c>
      <c r="B172" s="106">
        <f t="shared" si="17"/>
        <v>0</v>
      </c>
      <c r="C172" s="152">
        <f t="shared" si="18"/>
        <v>0</v>
      </c>
      <c r="D172" s="152">
        <f t="shared" si="19"/>
        <v>0</v>
      </c>
      <c r="E172" s="106">
        <f t="shared" si="20"/>
        <v>0</v>
      </c>
      <c r="F172" s="106">
        <f t="shared" si="14"/>
        <v>0</v>
      </c>
      <c r="G172" s="153">
        <f t="shared" si="15"/>
        <v>0</v>
      </c>
    </row>
    <row r="173" spans="1:7" ht="13.5" hidden="1" thickBot="1">
      <c r="A173" s="91">
        <f t="shared" si="16"/>
        <v>152</v>
      </c>
      <c r="B173" s="106">
        <f t="shared" si="17"/>
        <v>0</v>
      </c>
      <c r="C173" s="152">
        <f t="shared" si="18"/>
        <v>0</v>
      </c>
      <c r="D173" s="152">
        <f t="shared" si="19"/>
        <v>0</v>
      </c>
      <c r="E173" s="106">
        <f t="shared" si="20"/>
        <v>0</v>
      </c>
      <c r="F173" s="106">
        <f t="shared" si="14"/>
        <v>0</v>
      </c>
      <c r="G173" s="153">
        <f t="shared" si="15"/>
        <v>0</v>
      </c>
    </row>
    <row r="174" spans="1:7" ht="13.5" hidden="1" thickBot="1">
      <c r="A174" s="91">
        <f t="shared" si="16"/>
        <v>153</v>
      </c>
      <c r="B174" s="106">
        <f t="shared" si="17"/>
        <v>0</v>
      </c>
      <c r="C174" s="152">
        <f t="shared" si="18"/>
        <v>0</v>
      </c>
      <c r="D174" s="152">
        <f t="shared" si="19"/>
        <v>0</v>
      </c>
      <c r="E174" s="106">
        <f t="shared" si="20"/>
        <v>0</v>
      </c>
      <c r="F174" s="106">
        <f t="shared" si="14"/>
        <v>0</v>
      </c>
      <c r="G174" s="153">
        <f t="shared" si="15"/>
        <v>0</v>
      </c>
    </row>
    <row r="175" spans="1:7" ht="13.5" hidden="1" thickBot="1">
      <c r="A175" s="91">
        <f t="shared" si="16"/>
        <v>154</v>
      </c>
      <c r="B175" s="106">
        <f t="shared" si="17"/>
        <v>0</v>
      </c>
      <c r="C175" s="152">
        <f t="shared" si="18"/>
        <v>0</v>
      </c>
      <c r="D175" s="152">
        <f t="shared" si="19"/>
        <v>0</v>
      </c>
      <c r="E175" s="106">
        <f t="shared" si="20"/>
        <v>0</v>
      </c>
      <c r="F175" s="106">
        <f t="shared" si="14"/>
        <v>0</v>
      </c>
      <c r="G175" s="153">
        <f t="shared" si="15"/>
        <v>0</v>
      </c>
    </row>
    <row r="176" spans="1:7" ht="13.5" hidden="1" thickBot="1">
      <c r="A176" s="91">
        <f t="shared" si="16"/>
        <v>155</v>
      </c>
      <c r="B176" s="106">
        <f t="shared" si="17"/>
        <v>0</v>
      </c>
      <c r="C176" s="152">
        <f t="shared" si="18"/>
        <v>0</v>
      </c>
      <c r="D176" s="152">
        <f t="shared" si="19"/>
        <v>0</v>
      </c>
      <c r="E176" s="106">
        <f t="shared" si="20"/>
        <v>0</v>
      </c>
      <c r="F176" s="106">
        <f t="shared" si="14"/>
        <v>0</v>
      </c>
      <c r="G176" s="153">
        <f t="shared" si="15"/>
        <v>0</v>
      </c>
    </row>
    <row r="177" spans="1:7" ht="13.5" hidden="1" thickBot="1">
      <c r="A177" s="91">
        <f t="shared" si="16"/>
        <v>156</v>
      </c>
      <c r="B177" s="106">
        <f t="shared" si="17"/>
        <v>0</v>
      </c>
      <c r="C177" s="152">
        <f t="shared" si="18"/>
        <v>0</v>
      </c>
      <c r="D177" s="152">
        <f t="shared" si="19"/>
        <v>0</v>
      </c>
      <c r="E177" s="106">
        <f t="shared" si="20"/>
        <v>0</v>
      </c>
      <c r="F177" s="106">
        <f t="shared" si="14"/>
        <v>0</v>
      </c>
      <c r="G177" s="153">
        <f t="shared" si="15"/>
        <v>0</v>
      </c>
    </row>
    <row r="178" spans="1:7" ht="13.5" hidden="1" thickBot="1">
      <c r="A178" s="91">
        <f t="shared" si="16"/>
        <v>157</v>
      </c>
      <c r="B178" s="106">
        <f t="shared" si="17"/>
        <v>0</v>
      </c>
      <c r="C178" s="152">
        <f t="shared" si="18"/>
        <v>0</v>
      </c>
      <c r="D178" s="152">
        <f t="shared" si="19"/>
        <v>0</v>
      </c>
      <c r="E178" s="106">
        <f t="shared" si="20"/>
        <v>0</v>
      </c>
      <c r="F178" s="106">
        <f t="shared" si="14"/>
        <v>0</v>
      </c>
      <c r="G178" s="153">
        <f t="shared" si="15"/>
        <v>0</v>
      </c>
    </row>
    <row r="179" spans="1:7" ht="13.5" hidden="1" thickBot="1">
      <c r="A179" s="91">
        <f t="shared" si="16"/>
        <v>158</v>
      </c>
      <c r="B179" s="106">
        <f t="shared" si="17"/>
        <v>0</v>
      </c>
      <c r="C179" s="152">
        <f t="shared" si="18"/>
        <v>0</v>
      </c>
      <c r="D179" s="152">
        <f t="shared" si="19"/>
        <v>0</v>
      </c>
      <c r="E179" s="106">
        <f t="shared" si="20"/>
        <v>0</v>
      </c>
      <c r="F179" s="106">
        <f t="shared" si="14"/>
        <v>0</v>
      </c>
      <c r="G179" s="153">
        <f t="shared" si="15"/>
        <v>0</v>
      </c>
    </row>
    <row r="180" spans="1:7" ht="13.5" hidden="1" thickBot="1">
      <c r="A180" s="91">
        <f t="shared" si="16"/>
        <v>159</v>
      </c>
      <c r="B180" s="106">
        <f t="shared" si="17"/>
        <v>0</v>
      </c>
      <c r="C180" s="152">
        <f t="shared" si="18"/>
        <v>0</v>
      </c>
      <c r="D180" s="152">
        <f t="shared" si="19"/>
        <v>0</v>
      </c>
      <c r="E180" s="106">
        <f t="shared" si="20"/>
        <v>0</v>
      </c>
      <c r="F180" s="106">
        <f t="shared" si="14"/>
        <v>0</v>
      </c>
      <c r="G180" s="153">
        <f t="shared" si="15"/>
        <v>0</v>
      </c>
    </row>
    <row r="181" spans="1:7" ht="13.5" hidden="1" thickBot="1">
      <c r="A181" s="91">
        <f t="shared" si="16"/>
        <v>160</v>
      </c>
      <c r="B181" s="106">
        <f t="shared" si="17"/>
        <v>0</v>
      </c>
      <c r="C181" s="152">
        <f t="shared" si="18"/>
        <v>0</v>
      </c>
      <c r="D181" s="152">
        <f t="shared" si="19"/>
        <v>0</v>
      </c>
      <c r="E181" s="106">
        <f t="shared" si="20"/>
        <v>0</v>
      </c>
      <c r="F181" s="106">
        <f t="shared" si="14"/>
        <v>0</v>
      </c>
      <c r="G181" s="153">
        <f t="shared" si="15"/>
        <v>0</v>
      </c>
    </row>
    <row r="182" spans="1:7" ht="13.5" hidden="1" thickBot="1">
      <c r="A182" s="91">
        <f t="shared" si="16"/>
        <v>161</v>
      </c>
      <c r="B182" s="106">
        <f t="shared" si="17"/>
        <v>0</v>
      </c>
      <c r="C182" s="152">
        <f t="shared" si="18"/>
        <v>0</v>
      </c>
      <c r="D182" s="152">
        <f t="shared" si="19"/>
        <v>0</v>
      </c>
      <c r="E182" s="106">
        <f t="shared" si="20"/>
        <v>0</v>
      </c>
      <c r="F182" s="106">
        <f t="shared" si="14"/>
        <v>0</v>
      </c>
      <c r="G182" s="153">
        <f t="shared" si="15"/>
        <v>0</v>
      </c>
    </row>
    <row r="183" spans="1:7" ht="13.5" hidden="1" thickBot="1">
      <c r="A183" s="91">
        <f t="shared" si="16"/>
        <v>162</v>
      </c>
      <c r="B183" s="106">
        <f t="shared" si="17"/>
        <v>0</v>
      </c>
      <c r="C183" s="152">
        <f t="shared" si="18"/>
        <v>0</v>
      </c>
      <c r="D183" s="152">
        <f t="shared" si="19"/>
        <v>0</v>
      </c>
      <c r="E183" s="106">
        <f t="shared" si="20"/>
        <v>0</v>
      </c>
      <c r="F183" s="106">
        <f t="shared" si="14"/>
        <v>0</v>
      </c>
      <c r="G183" s="153">
        <f t="shared" si="15"/>
        <v>0</v>
      </c>
    </row>
    <row r="184" spans="1:7" ht="13.5" hidden="1" thickBot="1">
      <c r="A184" s="91">
        <f t="shared" si="16"/>
        <v>163</v>
      </c>
      <c r="B184" s="106">
        <f t="shared" si="17"/>
        <v>0</v>
      </c>
      <c r="C184" s="152">
        <f t="shared" si="18"/>
        <v>0</v>
      </c>
      <c r="D184" s="152">
        <f t="shared" si="19"/>
        <v>0</v>
      </c>
      <c r="E184" s="106">
        <f t="shared" si="20"/>
        <v>0</v>
      </c>
      <c r="F184" s="106">
        <f t="shared" si="14"/>
        <v>0</v>
      </c>
      <c r="G184" s="153">
        <f t="shared" si="15"/>
        <v>0</v>
      </c>
    </row>
    <row r="185" spans="1:7" ht="13.5" hidden="1" thickBot="1">
      <c r="A185" s="91">
        <f t="shared" si="16"/>
        <v>164</v>
      </c>
      <c r="B185" s="106">
        <f t="shared" si="17"/>
        <v>0</v>
      </c>
      <c r="C185" s="152">
        <f t="shared" si="18"/>
        <v>0</v>
      </c>
      <c r="D185" s="152">
        <f t="shared" si="19"/>
        <v>0</v>
      </c>
      <c r="E185" s="106">
        <f t="shared" si="20"/>
        <v>0</v>
      </c>
      <c r="F185" s="106">
        <f t="shared" si="14"/>
        <v>0</v>
      </c>
      <c r="G185" s="153">
        <f t="shared" si="15"/>
        <v>0</v>
      </c>
    </row>
    <row r="186" spans="1:7" ht="13.5" hidden="1" thickBot="1">
      <c r="A186" s="91">
        <f t="shared" si="16"/>
        <v>165</v>
      </c>
      <c r="B186" s="106">
        <f t="shared" si="17"/>
        <v>0</v>
      </c>
      <c r="C186" s="152">
        <f t="shared" si="18"/>
        <v>0</v>
      </c>
      <c r="D186" s="152">
        <f t="shared" si="19"/>
        <v>0</v>
      </c>
      <c r="E186" s="106">
        <f t="shared" si="20"/>
        <v>0</v>
      </c>
      <c r="F186" s="106">
        <f t="shared" si="14"/>
        <v>0</v>
      </c>
      <c r="G186" s="153">
        <f t="shared" si="15"/>
        <v>0</v>
      </c>
    </row>
    <row r="187" spans="1:7" ht="13.5" hidden="1" thickBot="1">
      <c r="A187" s="91">
        <f t="shared" si="16"/>
        <v>166</v>
      </c>
      <c r="B187" s="106">
        <f t="shared" si="17"/>
        <v>0</v>
      </c>
      <c r="C187" s="152">
        <f t="shared" si="18"/>
        <v>0</v>
      </c>
      <c r="D187" s="152">
        <f t="shared" si="19"/>
        <v>0</v>
      </c>
      <c r="E187" s="106">
        <f t="shared" si="20"/>
        <v>0</v>
      </c>
      <c r="F187" s="106">
        <f t="shared" si="14"/>
        <v>0</v>
      </c>
      <c r="G187" s="153">
        <f t="shared" si="15"/>
        <v>0</v>
      </c>
    </row>
    <row r="188" spans="1:7" ht="13.5" hidden="1" thickBot="1">
      <c r="A188" s="91">
        <f t="shared" si="16"/>
        <v>167</v>
      </c>
      <c r="B188" s="106">
        <f t="shared" si="17"/>
        <v>0</v>
      </c>
      <c r="C188" s="152">
        <f t="shared" si="18"/>
        <v>0</v>
      </c>
      <c r="D188" s="152">
        <f t="shared" si="19"/>
        <v>0</v>
      </c>
      <c r="E188" s="106">
        <f t="shared" si="20"/>
        <v>0</v>
      </c>
      <c r="F188" s="106">
        <f t="shared" si="14"/>
        <v>0</v>
      </c>
      <c r="G188" s="153">
        <f t="shared" si="15"/>
        <v>0</v>
      </c>
    </row>
    <row r="189" spans="1:7" ht="13.5" hidden="1" thickBot="1">
      <c r="A189" s="91">
        <f t="shared" si="16"/>
        <v>168</v>
      </c>
      <c r="B189" s="106">
        <f t="shared" si="17"/>
        <v>0</v>
      </c>
      <c r="C189" s="152">
        <f t="shared" si="18"/>
        <v>0</v>
      </c>
      <c r="D189" s="152">
        <f t="shared" si="19"/>
        <v>0</v>
      </c>
      <c r="E189" s="106">
        <f t="shared" si="20"/>
        <v>0</v>
      </c>
      <c r="F189" s="106">
        <f t="shared" si="14"/>
        <v>0</v>
      </c>
      <c r="G189" s="153">
        <f t="shared" si="15"/>
        <v>0</v>
      </c>
    </row>
    <row r="190" spans="1:7" ht="13.5" hidden="1" thickBot="1">
      <c r="A190" s="91">
        <f t="shared" si="16"/>
        <v>169</v>
      </c>
      <c r="B190" s="106">
        <f t="shared" si="17"/>
        <v>0</v>
      </c>
      <c r="C190" s="152">
        <f t="shared" si="18"/>
        <v>0</v>
      </c>
      <c r="D190" s="152">
        <f t="shared" si="19"/>
        <v>0</v>
      </c>
      <c r="E190" s="106">
        <f t="shared" si="20"/>
        <v>0</v>
      </c>
      <c r="F190" s="106">
        <f t="shared" si="14"/>
        <v>0</v>
      </c>
      <c r="G190" s="153">
        <f t="shared" si="15"/>
        <v>0</v>
      </c>
    </row>
    <row r="191" spans="1:7" ht="13.5" hidden="1" thickBot="1">
      <c r="A191" s="91">
        <f t="shared" si="16"/>
        <v>170</v>
      </c>
      <c r="B191" s="106">
        <f t="shared" si="17"/>
        <v>0</v>
      </c>
      <c r="C191" s="152">
        <f t="shared" si="18"/>
        <v>0</v>
      </c>
      <c r="D191" s="152">
        <f t="shared" si="19"/>
        <v>0</v>
      </c>
      <c r="E191" s="106">
        <f t="shared" si="20"/>
        <v>0</v>
      </c>
      <c r="F191" s="106">
        <f t="shared" si="14"/>
        <v>0</v>
      </c>
      <c r="G191" s="153">
        <f t="shared" si="15"/>
        <v>0</v>
      </c>
    </row>
    <row r="192" spans="1:7" ht="13.5" hidden="1" thickBot="1">
      <c r="A192" s="91">
        <f t="shared" si="16"/>
        <v>171</v>
      </c>
      <c r="B192" s="106">
        <f t="shared" si="17"/>
        <v>0</v>
      </c>
      <c r="C192" s="152">
        <f t="shared" si="18"/>
        <v>0</v>
      </c>
      <c r="D192" s="152">
        <f t="shared" si="19"/>
        <v>0</v>
      </c>
      <c r="E192" s="106">
        <f t="shared" si="20"/>
        <v>0</v>
      </c>
      <c r="F192" s="106">
        <f t="shared" si="14"/>
        <v>0</v>
      </c>
      <c r="G192" s="153">
        <f t="shared" si="15"/>
        <v>0</v>
      </c>
    </row>
    <row r="193" spans="1:7" ht="13.5" hidden="1" thickBot="1">
      <c r="A193" s="91">
        <f t="shared" si="16"/>
        <v>172</v>
      </c>
      <c r="B193" s="106">
        <f t="shared" si="17"/>
        <v>0</v>
      </c>
      <c r="C193" s="152">
        <f t="shared" si="18"/>
        <v>0</v>
      </c>
      <c r="D193" s="152">
        <f t="shared" si="19"/>
        <v>0</v>
      </c>
      <c r="E193" s="106">
        <f t="shared" si="20"/>
        <v>0</v>
      </c>
      <c r="F193" s="106">
        <f t="shared" si="14"/>
        <v>0</v>
      </c>
      <c r="G193" s="153">
        <f t="shared" si="15"/>
        <v>0</v>
      </c>
    </row>
    <row r="194" spans="1:7" ht="13.5" hidden="1" thickBot="1">
      <c r="A194" s="91">
        <f t="shared" si="16"/>
        <v>173</v>
      </c>
      <c r="B194" s="106">
        <f t="shared" si="17"/>
        <v>0</v>
      </c>
      <c r="C194" s="152">
        <f t="shared" si="18"/>
        <v>0</v>
      </c>
      <c r="D194" s="152">
        <f t="shared" si="19"/>
        <v>0</v>
      </c>
      <c r="E194" s="106">
        <f t="shared" si="20"/>
        <v>0</v>
      </c>
      <c r="F194" s="106">
        <f t="shared" si="14"/>
        <v>0</v>
      </c>
      <c r="G194" s="153">
        <f t="shared" si="15"/>
        <v>0</v>
      </c>
    </row>
    <row r="195" spans="1:7" ht="13.5" hidden="1" thickBot="1">
      <c r="A195" s="91">
        <f t="shared" si="16"/>
        <v>174</v>
      </c>
      <c r="B195" s="106">
        <f t="shared" si="17"/>
        <v>0</v>
      </c>
      <c r="C195" s="152">
        <f t="shared" si="18"/>
        <v>0</v>
      </c>
      <c r="D195" s="152">
        <f t="shared" si="19"/>
        <v>0</v>
      </c>
      <c r="E195" s="106">
        <f t="shared" si="20"/>
        <v>0</v>
      </c>
      <c r="F195" s="106">
        <f t="shared" si="14"/>
        <v>0</v>
      </c>
      <c r="G195" s="153">
        <f t="shared" si="15"/>
        <v>0</v>
      </c>
    </row>
    <row r="196" spans="1:7" ht="13.5" hidden="1" thickBot="1">
      <c r="A196" s="91">
        <f t="shared" si="16"/>
        <v>175</v>
      </c>
      <c r="B196" s="106">
        <f t="shared" si="17"/>
        <v>0</v>
      </c>
      <c r="C196" s="152">
        <f t="shared" si="18"/>
        <v>0</v>
      </c>
      <c r="D196" s="152">
        <f t="shared" si="19"/>
        <v>0</v>
      </c>
      <c r="E196" s="106">
        <f t="shared" si="20"/>
        <v>0</v>
      </c>
      <c r="F196" s="106">
        <f t="shared" si="14"/>
        <v>0</v>
      </c>
      <c r="G196" s="153">
        <f t="shared" si="15"/>
        <v>0</v>
      </c>
    </row>
    <row r="197" spans="1:7" ht="13.5" hidden="1" thickBot="1">
      <c r="A197" s="91">
        <f t="shared" si="16"/>
        <v>176</v>
      </c>
      <c r="B197" s="106">
        <f t="shared" si="17"/>
        <v>0</v>
      </c>
      <c r="C197" s="152">
        <f t="shared" si="18"/>
        <v>0</v>
      </c>
      <c r="D197" s="152">
        <f t="shared" si="19"/>
        <v>0</v>
      </c>
      <c r="E197" s="106">
        <f t="shared" si="20"/>
        <v>0</v>
      </c>
      <c r="F197" s="106">
        <f t="shared" si="14"/>
        <v>0</v>
      </c>
      <c r="G197" s="153">
        <f t="shared" si="15"/>
        <v>0</v>
      </c>
    </row>
    <row r="198" spans="1:7" ht="13.5" hidden="1" thickBot="1">
      <c r="A198" s="91">
        <f t="shared" si="16"/>
        <v>177</v>
      </c>
      <c r="B198" s="106">
        <f t="shared" si="17"/>
        <v>0</v>
      </c>
      <c r="C198" s="152">
        <f t="shared" si="18"/>
        <v>0</v>
      </c>
      <c r="D198" s="152">
        <f t="shared" si="19"/>
        <v>0</v>
      </c>
      <c r="E198" s="106">
        <f t="shared" si="20"/>
        <v>0</v>
      </c>
      <c r="F198" s="106">
        <f t="shared" si="14"/>
        <v>0</v>
      </c>
      <c r="G198" s="153">
        <f t="shared" si="15"/>
        <v>0</v>
      </c>
    </row>
    <row r="199" spans="1:7" ht="13.5" hidden="1" thickBot="1">
      <c r="A199" s="91">
        <f t="shared" si="16"/>
        <v>178</v>
      </c>
      <c r="B199" s="106">
        <f t="shared" si="17"/>
        <v>0</v>
      </c>
      <c r="C199" s="152">
        <f t="shared" si="18"/>
        <v>0</v>
      </c>
      <c r="D199" s="152">
        <f t="shared" si="19"/>
        <v>0</v>
      </c>
      <c r="E199" s="106">
        <f t="shared" si="20"/>
        <v>0</v>
      </c>
      <c r="F199" s="106">
        <f t="shared" si="14"/>
        <v>0</v>
      </c>
      <c r="G199" s="153">
        <f t="shared" si="15"/>
        <v>0</v>
      </c>
    </row>
    <row r="200" spans="1:7" ht="13.5" hidden="1" thickBot="1">
      <c r="A200" s="91">
        <f t="shared" si="16"/>
        <v>179</v>
      </c>
      <c r="B200" s="106">
        <f t="shared" si="17"/>
        <v>0</v>
      </c>
      <c r="C200" s="152">
        <f t="shared" si="18"/>
        <v>0</v>
      </c>
      <c r="D200" s="152">
        <f t="shared" si="19"/>
        <v>0</v>
      </c>
      <c r="E200" s="106">
        <f t="shared" si="20"/>
        <v>0</v>
      </c>
      <c r="F200" s="106">
        <f t="shared" si="14"/>
        <v>0</v>
      </c>
      <c r="G200" s="153">
        <f t="shared" si="15"/>
        <v>0</v>
      </c>
    </row>
    <row r="201" spans="1:7" ht="13.5" hidden="1" thickBot="1">
      <c r="A201" s="91">
        <f t="shared" si="16"/>
        <v>180</v>
      </c>
      <c r="B201" s="106">
        <f t="shared" si="17"/>
        <v>0</v>
      </c>
      <c r="C201" s="152">
        <f t="shared" si="18"/>
        <v>0</v>
      </c>
      <c r="D201" s="152">
        <f t="shared" si="19"/>
        <v>0</v>
      </c>
      <c r="E201" s="106">
        <f t="shared" si="20"/>
        <v>0</v>
      </c>
      <c r="F201" s="106">
        <f t="shared" si="14"/>
        <v>0</v>
      </c>
      <c r="G201" s="153">
        <f t="shared" si="15"/>
        <v>0</v>
      </c>
    </row>
    <row r="202" spans="1:7" ht="13.5" hidden="1" thickBot="1">
      <c r="A202" s="91">
        <f t="shared" si="16"/>
        <v>181</v>
      </c>
      <c r="B202" s="106">
        <f t="shared" si="17"/>
        <v>0</v>
      </c>
      <c r="C202" s="152">
        <f t="shared" si="18"/>
        <v>0</v>
      </c>
      <c r="D202" s="152">
        <f t="shared" si="19"/>
        <v>0</v>
      </c>
      <c r="E202" s="106">
        <f t="shared" si="20"/>
        <v>0</v>
      </c>
      <c r="F202" s="106">
        <f t="shared" si="14"/>
        <v>0</v>
      </c>
      <c r="G202" s="153">
        <f t="shared" si="15"/>
        <v>0</v>
      </c>
    </row>
    <row r="203" spans="1:7" ht="13.5" hidden="1" thickBot="1">
      <c r="A203" s="91">
        <f t="shared" si="16"/>
        <v>182</v>
      </c>
      <c r="B203" s="106">
        <f t="shared" si="17"/>
        <v>0</v>
      </c>
      <c r="C203" s="152">
        <f t="shared" si="18"/>
        <v>0</v>
      </c>
      <c r="D203" s="152">
        <f t="shared" si="19"/>
        <v>0</v>
      </c>
      <c r="E203" s="106">
        <f t="shared" si="20"/>
        <v>0</v>
      </c>
      <c r="F203" s="106">
        <f t="shared" si="14"/>
        <v>0</v>
      </c>
      <c r="G203" s="153">
        <f t="shared" si="15"/>
        <v>0</v>
      </c>
    </row>
    <row r="204" spans="1:7" ht="13.5" hidden="1" thickBot="1">
      <c r="A204" s="91">
        <f t="shared" si="16"/>
        <v>183</v>
      </c>
      <c r="B204" s="106">
        <f t="shared" si="17"/>
        <v>0</v>
      </c>
      <c r="C204" s="152">
        <f t="shared" si="18"/>
        <v>0</v>
      </c>
      <c r="D204" s="152">
        <f t="shared" si="19"/>
        <v>0</v>
      </c>
      <c r="E204" s="106">
        <f t="shared" si="20"/>
        <v>0</v>
      </c>
      <c r="F204" s="106">
        <f t="shared" si="14"/>
        <v>0</v>
      </c>
      <c r="G204" s="153">
        <f t="shared" si="15"/>
        <v>0</v>
      </c>
    </row>
    <row r="205" spans="1:7" ht="13.5" hidden="1" thickBot="1">
      <c r="A205" s="91">
        <f t="shared" si="16"/>
        <v>184</v>
      </c>
      <c r="B205" s="106">
        <f t="shared" si="17"/>
        <v>0</v>
      </c>
      <c r="C205" s="152">
        <f t="shared" si="18"/>
        <v>0</v>
      </c>
      <c r="D205" s="152">
        <f t="shared" si="19"/>
        <v>0</v>
      </c>
      <c r="E205" s="106">
        <f t="shared" si="20"/>
        <v>0</v>
      </c>
      <c r="F205" s="106">
        <f t="shared" si="14"/>
        <v>0</v>
      </c>
      <c r="G205" s="153">
        <f t="shared" si="15"/>
        <v>0</v>
      </c>
    </row>
    <row r="206" spans="1:7" ht="13.5" hidden="1" thickBot="1">
      <c r="A206" s="91">
        <f t="shared" si="16"/>
        <v>185</v>
      </c>
      <c r="B206" s="106">
        <f t="shared" si="17"/>
        <v>0</v>
      </c>
      <c r="C206" s="152">
        <f t="shared" si="18"/>
        <v>0</v>
      </c>
      <c r="D206" s="152">
        <f t="shared" si="19"/>
        <v>0</v>
      </c>
      <c r="E206" s="106">
        <f t="shared" si="20"/>
        <v>0</v>
      </c>
      <c r="F206" s="106">
        <f t="shared" si="14"/>
        <v>0</v>
      </c>
      <c r="G206" s="153">
        <f t="shared" si="15"/>
        <v>0</v>
      </c>
    </row>
    <row r="207" spans="1:7" ht="13.5" hidden="1" thickBot="1">
      <c r="A207" s="91">
        <f t="shared" si="16"/>
        <v>186</v>
      </c>
      <c r="B207" s="106">
        <f t="shared" si="17"/>
        <v>0</v>
      </c>
      <c r="C207" s="152">
        <f t="shared" si="18"/>
        <v>0</v>
      </c>
      <c r="D207" s="152">
        <f t="shared" si="19"/>
        <v>0</v>
      </c>
      <c r="E207" s="106">
        <f t="shared" si="20"/>
        <v>0</v>
      </c>
      <c r="F207" s="106">
        <f t="shared" si="14"/>
        <v>0</v>
      </c>
      <c r="G207" s="153">
        <f t="shared" si="15"/>
        <v>0</v>
      </c>
    </row>
    <row r="208" spans="1:7" ht="13.5" hidden="1" thickBot="1">
      <c r="A208" s="91">
        <f t="shared" si="16"/>
        <v>187</v>
      </c>
      <c r="B208" s="106">
        <f t="shared" si="17"/>
        <v>0</v>
      </c>
      <c r="C208" s="152">
        <f t="shared" si="18"/>
        <v>0</v>
      </c>
      <c r="D208" s="152">
        <f t="shared" si="19"/>
        <v>0</v>
      </c>
      <c r="E208" s="106">
        <f t="shared" si="20"/>
        <v>0</v>
      </c>
      <c r="F208" s="106">
        <f t="shared" si="14"/>
        <v>0</v>
      </c>
      <c r="G208" s="153">
        <f t="shared" si="15"/>
        <v>0</v>
      </c>
    </row>
    <row r="209" spans="1:7" ht="13.5" hidden="1" thickBot="1">
      <c r="A209" s="91">
        <f t="shared" si="16"/>
        <v>188</v>
      </c>
      <c r="B209" s="106">
        <f t="shared" si="17"/>
        <v>0</v>
      </c>
      <c r="C209" s="152">
        <f t="shared" si="18"/>
        <v>0</v>
      </c>
      <c r="D209" s="152">
        <f t="shared" si="19"/>
        <v>0</v>
      </c>
      <c r="E209" s="106">
        <f t="shared" si="20"/>
        <v>0</v>
      </c>
      <c r="F209" s="106">
        <f t="shared" si="14"/>
        <v>0</v>
      </c>
      <c r="G209" s="153">
        <f t="shared" si="15"/>
        <v>0</v>
      </c>
    </row>
    <row r="210" spans="1:7" ht="13.5" hidden="1" thickBot="1">
      <c r="A210" s="91">
        <f t="shared" si="16"/>
        <v>189</v>
      </c>
      <c r="B210" s="106">
        <f t="shared" si="17"/>
        <v>0</v>
      </c>
      <c r="C210" s="152">
        <f t="shared" si="18"/>
        <v>0</v>
      </c>
      <c r="D210" s="152">
        <f t="shared" si="19"/>
        <v>0</v>
      </c>
      <c r="E210" s="106">
        <f t="shared" si="20"/>
        <v>0</v>
      </c>
      <c r="F210" s="106">
        <f t="shared" si="14"/>
        <v>0</v>
      </c>
      <c r="G210" s="153">
        <f t="shared" si="15"/>
        <v>0</v>
      </c>
    </row>
    <row r="211" spans="1:7" ht="13.5" hidden="1" thickBot="1">
      <c r="A211" s="91">
        <f t="shared" si="16"/>
        <v>190</v>
      </c>
      <c r="B211" s="106">
        <f t="shared" si="17"/>
        <v>0</v>
      </c>
      <c r="C211" s="152">
        <f t="shared" si="18"/>
        <v>0</v>
      </c>
      <c r="D211" s="152">
        <f t="shared" si="19"/>
        <v>0</v>
      </c>
      <c r="E211" s="106">
        <f t="shared" si="20"/>
        <v>0</v>
      </c>
      <c r="F211" s="106">
        <f t="shared" si="14"/>
        <v>0</v>
      </c>
      <c r="G211" s="153">
        <f t="shared" si="15"/>
        <v>0</v>
      </c>
    </row>
    <row r="212" spans="1:7" ht="13.5" hidden="1" thickBot="1">
      <c r="A212" s="91">
        <f t="shared" si="16"/>
        <v>191</v>
      </c>
      <c r="B212" s="106">
        <f t="shared" si="17"/>
        <v>0</v>
      </c>
      <c r="C212" s="152">
        <f t="shared" si="18"/>
        <v>0</v>
      </c>
      <c r="D212" s="152">
        <f t="shared" si="19"/>
        <v>0</v>
      </c>
      <c r="E212" s="106">
        <f t="shared" si="20"/>
        <v>0</v>
      </c>
      <c r="F212" s="106">
        <f t="shared" si="14"/>
        <v>0</v>
      </c>
      <c r="G212" s="153">
        <f t="shared" si="15"/>
        <v>0</v>
      </c>
    </row>
    <row r="213" spans="1:7" ht="13.5" hidden="1" thickBot="1">
      <c r="A213" s="91">
        <f t="shared" si="16"/>
        <v>192</v>
      </c>
      <c r="B213" s="106">
        <f t="shared" si="17"/>
        <v>0</v>
      </c>
      <c r="C213" s="152">
        <f t="shared" si="18"/>
        <v>0</v>
      </c>
      <c r="D213" s="152">
        <f t="shared" si="19"/>
        <v>0</v>
      </c>
      <c r="E213" s="106">
        <f t="shared" si="20"/>
        <v>0</v>
      </c>
      <c r="F213" s="106">
        <f t="shared" si="14"/>
        <v>0</v>
      </c>
      <c r="G213" s="153">
        <f t="shared" si="15"/>
        <v>0</v>
      </c>
    </row>
    <row r="214" spans="1:7" ht="13.5" hidden="1" thickBot="1">
      <c r="A214" s="91">
        <f t="shared" si="16"/>
        <v>193</v>
      </c>
      <c r="B214" s="106">
        <f t="shared" si="17"/>
        <v>0</v>
      </c>
      <c r="C214" s="152">
        <f t="shared" si="18"/>
        <v>0</v>
      </c>
      <c r="D214" s="152">
        <f t="shared" si="19"/>
        <v>0</v>
      </c>
      <c r="E214" s="106">
        <f t="shared" si="20"/>
        <v>0</v>
      </c>
      <c r="F214" s="106">
        <f t="shared" ref="F214:F277" si="21">IF(A214=$D$12,$D$3,0)</f>
        <v>0</v>
      </c>
      <c r="G214" s="153">
        <f t="shared" ref="G214:G277" si="22">B214-F214</f>
        <v>0</v>
      </c>
    </row>
    <row r="215" spans="1:7" ht="13.5" hidden="1" thickBot="1">
      <c r="A215" s="91">
        <f t="shared" ref="A215:A278" si="23">A214+1</f>
        <v>194</v>
      </c>
      <c r="B215" s="106">
        <f t="shared" ref="B215:B278" si="24">B214-F214</f>
        <v>0</v>
      </c>
      <c r="C215" s="152">
        <f t="shared" ref="C215:C278" si="25">IF(D215=0,0,D215+$D$15)</f>
        <v>0</v>
      </c>
      <c r="D215" s="152">
        <f t="shared" ref="D215:D278" si="26">E215+F215</f>
        <v>0</v>
      </c>
      <c r="E215" s="106">
        <f t="shared" ref="E215:E278" si="27">IF(B215&gt;0,E214,0)</f>
        <v>0</v>
      </c>
      <c r="F215" s="106">
        <f t="shared" si="21"/>
        <v>0</v>
      </c>
      <c r="G215" s="153">
        <f t="shared" si="22"/>
        <v>0</v>
      </c>
    </row>
    <row r="216" spans="1:7" ht="13.5" hidden="1" thickBot="1">
      <c r="A216" s="91">
        <f t="shared" si="23"/>
        <v>195</v>
      </c>
      <c r="B216" s="106">
        <f t="shared" si="24"/>
        <v>0</v>
      </c>
      <c r="C216" s="152">
        <f t="shared" si="25"/>
        <v>0</v>
      </c>
      <c r="D216" s="152">
        <f t="shared" si="26"/>
        <v>0</v>
      </c>
      <c r="E216" s="106">
        <f t="shared" si="27"/>
        <v>0</v>
      </c>
      <c r="F216" s="106">
        <f t="shared" si="21"/>
        <v>0</v>
      </c>
      <c r="G216" s="153">
        <f t="shared" si="22"/>
        <v>0</v>
      </c>
    </row>
    <row r="217" spans="1:7" ht="13.5" hidden="1" thickBot="1">
      <c r="A217" s="91">
        <f t="shared" si="23"/>
        <v>196</v>
      </c>
      <c r="B217" s="106">
        <f t="shared" si="24"/>
        <v>0</v>
      </c>
      <c r="C217" s="152">
        <f t="shared" si="25"/>
        <v>0</v>
      </c>
      <c r="D217" s="152">
        <f t="shared" si="26"/>
        <v>0</v>
      </c>
      <c r="E217" s="106">
        <f t="shared" si="27"/>
        <v>0</v>
      </c>
      <c r="F217" s="106">
        <f t="shared" si="21"/>
        <v>0</v>
      </c>
      <c r="G217" s="153">
        <f t="shared" si="22"/>
        <v>0</v>
      </c>
    </row>
    <row r="218" spans="1:7" ht="13.5" hidden="1" thickBot="1">
      <c r="A218" s="91">
        <f t="shared" si="23"/>
        <v>197</v>
      </c>
      <c r="B218" s="106">
        <f t="shared" si="24"/>
        <v>0</v>
      </c>
      <c r="C218" s="152">
        <f t="shared" si="25"/>
        <v>0</v>
      </c>
      <c r="D218" s="152">
        <f t="shared" si="26"/>
        <v>0</v>
      </c>
      <c r="E218" s="106">
        <f t="shared" si="27"/>
        <v>0</v>
      </c>
      <c r="F218" s="106">
        <f t="shared" si="21"/>
        <v>0</v>
      </c>
      <c r="G218" s="153">
        <f t="shared" si="22"/>
        <v>0</v>
      </c>
    </row>
    <row r="219" spans="1:7" ht="13.5" hidden="1" thickBot="1">
      <c r="A219" s="91">
        <f t="shared" si="23"/>
        <v>198</v>
      </c>
      <c r="B219" s="106">
        <f t="shared" si="24"/>
        <v>0</v>
      </c>
      <c r="C219" s="152">
        <f t="shared" si="25"/>
        <v>0</v>
      </c>
      <c r="D219" s="152">
        <f t="shared" si="26"/>
        <v>0</v>
      </c>
      <c r="E219" s="106">
        <f t="shared" si="27"/>
        <v>0</v>
      </c>
      <c r="F219" s="106">
        <f t="shared" si="21"/>
        <v>0</v>
      </c>
      <c r="G219" s="153">
        <f t="shared" si="22"/>
        <v>0</v>
      </c>
    </row>
    <row r="220" spans="1:7" ht="13.5" hidden="1" thickBot="1">
      <c r="A220" s="91">
        <f t="shared" si="23"/>
        <v>199</v>
      </c>
      <c r="B220" s="106">
        <f t="shared" si="24"/>
        <v>0</v>
      </c>
      <c r="C220" s="152">
        <f t="shared" si="25"/>
        <v>0</v>
      </c>
      <c r="D220" s="152">
        <f t="shared" si="26"/>
        <v>0</v>
      </c>
      <c r="E220" s="106">
        <f t="shared" si="27"/>
        <v>0</v>
      </c>
      <c r="F220" s="106">
        <f t="shared" si="21"/>
        <v>0</v>
      </c>
      <c r="G220" s="153">
        <f t="shared" si="22"/>
        <v>0</v>
      </c>
    </row>
    <row r="221" spans="1:7" ht="13.5" hidden="1" thickBot="1">
      <c r="A221" s="91">
        <f t="shared" si="23"/>
        <v>200</v>
      </c>
      <c r="B221" s="106">
        <f t="shared" si="24"/>
        <v>0</v>
      </c>
      <c r="C221" s="152">
        <f t="shared" si="25"/>
        <v>0</v>
      </c>
      <c r="D221" s="152">
        <f t="shared" si="26"/>
        <v>0</v>
      </c>
      <c r="E221" s="106">
        <f t="shared" si="27"/>
        <v>0</v>
      </c>
      <c r="F221" s="106">
        <f t="shared" si="21"/>
        <v>0</v>
      </c>
      <c r="G221" s="153">
        <f t="shared" si="22"/>
        <v>0</v>
      </c>
    </row>
    <row r="222" spans="1:7" ht="13.5" hidden="1" thickBot="1">
      <c r="A222" s="91">
        <f t="shared" si="23"/>
        <v>201</v>
      </c>
      <c r="B222" s="106">
        <f t="shared" si="24"/>
        <v>0</v>
      </c>
      <c r="C222" s="152">
        <f t="shared" si="25"/>
        <v>0</v>
      </c>
      <c r="D222" s="152">
        <f t="shared" si="26"/>
        <v>0</v>
      </c>
      <c r="E222" s="106">
        <f t="shared" si="27"/>
        <v>0</v>
      </c>
      <c r="F222" s="106">
        <f t="shared" si="21"/>
        <v>0</v>
      </c>
      <c r="G222" s="153">
        <f t="shared" si="22"/>
        <v>0</v>
      </c>
    </row>
    <row r="223" spans="1:7" ht="13.5" hidden="1" thickBot="1">
      <c r="A223" s="91">
        <f t="shared" si="23"/>
        <v>202</v>
      </c>
      <c r="B223" s="106">
        <f t="shared" si="24"/>
        <v>0</v>
      </c>
      <c r="C223" s="152">
        <f t="shared" si="25"/>
        <v>0</v>
      </c>
      <c r="D223" s="152">
        <f t="shared" si="26"/>
        <v>0</v>
      </c>
      <c r="E223" s="106">
        <f t="shared" si="27"/>
        <v>0</v>
      </c>
      <c r="F223" s="106">
        <f t="shared" si="21"/>
        <v>0</v>
      </c>
      <c r="G223" s="153">
        <f t="shared" si="22"/>
        <v>0</v>
      </c>
    </row>
    <row r="224" spans="1:7" ht="13.5" hidden="1" thickBot="1">
      <c r="A224" s="91">
        <f t="shared" si="23"/>
        <v>203</v>
      </c>
      <c r="B224" s="106">
        <f t="shared" si="24"/>
        <v>0</v>
      </c>
      <c r="C224" s="152">
        <f t="shared" si="25"/>
        <v>0</v>
      </c>
      <c r="D224" s="152">
        <f t="shared" si="26"/>
        <v>0</v>
      </c>
      <c r="E224" s="106">
        <f t="shared" si="27"/>
        <v>0</v>
      </c>
      <c r="F224" s="106">
        <f t="shared" si="21"/>
        <v>0</v>
      </c>
      <c r="G224" s="153">
        <f t="shared" si="22"/>
        <v>0</v>
      </c>
    </row>
    <row r="225" spans="1:7" ht="13.5" hidden="1" thickBot="1">
      <c r="A225" s="91">
        <f t="shared" si="23"/>
        <v>204</v>
      </c>
      <c r="B225" s="106">
        <f t="shared" si="24"/>
        <v>0</v>
      </c>
      <c r="C225" s="152">
        <f t="shared" si="25"/>
        <v>0</v>
      </c>
      <c r="D225" s="152">
        <f t="shared" si="26"/>
        <v>0</v>
      </c>
      <c r="E225" s="106">
        <f t="shared" si="27"/>
        <v>0</v>
      </c>
      <c r="F225" s="106">
        <f t="shared" si="21"/>
        <v>0</v>
      </c>
      <c r="G225" s="153">
        <f t="shared" si="22"/>
        <v>0</v>
      </c>
    </row>
    <row r="226" spans="1:7" ht="13.5" hidden="1" thickBot="1">
      <c r="A226" s="91">
        <f t="shared" si="23"/>
        <v>205</v>
      </c>
      <c r="B226" s="106">
        <f t="shared" si="24"/>
        <v>0</v>
      </c>
      <c r="C226" s="152">
        <f t="shared" si="25"/>
        <v>0</v>
      </c>
      <c r="D226" s="152">
        <f t="shared" si="26"/>
        <v>0</v>
      </c>
      <c r="E226" s="106">
        <f t="shared" si="27"/>
        <v>0</v>
      </c>
      <c r="F226" s="106">
        <f t="shared" si="21"/>
        <v>0</v>
      </c>
      <c r="G226" s="153">
        <f t="shared" si="22"/>
        <v>0</v>
      </c>
    </row>
    <row r="227" spans="1:7" ht="13.5" hidden="1" thickBot="1">
      <c r="A227" s="91">
        <f t="shared" si="23"/>
        <v>206</v>
      </c>
      <c r="B227" s="106">
        <f t="shared" si="24"/>
        <v>0</v>
      </c>
      <c r="C227" s="152">
        <f t="shared" si="25"/>
        <v>0</v>
      </c>
      <c r="D227" s="152">
        <f t="shared" si="26"/>
        <v>0</v>
      </c>
      <c r="E227" s="106">
        <f t="shared" si="27"/>
        <v>0</v>
      </c>
      <c r="F227" s="106">
        <f t="shared" si="21"/>
        <v>0</v>
      </c>
      <c r="G227" s="153">
        <f t="shared" si="22"/>
        <v>0</v>
      </c>
    </row>
    <row r="228" spans="1:7" ht="13.5" hidden="1" thickBot="1">
      <c r="A228" s="91">
        <f t="shared" si="23"/>
        <v>207</v>
      </c>
      <c r="B228" s="106">
        <f t="shared" si="24"/>
        <v>0</v>
      </c>
      <c r="C228" s="152">
        <f t="shared" si="25"/>
        <v>0</v>
      </c>
      <c r="D228" s="152">
        <f t="shared" si="26"/>
        <v>0</v>
      </c>
      <c r="E228" s="106">
        <f t="shared" si="27"/>
        <v>0</v>
      </c>
      <c r="F228" s="106">
        <f t="shared" si="21"/>
        <v>0</v>
      </c>
      <c r="G228" s="153">
        <f t="shared" si="22"/>
        <v>0</v>
      </c>
    </row>
    <row r="229" spans="1:7" ht="13.5" hidden="1" thickBot="1">
      <c r="A229" s="91">
        <f t="shared" si="23"/>
        <v>208</v>
      </c>
      <c r="B229" s="106">
        <f t="shared" si="24"/>
        <v>0</v>
      </c>
      <c r="C229" s="152">
        <f t="shared" si="25"/>
        <v>0</v>
      </c>
      <c r="D229" s="152">
        <f t="shared" si="26"/>
        <v>0</v>
      </c>
      <c r="E229" s="106">
        <f t="shared" si="27"/>
        <v>0</v>
      </c>
      <c r="F229" s="106">
        <f t="shared" si="21"/>
        <v>0</v>
      </c>
      <c r="G229" s="153">
        <f t="shared" si="22"/>
        <v>0</v>
      </c>
    </row>
    <row r="230" spans="1:7" ht="13.5" hidden="1" thickBot="1">
      <c r="A230" s="91">
        <f t="shared" si="23"/>
        <v>209</v>
      </c>
      <c r="B230" s="106">
        <f t="shared" si="24"/>
        <v>0</v>
      </c>
      <c r="C230" s="152">
        <f t="shared" si="25"/>
        <v>0</v>
      </c>
      <c r="D230" s="152">
        <f t="shared" si="26"/>
        <v>0</v>
      </c>
      <c r="E230" s="106">
        <f t="shared" si="27"/>
        <v>0</v>
      </c>
      <c r="F230" s="106">
        <f t="shared" si="21"/>
        <v>0</v>
      </c>
      <c r="G230" s="153">
        <f t="shared" si="22"/>
        <v>0</v>
      </c>
    </row>
    <row r="231" spans="1:7" ht="13.5" hidden="1" thickBot="1">
      <c r="A231" s="91">
        <f t="shared" si="23"/>
        <v>210</v>
      </c>
      <c r="B231" s="106">
        <f t="shared" si="24"/>
        <v>0</v>
      </c>
      <c r="C231" s="152">
        <f t="shared" si="25"/>
        <v>0</v>
      </c>
      <c r="D231" s="152">
        <f t="shared" si="26"/>
        <v>0</v>
      </c>
      <c r="E231" s="106">
        <f t="shared" si="27"/>
        <v>0</v>
      </c>
      <c r="F231" s="106">
        <f t="shared" si="21"/>
        <v>0</v>
      </c>
      <c r="G231" s="153">
        <f t="shared" si="22"/>
        <v>0</v>
      </c>
    </row>
    <row r="232" spans="1:7" ht="13.5" hidden="1" thickBot="1">
      <c r="A232" s="91">
        <f t="shared" si="23"/>
        <v>211</v>
      </c>
      <c r="B232" s="106">
        <f t="shared" si="24"/>
        <v>0</v>
      </c>
      <c r="C232" s="152">
        <f t="shared" si="25"/>
        <v>0</v>
      </c>
      <c r="D232" s="152">
        <f t="shared" si="26"/>
        <v>0</v>
      </c>
      <c r="E232" s="106">
        <f t="shared" si="27"/>
        <v>0</v>
      </c>
      <c r="F232" s="106">
        <f t="shared" si="21"/>
        <v>0</v>
      </c>
      <c r="G232" s="153">
        <f t="shared" si="22"/>
        <v>0</v>
      </c>
    </row>
    <row r="233" spans="1:7" ht="13.5" hidden="1" thickBot="1">
      <c r="A233" s="91">
        <f t="shared" si="23"/>
        <v>212</v>
      </c>
      <c r="B233" s="106">
        <f t="shared" si="24"/>
        <v>0</v>
      </c>
      <c r="C233" s="152">
        <f t="shared" si="25"/>
        <v>0</v>
      </c>
      <c r="D233" s="152">
        <f t="shared" si="26"/>
        <v>0</v>
      </c>
      <c r="E233" s="106">
        <f t="shared" si="27"/>
        <v>0</v>
      </c>
      <c r="F233" s="106">
        <f t="shared" si="21"/>
        <v>0</v>
      </c>
      <c r="G233" s="153">
        <f t="shared" si="22"/>
        <v>0</v>
      </c>
    </row>
    <row r="234" spans="1:7" ht="13.5" hidden="1" thickBot="1">
      <c r="A234" s="91">
        <f t="shared" si="23"/>
        <v>213</v>
      </c>
      <c r="B234" s="106">
        <f t="shared" si="24"/>
        <v>0</v>
      </c>
      <c r="C234" s="152">
        <f t="shared" si="25"/>
        <v>0</v>
      </c>
      <c r="D234" s="152">
        <f t="shared" si="26"/>
        <v>0</v>
      </c>
      <c r="E234" s="106">
        <f t="shared" si="27"/>
        <v>0</v>
      </c>
      <c r="F234" s="106">
        <f t="shared" si="21"/>
        <v>0</v>
      </c>
      <c r="G234" s="153">
        <f t="shared" si="22"/>
        <v>0</v>
      </c>
    </row>
    <row r="235" spans="1:7" ht="13.5" hidden="1" thickBot="1">
      <c r="A235" s="91">
        <f t="shared" si="23"/>
        <v>214</v>
      </c>
      <c r="B235" s="106">
        <f t="shared" si="24"/>
        <v>0</v>
      </c>
      <c r="C235" s="152">
        <f t="shared" si="25"/>
        <v>0</v>
      </c>
      <c r="D235" s="152">
        <f t="shared" si="26"/>
        <v>0</v>
      </c>
      <c r="E235" s="106">
        <f t="shared" si="27"/>
        <v>0</v>
      </c>
      <c r="F235" s="106">
        <f t="shared" si="21"/>
        <v>0</v>
      </c>
      <c r="G235" s="153">
        <f t="shared" si="22"/>
        <v>0</v>
      </c>
    </row>
    <row r="236" spans="1:7" ht="13.5" hidden="1" thickBot="1">
      <c r="A236" s="91">
        <f t="shared" si="23"/>
        <v>215</v>
      </c>
      <c r="B236" s="106">
        <f t="shared" si="24"/>
        <v>0</v>
      </c>
      <c r="C236" s="152">
        <f t="shared" si="25"/>
        <v>0</v>
      </c>
      <c r="D236" s="152">
        <f t="shared" si="26"/>
        <v>0</v>
      </c>
      <c r="E236" s="106">
        <f t="shared" si="27"/>
        <v>0</v>
      </c>
      <c r="F236" s="106">
        <f t="shared" si="21"/>
        <v>0</v>
      </c>
      <c r="G236" s="153">
        <f t="shared" si="22"/>
        <v>0</v>
      </c>
    </row>
    <row r="237" spans="1:7" ht="13.5" hidden="1" thickBot="1">
      <c r="A237" s="91">
        <f t="shared" si="23"/>
        <v>216</v>
      </c>
      <c r="B237" s="106">
        <f t="shared" si="24"/>
        <v>0</v>
      </c>
      <c r="C237" s="152">
        <f t="shared" si="25"/>
        <v>0</v>
      </c>
      <c r="D237" s="152">
        <f t="shared" si="26"/>
        <v>0</v>
      </c>
      <c r="E237" s="106">
        <f t="shared" si="27"/>
        <v>0</v>
      </c>
      <c r="F237" s="106">
        <f t="shared" si="21"/>
        <v>0</v>
      </c>
      <c r="G237" s="153">
        <f t="shared" si="22"/>
        <v>0</v>
      </c>
    </row>
    <row r="238" spans="1:7" ht="13.5" hidden="1" thickBot="1">
      <c r="A238" s="91">
        <f t="shared" si="23"/>
        <v>217</v>
      </c>
      <c r="B238" s="106">
        <f t="shared" si="24"/>
        <v>0</v>
      </c>
      <c r="C238" s="152">
        <f t="shared" si="25"/>
        <v>0</v>
      </c>
      <c r="D238" s="152">
        <f t="shared" si="26"/>
        <v>0</v>
      </c>
      <c r="E238" s="106">
        <f t="shared" si="27"/>
        <v>0</v>
      </c>
      <c r="F238" s="106">
        <f t="shared" si="21"/>
        <v>0</v>
      </c>
      <c r="G238" s="153">
        <f t="shared" si="22"/>
        <v>0</v>
      </c>
    </row>
    <row r="239" spans="1:7" ht="13.5" hidden="1" thickBot="1">
      <c r="A239" s="91">
        <f t="shared" si="23"/>
        <v>218</v>
      </c>
      <c r="B239" s="106">
        <f t="shared" si="24"/>
        <v>0</v>
      </c>
      <c r="C239" s="152">
        <f t="shared" si="25"/>
        <v>0</v>
      </c>
      <c r="D239" s="152">
        <f t="shared" si="26"/>
        <v>0</v>
      </c>
      <c r="E239" s="106">
        <f t="shared" si="27"/>
        <v>0</v>
      </c>
      <c r="F239" s="106">
        <f t="shared" si="21"/>
        <v>0</v>
      </c>
      <c r="G239" s="153">
        <f t="shared" si="22"/>
        <v>0</v>
      </c>
    </row>
    <row r="240" spans="1:7" ht="13.5" hidden="1" thickBot="1">
      <c r="A240" s="91">
        <f t="shared" si="23"/>
        <v>219</v>
      </c>
      <c r="B240" s="106">
        <f t="shared" si="24"/>
        <v>0</v>
      </c>
      <c r="C240" s="152">
        <f t="shared" si="25"/>
        <v>0</v>
      </c>
      <c r="D240" s="152">
        <f t="shared" si="26"/>
        <v>0</v>
      </c>
      <c r="E240" s="106">
        <f t="shared" si="27"/>
        <v>0</v>
      </c>
      <c r="F240" s="106">
        <f t="shared" si="21"/>
        <v>0</v>
      </c>
      <c r="G240" s="153">
        <f t="shared" si="22"/>
        <v>0</v>
      </c>
    </row>
    <row r="241" spans="1:7" ht="13.5" hidden="1" thickBot="1">
      <c r="A241" s="91">
        <f t="shared" si="23"/>
        <v>220</v>
      </c>
      <c r="B241" s="106">
        <f t="shared" si="24"/>
        <v>0</v>
      </c>
      <c r="C241" s="152">
        <f t="shared" si="25"/>
        <v>0</v>
      </c>
      <c r="D241" s="152">
        <f t="shared" si="26"/>
        <v>0</v>
      </c>
      <c r="E241" s="106">
        <f t="shared" si="27"/>
        <v>0</v>
      </c>
      <c r="F241" s="106">
        <f t="shared" si="21"/>
        <v>0</v>
      </c>
      <c r="G241" s="153">
        <f t="shared" si="22"/>
        <v>0</v>
      </c>
    </row>
    <row r="242" spans="1:7" ht="13.5" hidden="1" thickBot="1">
      <c r="A242" s="91">
        <f t="shared" si="23"/>
        <v>221</v>
      </c>
      <c r="B242" s="106">
        <f t="shared" si="24"/>
        <v>0</v>
      </c>
      <c r="C242" s="152">
        <f t="shared" si="25"/>
        <v>0</v>
      </c>
      <c r="D242" s="152">
        <f t="shared" si="26"/>
        <v>0</v>
      </c>
      <c r="E242" s="106">
        <f t="shared" si="27"/>
        <v>0</v>
      </c>
      <c r="F242" s="106">
        <f t="shared" si="21"/>
        <v>0</v>
      </c>
      <c r="G242" s="153">
        <f t="shared" si="22"/>
        <v>0</v>
      </c>
    </row>
    <row r="243" spans="1:7" ht="13.5" hidden="1" thickBot="1">
      <c r="A243" s="91">
        <f t="shared" si="23"/>
        <v>222</v>
      </c>
      <c r="B243" s="106">
        <f t="shared" si="24"/>
        <v>0</v>
      </c>
      <c r="C243" s="152">
        <f t="shared" si="25"/>
        <v>0</v>
      </c>
      <c r="D243" s="152">
        <f t="shared" si="26"/>
        <v>0</v>
      </c>
      <c r="E243" s="106">
        <f t="shared" si="27"/>
        <v>0</v>
      </c>
      <c r="F243" s="106">
        <f t="shared" si="21"/>
        <v>0</v>
      </c>
      <c r="G243" s="153">
        <f t="shared" si="22"/>
        <v>0</v>
      </c>
    </row>
    <row r="244" spans="1:7" ht="13.5" hidden="1" thickBot="1">
      <c r="A244" s="91">
        <f t="shared" si="23"/>
        <v>223</v>
      </c>
      <c r="B244" s="106">
        <f t="shared" si="24"/>
        <v>0</v>
      </c>
      <c r="C244" s="152">
        <f t="shared" si="25"/>
        <v>0</v>
      </c>
      <c r="D244" s="152">
        <f t="shared" si="26"/>
        <v>0</v>
      </c>
      <c r="E244" s="106">
        <f t="shared" si="27"/>
        <v>0</v>
      </c>
      <c r="F244" s="106">
        <f t="shared" si="21"/>
        <v>0</v>
      </c>
      <c r="G244" s="153">
        <f t="shared" si="22"/>
        <v>0</v>
      </c>
    </row>
    <row r="245" spans="1:7" ht="13.5" hidden="1" thickBot="1">
      <c r="A245" s="91">
        <f t="shared" si="23"/>
        <v>224</v>
      </c>
      <c r="B245" s="106">
        <f t="shared" si="24"/>
        <v>0</v>
      </c>
      <c r="C245" s="152">
        <f t="shared" si="25"/>
        <v>0</v>
      </c>
      <c r="D245" s="152">
        <f t="shared" si="26"/>
        <v>0</v>
      </c>
      <c r="E245" s="106">
        <f t="shared" si="27"/>
        <v>0</v>
      </c>
      <c r="F245" s="106">
        <f t="shared" si="21"/>
        <v>0</v>
      </c>
      <c r="G245" s="153">
        <f t="shared" si="22"/>
        <v>0</v>
      </c>
    </row>
    <row r="246" spans="1:7" ht="13.5" hidden="1" thickBot="1">
      <c r="A246" s="91">
        <f t="shared" si="23"/>
        <v>225</v>
      </c>
      <c r="B246" s="106">
        <f t="shared" si="24"/>
        <v>0</v>
      </c>
      <c r="C246" s="152">
        <f t="shared" si="25"/>
        <v>0</v>
      </c>
      <c r="D246" s="152">
        <f t="shared" si="26"/>
        <v>0</v>
      </c>
      <c r="E246" s="106">
        <f t="shared" si="27"/>
        <v>0</v>
      </c>
      <c r="F246" s="106">
        <f t="shared" si="21"/>
        <v>0</v>
      </c>
      <c r="G246" s="153">
        <f t="shared" si="22"/>
        <v>0</v>
      </c>
    </row>
    <row r="247" spans="1:7" ht="13.5" hidden="1" thickBot="1">
      <c r="A247" s="91">
        <f t="shared" si="23"/>
        <v>226</v>
      </c>
      <c r="B247" s="106">
        <f t="shared" si="24"/>
        <v>0</v>
      </c>
      <c r="C247" s="152">
        <f t="shared" si="25"/>
        <v>0</v>
      </c>
      <c r="D247" s="152">
        <f t="shared" si="26"/>
        <v>0</v>
      </c>
      <c r="E247" s="106">
        <f t="shared" si="27"/>
        <v>0</v>
      </c>
      <c r="F247" s="106">
        <f t="shared" si="21"/>
        <v>0</v>
      </c>
      <c r="G247" s="153">
        <f t="shared" si="22"/>
        <v>0</v>
      </c>
    </row>
    <row r="248" spans="1:7" ht="13.5" hidden="1" thickBot="1">
      <c r="A248" s="91">
        <f t="shared" si="23"/>
        <v>227</v>
      </c>
      <c r="B248" s="106">
        <f t="shared" si="24"/>
        <v>0</v>
      </c>
      <c r="C248" s="152">
        <f t="shared" si="25"/>
        <v>0</v>
      </c>
      <c r="D248" s="152">
        <f t="shared" si="26"/>
        <v>0</v>
      </c>
      <c r="E248" s="106">
        <f t="shared" si="27"/>
        <v>0</v>
      </c>
      <c r="F248" s="106">
        <f t="shared" si="21"/>
        <v>0</v>
      </c>
      <c r="G248" s="153">
        <f t="shared" si="22"/>
        <v>0</v>
      </c>
    </row>
    <row r="249" spans="1:7" ht="13.5" hidden="1" thickBot="1">
      <c r="A249" s="91">
        <f t="shared" si="23"/>
        <v>228</v>
      </c>
      <c r="B249" s="106">
        <f t="shared" si="24"/>
        <v>0</v>
      </c>
      <c r="C249" s="152">
        <f t="shared" si="25"/>
        <v>0</v>
      </c>
      <c r="D249" s="152">
        <f t="shared" si="26"/>
        <v>0</v>
      </c>
      <c r="E249" s="106">
        <f t="shared" si="27"/>
        <v>0</v>
      </c>
      <c r="F249" s="106">
        <f t="shared" si="21"/>
        <v>0</v>
      </c>
      <c r="G249" s="153">
        <f t="shared" si="22"/>
        <v>0</v>
      </c>
    </row>
    <row r="250" spans="1:7" ht="13.5" hidden="1" thickBot="1">
      <c r="A250" s="91">
        <f t="shared" si="23"/>
        <v>229</v>
      </c>
      <c r="B250" s="106">
        <f t="shared" si="24"/>
        <v>0</v>
      </c>
      <c r="C250" s="152">
        <f t="shared" si="25"/>
        <v>0</v>
      </c>
      <c r="D250" s="152">
        <f t="shared" si="26"/>
        <v>0</v>
      </c>
      <c r="E250" s="106">
        <f t="shared" si="27"/>
        <v>0</v>
      </c>
      <c r="F250" s="106">
        <f t="shared" si="21"/>
        <v>0</v>
      </c>
      <c r="G250" s="153">
        <f t="shared" si="22"/>
        <v>0</v>
      </c>
    </row>
    <row r="251" spans="1:7" ht="13.5" hidden="1" thickBot="1">
      <c r="A251" s="91">
        <f t="shared" si="23"/>
        <v>230</v>
      </c>
      <c r="B251" s="106">
        <f t="shared" si="24"/>
        <v>0</v>
      </c>
      <c r="C251" s="152">
        <f t="shared" si="25"/>
        <v>0</v>
      </c>
      <c r="D251" s="152">
        <f t="shared" si="26"/>
        <v>0</v>
      </c>
      <c r="E251" s="106">
        <f t="shared" si="27"/>
        <v>0</v>
      </c>
      <c r="F251" s="106">
        <f t="shared" si="21"/>
        <v>0</v>
      </c>
      <c r="G251" s="153">
        <f t="shared" si="22"/>
        <v>0</v>
      </c>
    </row>
    <row r="252" spans="1:7" ht="13.5" hidden="1" thickBot="1">
      <c r="A252" s="91">
        <f t="shared" si="23"/>
        <v>231</v>
      </c>
      <c r="B252" s="106">
        <f t="shared" si="24"/>
        <v>0</v>
      </c>
      <c r="C252" s="152">
        <f t="shared" si="25"/>
        <v>0</v>
      </c>
      <c r="D252" s="152">
        <f t="shared" si="26"/>
        <v>0</v>
      </c>
      <c r="E252" s="106">
        <f t="shared" si="27"/>
        <v>0</v>
      </c>
      <c r="F252" s="106">
        <f t="shared" si="21"/>
        <v>0</v>
      </c>
      <c r="G252" s="153">
        <f t="shared" si="22"/>
        <v>0</v>
      </c>
    </row>
    <row r="253" spans="1:7" ht="13.5" hidden="1" thickBot="1">
      <c r="A253" s="91">
        <f t="shared" si="23"/>
        <v>232</v>
      </c>
      <c r="B253" s="106">
        <f t="shared" si="24"/>
        <v>0</v>
      </c>
      <c r="C253" s="152">
        <f t="shared" si="25"/>
        <v>0</v>
      </c>
      <c r="D253" s="152">
        <f t="shared" si="26"/>
        <v>0</v>
      </c>
      <c r="E253" s="106">
        <f t="shared" si="27"/>
        <v>0</v>
      </c>
      <c r="F253" s="106">
        <f t="shared" si="21"/>
        <v>0</v>
      </c>
      <c r="G253" s="153">
        <f t="shared" si="22"/>
        <v>0</v>
      </c>
    </row>
    <row r="254" spans="1:7" ht="13.5" hidden="1" thickBot="1">
      <c r="A254" s="91">
        <f t="shared" si="23"/>
        <v>233</v>
      </c>
      <c r="B254" s="106">
        <f t="shared" si="24"/>
        <v>0</v>
      </c>
      <c r="C254" s="152">
        <f t="shared" si="25"/>
        <v>0</v>
      </c>
      <c r="D254" s="152">
        <f t="shared" si="26"/>
        <v>0</v>
      </c>
      <c r="E254" s="106">
        <f t="shared" si="27"/>
        <v>0</v>
      </c>
      <c r="F254" s="106">
        <f t="shared" si="21"/>
        <v>0</v>
      </c>
      <c r="G254" s="153">
        <f t="shared" si="22"/>
        <v>0</v>
      </c>
    </row>
    <row r="255" spans="1:7" ht="13.5" hidden="1" thickBot="1">
      <c r="A255" s="91">
        <f t="shared" si="23"/>
        <v>234</v>
      </c>
      <c r="B255" s="106">
        <f t="shared" si="24"/>
        <v>0</v>
      </c>
      <c r="C255" s="152">
        <f t="shared" si="25"/>
        <v>0</v>
      </c>
      <c r="D255" s="152">
        <f t="shared" si="26"/>
        <v>0</v>
      </c>
      <c r="E255" s="106">
        <f t="shared" si="27"/>
        <v>0</v>
      </c>
      <c r="F255" s="106">
        <f t="shared" si="21"/>
        <v>0</v>
      </c>
      <c r="G255" s="153">
        <f t="shared" si="22"/>
        <v>0</v>
      </c>
    </row>
    <row r="256" spans="1:7" ht="13.5" hidden="1" thickBot="1">
      <c r="A256" s="91">
        <f t="shared" si="23"/>
        <v>235</v>
      </c>
      <c r="B256" s="106">
        <f t="shared" si="24"/>
        <v>0</v>
      </c>
      <c r="C256" s="152">
        <f t="shared" si="25"/>
        <v>0</v>
      </c>
      <c r="D256" s="152">
        <f t="shared" si="26"/>
        <v>0</v>
      </c>
      <c r="E256" s="106">
        <f t="shared" si="27"/>
        <v>0</v>
      </c>
      <c r="F256" s="106">
        <f t="shared" si="21"/>
        <v>0</v>
      </c>
      <c r="G256" s="153">
        <f t="shared" si="22"/>
        <v>0</v>
      </c>
    </row>
    <row r="257" spans="1:7" ht="13.5" hidden="1" thickBot="1">
      <c r="A257" s="91">
        <f t="shared" si="23"/>
        <v>236</v>
      </c>
      <c r="B257" s="106">
        <f t="shared" si="24"/>
        <v>0</v>
      </c>
      <c r="C257" s="152">
        <f t="shared" si="25"/>
        <v>0</v>
      </c>
      <c r="D257" s="152">
        <f t="shared" si="26"/>
        <v>0</v>
      </c>
      <c r="E257" s="106">
        <f t="shared" si="27"/>
        <v>0</v>
      </c>
      <c r="F257" s="106">
        <f t="shared" si="21"/>
        <v>0</v>
      </c>
      <c r="G257" s="153">
        <f t="shared" si="22"/>
        <v>0</v>
      </c>
    </row>
    <row r="258" spans="1:7" ht="13.5" hidden="1" thickBot="1">
      <c r="A258" s="91">
        <f t="shared" si="23"/>
        <v>237</v>
      </c>
      <c r="B258" s="106">
        <f t="shared" si="24"/>
        <v>0</v>
      </c>
      <c r="C258" s="152">
        <f t="shared" si="25"/>
        <v>0</v>
      </c>
      <c r="D258" s="152">
        <f t="shared" si="26"/>
        <v>0</v>
      </c>
      <c r="E258" s="106">
        <f t="shared" si="27"/>
        <v>0</v>
      </c>
      <c r="F258" s="106">
        <f t="shared" si="21"/>
        <v>0</v>
      </c>
      <c r="G258" s="153">
        <f t="shared" si="22"/>
        <v>0</v>
      </c>
    </row>
    <row r="259" spans="1:7" ht="13.5" hidden="1" thickBot="1">
      <c r="A259" s="91">
        <f t="shared" si="23"/>
        <v>238</v>
      </c>
      <c r="B259" s="106">
        <f t="shared" si="24"/>
        <v>0</v>
      </c>
      <c r="C259" s="152">
        <f t="shared" si="25"/>
        <v>0</v>
      </c>
      <c r="D259" s="152">
        <f t="shared" si="26"/>
        <v>0</v>
      </c>
      <c r="E259" s="106">
        <f t="shared" si="27"/>
        <v>0</v>
      </c>
      <c r="F259" s="106">
        <f t="shared" si="21"/>
        <v>0</v>
      </c>
      <c r="G259" s="153">
        <f t="shared" si="22"/>
        <v>0</v>
      </c>
    </row>
    <row r="260" spans="1:7" ht="13.5" hidden="1" thickBot="1">
      <c r="A260" s="91">
        <f t="shared" si="23"/>
        <v>239</v>
      </c>
      <c r="B260" s="106">
        <f t="shared" si="24"/>
        <v>0</v>
      </c>
      <c r="C260" s="152">
        <f t="shared" si="25"/>
        <v>0</v>
      </c>
      <c r="D260" s="152">
        <f t="shared" si="26"/>
        <v>0</v>
      </c>
      <c r="E260" s="106">
        <f t="shared" si="27"/>
        <v>0</v>
      </c>
      <c r="F260" s="106">
        <f t="shared" si="21"/>
        <v>0</v>
      </c>
      <c r="G260" s="153">
        <f t="shared" si="22"/>
        <v>0</v>
      </c>
    </row>
    <row r="261" spans="1:7" ht="13.5" hidden="1" thickBot="1">
      <c r="A261" s="91">
        <f t="shared" si="23"/>
        <v>240</v>
      </c>
      <c r="B261" s="106">
        <f t="shared" si="24"/>
        <v>0</v>
      </c>
      <c r="C261" s="152">
        <f t="shared" si="25"/>
        <v>0</v>
      </c>
      <c r="D261" s="152">
        <f t="shared" si="26"/>
        <v>0</v>
      </c>
      <c r="E261" s="106">
        <f t="shared" si="27"/>
        <v>0</v>
      </c>
      <c r="F261" s="106">
        <f t="shared" si="21"/>
        <v>0</v>
      </c>
      <c r="G261" s="153">
        <f t="shared" si="22"/>
        <v>0</v>
      </c>
    </row>
    <row r="262" spans="1:7" ht="13.5" hidden="1" thickBot="1">
      <c r="A262" s="91">
        <f t="shared" si="23"/>
        <v>241</v>
      </c>
      <c r="B262" s="106">
        <f t="shared" si="24"/>
        <v>0</v>
      </c>
      <c r="C262" s="152">
        <f t="shared" si="25"/>
        <v>0</v>
      </c>
      <c r="D262" s="152">
        <f t="shared" si="26"/>
        <v>0</v>
      </c>
      <c r="E262" s="106">
        <f t="shared" si="27"/>
        <v>0</v>
      </c>
      <c r="F262" s="106">
        <f t="shared" si="21"/>
        <v>0</v>
      </c>
      <c r="G262" s="153">
        <f t="shared" si="22"/>
        <v>0</v>
      </c>
    </row>
    <row r="263" spans="1:7" ht="13.5" hidden="1" thickBot="1">
      <c r="A263" s="91">
        <f t="shared" si="23"/>
        <v>242</v>
      </c>
      <c r="B263" s="106">
        <f t="shared" si="24"/>
        <v>0</v>
      </c>
      <c r="C263" s="152">
        <f t="shared" si="25"/>
        <v>0</v>
      </c>
      <c r="D263" s="152">
        <f t="shared" si="26"/>
        <v>0</v>
      </c>
      <c r="E263" s="106">
        <f t="shared" si="27"/>
        <v>0</v>
      </c>
      <c r="F263" s="106">
        <f t="shared" si="21"/>
        <v>0</v>
      </c>
      <c r="G263" s="153">
        <f t="shared" si="22"/>
        <v>0</v>
      </c>
    </row>
    <row r="264" spans="1:7" ht="13.5" hidden="1" thickBot="1">
      <c r="A264" s="91">
        <f t="shared" si="23"/>
        <v>243</v>
      </c>
      <c r="B264" s="106">
        <f t="shared" si="24"/>
        <v>0</v>
      </c>
      <c r="C264" s="152">
        <f t="shared" si="25"/>
        <v>0</v>
      </c>
      <c r="D264" s="152">
        <f t="shared" si="26"/>
        <v>0</v>
      </c>
      <c r="E264" s="106">
        <f t="shared" si="27"/>
        <v>0</v>
      </c>
      <c r="F264" s="106">
        <f t="shared" si="21"/>
        <v>0</v>
      </c>
      <c r="G264" s="153">
        <f t="shared" si="22"/>
        <v>0</v>
      </c>
    </row>
    <row r="265" spans="1:7" ht="13.5" hidden="1" thickBot="1">
      <c r="A265" s="91">
        <f t="shared" si="23"/>
        <v>244</v>
      </c>
      <c r="B265" s="106">
        <f t="shared" si="24"/>
        <v>0</v>
      </c>
      <c r="C265" s="152">
        <f t="shared" si="25"/>
        <v>0</v>
      </c>
      <c r="D265" s="152">
        <f t="shared" si="26"/>
        <v>0</v>
      </c>
      <c r="E265" s="106">
        <f t="shared" si="27"/>
        <v>0</v>
      </c>
      <c r="F265" s="106">
        <f t="shared" si="21"/>
        <v>0</v>
      </c>
      <c r="G265" s="153">
        <f t="shared" si="22"/>
        <v>0</v>
      </c>
    </row>
    <row r="266" spans="1:7" ht="13.5" hidden="1" thickBot="1">
      <c r="A266" s="91">
        <f t="shared" si="23"/>
        <v>245</v>
      </c>
      <c r="B266" s="106">
        <f t="shared" si="24"/>
        <v>0</v>
      </c>
      <c r="C266" s="152">
        <f t="shared" si="25"/>
        <v>0</v>
      </c>
      <c r="D266" s="152">
        <f t="shared" si="26"/>
        <v>0</v>
      </c>
      <c r="E266" s="106">
        <f t="shared" si="27"/>
        <v>0</v>
      </c>
      <c r="F266" s="106">
        <f t="shared" si="21"/>
        <v>0</v>
      </c>
      <c r="G266" s="153">
        <f t="shared" si="22"/>
        <v>0</v>
      </c>
    </row>
    <row r="267" spans="1:7" ht="13.5" hidden="1" thickBot="1">
      <c r="A267" s="91">
        <f t="shared" si="23"/>
        <v>246</v>
      </c>
      <c r="B267" s="106">
        <f t="shared" si="24"/>
        <v>0</v>
      </c>
      <c r="C267" s="152">
        <f t="shared" si="25"/>
        <v>0</v>
      </c>
      <c r="D267" s="152">
        <f t="shared" si="26"/>
        <v>0</v>
      </c>
      <c r="E267" s="106">
        <f t="shared" si="27"/>
        <v>0</v>
      </c>
      <c r="F267" s="106">
        <f t="shared" si="21"/>
        <v>0</v>
      </c>
      <c r="G267" s="153">
        <f t="shared" si="22"/>
        <v>0</v>
      </c>
    </row>
    <row r="268" spans="1:7" ht="13.5" hidden="1" thickBot="1">
      <c r="A268" s="91">
        <f t="shared" si="23"/>
        <v>247</v>
      </c>
      <c r="B268" s="106">
        <f t="shared" si="24"/>
        <v>0</v>
      </c>
      <c r="C268" s="152">
        <f t="shared" si="25"/>
        <v>0</v>
      </c>
      <c r="D268" s="152">
        <f t="shared" si="26"/>
        <v>0</v>
      </c>
      <c r="E268" s="106">
        <f t="shared" si="27"/>
        <v>0</v>
      </c>
      <c r="F268" s="106">
        <f t="shared" si="21"/>
        <v>0</v>
      </c>
      <c r="G268" s="153">
        <f t="shared" si="22"/>
        <v>0</v>
      </c>
    </row>
    <row r="269" spans="1:7" ht="13.5" hidden="1" thickBot="1">
      <c r="A269" s="91">
        <f t="shared" si="23"/>
        <v>248</v>
      </c>
      <c r="B269" s="106">
        <f t="shared" si="24"/>
        <v>0</v>
      </c>
      <c r="C269" s="152">
        <f t="shared" si="25"/>
        <v>0</v>
      </c>
      <c r="D269" s="152">
        <f t="shared" si="26"/>
        <v>0</v>
      </c>
      <c r="E269" s="106">
        <f t="shared" si="27"/>
        <v>0</v>
      </c>
      <c r="F269" s="106">
        <f t="shared" si="21"/>
        <v>0</v>
      </c>
      <c r="G269" s="153">
        <f t="shared" si="22"/>
        <v>0</v>
      </c>
    </row>
    <row r="270" spans="1:7" ht="13.5" hidden="1" thickBot="1">
      <c r="A270" s="91">
        <f t="shared" si="23"/>
        <v>249</v>
      </c>
      <c r="B270" s="106">
        <f t="shared" si="24"/>
        <v>0</v>
      </c>
      <c r="C270" s="152">
        <f t="shared" si="25"/>
        <v>0</v>
      </c>
      <c r="D270" s="152">
        <f t="shared" si="26"/>
        <v>0</v>
      </c>
      <c r="E270" s="106">
        <f t="shared" si="27"/>
        <v>0</v>
      </c>
      <c r="F270" s="106">
        <f t="shared" si="21"/>
        <v>0</v>
      </c>
      <c r="G270" s="153">
        <f t="shared" si="22"/>
        <v>0</v>
      </c>
    </row>
    <row r="271" spans="1:7" ht="13.5" hidden="1" thickBot="1">
      <c r="A271" s="91">
        <f t="shared" si="23"/>
        <v>250</v>
      </c>
      <c r="B271" s="106">
        <f t="shared" si="24"/>
        <v>0</v>
      </c>
      <c r="C271" s="152">
        <f t="shared" si="25"/>
        <v>0</v>
      </c>
      <c r="D271" s="152">
        <f t="shared" si="26"/>
        <v>0</v>
      </c>
      <c r="E271" s="106">
        <f t="shared" si="27"/>
        <v>0</v>
      </c>
      <c r="F271" s="106">
        <f t="shared" si="21"/>
        <v>0</v>
      </c>
      <c r="G271" s="153">
        <f t="shared" si="22"/>
        <v>0</v>
      </c>
    </row>
    <row r="272" spans="1:7" ht="13.5" hidden="1" thickBot="1">
      <c r="A272" s="91">
        <f t="shared" si="23"/>
        <v>251</v>
      </c>
      <c r="B272" s="106">
        <f t="shared" si="24"/>
        <v>0</v>
      </c>
      <c r="C272" s="152">
        <f t="shared" si="25"/>
        <v>0</v>
      </c>
      <c r="D272" s="152">
        <f t="shared" si="26"/>
        <v>0</v>
      </c>
      <c r="E272" s="106">
        <f t="shared" si="27"/>
        <v>0</v>
      </c>
      <c r="F272" s="106">
        <f t="shared" si="21"/>
        <v>0</v>
      </c>
      <c r="G272" s="153">
        <f t="shared" si="22"/>
        <v>0</v>
      </c>
    </row>
    <row r="273" spans="1:7" ht="13.5" hidden="1" thickBot="1">
      <c r="A273" s="91">
        <f t="shared" si="23"/>
        <v>252</v>
      </c>
      <c r="B273" s="106">
        <f t="shared" si="24"/>
        <v>0</v>
      </c>
      <c r="C273" s="152">
        <f t="shared" si="25"/>
        <v>0</v>
      </c>
      <c r="D273" s="152">
        <f t="shared" si="26"/>
        <v>0</v>
      </c>
      <c r="E273" s="106">
        <f t="shared" si="27"/>
        <v>0</v>
      </c>
      <c r="F273" s="106">
        <f t="shared" si="21"/>
        <v>0</v>
      </c>
      <c r="G273" s="153">
        <f t="shared" si="22"/>
        <v>0</v>
      </c>
    </row>
    <row r="274" spans="1:7" ht="13.5" hidden="1" thickBot="1">
      <c r="A274" s="91">
        <f t="shared" si="23"/>
        <v>253</v>
      </c>
      <c r="B274" s="106">
        <f t="shared" si="24"/>
        <v>0</v>
      </c>
      <c r="C274" s="152">
        <f t="shared" si="25"/>
        <v>0</v>
      </c>
      <c r="D274" s="152">
        <f t="shared" si="26"/>
        <v>0</v>
      </c>
      <c r="E274" s="106">
        <f t="shared" si="27"/>
        <v>0</v>
      </c>
      <c r="F274" s="106">
        <f t="shared" si="21"/>
        <v>0</v>
      </c>
      <c r="G274" s="153">
        <f t="shared" si="22"/>
        <v>0</v>
      </c>
    </row>
    <row r="275" spans="1:7" ht="13.5" hidden="1" thickBot="1">
      <c r="A275" s="91">
        <f t="shared" si="23"/>
        <v>254</v>
      </c>
      <c r="B275" s="106">
        <f t="shared" si="24"/>
        <v>0</v>
      </c>
      <c r="C275" s="152">
        <f t="shared" si="25"/>
        <v>0</v>
      </c>
      <c r="D275" s="152">
        <f t="shared" si="26"/>
        <v>0</v>
      </c>
      <c r="E275" s="106">
        <f t="shared" si="27"/>
        <v>0</v>
      </c>
      <c r="F275" s="106">
        <f t="shared" si="21"/>
        <v>0</v>
      </c>
      <c r="G275" s="153">
        <f t="shared" si="22"/>
        <v>0</v>
      </c>
    </row>
    <row r="276" spans="1:7" ht="13.5" hidden="1" thickBot="1">
      <c r="A276" s="91">
        <f t="shared" si="23"/>
        <v>255</v>
      </c>
      <c r="B276" s="106">
        <f t="shared" si="24"/>
        <v>0</v>
      </c>
      <c r="C276" s="152">
        <f t="shared" si="25"/>
        <v>0</v>
      </c>
      <c r="D276" s="152">
        <f t="shared" si="26"/>
        <v>0</v>
      </c>
      <c r="E276" s="106">
        <f t="shared" si="27"/>
        <v>0</v>
      </c>
      <c r="F276" s="106">
        <f t="shared" si="21"/>
        <v>0</v>
      </c>
      <c r="G276" s="153">
        <f t="shared" si="22"/>
        <v>0</v>
      </c>
    </row>
    <row r="277" spans="1:7" ht="13.5" hidden="1" thickBot="1">
      <c r="A277" s="91">
        <f t="shared" si="23"/>
        <v>256</v>
      </c>
      <c r="B277" s="106">
        <f t="shared" si="24"/>
        <v>0</v>
      </c>
      <c r="C277" s="152">
        <f t="shared" si="25"/>
        <v>0</v>
      </c>
      <c r="D277" s="152">
        <f t="shared" si="26"/>
        <v>0</v>
      </c>
      <c r="E277" s="106">
        <f t="shared" si="27"/>
        <v>0</v>
      </c>
      <c r="F277" s="106">
        <f t="shared" si="21"/>
        <v>0</v>
      </c>
      <c r="G277" s="153">
        <f t="shared" si="22"/>
        <v>0</v>
      </c>
    </row>
    <row r="278" spans="1:7" ht="13.5" hidden="1" thickBot="1">
      <c r="A278" s="91">
        <f t="shared" si="23"/>
        <v>257</v>
      </c>
      <c r="B278" s="106">
        <f t="shared" si="24"/>
        <v>0</v>
      </c>
      <c r="C278" s="152">
        <f t="shared" si="25"/>
        <v>0</v>
      </c>
      <c r="D278" s="152">
        <f t="shared" si="26"/>
        <v>0</v>
      </c>
      <c r="E278" s="106">
        <f t="shared" si="27"/>
        <v>0</v>
      </c>
      <c r="F278" s="106">
        <f t="shared" ref="F278:F341" si="28">IF(A278=$D$12,$D$3,0)</f>
        <v>0</v>
      </c>
      <c r="G278" s="153">
        <f t="shared" ref="G278:G341" si="29">B278-F278</f>
        <v>0</v>
      </c>
    </row>
    <row r="279" spans="1:7" ht="13.5" hidden="1" thickBot="1">
      <c r="A279" s="91">
        <f t="shared" ref="A279:A342" si="30">A278+1</f>
        <v>258</v>
      </c>
      <c r="B279" s="106">
        <f t="shared" ref="B279:B342" si="31">B278-F278</f>
        <v>0</v>
      </c>
      <c r="C279" s="152">
        <f t="shared" ref="C279:C342" si="32">IF(D279=0,0,D279+$D$15)</f>
        <v>0</v>
      </c>
      <c r="D279" s="152">
        <f t="shared" ref="D279:D342" si="33">E279+F279</f>
        <v>0</v>
      </c>
      <c r="E279" s="106">
        <f t="shared" ref="E279:E342" si="34">IF(B279&gt;0,E278,0)</f>
        <v>0</v>
      </c>
      <c r="F279" s="106">
        <f t="shared" si="28"/>
        <v>0</v>
      </c>
      <c r="G279" s="153">
        <f t="shared" si="29"/>
        <v>0</v>
      </c>
    </row>
    <row r="280" spans="1:7" ht="13.5" hidden="1" thickBot="1">
      <c r="A280" s="91">
        <f t="shared" si="30"/>
        <v>259</v>
      </c>
      <c r="B280" s="106">
        <f t="shared" si="31"/>
        <v>0</v>
      </c>
      <c r="C280" s="152">
        <f t="shared" si="32"/>
        <v>0</v>
      </c>
      <c r="D280" s="152">
        <f t="shared" si="33"/>
        <v>0</v>
      </c>
      <c r="E280" s="106">
        <f t="shared" si="34"/>
        <v>0</v>
      </c>
      <c r="F280" s="106">
        <f t="shared" si="28"/>
        <v>0</v>
      </c>
      <c r="G280" s="153">
        <f t="shared" si="29"/>
        <v>0</v>
      </c>
    </row>
    <row r="281" spans="1:7" ht="13.5" hidden="1" thickBot="1">
      <c r="A281" s="91">
        <f t="shared" si="30"/>
        <v>260</v>
      </c>
      <c r="B281" s="106">
        <f t="shared" si="31"/>
        <v>0</v>
      </c>
      <c r="C281" s="152">
        <f t="shared" si="32"/>
        <v>0</v>
      </c>
      <c r="D281" s="152">
        <f t="shared" si="33"/>
        <v>0</v>
      </c>
      <c r="E281" s="106">
        <f t="shared" si="34"/>
        <v>0</v>
      </c>
      <c r="F281" s="106">
        <f t="shared" si="28"/>
        <v>0</v>
      </c>
      <c r="G281" s="153">
        <f t="shared" si="29"/>
        <v>0</v>
      </c>
    </row>
    <row r="282" spans="1:7" ht="13.5" hidden="1" thickBot="1">
      <c r="A282" s="91">
        <f t="shared" si="30"/>
        <v>261</v>
      </c>
      <c r="B282" s="106">
        <f t="shared" si="31"/>
        <v>0</v>
      </c>
      <c r="C282" s="152">
        <f t="shared" si="32"/>
        <v>0</v>
      </c>
      <c r="D282" s="152">
        <f t="shared" si="33"/>
        <v>0</v>
      </c>
      <c r="E282" s="106">
        <f t="shared" si="34"/>
        <v>0</v>
      </c>
      <c r="F282" s="106">
        <f t="shared" si="28"/>
        <v>0</v>
      </c>
      <c r="G282" s="153">
        <f t="shared" si="29"/>
        <v>0</v>
      </c>
    </row>
    <row r="283" spans="1:7" ht="13.5" hidden="1" thickBot="1">
      <c r="A283" s="91">
        <f t="shared" si="30"/>
        <v>262</v>
      </c>
      <c r="B283" s="106">
        <f t="shared" si="31"/>
        <v>0</v>
      </c>
      <c r="C283" s="152">
        <f t="shared" si="32"/>
        <v>0</v>
      </c>
      <c r="D283" s="152">
        <f t="shared" si="33"/>
        <v>0</v>
      </c>
      <c r="E283" s="106">
        <f t="shared" si="34"/>
        <v>0</v>
      </c>
      <c r="F283" s="106">
        <f t="shared" si="28"/>
        <v>0</v>
      </c>
      <c r="G283" s="153">
        <f t="shared" si="29"/>
        <v>0</v>
      </c>
    </row>
    <row r="284" spans="1:7" ht="13.5" hidden="1" thickBot="1">
      <c r="A284" s="91">
        <f t="shared" si="30"/>
        <v>263</v>
      </c>
      <c r="B284" s="106">
        <f t="shared" si="31"/>
        <v>0</v>
      </c>
      <c r="C284" s="152">
        <f t="shared" si="32"/>
        <v>0</v>
      </c>
      <c r="D284" s="152">
        <f t="shared" si="33"/>
        <v>0</v>
      </c>
      <c r="E284" s="106">
        <f t="shared" si="34"/>
        <v>0</v>
      </c>
      <c r="F284" s="106">
        <f t="shared" si="28"/>
        <v>0</v>
      </c>
      <c r="G284" s="153">
        <f t="shared" si="29"/>
        <v>0</v>
      </c>
    </row>
    <row r="285" spans="1:7" ht="13.5" hidden="1" thickBot="1">
      <c r="A285" s="91">
        <f t="shared" si="30"/>
        <v>264</v>
      </c>
      <c r="B285" s="106">
        <f t="shared" si="31"/>
        <v>0</v>
      </c>
      <c r="C285" s="152">
        <f t="shared" si="32"/>
        <v>0</v>
      </c>
      <c r="D285" s="152">
        <f t="shared" si="33"/>
        <v>0</v>
      </c>
      <c r="E285" s="106">
        <f t="shared" si="34"/>
        <v>0</v>
      </c>
      <c r="F285" s="106">
        <f t="shared" si="28"/>
        <v>0</v>
      </c>
      <c r="G285" s="153">
        <f t="shared" si="29"/>
        <v>0</v>
      </c>
    </row>
    <row r="286" spans="1:7" ht="13.5" hidden="1" thickBot="1">
      <c r="A286" s="91">
        <f t="shared" si="30"/>
        <v>265</v>
      </c>
      <c r="B286" s="106">
        <f t="shared" si="31"/>
        <v>0</v>
      </c>
      <c r="C286" s="152">
        <f t="shared" si="32"/>
        <v>0</v>
      </c>
      <c r="D286" s="152">
        <f t="shared" si="33"/>
        <v>0</v>
      </c>
      <c r="E286" s="106">
        <f t="shared" si="34"/>
        <v>0</v>
      </c>
      <c r="F286" s="106">
        <f t="shared" si="28"/>
        <v>0</v>
      </c>
      <c r="G286" s="153">
        <f t="shared" si="29"/>
        <v>0</v>
      </c>
    </row>
    <row r="287" spans="1:7" ht="13.5" hidden="1" thickBot="1">
      <c r="A287" s="91">
        <f t="shared" si="30"/>
        <v>266</v>
      </c>
      <c r="B287" s="106">
        <f t="shared" si="31"/>
        <v>0</v>
      </c>
      <c r="C287" s="152">
        <f t="shared" si="32"/>
        <v>0</v>
      </c>
      <c r="D287" s="152">
        <f t="shared" si="33"/>
        <v>0</v>
      </c>
      <c r="E287" s="106">
        <f t="shared" si="34"/>
        <v>0</v>
      </c>
      <c r="F287" s="106">
        <f t="shared" si="28"/>
        <v>0</v>
      </c>
      <c r="G287" s="153">
        <f t="shared" si="29"/>
        <v>0</v>
      </c>
    </row>
    <row r="288" spans="1:7" ht="13.5" hidden="1" thickBot="1">
      <c r="A288" s="91">
        <f t="shared" si="30"/>
        <v>267</v>
      </c>
      <c r="B288" s="106">
        <f t="shared" si="31"/>
        <v>0</v>
      </c>
      <c r="C288" s="152">
        <f t="shared" si="32"/>
        <v>0</v>
      </c>
      <c r="D288" s="152">
        <f t="shared" si="33"/>
        <v>0</v>
      </c>
      <c r="E288" s="106">
        <f t="shared" si="34"/>
        <v>0</v>
      </c>
      <c r="F288" s="106">
        <f t="shared" si="28"/>
        <v>0</v>
      </c>
      <c r="G288" s="153">
        <f t="shared" si="29"/>
        <v>0</v>
      </c>
    </row>
    <row r="289" spans="1:7" ht="13.5" hidden="1" thickBot="1">
      <c r="A289" s="91">
        <f t="shared" si="30"/>
        <v>268</v>
      </c>
      <c r="B289" s="106">
        <f t="shared" si="31"/>
        <v>0</v>
      </c>
      <c r="C289" s="152">
        <f t="shared" si="32"/>
        <v>0</v>
      </c>
      <c r="D289" s="152">
        <f t="shared" si="33"/>
        <v>0</v>
      </c>
      <c r="E289" s="106">
        <f t="shared" si="34"/>
        <v>0</v>
      </c>
      <c r="F289" s="106">
        <f t="shared" si="28"/>
        <v>0</v>
      </c>
      <c r="G289" s="153">
        <f t="shared" si="29"/>
        <v>0</v>
      </c>
    </row>
    <row r="290" spans="1:7" ht="13.5" hidden="1" thickBot="1">
      <c r="A290" s="91">
        <f t="shared" si="30"/>
        <v>269</v>
      </c>
      <c r="B290" s="106">
        <f t="shared" si="31"/>
        <v>0</v>
      </c>
      <c r="C290" s="152">
        <f t="shared" si="32"/>
        <v>0</v>
      </c>
      <c r="D290" s="152">
        <f t="shared" si="33"/>
        <v>0</v>
      </c>
      <c r="E290" s="106">
        <f t="shared" si="34"/>
        <v>0</v>
      </c>
      <c r="F290" s="106">
        <f t="shared" si="28"/>
        <v>0</v>
      </c>
      <c r="G290" s="153">
        <f t="shared" si="29"/>
        <v>0</v>
      </c>
    </row>
    <row r="291" spans="1:7" ht="13.5" hidden="1" thickBot="1">
      <c r="A291" s="91">
        <f t="shared" si="30"/>
        <v>270</v>
      </c>
      <c r="B291" s="106">
        <f t="shared" si="31"/>
        <v>0</v>
      </c>
      <c r="C291" s="152">
        <f t="shared" si="32"/>
        <v>0</v>
      </c>
      <c r="D291" s="152">
        <f t="shared" si="33"/>
        <v>0</v>
      </c>
      <c r="E291" s="106">
        <f t="shared" si="34"/>
        <v>0</v>
      </c>
      <c r="F291" s="106">
        <f t="shared" si="28"/>
        <v>0</v>
      </c>
      <c r="G291" s="153">
        <f t="shared" si="29"/>
        <v>0</v>
      </c>
    </row>
    <row r="292" spans="1:7" ht="13.5" hidden="1" thickBot="1">
      <c r="A292" s="91">
        <f t="shared" si="30"/>
        <v>271</v>
      </c>
      <c r="B292" s="106">
        <f t="shared" si="31"/>
        <v>0</v>
      </c>
      <c r="C292" s="152">
        <f t="shared" si="32"/>
        <v>0</v>
      </c>
      <c r="D292" s="152">
        <f t="shared" si="33"/>
        <v>0</v>
      </c>
      <c r="E292" s="106">
        <f t="shared" si="34"/>
        <v>0</v>
      </c>
      <c r="F292" s="106">
        <f t="shared" si="28"/>
        <v>0</v>
      </c>
      <c r="G292" s="153">
        <f t="shared" si="29"/>
        <v>0</v>
      </c>
    </row>
    <row r="293" spans="1:7" ht="13.5" hidden="1" thickBot="1">
      <c r="A293" s="91">
        <f t="shared" si="30"/>
        <v>272</v>
      </c>
      <c r="B293" s="106">
        <f t="shared" si="31"/>
        <v>0</v>
      </c>
      <c r="C293" s="152">
        <f t="shared" si="32"/>
        <v>0</v>
      </c>
      <c r="D293" s="152">
        <f t="shared" si="33"/>
        <v>0</v>
      </c>
      <c r="E293" s="106">
        <f t="shared" si="34"/>
        <v>0</v>
      </c>
      <c r="F293" s="106">
        <f t="shared" si="28"/>
        <v>0</v>
      </c>
      <c r="G293" s="153">
        <f t="shared" si="29"/>
        <v>0</v>
      </c>
    </row>
    <row r="294" spans="1:7" ht="13.5" hidden="1" thickBot="1">
      <c r="A294" s="91">
        <f t="shared" si="30"/>
        <v>273</v>
      </c>
      <c r="B294" s="106">
        <f t="shared" si="31"/>
        <v>0</v>
      </c>
      <c r="C294" s="152">
        <f t="shared" si="32"/>
        <v>0</v>
      </c>
      <c r="D294" s="152">
        <f t="shared" si="33"/>
        <v>0</v>
      </c>
      <c r="E294" s="106">
        <f t="shared" si="34"/>
        <v>0</v>
      </c>
      <c r="F294" s="106">
        <f t="shared" si="28"/>
        <v>0</v>
      </c>
      <c r="G294" s="153">
        <f t="shared" si="29"/>
        <v>0</v>
      </c>
    </row>
    <row r="295" spans="1:7" ht="13.5" hidden="1" thickBot="1">
      <c r="A295" s="91">
        <f t="shared" si="30"/>
        <v>274</v>
      </c>
      <c r="B295" s="106">
        <f t="shared" si="31"/>
        <v>0</v>
      </c>
      <c r="C295" s="152">
        <f t="shared" si="32"/>
        <v>0</v>
      </c>
      <c r="D295" s="152">
        <f t="shared" si="33"/>
        <v>0</v>
      </c>
      <c r="E295" s="106">
        <f t="shared" si="34"/>
        <v>0</v>
      </c>
      <c r="F295" s="106">
        <f t="shared" si="28"/>
        <v>0</v>
      </c>
      <c r="G295" s="153">
        <f t="shared" si="29"/>
        <v>0</v>
      </c>
    </row>
    <row r="296" spans="1:7" ht="13.5" hidden="1" thickBot="1">
      <c r="A296" s="91">
        <f t="shared" si="30"/>
        <v>275</v>
      </c>
      <c r="B296" s="106">
        <f t="shared" si="31"/>
        <v>0</v>
      </c>
      <c r="C296" s="152">
        <f t="shared" si="32"/>
        <v>0</v>
      </c>
      <c r="D296" s="152">
        <f t="shared" si="33"/>
        <v>0</v>
      </c>
      <c r="E296" s="106">
        <f t="shared" si="34"/>
        <v>0</v>
      </c>
      <c r="F296" s="106">
        <f t="shared" si="28"/>
        <v>0</v>
      </c>
      <c r="G296" s="153">
        <f t="shared" si="29"/>
        <v>0</v>
      </c>
    </row>
    <row r="297" spans="1:7" ht="13.5" hidden="1" thickBot="1">
      <c r="A297" s="91">
        <f t="shared" si="30"/>
        <v>276</v>
      </c>
      <c r="B297" s="106">
        <f t="shared" si="31"/>
        <v>0</v>
      </c>
      <c r="C297" s="152">
        <f t="shared" si="32"/>
        <v>0</v>
      </c>
      <c r="D297" s="152">
        <f t="shared" si="33"/>
        <v>0</v>
      </c>
      <c r="E297" s="106">
        <f t="shared" si="34"/>
        <v>0</v>
      </c>
      <c r="F297" s="106">
        <f t="shared" si="28"/>
        <v>0</v>
      </c>
      <c r="G297" s="153">
        <f t="shared" si="29"/>
        <v>0</v>
      </c>
    </row>
    <row r="298" spans="1:7" ht="13.5" hidden="1" thickBot="1">
      <c r="A298" s="91">
        <f t="shared" si="30"/>
        <v>277</v>
      </c>
      <c r="B298" s="106">
        <f t="shared" si="31"/>
        <v>0</v>
      </c>
      <c r="C298" s="152">
        <f t="shared" si="32"/>
        <v>0</v>
      </c>
      <c r="D298" s="152">
        <f t="shared" si="33"/>
        <v>0</v>
      </c>
      <c r="E298" s="106">
        <f t="shared" si="34"/>
        <v>0</v>
      </c>
      <c r="F298" s="106">
        <f t="shared" si="28"/>
        <v>0</v>
      </c>
      <c r="G298" s="153">
        <f t="shared" si="29"/>
        <v>0</v>
      </c>
    </row>
    <row r="299" spans="1:7" ht="13.5" hidden="1" thickBot="1">
      <c r="A299" s="91">
        <f t="shared" si="30"/>
        <v>278</v>
      </c>
      <c r="B299" s="106">
        <f t="shared" si="31"/>
        <v>0</v>
      </c>
      <c r="C299" s="152">
        <f t="shared" si="32"/>
        <v>0</v>
      </c>
      <c r="D299" s="152">
        <f t="shared" si="33"/>
        <v>0</v>
      </c>
      <c r="E299" s="106">
        <f t="shared" si="34"/>
        <v>0</v>
      </c>
      <c r="F299" s="106">
        <f t="shared" si="28"/>
        <v>0</v>
      </c>
      <c r="G299" s="153">
        <f t="shared" si="29"/>
        <v>0</v>
      </c>
    </row>
    <row r="300" spans="1:7" ht="13.5" hidden="1" thickBot="1">
      <c r="A300" s="91">
        <f t="shared" si="30"/>
        <v>279</v>
      </c>
      <c r="B300" s="106">
        <f t="shared" si="31"/>
        <v>0</v>
      </c>
      <c r="C300" s="152">
        <f t="shared" si="32"/>
        <v>0</v>
      </c>
      <c r="D300" s="152">
        <f t="shared" si="33"/>
        <v>0</v>
      </c>
      <c r="E300" s="106">
        <f t="shared" si="34"/>
        <v>0</v>
      </c>
      <c r="F300" s="106">
        <f t="shared" si="28"/>
        <v>0</v>
      </c>
      <c r="G300" s="153">
        <f t="shared" si="29"/>
        <v>0</v>
      </c>
    </row>
    <row r="301" spans="1:7" ht="13.5" hidden="1" thickBot="1">
      <c r="A301" s="91">
        <f t="shared" si="30"/>
        <v>280</v>
      </c>
      <c r="B301" s="106">
        <f t="shared" si="31"/>
        <v>0</v>
      </c>
      <c r="C301" s="152">
        <f t="shared" si="32"/>
        <v>0</v>
      </c>
      <c r="D301" s="152">
        <f t="shared" si="33"/>
        <v>0</v>
      </c>
      <c r="E301" s="106">
        <f t="shared" si="34"/>
        <v>0</v>
      </c>
      <c r="F301" s="106">
        <f t="shared" si="28"/>
        <v>0</v>
      </c>
      <c r="G301" s="153">
        <f t="shared" si="29"/>
        <v>0</v>
      </c>
    </row>
    <row r="302" spans="1:7" ht="13.5" hidden="1" thickBot="1">
      <c r="A302" s="91">
        <f t="shared" si="30"/>
        <v>281</v>
      </c>
      <c r="B302" s="106">
        <f t="shared" si="31"/>
        <v>0</v>
      </c>
      <c r="C302" s="152">
        <f t="shared" si="32"/>
        <v>0</v>
      </c>
      <c r="D302" s="152">
        <f t="shared" si="33"/>
        <v>0</v>
      </c>
      <c r="E302" s="106">
        <f t="shared" si="34"/>
        <v>0</v>
      </c>
      <c r="F302" s="106">
        <f t="shared" si="28"/>
        <v>0</v>
      </c>
      <c r="G302" s="153">
        <f t="shared" si="29"/>
        <v>0</v>
      </c>
    </row>
    <row r="303" spans="1:7" ht="13.5" hidden="1" thickBot="1">
      <c r="A303" s="91">
        <f t="shared" si="30"/>
        <v>282</v>
      </c>
      <c r="B303" s="106">
        <f t="shared" si="31"/>
        <v>0</v>
      </c>
      <c r="C303" s="152">
        <f t="shared" si="32"/>
        <v>0</v>
      </c>
      <c r="D303" s="152">
        <f t="shared" si="33"/>
        <v>0</v>
      </c>
      <c r="E303" s="106">
        <f t="shared" si="34"/>
        <v>0</v>
      </c>
      <c r="F303" s="106">
        <f t="shared" si="28"/>
        <v>0</v>
      </c>
      <c r="G303" s="153">
        <f t="shared" si="29"/>
        <v>0</v>
      </c>
    </row>
    <row r="304" spans="1:7" ht="13.5" hidden="1" thickBot="1">
      <c r="A304" s="91">
        <f t="shared" si="30"/>
        <v>283</v>
      </c>
      <c r="B304" s="106">
        <f t="shared" si="31"/>
        <v>0</v>
      </c>
      <c r="C304" s="152">
        <f t="shared" si="32"/>
        <v>0</v>
      </c>
      <c r="D304" s="152">
        <f t="shared" si="33"/>
        <v>0</v>
      </c>
      <c r="E304" s="106">
        <f t="shared" si="34"/>
        <v>0</v>
      </c>
      <c r="F304" s="106">
        <f t="shared" si="28"/>
        <v>0</v>
      </c>
      <c r="G304" s="153">
        <f t="shared" si="29"/>
        <v>0</v>
      </c>
    </row>
    <row r="305" spans="1:7" ht="13.5" hidden="1" thickBot="1">
      <c r="A305" s="91">
        <f t="shared" si="30"/>
        <v>284</v>
      </c>
      <c r="B305" s="106">
        <f t="shared" si="31"/>
        <v>0</v>
      </c>
      <c r="C305" s="152">
        <f t="shared" si="32"/>
        <v>0</v>
      </c>
      <c r="D305" s="152">
        <f t="shared" si="33"/>
        <v>0</v>
      </c>
      <c r="E305" s="106">
        <f t="shared" si="34"/>
        <v>0</v>
      </c>
      <c r="F305" s="106">
        <f t="shared" si="28"/>
        <v>0</v>
      </c>
      <c r="G305" s="153">
        <f t="shared" si="29"/>
        <v>0</v>
      </c>
    </row>
    <row r="306" spans="1:7" ht="13.5" hidden="1" thickBot="1">
      <c r="A306" s="91">
        <f t="shared" si="30"/>
        <v>285</v>
      </c>
      <c r="B306" s="106">
        <f t="shared" si="31"/>
        <v>0</v>
      </c>
      <c r="C306" s="152">
        <f t="shared" si="32"/>
        <v>0</v>
      </c>
      <c r="D306" s="152">
        <f t="shared" si="33"/>
        <v>0</v>
      </c>
      <c r="E306" s="106">
        <f t="shared" si="34"/>
        <v>0</v>
      </c>
      <c r="F306" s="106">
        <f t="shared" si="28"/>
        <v>0</v>
      </c>
      <c r="G306" s="153">
        <f t="shared" si="29"/>
        <v>0</v>
      </c>
    </row>
    <row r="307" spans="1:7" ht="13.5" hidden="1" thickBot="1">
      <c r="A307" s="91">
        <f t="shared" si="30"/>
        <v>286</v>
      </c>
      <c r="B307" s="106">
        <f t="shared" si="31"/>
        <v>0</v>
      </c>
      <c r="C307" s="152">
        <f t="shared" si="32"/>
        <v>0</v>
      </c>
      <c r="D307" s="152">
        <f t="shared" si="33"/>
        <v>0</v>
      </c>
      <c r="E307" s="106">
        <f t="shared" si="34"/>
        <v>0</v>
      </c>
      <c r="F307" s="106">
        <f t="shared" si="28"/>
        <v>0</v>
      </c>
      <c r="G307" s="153">
        <f t="shared" si="29"/>
        <v>0</v>
      </c>
    </row>
    <row r="308" spans="1:7" ht="13.5" hidden="1" thickBot="1">
      <c r="A308" s="91">
        <f t="shared" si="30"/>
        <v>287</v>
      </c>
      <c r="B308" s="106">
        <f t="shared" si="31"/>
        <v>0</v>
      </c>
      <c r="C308" s="152">
        <f t="shared" si="32"/>
        <v>0</v>
      </c>
      <c r="D308" s="152">
        <f t="shared" si="33"/>
        <v>0</v>
      </c>
      <c r="E308" s="106">
        <f t="shared" si="34"/>
        <v>0</v>
      </c>
      <c r="F308" s="106">
        <f t="shared" si="28"/>
        <v>0</v>
      </c>
      <c r="G308" s="153">
        <f t="shared" si="29"/>
        <v>0</v>
      </c>
    </row>
    <row r="309" spans="1:7" ht="13.5" hidden="1" thickBot="1">
      <c r="A309" s="91">
        <f t="shared" si="30"/>
        <v>288</v>
      </c>
      <c r="B309" s="106">
        <f t="shared" si="31"/>
        <v>0</v>
      </c>
      <c r="C309" s="152">
        <f t="shared" si="32"/>
        <v>0</v>
      </c>
      <c r="D309" s="152">
        <f t="shared" si="33"/>
        <v>0</v>
      </c>
      <c r="E309" s="106">
        <f t="shared" si="34"/>
        <v>0</v>
      </c>
      <c r="F309" s="106">
        <f t="shared" si="28"/>
        <v>0</v>
      </c>
      <c r="G309" s="153">
        <f t="shared" si="29"/>
        <v>0</v>
      </c>
    </row>
    <row r="310" spans="1:7" ht="13.5" hidden="1" thickBot="1">
      <c r="A310" s="91">
        <f t="shared" si="30"/>
        <v>289</v>
      </c>
      <c r="B310" s="106">
        <f t="shared" si="31"/>
        <v>0</v>
      </c>
      <c r="C310" s="152">
        <f t="shared" si="32"/>
        <v>0</v>
      </c>
      <c r="D310" s="152">
        <f t="shared" si="33"/>
        <v>0</v>
      </c>
      <c r="E310" s="106">
        <f t="shared" si="34"/>
        <v>0</v>
      </c>
      <c r="F310" s="106">
        <f t="shared" si="28"/>
        <v>0</v>
      </c>
      <c r="G310" s="153">
        <f t="shared" si="29"/>
        <v>0</v>
      </c>
    </row>
    <row r="311" spans="1:7" ht="13.5" hidden="1" thickBot="1">
      <c r="A311" s="91">
        <f t="shared" si="30"/>
        <v>290</v>
      </c>
      <c r="B311" s="106">
        <f t="shared" si="31"/>
        <v>0</v>
      </c>
      <c r="C311" s="152">
        <f t="shared" si="32"/>
        <v>0</v>
      </c>
      <c r="D311" s="152">
        <f t="shared" si="33"/>
        <v>0</v>
      </c>
      <c r="E311" s="106">
        <f t="shared" si="34"/>
        <v>0</v>
      </c>
      <c r="F311" s="106">
        <f t="shared" si="28"/>
        <v>0</v>
      </c>
      <c r="G311" s="153">
        <f t="shared" si="29"/>
        <v>0</v>
      </c>
    </row>
    <row r="312" spans="1:7" ht="13.5" hidden="1" thickBot="1">
      <c r="A312" s="91">
        <f t="shared" si="30"/>
        <v>291</v>
      </c>
      <c r="B312" s="106">
        <f t="shared" si="31"/>
        <v>0</v>
      </c>
      <c r="C312" s="152">
        <f t="shared" si="32"/>
        <v>0</v>
      </c>
      <c r="D312" s="152">
        <f t="shared" si="33"/>
        <v>0</v>
      </c>
      <c r="E312" s="106">
        <f t="shared" si="34"/>
        <v>0</v>
      </c>
      <c r="F312" s="106">
        <f t="shared" si="28"/>
        <v>0</v>
      </c>
      <c r="G312" s="153">
        <f t="shared" si="29"/>
        <v>0</v>
      </c>
    </row>
    <row r="313" spans="1:7" ht="13.5" hidden="1" thickBot="1">
      <c r="A313" s="91">
        <f t="shared" si="30"/>
        <v>292</v>
      </c>
      <c r="B313" s="106">
        <f t="shared" si="31"/>
        <v>0</v>
      </c>
      <c r="C313" s="152">
        <f t="shared" si="32"/>
        <v>0</v>
      </c>
      <c r="D313" s="152">
        <f t="shared" si="33"/>
        <v>0</v>
      </c>
      <c r="E313" s="106">
        <f t="shared" si="34"/>
        <v>0</v>
      </c>
      <c r="F313" s="106">
        <f t="shared" si="28"/>
        <v>0</v>
      </c>
      <c r="G313" s="153">
        <f t="shared" si="29"/>
        <v>0</v>
      </c>
    </row>
    <row r="314" spans="1:7" ht="13.5" hidden="1" thickBot="1">
      <c r="A314" s="91">
        <f t="shared" si="30"/>
        <v>293</v>
      </c>
      <c r="B314" s="106">
        <f t="shared" si="31"/>
        <v>0</v>
      </c>
      <c r="C314" s="152">
        <f t="shared" si="32"/>
        <v>0</v>
      </c>
      <c r="D314" s="152">
        <f t="shared" si="33"/>
        <v>0</v>
      </c>
      <c r="E314" s="106">
        <f t="shared" si="34"/>
        <v>0</v>
      </c>
      <c r="F314" s="106">
        <f t="shared" si="28"/>
        <v>0</v>
      </c>
      <c r="G314" s="153">
        <f t="shared" si="29"/>
        <v>0</v>
      </c>
    </row>
    <row r="315" spans="1:7" ht="13.5" hidden="1" thickBot="1">
      <c r="A315" s="91">
        <f t="shared" si="30"/>
        <v>294</v>
      </c>
      <c r="B315" s="106">
        <f t="shared" si="31"/>
        <v>0</v>
      </c>
      <c r="C315" s="152">
        <f t="shared" si="32"/>
        <v>0</v>
      </c>
      <c r="D315" s="152">
        <f t="shared" si="33"/>
        <v>0</v>
      </c>
      <c r="E315" s="106">
        <f t="shared" si="34"/>
        <v>0</v>
      </c>
      <c r="F315" s="106">
        <f t="shared" si="28"/>
        <v>0</v>
      </c>
      <c r="G315" s="153">
        <f t="shared" si="29"/>
        <v>0</v>
      </c>
    </row>
    <row r="316" spans="1:7" ht="13.5" hidden="1" thickBot="1">
      <c r="A316" s="91">
        <f t="shared" si="30"/>
        <v>295</v>
      </c>
      <c r="B316" s="106">
        <f t="shared" si="31"/>
        <v>0</v>
      </c>
      <c r="C316" s="152">
        <f t="shared" si="32"/>
        <v>0</v>
      </c>
      <c r="D316" s="152">
        <f t="shared" si="33"/>
        <v>0</v>
      </c>
      <c r="E316" s="106">
        <f t="shared" si="34"/>
        <v>0</v>
      </c>
      <c r="F316" s="106">
        <f t="shared" si="28"/>
        <v>0</v>
      </c>
      <c r="G316" s="153">
        <f t="shared" si="29"/>
        <v>0</v>
      </c>
    </row>
    <row r="317" spans="1:7" ht="13.5" hidden="1" thickBot="1">
      <c r="A317" s="91">
        <f t="shared" si="30"/>
        <v>296</v>
      </c>
      <c r="B317" s="106">
        <f t="shared" si="31"/>
        <v>0</v>
      </c>
      <c r="C317" s="152">
        <f t="shared" si="32"/>
        <v>0</v>
      </c>
      <c r="D317" s="152">
        <f t="shared" si="33"/>
        <v>0</v>
      </c>
      <c r="E317" s="106">
        <f t="shared" si="34"/>
        <v>0</v>
      </c>
      <c r="F317" s="106">
        <f t="shared" si="28"/>
        <v>0</v>
      </c>
      <c r="G317" s="153">
        <f t="shared" si="29"/>
        <v>0</v>
      </c>
    </row>
    <row r="318" spans="1:7" ht="13.5" hidden="1" thickBot="1">
      <c r="A318" s="91">
        <f t="shared" si="30"/>
        <v>297</v>
      </c>
      <c r="B318" s="106">
        <f t="shared" si="31"/>
        <v>0</v>
      </c>
      <c r="C318" s="152">
        <f t="shared" si="32"/>
        <v>0</v>
      </c>
      <c r="D318" s="152">
        <f t="shared" si="33"/>
        <v>0</v>
      </c>
      <c r="E318" s="106">
        <f t="shared" si="34"/>
        <v>0</v>
      </c>
      <c r="F318" s="106">
        <f t="shared" si="28"/>
        <v>0</v>
      </c>
      <c r="G318" s="153">
        <f t="shared" si="29"/>
        <v>0</v>
      </c>
    </row>
    <row r="319" spans="1:7" ht="13.5" hidden="1" thickBot="1">
      <c r="A319" s="91">
        <f t="shared" si="30"/>
        <v>298</v>
      </c>
      <c r="B319" s="106">
        <f t="shared" si="31"/>
        <v>0</v>
      </c>
      <c r="C319" s="152">
        <f t="shared" si="32"/>
        <v>0</v>
      </c>
      <c r="D319" s="152">
        <f t="shared" si="33"/>
        <v>0</v>
      </c>
      <c r="E319" s="106">
        <f t="shared" si="34"/>
        <v>0</v>
      </c>
      <c r="F319" s="106">
        <f t="shared" si="28"/>
        <v>0</v>
      </c>
      <c r="G319" s="153">
        <f t="shared" si="29"/>
        <v>0</v>
      </c>
    </row>
    <row r="320" spans="1:7" ht="13.5" hidden="1" thickBot="1">
      <c r="A320" s="91">
        <f t="shared" si="30"/>
        <v>299</v>
      </c>
      <c r="B320" s="106">
        <f t="shared" si="31"/>
        <v>0</v>
      </c>
      <c r="C320" s="152">
        <f t="shared" si="32"/>
        <v>0</v>
      </c>
      <c r="D320" s="152">
        <f t="shared" si="33"/>
        <v>0</v>
      </c>
      <c r="E320" s="106">
        <f t="shared" si="34"/>
        <v>0</v>
      </c>
      <c r="F320" s="106">
        <f t="shared" si="28"/>
        <v>0</v>
      </c>
      <c r="G320" s="153">
        <f t="shared" si="29"/>
        <v>0</v>
      </c>
    </row>
    <row r="321" spans="1:7" ht="13.5" hidden="1" thickBot="1">
      <c r="A321" s="91">
        <f t="shared" si="30"/>
        <v>300</v>
      </c>
      <c r="B321" s="106">
        <f t="shared" si="31"/>
        <v>0</v>
      </c>
      <c r="C321" s="152">
        <f t="shared" si="32"/>
        <v>0</v>
      </c>
      <c r="D321" s="152">
        <f t="shared" si="33"/>
        <v>0</v>
      </c>
      <c r="E321" s="106">
        <f t="shared" si="34"/>
        <v>0</v>
      </c>
      <c r="F321" s="106">
        <f t="shared" si="28"/>
        <v>0</v>
      </c>
      <c r="G321" s="153">
        <f t="shared" si="29"/>
        <v>0</v>
      </c>
    </row>
    <row r="322" spans="1:7" ht="13.5" hidden="1" thickBot="1">
      <c r="A322" s="91">
        <f t="shared" si="30"/>
        <v>301</v>
      </c>
      <c r="B322" s="106">
        <f t="shared" si="31"/>
        <v>0</v>
      </c>
      <c r="C322" s="152">
        <f t="shared" si="32"/>
        <v>0</v>
      </c>
      <c r="D322" s="152">
        <f t="shared" si="33"/>
        <v>0</v>
      </c>
      <c r="E322" s="106">
        <f t="shared" si="34"/>
        <v>0</v>
      </c>
      <c r="F322" s="106">
        <f t="shared" si="28"/>
        <v>0</v>
      </c>
      <c r="G322" s="153">
        <f t="shared" si="29"/>
        <v>0</v>
      </c>
    </row>
    <row r="323" spans="1:7" ht="13.5" hidden="1" thickBot="1">
      <c r="A323" s="91">
        <f t="shared" si="30"/>
        <v>302</v>
      </c>
      <c r="B323" s="106">
        <f t="shared" si="31"/>
        <v>0</v>
      </c>
      <c r="C323" s="152">
        <f t="shared" si="32"/>
        <v>0</v>
      </c>
      <c r="D323" s="152">
        <f t="shared" si="33"/>
        <v>0</v>
      </c>
      <c r="E323" s="106">
        <f t="shared" si="34"/>
        <v>0</v>
      </c>
      <c r="F323" s="106">
        <f t="shared" si="28"/>
        <v>0</v>
      </c>
      <c r="G323" s="153">
        <f t="shared" si="29"/>
        <v>0</v>
      </c>
    </row>
    <row r="324" spans="1:7" ht="13.5" hidden="1" thickBot="1">
      <c r="A324" s="91">
        <f t="shared" si="30"/>
        <v>303</v>
      </c>
      <c r="B324" s="106">
        <f t="shared" si="31"/>
        <v>0</v>
      </c>
      <c r="C324" s="152">
        <f t="shared" si="32"/>
        <v>0</v>
      </c>
      <c r="D324" s="152">
        <f t="shared" si="33"/>
        <v>0</v>
      </c>
      <c r="E324" s="106">
        <f t="shared" si="34"/>
        <v>0</v>
      </c>
      <c r="F324" s="106">
        <f t="shared" si="28"/>
        <v>0</v>
      </c>
      <c r="G324" s="153">
        <f t="shared" si="29"/>
        <v>0</v>
      </c>
    </row>
    <row r="325" spans="1:7" ht="13.5" hidden="1" thickBot="1">
      <c r="A325" s="91">
        <f t="shared" si="30"/>
        <v>304</v>
      </c>
      <c r="B325" s="106">
        <f t="shared" si="31"/>
        <v>0</v>
      </c>
      <c r="C325" s="152">
        <f t="shared" si="32"/>
        <v>0</v>
      </c>
      <c r="D325" s="152">
        <f t="shared" si="33"/>
        <v>0</v>
      </c>
      <c r="E325" s="106">
        <f t="shared" si="34"/>
        <v>0</v>
      </c>
      <c r="F325" s="106">
        <f t="shared" si="28"/>
        <v>0</v>
      </c>
      <c r="G325" s="153">
        <f t="shared" si="29"/>
        <v>0</v>
      </c>
    </row>
    <row r="326" spans="1:7" ht="13.5" hidden="1" thickBot="1">
      <c r="A326" s="91">
        <f t="shared" si="30"/>
        <v>305</v>
      </c>
      <c r="B326" s="106">
        <f t="shared" si="31"/>
        <v>0</v>
      </c>
      <c r="C326" s="152">
        <f t="shared" si="32"/>
        <v>0</v>
      </c>
      <c r="D326" s="152">
        <f t="shared" si="33"/>
        <v>0</v>
      </c>
      <c r="E326" s="106">
        <f t="shared" si="34"/>
        <v>0</v>
      </c>
      <c r="F326" s="106">
        <f t="shared" si="28"/>
        <v>0</v>
      </c>
      <c r="G326" s="153">
        <f t="shared" si="29"/>
        <v>0</v>
      </c>
    </row>
    <row r="327" spans="1:7" ht="13.5" hidden="1" thickBot="1">
      <c r="A327" s="91">
        <f t="shared" si="30"/>
        <v>306</v>
      </c>
      <c r="B327" s="106">
        <f t="shared" si="31"/>
        <v>0</v>
      </c>
      <c r="C327" s="152">
        <f t="shared" si="32"/>
        <v>0</v>
      </c>
      <c r="D327" s="152">
        <f t="shared" si="33"/>
        <v>0</v>
      </c>
      <c r="E327" s="106">
        <f t="shared" si="34"/>
        <v>0</v>
      </c>
      <c r="F327" s="106">
        <f t="shared" si="28"/>
        <v>0</v>
      </c>
      <c r="G327" s="153">
        <f t="shared" si="29"/>
        <v>0</v>
      </c>
    </row>
    <row r="328" spans="1:7" ht="13.5" hidden="1" thickBot="1">
      <c r="A328" s="91">
        <f t="shared" si="30"/>
        <v>307</v>
      </c>
      <c r="B328" s="106">
        <f t="shared" si="31"/>
        <v>0</v>
      </c>
      <c r="C328" s="152">
        <f t="shared" si="32"/>
        <v>0</v>
      </c>
      <c r="D328" s="152">
        <f t="shared" si="33"/>
        <v>0</v>
      </c>
      <c r="E328" s="106">
        <f t="shared" si="34"/>
        <v>0</v>
      </c>
      <c r="F328" s="106">
        <f t="shared" si="28"/>
        <v>0</v>
      </c>
      <c r="G328" s="153">
        <f t="shared" si="29"/>
        <v>0</v>
      </c>
    </row>
    <row r="329" spans="1:7" ht="13.5" hidden="1" thickBot="1">
      <c r="A329" s="91">
        <f t="shared" si="30"/>
        <v>308</v>
      </c>
      <c r="B329" s="106">
        <f t="shared" si="31"/>
        <v>0</v>
      </c>
      <c r="C329" s="152">
        <f t="shared" si="32"/>
        <v>0</v>
      </c>
      <c r="D329" s="152">
        <f t="shared" si="33"/>
        <v>0</v>
      </c>
      <c r="E329" s="106">
        <f t="shared" si="34"/>
        <v>0</v>
      </c>
      <c r="F329" s="106">
        <f t="shared" si="28"/>
        <v>0</v>
      </c>
      <c r="G329" s="153">
        <f t="shared" si="29"/>
        <v>0</v>
      </c>
    </row>
    <row r="330" spans="1:7" ht="13.5" hidden="1" thickBot="1">
      <c r="A330" s="91">
        <f t="shared" si="30"/>
        <v>309</v>
      </c>
      <c r="B330" s="106">
        <f t="shared" si="31"/>
        <v>0</v>
      </c>
      <c r="C330" s="152">
        <f t="shared" si="32"/>
        <v>0</v>
      </c>
      <c r="D330" s="152">
        <f t="shared" si="33"/>
        <v>0</v>
      </c>
      <c r="E330" s="106">
        <f t="shared" si="34"/>
        <v>0</v>
      </c>
      <c r="F330" s="106">
        <f t="shared" si="28"/>
        <v>0</v>
      </c>
      <c r="G330" s="153">
        <f t="shared" si="29"/>
        <v>0</v>
      </c>
    </row>
    <row r="331" spans="1:7" ht="13.5" hidden="1" thickBot="1">
      <c r="A331" s="91">
        <f t="shared" si="30"/>
        <v>310</v>
      </c>
      <c r="B331" s="106">
        <f t="shared" si="31"/>
        <v>0</v>
      </c>
      <c r="C331" s="152">
        <f t="shared" si="32"/>
        <v>0</v>
      </c>
      <c r="D331" s="152">
        <f t="shared" si="33"/>
        <v>0</v>
      </c>
      <c r="E331" s="106">
        <f t="shared" si="34"/>
        <v>0</v>
      </c>
      <c r="F331" s="106">
        <f t="shared" si="28"/>
        <v>0</v>
      </c>
      <c r="G331" s="153">
        <f t="shared" si="29"/>
        <v>0</v>
      </c>
    </row>
    <row r="332" spans="1:7" ht="13.5" hidden="1" thickBot="1">
      <c r="A332" s="91">
        <f t="shared" si="30"/>
        <v>311</v>
      </c>
      <c r="B332" s="106">
        <f t="shared" si="31"/>
        <v>0</v>
      </c>
      <c r="C332" s="152">
        <f t="shared" si="32"/>
        <v>0</v>
      </c>
      <c r="D332" s="152">
        <f t="shared" si="33"/>
        <v>0</v>
      </c>
      <c r="E332" s="106">
        <f t="shared" si="34"/>
        <v>0</v>
      </c>
      <c r="F332" s="106">
        <f t="shared" si="28"/>
        <v>0</v>
      </c>
      <c r="G332" s="153">
        <f t="shared" si="29"/>
        <v>0</v>
      </c>
    </row>
    <row r="333" spans="1:7" ht="13.5" hidden="1" thickBot="1">
      <c r="A333" s="91">
        <f t="shared" si="30"/>
        <v>312</v>
      </c>
      <c r="B333" s="106">
        <f t="shared" si="31"/>
        <v>0</v>
      </c>
      <c r="C333" s="152">
        <f t="shared" si="32"/>
        <v>0</v>
      </c>
      <c r="D333" s="152">
        <f t="shared" si="33"/>
        <v>0</v>
      </c>
      <c r="E333" s="106">
        <f t="shared" si="34"/>
        <v>0</v>
      </c>
      <c r="F333" s="106">
        <f t="shared" si="28"/>
        <v>0</v>
      </c>
      <c r="G333" s="153">
        <f t="shared" si="29"/>
        <v>0</v>
      </c>
    </row>
    <row r="334" spans="1:7" ht="13.5" hidden="1" thickBot="1">
      <c r="A334" s="91">
        <f t="shared" si="30"/>
        <v>313</v>
      </c>
      <c r="B334" s="106">
        <f t="shared" si="31"/>
        <v>0</v>
      </c>
      <c r="C334" s="152">
        <f t="shared" si="32"/>
        <v>0</v>
      </c>
      <c r="D334" s="152">
        <f t="shared" si="33"/>
        <v>0</v>
      </c>
      <c r="E334" s="106">
        <f t="shared" si="34"/>
        <v>0</v>
      </c>
      <c r="F334" s="106">
        <f t="shared" si="28"/>
        <v>0</v>
      </c>
      <c r="G334" s="153">
        <f t="shared" si="29"/>
        <v>0</v>
      </c>
    </row>
    <row r="335" spans="1:7" ht="13.5" hidden="1" thickBot="1">
      <c r="A335" s="91">
        <f t="shared" si="30"/>
        <v>314</v>
      </c>
      <c r="B335" s="106">
        <f t="shared" si="31"/>
        <v>0</v>
      </c>
      <c r="C335" s="152">
        <f t="shared" si="32"/>
        <v>0</v>
      </c>
      <c r="D335" s="152">
        <f t="shared" si="33"/>
        <v>0</v>
      </c>
      <c r="E335" s="106">
        <f t="shared" si="34"/>
        <v>0</v>
      </c>
      <c r="F335" s="106">
        <f t="shared" si="28"/>
        <v>0</v>
      </c>
      <c r="G335" s="153">
        <f t="shared" si="29"/>
        <v>0</v>
      </c>
    </row>
    <row r="336" spans="1:7" ht="13.5" hidden="1" thickBot="1">
      <c r="A336" s="91">
        <f t="shared" si="30"/>
        <v>315</v>
      </c>
      <c r="B336" s="106">
        <f t="shared" si="31"/>
        <v>0</v>
      </c>
      <c r="C336" s="152">
        <f t="shared" si="32"/>
        <v>0</v>
      </c>
      <c r="D336" s="152">
        <f t="shared" si="33"/>
        <v>0</v>
      </c>
      <c r="E336" s="106">
        <f t="shared" si="34"/>
        <v>0</v>
      </c>
      <c r="F336" s="106">
        <f t="shared" si="28"/>
        <v>0</v>
      </c>
      <c r="G336" s="153">
        <f t="shared" si="29"/>
        <v>0</v>
      </c>
    </row>
    <row r="337" spans="1:7" ht="13.5" hidden="1" thickBot="1">
      <c r="A337" s="91">
        <f t="shared" si="30"/>
        <v>316</v>
      </c>
      <c r="B337" s="106">
        <f t="shared" si="31"/>
        <v>0</v>
      </c>
      <c r="C337" s="152">
        <f t="shared" si="32"/>
        <v>0</v>
      </c>
      <c r="D337" s="152">
        <f t="shared" si="33"/>
        <v>0</v>
      </c>
      <c r="E337" s="106">
        <f t="shared" si="34"/>
        <v>0</v>
      </c>
      <c r="F337" s="106">
        <f t="shared" si="28"/>
        <v>0</v>
      </c>
      <c r="G337" s="153">
        <f t="shared" si="29"/>
        <v>0</v>
      </c>
    </row>
    <row r="338" spans="1:7" ht="13.5" hidden="1" thickBot="1">
      <c r="A338" s="91">
        <f t="shared" si="30"/>
        <v>317</v>
      </c>
      <c r="B338" s="106">
        <f t="shared" si="31"/>
        <v>0</v>
      </c>
      <c r="C338" s="152">
        <f t="shared" si="32"/>
        <v>0</v>
      </c>
      <c r="D338" s="152">
        <f t="shared" si="33"/>
        <v>0</v>
      </c>
      <c r="E338" s="106">
        <f t="shared" si="34"/>
        <v>0</v>
      </c>
      <c r="F338" s="106">
        <f t="shared" si="28"/>
        <v>0</v>
      </c>
      <c r="G338" s="153">
        <f t="shared" si="29"/>
        <v>0</v>
      </c>
    </row>
    <row r="339" spans="1:7" ht="13.5" hidden="1" thickBot="1">
      <c r="A339" s="91">
        <f t="shared" si="30"/>
        <v>318</v>
      </c>
      <c r="B339" s="106">
        <f t="shared" si="31"/>
        <v>0</v>
      </c>
      <c r="C339" s="152">
        <f t="shared" si="32"/>
        <v>0</v>
      </c>
      <c r="D339" s="152">
        <f t="shared" si="33"/>
        <v>0</v>
      </c>
      <c r="E339" s="106">
        <f t="shared" si="34"/>
        <v>0</v>
      </c>
      <c r="F339" s="106">
        <f t="shared" si="28"/>
        <v>0</v>
      </c>
      <c r="G339" s="153">
        <f t="shared" si="29"/>
        <v>0</v>
      </c>
    </row>
    <row r="340" spans="1:7" ht="13.5" hidden="1" thickBot="1">
      <c r="A340" s="91">
        <f t="shared" si="30"/>
        <v>319</v>
      </c>
      <c r="B340" s="106">
        <f t="shared" si="31"/>
        <v>0</v>
      </c>
      <c r="C340" s="152">
        <f t="shared" si="32"/>
        <v>0</v>
      </c>
      <c r="D340" s="152">
        <f t="shared" si="33"/>
        <v>0</v>
      </c>
      <c r="E340" s="106">
        <f t="shared" si="34"/>
        <v>0</v>
      </c>
      <c r="F340" s="106">
        <f t="shared" si="28"/>
        <v>0</v>
      </c>
      <c r="G340" s="153">
        <f t="shared" si="29"/>
        <v>0</v>
      </c>
    </row>
    <row r="341" spans="1:7" ht="13.5" hidden="1" thickBot="1">
      <c r="A341" s="91">
        <f t="shared" si="30"/>
        <v>320</v>
      </c>
      <c r="B341" s="106">
        <f t="shared" si="31"/>
        <v>0</v>
      </c>
      <c r="C341" s="152">
        <f t="shared" si="32"/>
        <v>0</v>
      </c>
      <c r="D341" s="152">
        <f t="shared" si="33"/>
        <v>0</v>
      </c>
      <c r="E341" s="106">
        <f t="shared" si="34"/>
        <v>0</v>
      </c>
      <c r="F341" s="106">
        <f t="shared" si="28"/>
        <v>0</v>
      </c>
      <c r="G341" s="153">
        <f t="shared" si="29"/>
        <v>0</v>
      </c>
    </row>
    <row r="342" spans="1:7" ht="13.5" hidden="1" thickBot="1">
      <c r="A342" s="91">
        <f t="shared" si="30"/>
        <v>321</v>
      </c>
      <c r="B342" s="106">
        <f t="shared" si="31"/>
        <v>0</v>
      </c>
      <c r="C342" s="152">
        <f t="shared" si="32"/>
        <v>0</v>
      </c>
      <c r="D342" s="152">
        <f t="shared" si="33"/>
        <v>0</v>
      </c>
      <c r="E342" s="106">
        <f t="shared" si="34"/>
        <v>0</v>
      </c>
      <c r="F342" s="106">
        <f t="shared" ref="F342:F381" si="35">IF(A342=$D$12,$D$3,0)</f>
        <v>0</v>
      </c>
      <c r="G342" s="153">
        <f t="shared" ref="G342:G381" si="36">B342-F342</f>
        <v>0</v>
      </c>
    </row>
    <row r="343" spans="1:7" ht="13.5" hidden="1" thickBot="1">
      <c r="A343" s="91">
        <f t="shared" ref="A343:A381" si="37">A342+1</f>
        <v>322</v>
      </c>
      <c r="B343" s="106">
        <f t="shared" ref="B343:B381" si="38">B342-F342</f>
        <v>0</v>
      </c>
      <c r="C343" s="152">
        <f t="shared" ref="C343:C381" si="39">IF(D343=0,0,D343+$D$15)</f>
        <v>0</v>
      </c>
      <c r="D343" s="152">
        <f t="shared" ref="D343:D381" si="40">E343+F343</f>
        <v>0</v>
      </c>
      <c r="E343" s="106">
        <f t="shared" ref="E343:E381" si="41">IF(B343&gt;0,E342,0)</f>
        <v>0</v>
      </c>
      <c r="F343" s="106">
        <f t="shared" si="35"/>
        <v>0</v>
      </c>
      <c r="G343" s="153">
        <f t="shared" si="36"/>
        <v>0</v>
      </c>
    </row>
    <row r="344" spans="1:7" ht="13.5" hidden="1" thickBot="1">
      <c r="A344" s="91">
        <f t="shared" si="37"/>
        <v>323</v>
      </c>
      <c r="B344" s="106">
        <f t="shared" si="38"/>
        <v>0</v>
      </c>
      <c r="C344" s="152">
        <f t="shared" si="39"/>
        <v>0</v>
      </c>
      <c r="D344" s="152">
        <f t="shared" si="40"/>
        <v>0</v>
      </c>
      <c r="E344" s="106">
        <f t="shared" si="41"/>
        <v>0</v>
      </c>
      <c r="F344" s="106">
        <f t="shared" si="35"/>
        <v>0</v>
      </c>
      <c r="G344" s="153">
        <f t="shared" si="36"/>
        <v>0</v>
      </c>
    </row>
    <row r="345" spans="1:7" ht="13.5" hidden="1" thickBot="1">
      <c r="A345" s="91">
        <f t="shared" si="37"/>
        <v>324</v>
      </c>
      <c r="B345" s="106">
        <f t="shared" si="38"/>
        <v>0</v>
      </c>
      <c r="C345" s="152">
        <f t="shared" si="39"/>
        <v>0</v>
      </c>
      <c r="D345" s="152">
        <f t="shared" si="40"/>
        <v>0</v>
      </c>
      <c r="E345" s="106">
        <f t="shared" si="41"/>
        <v>0</v>
      </c>
      <c r="F345" s="106">
        <f t="shared" si="35"/>
        <v>0</v>
      </c>
      <c r="G345" s="153">
        <f t="shared" si="36"/>
        <v>0</v>
      </c>
    </row>
    <row r="346" spans="1:7" ht="13.5" hidden="1" thickBot="1">
      <c r="A346" s="91">
        <f t="shared" si="37"/>
        <v>325</v>
      </c>
      <c r="B346" s="106">
        <f t="shared" si="38"/>
        <v>0</v>
      </c>
      <c r="C346" s="152">
        <f t="shared" si="39"/>
        <v>0</v>
      </c>
      <c r="D346" s="152">
        <f t="shared" si="40"/>
        <v>0</v>
      </c>
      <c r="E346" s="106">
        <f t="shared" si="41"/>
        <v>0</v>
      </c>
      <c r="F346" s="106">
        <f t="shared" si="35"/>
        <v>0</v>
      </c>
      <c r="G346" s="153">
        <f t="shared" si="36"/>
        <v>0</v>
      </c>
    </row>
    <row r="347" spans="1:7" ht="13.5" hidden="1" thickBot="1">
      <c r="A347" s="91">
        <f t="shared" si="37"/>
        <v>326</v>
      </c>
      <c r="B347" s="106">
        <f t="shared" si="38"/>
        <v>0</v>
      </c>
      <c r="C347" s="152">
        <f t="shared" si="39"/>
        <v>0</v>
      </c>
      <c r="D347" s="152">
        <f t="shared" si="40"/>
        <v>0</v>
      </c>
      <c r="E347" s="106">
        <f t="shared" si="41"/>
        <v>0</v>
      </c>
      <c r="F347" s="106">
        <f t="shared" si="35"/>
        <v>0</v>
      </c>
      <c r="G347" s="153">
        <f t="shared" si="36"/>
        <v>0</v>
      </c>
    </row>
    <row r="348" spans="1:7" ht="13.5" hidden="1" thickBot="1">
      <c r="A348" s="91">
        <f t="shared" si="37"/>
        <v>327</v>
      </c>
      <c r="B348" s="106">
        <f t="shared" si="38"/>
        <v>0</v>
      </c>
      <c r="C348" s="152">
        <f t="shared" si="39"/>
        <v>0</v>
      </c>
      <c r="D348" s="152">
        <f t="shared" si="40"/>
        <v>0</v>
      </c>
      <c r="E348" s="106">
        <f t="shared" si="41"/>
        <v>0</v>
      </c>
      <c r="F348" s="106">
        <f t="shared" si="35"/>
        <v>0</v>
      </c>
      <c r="G348" s="153">
        <f t="shared" si="36"/>
        <v>0</v>
      </c>
    </row>
    <row r="349" spans="1:7" ht="13.5" hidden="1" thickBot="1">
      <c r="A349" s="91">
        <f t="shared" si="37"/>
        <v>328</v>
      </c>
      <c r="B349" s="106">
        <f t="shared" si="38"/>
        <v>0</v>
      </c>
      <c r="C349" s="152">
        <f t="shared" si="39"/>
        <v>0</v>
      </c>
      <c r="D349" s="152">
        <f t="shared" si="40"/>
        <v>0</v>
      </c>
      <c r="E349" s="106">
        <f t="shared" si="41"/>
        <v>0</v>
      </c>
      <c r="F349" s="106">
        <f t="shared" si="35"/>
        <v>0</v>
      </c>
      <c r="G349" s="153">
        <f t="shared" si="36"/>
        <v>0</v>
      </c>
    </row>
    <row r="350" spans="1:7" ht="13.5" hidden="1" thickBot="1">
      <c r="A350" s="91">
        <f t="shared" si="37"/>
        <v>329</v>
      </c>
      <c r="B350" s="106">
        <f t="shared" si="38"/>
        <v>0</v>
      </c>
      <c r="C350" s="152">
        <f t="shared" si="39"/>
        <v>0</v>
      </c>
      <c r="D350" s="152">
        <f t="shared" si="40"/>
        <v>0</v>
      </c>
      <c r="E350" s="106">
        <f t="shared" si="41"/>
        <v>0</v>
      </c>
      <c r="F350" s="106">
        <f t="shared" si="35"/>
        <v>0</v>
      </c>
      <c r="G350" s="153">
        <f t="shared" si="36"/>
        <v>0</v>
      </c>
    </row>
    <row r="351" spans="1:7" ht="13.5" hidden="1" thickBot="1">
      <c r="A351" s="91">
        <f t="shared" si="37"/>
        <v>330</v>
      </c>
      <c r="B351" s="106">
        <f t="shared" si="38"/>
        <v>0</v>
      </c>
      <c r="C351" s="152">
        <f t="shared" si="39"/>
        <v>0</v>
      </c>
      <c r="D351" s="152">
        <f t="shared" si="40"/>
        <v>0</v>
      </c>
      <c r="E351" s="106">
        <f t="shared" si="41"/>
        <v>0</v>
      </c>
      <c r="F351" s="106">
        <f t="shared" si="35"/>
        <v>0</v>
      </c>
      <c r="G351" s="153">
        <f t="shared" si="36"/>
        <v>0</v>
      </c>
    </row>
    <row r="352" spans="1:7" ht="13.5" hidden="1" thickBot="1">
      <c r="A352" s="91">
        <f t="shared" si="37"/>
        <v>331</v>
      </c>
      <c r="B352" s="106">
        <f t="shared" si="38"/>
        <v>0</v>
      </c>
      <c r="C352" s="152">
        <f t="shared" si="39"/>
        <v>0</v>
      </c>
      <c r="D352" s="152">
        <f t="shared" si="40"/>
        <v>0</v>
      </c>
      <c r="E352" s="106">
        <f t="shared" si="41"/>
        <v>0</v>
      </c>
      <c r="F352" s="106">
        <f t="shared" si="35"/>
        <v>0</v>
      </c>
      <c r="G352" s="153">
        <f t="shared" si="36"/>
        <v>0</v>
      </c>
    </row>
    <row r="353" spans="1:7" ht="13.5" hidden="1" thickBot="1">
      <c r="A353" s="91">
        <f t="shared" si="37"/>
        <v>332</v>
      </c>
      <c r="B353" s="106">
        <f t="shared" si="38"/>
        <v>0</v>
      </c>
      <c r="C353" s="152">
        <f t="shared" si="39"/>
        <v>0</v>
      </c>
      <c r="D353" s="152">
        <f t="shared" si="40"/>
        <v>0</v>
      </c>
      <c r="E353" s="106">
        <f t="shared" si="41"/>
        <v>0</v>
      </c>
      <c r="F353" s="106">
        <f t="shared" si="35"/>
        <v>0</v>
      </c>
      <c r="G353" s="153">
        <f t="shared" si="36"/>
        <v>0</v>
      </c>
    </row>
    <row r="354" spans="1:7" ht="13.5" hidden="1" thickBot="1">
      <c r="A354" s="91">
        <f t="shared" si="37"/>
        <v>333</v>
      </c>
      <c r="B354" s="106">
        <f t="shared" si="38"/>
        <v>0</v>
      </c>
      <c r="C354" s="152">
        <f t="shared" si="39"/>
        <v>0</v>
      </c>
      <c r="D354" s="152">
        <f t="shared" si="40"/>
        <v>0</v>
      </c>
      <c r="E354" s="106">
        <f t="shared" si="41"/>
        <v>0</v>
      </c>
      <c r="F354" s="106">
        <f t="shared" si="35"/>
        <v>0</v>
      </c>
      <c r="G354" s="153">
        <f t="shared" si="36"/>
        <v>0</v>
      </c>
    </row>
    <row r="355" spans="1:7" ht="13.5" hidden="1" thickBot="1">
      <c r="A355" s="91">
        <f t="shared" si="37"/>
        <v>334</v>
      </c>
      <c r="B355" s="106">
        <f t="shared" si="38"/>
        <v>0</v>
      </c>
      <c r="C355" s="152">
        <f t="shared" si="39"/>
        <v>0</v>
      </c>
      <c r="D355" s="152">
        <f t="shared" si="40"/>
        <v>0</v>
      </c>
      <c r="E355" s="106">
        <f t="shared" si="41"/>
        <v>0</v>
      </c>
      <c r="F355" s="106">
        <f t="shared" si="35"/>
        <v>0</v>
      </c>
      <c r="G355" s="153">
        <f t="shared" si="36"/>
        <v>0</v>
      </c>
    </row>
    <row r="356" spans="1:7" ht="13.5" hidden="1" thickBot="1">
      <c r="A356" s="91">
        <f t="shared" si="37"/>
        <v>335</v>
      </c>
      <c r="B356" s="106">
        <f t="shared" si="38"/>
        <v>0</v>
      </c>
      <c r="C356" s="152">
        <f t="shared" si="39"/>
        <v>0</v>
      </c>
      <c r="D356" s="152">
        <f t="shared" si="40"/>
        <v>0</v>
      </c>
      <c r="E356" s="106">
        <f t="shared" si="41"/>
        <v>0</v>
      </c>
      <c r="F356" s="106">
        <f t="shared" si="35"/>
        <v>0</v>
      </c>
      <c r="G356" s="153">
        <f t="shared" si="36"/>
        <v>0</v>
      </c>
    </row>
    <row r="357" spans="1:7" ht="13.5" hidden="1" thickBot="1">
      <c r="A357" s="91">
        <f t="shared" si="37"/>
        <v>336</v>
      </c>
      <c r="B357" s="106">
        <f t="shared" si="38"/>
        <v>0</v>
      </c>
      <c r="C357" s="152">
        <f t="shared" si="39"/>
        <v>0</v>
      </c>
      <c r="D357" s="152">
        <f t="shared" si="40"/>
        <v>0</v>
      </c>
      <c r="E357" s="106">
        <f t="shared" si="41"/>
        <v>0</v>
      </c>
      <c r="F357" s="106">
        <f t="shared" si="35"/>
        <v>0</v>
      </c>
      <c r="G357" s="153">
        <f t="shared" si="36"/>
        <v>0</v>
      </c>
    </row>
    <row r="358" spans="1:7" ht="13.5" hidden="1" thickBot="1">
      <c r="A358" s="91">
        <f t="shared" si="37"/>
        <v>337</v>
      </c>
      <c r="B358" s="106">
        <f t="shared" si="38"/>
        <v>0</v>
      </c>
      <c r="C358" s="152">
        <f t="shared" si="39"/>
        <v>0</v>
      </c>
      <c r="D358" s="152">
        <f t="shared" si="40"/>
        <v>0</v>
      </c>
      <c r="E358" s="106">
        <f t="shared" si="41"/>
        <v>0</v>
      </c>
      <c r="F358" s="106">
        <f t="shared" si="35"/>
        <v>0</v>
      </c>
      <c r="G358" s="153">
        <f t="shared" si="36"/>
        <v>0</v>
      </c>
    </row>
    <row r="359" spans="1:7" ht="13.5" hidden="1" thickBot="1">
      <c r="A359" s="91">
        <f t="shared" si="37"/>
        <v>338</v>
      </c>
      <c r="B359" s="106">
        <f t="shared" si="38"/>
        <v>0</v>
      </c>
      <c r="C359" s="152">
        <f t="shared" si="39"/>
        <v>0</v>
      </c>
      <c r="D359" s="152">
        <f t="shared" si="40"/>
        <v>0</v>
      </c>
      <c r="E359" s="106">
        <f t="shared" si="41"/>
        <v>0</v>
      </c>
      <c r="F359" s="106">
        <f t="shared" si="35"/>
        <v>0</v>
      </c>
      <c r="G359" s="153">
        <f t="shared" si="36"/>
        <v>0</v>
      </c>
    </row>
    <row r="360" spans="1:7" ht="13.5" hidden="1" thickBot="1">
      <c r="A360" s="91">
        <f t="shared" si="37"/>
        <v>339</v>
      </c>
      <c r="B360" s="106">
        <f t="shared" si="38"/>
        <v>0</v>
      </c>
      <c r="C360" s="152">
        <f t="shared" si="39"/>
        <v>0</v>
      </c>
      <c r="D360" s="152">
        <f t="shared" si="40"/>
        <v>0</v>
      </c>
      <c r="E360" s="106">
        <f t="shared" si="41"/>
        <v>0</v>
      </c>
      <c r="F360" s="106">
        <f t="shared" si="35"/>
        <v>0</v>
      </c>
      <c r="G360" s="153">
        <f t="shared" si="36"/>
        <v>0</v>
      </c>
    </row>
    <row r="361" spans="1:7" ht="13.5" hidden="1" thickBot="1">
      <c r="A361" s="91">
        <f t="shared" si="37"/>
        <v>340</v>
      </c>
      <c r="B361" s="106">
        <f t="shared" si="38"/>
        <v>0</v>
      </c>
      <c r="C361" s="152">
        <f t="shared" si="39"/>
        <v>0</v>
      </c>
      <c r="D361" s="152">
        <f t="shared" si="40"/>
        <v>0</v>
      </c>
      <c r="E361" s="106">
        <f t="shared" si="41"/>
        <v>0</v>
      </c>
      <c r="F361" s="106">
        <f t="shared" si="35"/>
        <v>0</v>
      </c>
      <c r="G361" s="153">
        <f t="shared" si="36"/>
        <v>0</v>
      </c>
    </row>
    <row r="362" spans="1:7" ht="13.5" hidden="1" thickBot="1">
      <c r="A362" s="91">
        <f t="shared" si="37"/>
        <v>341</v>
      </c>
      <c r="B362" s="106">
        <f t="shared" si="38"/>
        <v>0</v>
      </c>
      <c r="C362" s="152">
        <f t="shared" si="39"/>
        <v>0</v>
      </c>
      <c r="D362" s="152">
        <f t="shared" si="40"/>
        <v>0</v>
      </c>
      <c r="E362" s="106">
        <f t="shared" si="41"/>
        <v>0</v>
      </c>
      <c r="F362" s="106">
        <f t="shared" si="35"/>
        <v>0</v>
      </c>
      <c r="G362" s="153">
        <f t="shared" si="36"/>
        <v>0</v>
      </c>
    </row>
    <row r="363" spans="1:7" ht="13.5" hidden="1" thickBot="1">
      <c r="A363" s="91">
        <f t="shared" si="37"/>
        <v>342</v>
      </c>
      <c r="B363" s="106">
        <f t="shared" si="38"/>
        <v>0</v>
      </c>
      <c r="C363" s="152">
        <f t="shared" si="39"/>
        <v>0</v>
      </c>
      <c r="D363" s="152">
        <f t="shared" si="40"/>
        <v>0</v>
      </c>
      <c r="E363" s="106">
        <f t="shared" si="41"/>
        <v>0</v>
      </c>
      <c r="F363" s="106">
        <f t="shared" si="35"/>
        <v>0</v>
      </c>
      <c r="G363" s="153">
        <f t="shared" si="36"/>
        <v>0</v>
      </c>
    </row>
    <row r="364" spans="1:7" ht="13.5" hidden="1" thickBot="1">
      <c r="A364" s="91">
        <f t="shared" si="37"/>
        <v>343</v>
      </c>
      <c r="B364" s="106">
        <f t="shared" si="38"/>
        <v>0</v>
      </c>
      <c r="C364" s="152">
        <f t="shared" si="39"/>
        <v>0</v>
      </c>
      <c r="D364" s="152">
        <f t="shared" si="40"/>
        <v>0</v>
      </c>
      <c r="E364" s="106">
        <f t="shared" si="41"/>
        <v>0</v>
      </c>
      <c r="F364" s="106">
        <f t="shared" si="35"/>
        <v>0</v>
      </c>
      <c r="G364" s="153">
        <f t="shared" si="36"/>
        <v>0</v>
      </c>
    </row>
    <row r="365" spans="1:7" ht="13.5" hidden="1" thickBot="1">
      <c r="A365" s="91">
        <f t="shared" si="37"/>
        <v>344</v>
      </c>
      <c r="B365" s="106">
        <f t="shared" si="38"/>
        <v>0</v>
      </c>
      <c r="C365" s="152">
        <f t="shared" si="39"/>
        <v>0</v>
      </c>
      <c r="D365" s="152">
        <f t="shared" si="40"/>
        <v>0</v>
      </c>
      <c r="E365" s="106">
        <f t="shared" si="41"/>
        <v>0</v>
      </c>
      <c r="F365" s="106">
        <f t="shared" si="35"/>
        <v>0</v>
      </c>
      <c r="G365" s="153">
        <f t="shared" si="36"/>
        <v>0</v>
      </c>
    </row>
    <row r="366" spans="1:7" ht="13.5" hidden="1" thickBot="1">
      <c r="A366" s="91">
        <f t="shared" si="37"/>
        <v>345</v>
      </c>
      <c r="B366" s="106">
        <f t="shared" si="38"/>
        <v>0</v>
      </c>
      <c r="C366" s="152">
        <f t="shared" si="39"/>
        <v>0</v>
      </c>
      <c r="D366" s="152">
        <f t="shared" si="40"/>
        <v>0</v>
      </c>
      <c r="E366" s="106">
        <f t="shared" si="41"/>
        <v>0</v>
      </c>
      <c r="F366" s="106">
        <f t="shared" si="35"/>
        <v>0</v>
      </c>
      <c r="G366" s="153">
        <f t="shared" si="36"/>
        <v>0</v>
      </c>
    </row>
    <row r="367" spans="1:7" ht="13.5" hidden="1" thickBot="1">
      <c r="A367" s="91">
        <f t="shared" si="37"/>
        <v>346</v>
      </c>
      <c r="B367" s="106">
        <f t="shared" si="38"/>
        <v>0</v>
      </c>
      <c r="C367" s="152">
        <f t="shared" si="39"/>
        <v>0</v>
      </c>
      <c r="D367" s="152">
        <f t="shared" si="40"/>
        <v>0</v>
      </c>
      <c r="E367" s="106">
        <f t="shared" si="41"/>
        <v>0</v>
      </c>
      <c r="F367" s="106">
        <f t="shared" si="35"/>
        <v>0</v>
      </c>
      <c r="G367" s="153">
        <f t="shared" si="36"/>
        <v>0</v>
      </c>
    </row>
    <row r="368" spans="1:7" ht="13.5" hidden="1" thickBot="1">
      <c r="A368" s="91">
        <f t="shared" si="37"/>
        <v>347</v>
      </c>
      <c r="B368" s="106">
        <f t="shared" si="38"/>
        <v>0</v>
      </c>
      <c r="C368" s="152">
        <f t="shared" si="39"/>
        <v>0</v>
      </c>
      <c r="D368" s="152">
        <f t="shared" si="40"/>
        <v>0</v>
      </c>
      <c r="E368" s="106">
        <f t="shared" si="41"/>
        <v>0</v>
      </c>
      <c r="F368" s="106">
        <f t="shared" si="35"/>
        <v>0</v>
      </c>
      <c r="G368" s="153">
        <f t="shared" si="36"/>
        <v>0</v>
      </c>
    </row>
    <row r="369" spans="1:7" ht="13.5" hidden="1" thickBot="1">
      <c r="A369" s="91">
        <f t="shared" si="37"/>
        <v>348</v>
      </c>
      <c r="B369" s="106">
        <f t="shared" si="38"/>
        <v>0</v>
      </c>
      <c r="C369" s="152">
        <f t="shared" si="39"/>
        <v>0</v>
      </c>
      <c r="D369" s="152">
        <f t="shared" si="40"/>
        <v>0</v>
      </c>
      <c r="E369" s="106">
        <f t="shared" si="41"/>
        <v>0</v>
      </c>
      <c r="F369" s="106">
        <f t="shared" si="35"/>
        <v>0</v>
      </c>
      <c r="G369" s="153">
        <f t="shared" si="36"/>
        <v>0</v>
      </c>
    </row>
    <row r="370" spans="1:7" ht="13.5" hidden="1" thickBot="1">
      <c r="A370" s="91">
        <f t="shared" si="37"/>
        <v>349</v>
      </c>
      <c r="B370" s="106">
        <f t="shared" si="38"/>
        <v>0</v>
      </c>
      <c r="C370" s="152">
        <f t="shared" si="39"/>
        <v>0</v>
      </c>
      <c r="D370" s="152">
        <f t="shared" si="40"/>
        <v>0</v>
      </c>
      <c r="E370" s="106">
        <f t="shared" si="41"/>
        <v>0</v>
      </c>
      <c r="F370" s="106">
        <f t="shared" si="35"/>
        <v>0</v>
      </c>
      <c r="G370" s="153">
        <f t="shared" si="36"/>
        <v>0</v>
      </c>
    </row>
    <row r="371" spans="1:7" ht="13.5" hidden="1" thickBot="1">
      <c r="A371" s="91">
        <f t="shared" si="37"/>
        <v>350</v>
      </c>
      <c r="B371" s="106">
        <f t="shared" si="38"/>
        <v>0</v>
      </c>
      <c r="C371" s="152">
        <f t="shared" si="39"/>
        <v>0</v>
      </c>
      <c r="D371" s="152">
        <f t="shared" si="40"/>
        <v>0</v>
      </c>
      <c r="E371" s="106">
        <f t="shared" si="41"/>
        <v>0</v>
      </c>
      <c r="F371" s="106">
        <f t="shared" si="35"/>
        <v>0</v>
      </c>
      <c r="G371" s="153">
        <f t="shared" si="36"/>
        <v>0</v>
      </c>
    </row>
    <row r="372" spans="1:7" ht="13.5" hidden="1" thickBot="1">
      <c r="A372" s="91">
        <f t="shared" si="37"/>
        <v>351</v>
      </c>
      <c r="B372" s="106">
        <f t="shared" si="38"/>
        <v>0</v>
      </c>
      <c r="C372" s="152">
        <f t="shared" si="39"/>
        <v>0</v>
      </c>
      <c r="D372" s="152">
        <f t="shared" si="40"/>
        <v>0</v>
      </c>
      <c r="E372" s="106">
        <f t="shared" si="41"/>
        <v>0</v>
      </c>
      <c r="F372" s="106">
        <f t="shared" si="35"/>
        <v>0</v>
      </c>
      <c r="G372" s="153">
        <f t="shared" si="36"/>
        <v>0</v>
      </c>
    </row>
    <row r="373" spans="1:7" ht="13.5" hidden="1" thickBot="1">
      <c r="A373" s="91">
        <f t="shared" si="37"/>
        <v>352</v>
      </c>
      <c r="B373" s="106">
        <f t="shared" si="38"/>
        <v>0</v>
      </c>
      <c r="C373" s="152">
        <f t="shared" si="39"/>
        <v>0</v>
      </c>
      <c r="D373" s="152">
        <f t="shared" si="40"/>
        <v>0</v>
      </c>
      <c r="E373" s="106">
        <f t="shared" si="41"/>
        <v>0</v>
      </c>
      <c r="F373" s="106">
        <f t="shared" si="35"/>
        <v>0</v>
      </c>
      <c r="G373" s="153">
        <f t="shared" si="36"/>
        <v>0</v>
      </c>
    </row>
    <row r="374" spans="1:7" ht="13.5" hidden="1" thickBot="1">
      <c r="A374" s="91">
        <f t="shared" si="37"/>
        <v>353</v>
      </c>
      <c r="B374" s="106">
        <f t="shared" si="38"/>
        <v>0</v>
      </c>
      <c r="C374" s="152">
        <f t="shared" si="39"/>
        <v>0</v>
      </c>
      <c r="D374" s="152">
        <f t="shared" si="40"/>
        <v>0</v>
      </c>
      <c r="E374" s="106">
        <f t="shared" si="41"/>
        <v>0</v>
      </c>
      <c r="F374" s="106">
        <f t="shared" si="35"/>
        <v>0</v>
      </c>
      <c r="G374" s="153">
        <f t="shared" si="36"/>
        <v>0</v>
      </c>
    </row>
    <row r="375" spans="1:7" ht="13.5" hidden="1" thickBot="1">
      <c r="A375" s="91">
        <f t="shared" si="37"/>
        <v>354</v>
      </c>
      <c r="B375" s="106">
        <f t="shared" si="38"/>
        <v>0</v>
      </c>
      <c r="C375" s="152">
        <f t="shared" si="39"/>
        <v>0</v>
      </c>
      <c r="D375" s="152">
        <f t="shared" si="40"/>
        <v>0</v>
      </c>
      <c r="E375" s="106">
        <f t="shared" si="41"/>
        <v>0</v>
      </c>
      <c r="F375" s="106">
        <f t="shared" si="35"/>
        <v>0</v>
      </c>
      <c r="G375" s="153">
        <f t="shared" si="36"/>
        <v>0</v>
      </c>
    </row>
    <row r="376" spans="1:7" ht="13.5" hidden="1" thickBot="1">
      <c r="A376" s="91">
        <f t="shared" si="37"/>
        <v>355</v>
      </c>
      <c r="B376" s="106">
        <f t="shared" si="38"/>
        <v>0</v>
      </c>
      <c r="C376" s="152">
        <f t="shared" si="39"/>
        <v>0</v>
      </c>
      <c r="D376" s="152">
        <f t="shared" si="40"/>
        <v>0</v>
      </c>
      <c r="E376" s="106">
        <f t="shared" si="41"/>
        <v>0</v>
      </c>
      <c r="F376" s="106">
        <f t="shared" si="35"/>
        <v>0</v>
      </c>
      <c r="G376" s="153">
        <f t="shared" si="36"/>
        <v>0</v>
      </c>
    </row>
    <row r="377" spans="1:7" ht="13.5" hidden="1" thickBot="1">
      <c r="A377" s="91">
        <f t="shared" si="37"/>
        <v>356</v>
      </c>
      <c r="B377" s="106">
        <f t="shared" si="38"/>
        <v>0</v>
      </c>
      <c r="C377" s="152">
        <f t="shared" si="39"/>
        <v>0</v>
      </c>
      <c r="D377" s="152">
        <f t="shared" si="40"/>
        <v>0</v>
      </c>
      <c r="E377" s="106">
        <f t="shared" si="41"/>
        <v>0</v>
      </c>
      <c r="F377" s="106">
        <f t="shared" si="35"/>
        <v>0</v>
      </c>
      <c r="G377" s="153">
        <f t="shared" si="36"/>
        <v>0</v>
      </c>
    </row>
    <row r="378" spans="1:7" ht="13.5" hidden="1" thickBot="1">
      <c r="A378" s="91">
        <f t="shared" si="37"/>
        <v>357</v>
      </c>
      <c r="B378" s="106">
        <f t="shared" si="38"/>
        <v>0</v>
      </c>
      <c r="C378" s="152">
        <f t="shared" si="39"/>
        <v>0</v>
      </c>
      <c r="D378" s="152">
        <f t="shared" si="40"/>
        <v>0</v>
      </c>
      <c r="E378" s="106">
        <f t="shared" si="41"/>
        <v>0</v>
      </c>
      <c r="F378" s="106">
        <f t="shared" si="35"/>
        <v>0</v>
      </c>
      <c r="G378" s="153">
        <f t="shared" si="36"/>
        <v>0</v>
      </c>
    </row>
    <row r="379" spans="1:7" ht="13.5" hidden="1" thickBot="1">
      <c r="A379" s="91">
        <f t="shared" si="37"/>
        <v>358</v>
      </c>
      <c r="B379" s="106">
        <f t="shared" si="38"/>
        <v>0</v>
      </c>
      <c r="C379" s="152">
        <f t="shared" si="39"/>
        <v>0</v>
      </c>
      <c r="D379" s="152">
        <f t="shared" si="40"/>
        <v>0</v>
      </c>
      <c r="E379" s="106">
        <f t="shared" si="41"/>
        <v>0</v>
      </c>
      <c r="F379" s="106">
        <f t="shared" si="35"/>
        <v>0</v>
      </c>
      <c r="G379" s="153">
        <f t="shared" si="36"/>
        <v>0</v>
      </c>
    </row>
    <row r="380" spans="1:7" ht="13.5" hidden="1" thickBot="1">
      <c r="A380" s="91">
        <f t="shared" si="37"/>
        <v>359</v>
      </c>
      <c r="B380" s="106">
        <f t="shared" si="38"/>
        <v>0</v>
      </c>
      <c r="C380" s="152">
        <f t="shared" si="39"/>
        <v>0</v>
      </c>
      <c r="D380" s="152">
        <f t="shared" si="40"/>
        <v>0</v>
      </c>
      <c r="E380" s="106">
        <f t="shared" si="41"/>
        <v>0</v>
      </c>
      <c r="F380" s="106">
        <f t="shared" si="35"/>
        <v>0</v>
      </c>
      <c r="G380" s="153">
        <f t="shared" si="36"/>
        <v>0</v>
      </c>
    </row>
    <row r="381" spans="1:7" ht="13.5" hidden="1" thickBot="1">
      <c r="A381" s="91">
        <f t="shared" si="37"/>
        <v>360</v>
      </c>
      <c r="B381" s="106">
        <f t="shared" si="38"/>
        <v>0</v>
      </c>
      <c r="C381" s="152">
        <f t="shared" si="39"/>
        <v>0</v>
      </c>
      <c r="D381" s="152">
        <f t="shared" si="40"/>
        <v>0</v>
      </c>
      <c r="E381" s="106">
        <f t="shared" si="41"/>
        <v>0</v>
      </c>
      <c r="F381" s="106">
        <f t="shared" si="35"/>
        <v>0</v>
      </c>
      <c r="G381" s="153">
        <f t="shared" si="36"/>
        <v>0</v>
      </c>
    </row>
    <row r="382" spans="1:7" ht="13.5" thickBot="1">
      <c r="A382" s="108" t="s">
        <v>91</v>
      </c>
      <c r="B382" s="187"/>
      <c r="C382" s="109">
        <f>SUM(C22:C381)</f>
        <v>5580000</v>
      </c>
      <c r="D382" s="109">
        <f>SUM(D22:D381)</f>
        <v>5580000</v>
      </c>
      <c r="E382" s="109">
        <f>SUM(E22:E381)</f>
        <v>1080000</v>
      </c>
      <c r="F382" s="109">
        <f>SUM(F22:F381)</f>
        <v>4500000</v>
      </c>
      <c r="G382" s="188"/>
    </row>
    <row r="383" spans="1:7">
      <c r="A383" s="77"/>
    </row>
  </sheetData>
  <mergeCells count="17">
    <mergeCell ref="E14:G14"/>
    <mergeCell ref="A2:G2"/>
    <mergeCell ref="A3:C3"/>
    <mergeCell ref="A5:C5"/>
    <mergeCell ref="A7:C7"/>
    <mergeCell ref="A8:C8"/>
    <mergeCell ref="A9:C9"/>
    <mergeCell ref="A10:C10"/>
    <mergeCell ref="A11:C11"/>
    <mergeCell ref="A12:C12"/>
    <mergeCell ref="A13:C13"/>
    <mergeCell ref="A14:C14"/>
    <mergeCell ref="A15:C15"/>
    <mergeCell ref="A16:D16"/>
    <mergeCell ref="A17:C17"/>
    <mergeCell ref="E17:G17"/>
    <mergeCell ref="A18:D18"/>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24"/>
  <sheetViews>
    <sheetView workbookViewId="0">
      <selection activeCell="A21" sqref="A21:E21"/>
    </sheetView>
  </sheetViews>
  <sheetFormatPr defaultRowHeight="12.75"/>
  <cols>
    <col min="1" max="1" width="21.7109375" style="75" customWidth="1"/>
    <col min="2" max="2" width="7.7109375" style="75" customWidth="1"/>
    <col min="3" max="3" width="3.42578125" style="75" customWidth="1"/>
    <col min="4" max="4" width="11.5703125" style="75" bestFit="1" customWidth="1"/>
    <col min="5" max="5" width="6.140625" style="75" customWidth="1"/>
    <col min="6" max="6" width="3" style="75" customWidth="1"/>
    <col min="7" max="7" width="18.28515625" style="75" customWidth="1"/>
    <col min="8" max="9" width="2.7109375" style="75" customWidth="1"/>
    <col min="10" max="10" width="26.7109375" style="75" bestFit="1" customWidth="1"/>
    <col min="11" max="11" width="3.85546875" style="75" bestFit="1" customWidth="1"/>
    <col min="12" max="12" width="9.28515625" style="75" bestFit="1" customWidth="1"/>
    <col min="13" max="13" width="6.28515625" style="75" customWidth="1"/>
    <col min="14" max="14" width="2.7109375" style="75" customWidth="1"/>
    <col min="15" max="16384" width="9.140625" style="75"/>
  </cols>
  <sheetData>
    <row r="1" spans="1:14" ht="50.25" customHeight="1">
      <c r="A1" s="434" t="s">
        <v>92</v>
      </c>
      <c r="B1" s="435"/>
      <c r="C1" s="435"/>
      <c r="D1" s="435"/>
      <c r="E1" s="435"/>
      <c r="F1" s="435"/>
      <c r="G1" s="435"/>
      <c r="H1" s="435"/>
      <c r="I1" s="435"/>
      <c r="J1" s="435"/>
      <c r="K1" s="435"/>
      <c r="L1" s="435"/>
      <c r="M1" s="435"/>
      <c r="N1" s="435"/>
    </row>
    <row r="2" spans="1:14" ht="33" customHeight="1">
      <c r="A2" s="435" t="s">
        <v>93</v>
      </c>
      <c r="B2" s="435"/>
      <c r="C2" s="435"/>
      <c r="D2" s="435"/>
      <c r="E2" s="435"/>
      <c r="F2" s="435"/>
      <c r="G2" s="435"/>
      <c r="H2" s="435"/>
      <c r="I2" s="435"/>
      <c r="J2" s="435"/>
      <c r="K2" s="435"/>
      <c r="L2" s="435"/>
      <c r="M2" s="435"/>
      <c r="N2" s="435"/>
    </row>
    <row r="3" spans="1:14" ht="21" customHeight="1">
      <c r="A3" s="434" t="s">
        <v>94</v>
      </c>
      <c r="B3" s="434"/>
      <c r="C3" s="434"/>
      <c r="D3" s="434"/>
      <c r="E3" s="434"/>
      <c r="F3" s="434"/>
      <c r="G3" s="434"/>
      <c r="H3" s="434"/>
      <c r="I3" s="434"/>
      <c r="J3" s="434"/>
      <c r="K3" s="434"/>
      <c r="L3" s="434"/>
      <c r="M3" s="434"/>
      <c r="N3" s="434"/>
    </row>
    <row r="4" spans="1:14" ht="27.75" customHeight="1">
      <c r="A4" s="189" t="s">
        <v>95</v>
      </c>
      <c r="B4" s="124" t="s">
        <v>62</v>
      </c>
      <c r="C4" s="124"/>
      <c r="D4" s="483" t="s">
        <v>96</v>
      </c>
      <c r="E4" s="483"/>
      <c r="F4" s="483"/>
      <c r="G4" s="483"/>
      <c r="H4" s="483"/>
      <c r="I4" s="483"/>
      <c r="J4" s="483"/>
      <c r="K4" s="190"/>
      <c r="L4" s="190"/>
      <c r="M4" s="190"/>
      <c r="N4" s="190"/>
    </row>
    <row r="5" spans="1:14" ht="33" customHeight="1">
      <c r="A5" s="189" t="s">
        <v>95</v>
      </c>
      <c r="B5" s="124" t="s">
        <v>62</v>
      </c>
      <c r="C5" s="124"/>
      <c r="D5" s="484">
        <f>'Effektiv rente stående lån'!D3</f>
        <v>4500000</v>
      </c>
      <c r="E5" s="485"/>
      <c r="F5" s="485"/>
      <c r="G5" s="191" t="str">
        <f>CONCATENATE("* ",'Effektiv rente stående lån'!D13*100,"%")</f>
        <v>* 2%</v>
      </c>
      <c r="H5" s="190"/>
      <c r="I5" s="190"/>
      <c r="J5" s="190"/>
      <c r="K5" s="190"/>
      <c r="L5" s="190"/>
      <c r="M5" s="190"/>
      <c r="N5" s="190"/>
    </row>
    <row r="6" spans="1:14" ht="33.75" customHeight="1">
      <c r="A6" s="189" t="s">
        <v>95</v>
      </c>
      <c r="B6" s="124" t="s">
        <v>62</v>
      </c>
      <c r="C6" s="124"/>
      <c r="D6" s="482">
        <f>'Effektiv rente stående lån'!D14*-1</f>
        <v>90000</v>
      </c>
      <c r="E6" s="482"/>
      <c r="F6" s="482"/>
      <c r="G6" s="192"/>
      <c r="H6" s="190"/>
      <c r="I6" s="190"/>
      <c r="J6" s="190"/>
      <c r="K6" s="190"/>
      <c r="L6" s="190"/>
      <c r="M6" s="190"/>
      <c r="N6" s="190"/>
    </row>
    <row r="7" spans="1:14" ht="33.75" customHeight="1">
      <c r="A7" s="481" t="s">
        <v>97</v>
      </c>
      <c r="B7" s="481"/>
      <c r="C7" s="481"/>
      <c r="D7" s="481"/>
      <c r="E7" s="481"/>
      <c r="F7" s="481"/>
      <c r="G7" s="481"/>
      <c r="H7" s="481"/>
      <c r="I7" s="481"/>
      <c r="J7" s="481"/>
      <c r="K7" s="481"/>
      <c r="L7" s="481"/>
      <c r="M7" s="481"/>
      <c r="N7" s="481"/>
    </row>
    <row r="8" spans="1:14" ht="28.15" customHeight="1" thickBot="1">
      <c r="A8" s="436" t="s">
        <v>69</v>
      </c>
      <c r="B8" s="423" t="s">
        <v>62</v>
      </c>
      <c r="C8" s="111"/>
      <c r="D8" s="112" t="s">
        <v>63</v>
      </c>
      <c r="E8" s="113" t="s">
        <v>64</v>
      </c>
      <c r="F8" s="431" t="s">
        <v>65</v>
      </c>
      <c r="G8" s="432" t="str">
        <f>IF('Effektiv rente stående lån'!D15=0,"b","b + Gebyr")</f>
        <v>b</v>
      </c>
      <c r="H8" s="476" t="s">
        <v>98</v>
      </c>
      <c r="I8" s="474" t="s">
        <v>99</v>
      </c>
      <c r="J8" s="477" t="s">
        <v>100</v>
      </c>
      <c r="K8" s="478" t="s">
        <v>65</v>
      </c>
      <c r="L8" s="479" t="s">
        <v>85</v>
      </c>
      <c r="M8" s="473" t="s">
        <v>64</v>
      </c>
      <c r="N8" s="474" t="s">
        <v>101</v>
      </c>
    </row>
    <row r="9" spans="1:14" ht="21.6" customHeight="1">
      <c r="A9" s="436"/>
      <c r="B9" s="423"/>
      <c r="C9" s="111"/>
      <c r="D9" s="427" t="s">
        <v>67</v>
      </c>
      <c r="E9" s="427"/>
      <c r="F9" s="431"/>
      <c r="G9" s="432"/>
      <c r="H9" s="476"/>
      <c r="I9" s="474"/>
      <c r="J9" s="476"/>
      <c r="K9" s="478"/>
      <c r="L9" s="479"/>
      <c r="M9" s="473"/>
      <c r="N9" s="474"/>
    </row>
    <row r="10" spans="1:14" ht="21.6" customHeight="1">
      <c r="A10" s="475" t="s">
        <v>70</v>
      </c>
      <c r="B10" s="475"/>
      <c r="C10" s="475"/>
      <c r="D10" s="475"/>
      <c r="E10" s="475"/>
      <c r="F10" s="475"/>
      <c r="G10" s="475"/>
      <c r="H10" s="475"/>
      <c r="I10" s="475"/>
      <c r="J10" s="475"/>
      <c r="K10" s="475"/>
      <c r="L10" s="475"/>
      <c r="M10" s="475"/>
    </row>
    <row r="11" spans="1:14" ht="27.75" thickBot="1">
      <c r="A11" s="422">
        <f>'Effektiv rente stående lån'!D8</f>
        <v>4345000</v>
      </c>
      <c r="B11" s="423" t="s">
        <v>62</v>
      </c>
      <c r="C11" s="111"/>
      <c r="D11" s="112" t="str">
        <f>D8</f>
        <v>1-(1+ r)</v>
      </c>
      <c r="E11" s="121">
        <f>'Effektiv rente stående lån'!D12*-1</f>
        <v>-12</v>
      </c>
      <c r="F11" s="424" t="str">
        <f>F8</f>
        <v>*</v>
      </c>
      <c r="G11" s="426">
        <f>('Effektiv rente stående lån'!D14-'Effektiv rente stående lån'!D15)*-1</f>
        <v>90000</v>
      </c>
      <c r="H11" s="476" t="s">
        <v>98</v>
      </c>
      <c r="I11" s="474" t="str">
        <f>I8</f>
        <v>(</v>
      </c>
      <c r="J11" s="477">
        <f>'Effektiv rente stående lån'!D3</f>
        <v>4500000</v>
      </c>
      <c r="K11" s="478" t="s">
        <v>65</v>
      </c>
      <c r="L11" s="479" t="str">
        <f>L8</f>
        <v>(1+r)</v>
      </c>
      <c r="M11" s="480">
        <f>E11</f>
        <v>-12</v>
      </c>
      <c r="N11" s="474" t="str">
        <f>N8</f>
        <v>)</v>
      </c>
    </row>
    <row r="12" spans="1:14" ht="27">
      <c r="A12" s="422"/>
      <c r="B12" s="423"/>
      <c r="C12" s="111"/>
      <c r="D12" s="427" t="str">
        <f>D9</f>
        <v>r</v>
      </c>
      <c r="E12" s="427"/>
      <c r="F12" s="425"/>
      <c r="G12" s="426"/>
      <c r="H12" s="476"/>
      <c r="I12" s="474"/>
      <c r="J12" s="476"/>
      <c r="K12" s="478"/>
      <c r="L12" s="479"/>
      <c r="M12" s="480"/>
      <c r="N12" s="474"/>
    </row>
    <row r="13" spans="1:14" ht="18">
      <c r="A13" s="417" t="s">
        <v>72</v>
      </c>
      <c r="B13" s="417"/>
      <c r="C13" s="417"/>
      <c r="D13" s="417"/>
      <c r="E13" s="417"/>
      <c r="F13" s="417"/>
      <c r="G13" s="417"/>
      <c r="H13" s="417"/>
      <c r="I13" s="417"/>
      <c r="J13" s="417"/>
      <c r="K13" s="417"/>
      <c r="L13" s="417"/>
      <c r="M13" s="417"/>
    </row>
    <row r="14" spans="1:14" ht="27">
      <c r="A14" s="123" t="s">
        <v>67</v>
      </c>
      <c r="B14" s="124" t="s">
        <v>62</v>
      </c>
      <c r="C14" s="124"/>
      <c r="D14" s="193">
        <f>RATE('Effektiv rente stående lån'!D12,'Effektiv rente stående lån'!D14-'Effektiv rente stående lån'!D15,'Effektiv rente stående lån'!D8,'Effektiv rente stående lån'!D4)</f>
        <v>2.3323904493580482E-2</v>
      </c>
    </row>
    <row r="15" spans="1:14" ht="18">
      <c r="A15" s="417" t="s">
        <v>73</v>
      </c>
      <c r="B15" s="417"/>
      <c r="C15" s="417"/>
      <c r="D15" s="417"/>
      <c r="E15" s="417"/>
      <c r="F15" s="417"/>
      <c r="G15" s="417"/>
      <c r="H15" s="417"/>
      <c r="I15" s="417"/>
      <c r="J15" s="417"/>
      <c r="K15" s="417"/>
      <c r="L15" s="417"/>
      <c r="M15" s="417"/>
    </row>
    <row r="16" spans="1:14" ht="28.5" thickBot="1">
      <c r="A16" s="126" t="str">
        <f>A14</f>
        <v>r</v>
      </c>
      <c r="B16" s="127" t="str">
        <f>B14</f>
        <v>=</v>
      </c>
      <c r="C16" s="127"/>
      <c r="D16" s="194">
        <f>D14</f>
        <v>2.3323904493580482E-2</v>
      </c>
      <c r="E16" s="195"/>
    </row>
    <row r="17" spans="1:13" ht="13.5" thickTop="1"/>
    <row r="18" spans="1:13" ht="18">
      <c r="A18" s="196" t="str">
        <f>IF('Effektiv rente stående lån'!D11=1," ",CONCATENATE("Da terminerne på lånet er ",'Effektiv rente stående lån'!D11," gange pr. år skal følgende beregning foretages:"))</f>
        <v>Da terminerne på lånet er 2 gange pr. år skal følgende beregning foretages:</v>
      </c>
      <c r="B18" s="197"/>
      <c r="C18" s="197"/>
      <c r="D18" s="197"/>
      <c r="E18" s="197"/>
      <c r="F18" s="197"/>
      <c r="G18" s="197"/>
      <c r="H18" s="198"/>
      <c r="I18" s="198"/>
      <c r="J18" s="198"/>
    </row>
    <row r="19" spans="1:13" ht="24" customHeight="1">
      <c r="A19" s="129" t="str">
        <f>IF('Effektiv rente stående lån'!$D$11=1,"","(1+r)")</f>
        <v>(1+r)</v>
      </c>
      <c r="B19" s="130">
        <f>IF('Effektiv rente stående lån'!D11=1,"",'Effektiv rente stående lån'!D11)</f>
        <v>2</v>
      </c>
      <c r="C19" s="129" t="str">
        <f>IF('Effektiv rente stående lån'!$D$11=1,"","-1")</f>
        <v>-1</v>
      </c>
      <c r="D19" s="417" t="str">
        <f>IF('Effektiv rente stående lån'!$D$11=1,"",CONCATENATE("="," Årlig rente"))</f>
        <v>= Årlig rente</v>
      </c>
      <c r="E19" s="417"/>
    </row>
    <row r="20" spans="1:13" ht="18">
      <c r="A20" s="199" t="str">
        <f>IF('Effektiv rente stående lån'!$D$11=1,"","Ved at indsætte fås:")</f>
        <v>Ved at indsætte fås:</v>
      </c>
      <c r="B20" s="176"/>
      <c r="C20" s="176"/>
      <c r="D20" s="176"/>
      <c r="E20" s="176"/>
      <c r="F20" s="176"/>
      <c r="G20" s="176"/>
    </row>
    <row r="21" spans="1:13" ht="22.9" customHeight="1">
      <c r="A21" s="132" t="str">
        <f>IF('Effektiv rente stående lån'!D11=1,"",CONCATENATE("(1+",ROUND(D14,4),")"))</f>
        <v>(1+0.0233)</v>
      </c>
      <c r="B21" s="200">
        <f>B19</f>
        <v>2</v>
      </c>
      <c r="C21" s="129" t="str">
        <f>IF('Effektiv rente stående lån'!$D$11=1,"","-1")</f>
        <v>-1</v>
      </c>
      <c r="D21" s="417" t="str">
        <f>D19</f>
        <v>= Årlig rente</v>
      </c>
      <c r="E21" s="417"/>
    </row>
    <row r="22" spans="1:13" ht="28.15" customHeight="1">
      <c r="A22" s="471">
        <f>IF('Effektiv rente stående lån'!D11=1,"",'Effektiv rente stående lån'!D17)</f>
        <v>4.7191813507986513E-2</v>
      </c>
      <c r="B22" s="471"/>
      <c r="C22" s="471"/>
      <c r="D22" s="472" t="str">
        <f>D21</f>
        <v>= Årlig rente</v>
      </c>
      <c r="E22" s="472"/>
    </row>
    <row r="23" spans="1:13" ht="18">
      <c r="A23" s="417" t="str">
        <f>IF('Effektiv rente stående lån'!D11=1,"","Eller udtrykt i procent:")</f>
        <v>Eller udtrykt i procent:</v>
      </c>
      <c r="B23" s="417"/>
      <c r="C23" s="417"/>
      <c r="D23" s="417"/>
      <c r="E23" s="417"/>
      <c r="F23" s="417"/>
      <c r="G23" s="417"/>
      <c r="H23" s="417"/>
      <c r="I23" s="417"/>
      <c r="J23" s="417"/>
      <c r="K23" s="417"/>
      <c r="L23" s="417"/>
      <c r="M23" s="417"/>
    </row>
    <row r="24" spans="1:13" ht="24.6" customHeight="1">
      <c r="A24" s="412" t="str">
        <f>IF('Effektiv rente stående lån'!$D$11=1,"",CONCATENATE("Årlig rente = ",ROUND('Effektiv rente stående lån'!D17*100,2),"%"))</f>
        <v>Årlig rente = 4.72%</v>
      </c>
      <c r="B24" s="412"/>
      <c r="C24" s="412"/>
      <c r="D24" s="412"/>
      <c r="E24" s="412"/>
    </row>
  </sheetData>
  <mergeCells count="40">
    <mergeCell ref="D6:F6"/>
    <mergeCell ref="A1:N1"/>
    <mergeCell ref="A2:N2"/>
    <mergeCell ref="A3:N3"/>
    <mergeCell ref="D4:J4"/>
    <mergeCell ref="D5:F5"/>
    <mergeCell ref="A7:N7"/>
    <mergeCell ref="A8:A9"/>
    <mergeCell ref="B8:B9"/>
    <mergeCell ref="F8:F9"/>
    <mergeCell ref="G8:G9"/>
    <mergeCell ref="H8:H9"/>
    <mergeCell ref="I8:I9"/>
    <mergeCell ref="J8:J9"/>
    <mergeCell ref="K8:K9"/>
    <mergeCell ref="L8:L9"/>
    <mergeCell ref="D12:E12"/>
    <mergeCell ref="M8:M9"/>
    <mergeCell ref="N8:N9"/>
    <mergeCell ref="D9:E9"/>
    <mergeCell ref="A10:M10"/>
    <mergeCell ref="A11:A12"/>
    <mergeCell ref="B11:B12"/>
    <mergeCell ref="F11:F12"/>
    <mergeCell ref="G11:G12"/>
    <mergeCell ref="H11:H12"/>
    <mergeCell ref="I11:I12"/>
    <mergeCell ref="J11:J12"/>
    <mergeCell ref="K11:K12"/>
    <mergeCell ref="L11:L12"/>
    <mergeCell ref="M11:M12"/>
    <mergeCell ref="N11:N12"/>
    <mergeCell ref="A23:M23"/>
    <mergeCell ref="A24:E24"/>
    <mergeCell ref="A13:M13"/>
    <mergeCell ref="A15:M15"/>
    <mergeCell ref="D19:E19"/>
    <mergeCell ref="D21:E21"/>
    <mergeCell ref="A22:C22"/>
    <mergeCell ref="D22:E22"/>
  </mergeCells>
  <pageMargins left="0.19685039370078741" right="0.19685039370078741" top="0.98425196850393704" bottom="0.98425196850393704" header="0" footer="0"/>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E25"/>
  <sheetViews>
    <sheetView workbookViewId="0">
      <selection activeCell="B1" sqref="A1:E1"/>
    </sheetView>
  </sheetViews>
  <sheetFormatPr defaultRowHeight="12.75"/>
  <cols>
    <col min="1" max="1" width="34.28515625" style="75" bestFit="1" customWidth="1"/>
    <col min="2" max="2" width="30.28515625" style="75" customWidth="1"/>
    <col min="3" max="3" width="34.5703125" style="75" customWidth="1"/>
    <col min="4" max="4" width="30.7109375" style="75" customWidth="1"/>
    <col min="5" max="5" width="28.28515625" style="75" hidden="1" customWidth="1"/>
    <col min="6" max="16384" width="9.140625" style="75"/>
  </cols>
  <sheetData>
    <row r="1" spans="1:5">
      <c r="A1" s="75" t="s">
        <v>285</v>
      </c>
    </row>
    <row r="2" spans="1:5" ht="25.5">
      <c r="A2" s="486" t="s">
        <v>102</v>
      </c>
      <c r="B2" s="486"/>
      <c r="C2" s="486"/>
      <c r="D2" s="486"/>
      <c r="E2" s="486"/>
    </row>
    <row r="3" spans="1:5" ht="23.25">
      <c r="A3" s="201" t="s">
        <v>103</v>
      </c>
      <c r="B3" s="131" t="s">
        <v>104</v>
      </c>
      <c r="C3" s="131" t="s">
        <v>105</v>
      </c>
      <c r="D3" s="131" t="s">
        <v>106</v>
      </c>
      <c r="E3" s="131" t="s">
        <v>107</v>
      </c>
    </row>
    <row r="4" spans="1:5" ht="18">
      <c r="A4" s="131" t="s">
        <v>108</v>
      </c>
      <c r="B4" s="202">
        <f>'Effektiv rente annuitetslån'!D18</f>
        <v>4.4850294542936986E-2</v>
      </c>
      <c r="C4" s="202">
        <f>'Effektiv rente serielån'!D17</f>
        <v>4.6440105554629518E-2</v>
      </c>
      <c r="D4" s="202">
        <f>'Effektiv rente stående lån'!D17</f>
        <v>4.7191813507986513E-2</v>
      </c>
      <c r="E4" s="203">
        <f>'[1]Effektiv rente kassekredit'!E17</f>
        <v>0.11927763431903338</v>
      </c>
    </row>
    <row r="5" spans="1:5" ht="18">
      <c r="A5" s="131" t="s">
        <v>109</v>
      </c>
      <c r="B5" s="204">
        <f>'Effektiv rente annuitetslån'!D3-'Effektiv rente annuitetslån'!D7</f>
        <v>114000</v>
      </c>
      <c r="C5" s="204">
        <f>'Effektiv rente serielån'!D3-'Effektiv rente serielån'!D8</f>
        <v>160000</v>
      </c>
      <c r="D5" s="204">
        <f>'Effektiv rente stående lån'!D3-'Effektiv rente stående lån'!D8</f>
        <v>155000</v>
      </c>
      <c r="E5" s="203"/>
    </row>
    <row r="6" spans="1:5" ht="18">
      <c r="A6" s="131" t="s">
        <v>110</v>
      </c>
      <c r="B6" s="205">
        <f>'Effektiv rente annuitetslån'!D7</f>
        <v>4386000</v>
      </c>
      <c r="C6" s="205">
        <f>'Effektiv rente serielån'!D8</f>
        <v>4340000</v>
      </c>
      <c r="D6" s="205">
        <f>'Effektiv rente stående lån'!D8</f>
        <v>4345000</v>
      </c>
      <c r="E6" s="206">
        <f>'[1]Effektiv rente kassekredit'!B2*(1-'[1]Effektiv rente kassekredit'!B4)</f>
        <v>300000.00000000006</v>
      </c>
    </row>
    <row r="7" spans="1:5" ht="18">
      <c r="A7" s="131" t="s">
        <v>111</v>
      </c>
      <c r="B7" s="205">
        <f>'Effektiv rente annuitetslån'!C23*'Effektiv rente annuitetslån'!D10</f>
        <v>840617.7918204969</v>
      </c>
      <c r="C7" s="205">
        <f>'Effektiv rente serielån'!C23*'Effektiv rente serielån'!D11</f>
        <v>907500</v>
      </c>
      <c r="D7" s="205">
        <f>'Effektiv rente stående lån'!C22*'Effektiv rente stående lån'!D11</f>
        <v>180000</v>
      </c>
      <c r="E7" s="207" t="s">
        <v>32</v>
      </c>
    </row>
    <row r="8" spans="1:5" ht="18">
      <c r="A8" s="131" t="s">
        <v>112</v>
      </c>
      <c r="B8" s="208" t="str">
        <f>CONCATENATE('Effektiv rente annuitetslån'!D9," år")</f>
        <v>6 år</v>
      </c>
      <c r="C8" s="208" t="str">
        <f>CONCATENATE('Effektiv rente serielån'!D10," år")</f>
        <v>6 år</v>
      </c>
      <c r="D8" s="208" t="str">
        <f>CONCATENATE('Effektiv rente stående lån'!D10," år")</f>
        <v>6 år</v>
      </c>
      <c r="E8" s="209" t="s">
        <v>32</v>
      </c>
    </row>
    <row r="9" spans="1:5" ht="18" hidden="1">
      <c r="A9" s="131" t="s">
        <v>113</v>
      </c>
      <c r="B9" s="210" t="s">
        <v>114</v>
      </c>
      <c r="C9" s="210" t="s">
        <v>115</v>
      </c>
      <c r="D9" s="210" t="s">
        <v>116</v>
      </c>
      <c r="E9" s="209" t="s">
        <v>114</v>
      </c>
    </row>
    <row r="10" spans="1:5" ht="18" hidden="1">
      <c r="A10" s="131" t="s">
        <v>117</v>
      </c>
      <c r="B10" s="210" t="s">
        <v>118</v>
      </c>
      <c r="C10" s="210" t="s">
        <v>119</v>
      </c>
      <c r="D10" s="210" t="s">
        <v>120</v>
      </c>
      <c r="E10" s="209" t="s">
        <v>121</v>
      </c>
    </row>
    <row r="11" spans="1:5" ht="18" hidden="1">
      <c r="A11" s="131" t="s">
        <v>122</v>
      </c>
      <c r="B11" s="210" t="s">
        <v>123</v>
      </c>
      <c r="C11" s="210" t="s">
        <v>124</v>
      </c>
      <c r="D11" s="210" t="s">
        <v>123</v>
      </c>
      <c r="E11" s="209" t="s">
        <v>124</v>
      </c>
    </row>
    <row r="12" spans="1:5" ht="18" hidden="1">
      <c r="A12" s="131" t="s">
        <v>125</v>
      </c>
      <c r="B12" s="210" t="s">
        <v>126</v>
      </c>
      <c r="C12" s="210" t="s">
        <v>127</v>
      </c>
      <c r="D12" s="210" t="s">
        <v>127</v>
      </c>
      <c r="E12" s="209" t="s">
        <v>128</v>
      </c>
    </row>
    <row r="13" spans="1:5" ht="18" hidden="1">
      <c r="A13" s="131" t="s">
        <v>129</v>
      </c>
      <c r="B13" s="210" t="s">
        <v>130</v>
      </c>
      <c r="C13" s="210" t="s">
        <v>131</v>
      </c>
      <c r="D13" s="210" t="s">
        <v>132</v>
      </c>
      <c r="E13" s="131"/>
    </row>
    <row r="14" spans="1:5" ht="18">
      <c r="A14" s="131"/>
      <c r="B14" s="131"/>
      <c r="C14" s="131"/>
      <c r="D14" s="131"/>
      <c r="E14" s="131"/>
    </row>
    <row r="15" spans="1:5">
      <c r="A15" s="487" t="s">
        <v>133</v>
      </c>
      <c r="B15" s="488"/>
      <c r="C15" s="488"/>
      <c r="D15" s="488"/>
      <c r="E15" s="488"/>
    </row>
    <row r="16" spans="1:5">
      <c r="A16" s="488"/>
      <c r="B16" s="488"/>
      <c r="C16" s="488"/>
      <c r="D16" s="488"/>
      <c r="E16" s="488"/>
    </row>
    <row r="17" spans="1:5">
      <c r="A17" s="488"/>
      <c r="B17" s="488"/>
      <c r="C17" s="488"/>
      <c r="D17" s="488"/>
      <c r="E17" s="488"/>
    </row>
    <row r="18" spans="1:5">
      <c r="A18" s="488"/>
      <c r="B18" s="488"/>
      <c r="C18" s="488"/>
      <c r="D18" s="488"/>
      <c r="E18" s="488"/>
    </row>
    <row r="19" spans="1:5">
      <c r="A19" s="488"/>
      <c r="B19" s="488"/>
      <c r="C19" s="488"/>
      <c r="D19" s="488"/>
      <c r="E19" s="488"/>
    </row>
    <row r="20" spans="1:5">
      <c r="A20" s="488"/>
      <c r="B20" s="488"/>
      <c r="C20" s="488"/>
      <c r="D20" s="488"/>
      <c r="E20" s="488"/>
    </row>
    <row r="21" spans="1:5" ht="20.25">
      <c r="A21" s="212">
        <v>2.2999999999999998</v>
      </c>
    </row>
    <row r="22" spans="1:5" ht="20.25">
      <c r="A22" s="213" t="s">
        <v>134</v>
      </c>
    </row>
    <row r="23" spans="1:5" ht="20.25">
      <c r="A23" s="213" t="s">
        <v>135</v>
      </c>
    </row>
    <row r="24" spans="1:5" ht="20.25">
      <c r="A24" s="213" t="s">
        <v>136</v>
      </c>
    </row>
    <row r="25" spans="1:5" ht="20.25">
      <c r="A25" s="213" t="s">
        <v>137</v>
      </c>
    </row>
  </sheetData>
  <mergeCells count="2">
    <mergeCell ref="A2:E2"/>
    <mergeCell ref="A15:E20"/>
  </mergeCell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dimension ref="A1:E39"/>
  <sheetViews>
    <sheetView zoomScale="125" workbookViewId="0">
      <selection sqref="A1:XFD1"/>
    </sheetView>
  </sheetViews>
  <sheetFormatPr defaultRowHeight="12.75"/>
  <cols>
    <col min="1" max="1" width="25" style="75" customWidth="1"/>
    <col min="2" max="2" width="15.7109375" style="75" customWidth="1"/>
    <col min="3" max="3" width="8.140625" style="75" customWidth="1"/>
    <col min="4" max="4" width="9.28515625" style="75" customWidth="1"/>
    <col min="5" max="5" width="16.28515625" style="75" customWidth="1"/>
    <col min="6" max="256" width="9.140625" style="75"/>
    <col min="257" max="257" width="25" style="75" customWidth="1"/>
    <col min="258" max="258" width="15.7109375" style="75" customWidth="1"/>
    <col min="259" max="259" width="8.140625" style="75" customWidth="1"/>
    <col min="260" max="260" width="9.28515625" style="75" customWidth="1"/>
    <col min="261" max="261" width="16.28515625" style="75" customWidth="1"/>
    <col min="262" max="512" width="9.140625" style="75"/>
    <col min="513" max="513" width="25" style="75" customWidth="1"/>
    <col min="514" max="514" width="15.7109375" style="75" customWidth="1"/>
    <col min="515" max="515" width="8.140625" style="75" customWidth="1"/>
    <col min="516" max="516" width="9.28515625" style="75" customWidth="1"/>
    <col min="517" max="517" width="16.28515625" style="75" customWidth="1"/>
    <col min="518" max="768" width="9.140625" style="75"/>
    <col min="769" max="769" width="25" style="75" customWidth="1"/>
    <col min="770" max="770" width="15.7109375" style="75" customWidth="1"/>
    <col min="771" max="771" width="8.140625" style="75" customWidth="1"/>
    <col min="772" max="772" width="9.28515625" style="75" customWidth="1"/>
    <col min="773" max="773" width="16.28515625" style="75" customWidth="1"/>
    <col min="774" max="1024" width="9.140625" style="75"/>
    <col min="1025" max="1025" width="25" style="75" customWidth="1"/>
    <col min="1026" max="1026" width="15.7109375" style="75" customWidth="1"/>
    <col min="1027" max="1027" width="8.140625" style="75" customWidth="1"/>
    <col min="1028" max="1028" width="9.28515625" style="75" customWidth="1"/>
    <col min="1029" max="1029" width="16.28515625" style="75" customWidth="1"/>
    <col min="1030" max="1280" width="9.140625" style="75"/>
    <col min="1281" max="1281" width="25" style="75" customWidth="1"/>
    <col min="1282" max="1282" width="15.7109375" style="75" customWidth="1"/>
    <col min="1283" max="1283" width="8.140625" style="75" customWidth="1"/>
    <col min="1284" max="1284" width="9.28515625" style="75" customWidth="1"/>
    <col min="1285" max="1285" width="16.28515625" style="75" customWidth="1"/>
    <col min="1286" max="1536" width="9.140625" style="75"/>
    <col min="1537" max="1537" width="25" style="75" customWidth="1"/>
    <col min="1538" max="1538" width="15.7109375" style="75" customWidth="1"/>
    <col min="1539" max="1539" width="8.140625" style="75" customWidth="1"/>
    <col min="1540" max="1540" width="9.28515625" style="75" customWidth="1"/>
    <col min="1541" max="1541" width="16.28515625" style="75" customWidth="1"/>
    <col min="1542" max="1792" width="9.140625" style="75"/>
    <col min="1793" max="1793" width="25" style="75" customWidth="1"/>
    <col min="1794" max="1794" width="15.7109375" style="75" customWidth="1"/>
    <col min="1795" max="1795" width="8.140625" style="75" customWidth="1"/>
    <col min="1796" max="1796" width="9.28515625" style="75" customWidth="1"/>
    <col min="1797" max="1797" width="16.28515625" style="75" customWidth="1"/>
    <col min="1798" max="2048" width="9.140625" style="75"/>
    <col min="2049" max="2049" width="25" style="75" customWidth="1"/>
    <col min="2050" max="2050" width="15.7109375" style="75" customWidth="1"/>
    <col min="2051" max="2051" width="8.140625" style="75" customWidth="1"/>
    <col min="2052" max="2052" width="9.28515625" style="75" customWidth="1"/>
    <col min="2053" max="2053" width="16.28515625" style="75" customWidth="1"/>
    <col min="2054" max="2304" width="9.140625" style="75"/>
    <col min="2305" max="2305" width="25" style="75" customWidth="1"/>
    <col min="2306" max="2306" width="15.7109375" style="75" customWidth="1"/>
    <col min="2307" max="2307" width="8.140625" style="75" customWidth="1"/>
    <col min="2308" max="2308" width="9.28515625" style="75" customWidth="1"/>
    <col min="2309" max="2309" width="16.28515625" style="75" customWidth="1"/>
    <col min="2310" max="2560" width="9.140625" style="75"/>
    <col min="2561" max="2561" width="25" style="75" customWidth="1"/>
    <col min="2562" max="2562" width="15.7109375" style="75" customWidth="1"/>
    <col min="2563" max="2563" width="8.140625" style="75" customWidth="1"/>
    <col min="2564" max="2564" width="9.28515625" style="75" customWidth="1"/>
    <col min="2565" max="2565" width="16.28515625" style="75" customWidth="1"/>
    <col min="2566" max="2816" width="9.140625" style="75"/>
    <col min="2817" max="2817" width="25" style="75" customWidth="1"/>
    <col min="2818" max="2818" width="15.7109375" style="75" customWidth="1"/>
    <col min="2819" max="2819" width="8.140625" style="75" customWidth="1"/>
    <col min="2820" max="2820" width="9.28515625" style="75" customWidth="1"/>
    <col min="2821" max="2821" width="16.28515625" style="75" customWidth="1"/>
    <col min="2822" max="3072" width="9.140625" style="75"/>
    <col min="3073" max="3073" width="25" style="75" customWidth="1"/>
    <col min="3074" max="3074" width="15.7109375" style="75" customWidth="1"/>
    <col min="3075" max="3075" width="8.140625" style="75" customWidth="1"/>
    <col min="3076" max="3076" width="9.28515625" style="75" customWidth="1"/>
    <col min="3077" max="3077" width="16.28515625" style="75" customWidth="1"/>
    <col min="3078" max="3328" width="9.140625" style="75"/>
    <col min="3329" max="3329" width="25" style="75" customWidth="1"/>
    <col min="3330" max="3330" width="15.7109375" style="75" customWidth="1"/>
    <col min="3331" max="3331" width="8.140625" style="75" customWidth="1"/>
    <col min="3332" max="3332" width="9.28515625" style="75" customWidth="1"/>
    <col min="3333" max="3333" width="16.28515625" style="75" customWidth="1"/>
    <col min="3334" max="3584" width="9.140625" style="75"/>
    <col min="3585" max="3585" width="25" style="75" customWidth="1"/>
    <col min="3586" max="3586" width="15.7109375" style="75" customWidth="1"/>
    <col min="3587" max="3587" width="8.140625" style="75" customWidth="1"/>
    <col min="3588" max="3588" width="9.28515625" style="75" customWidth="1"/>
    <col min="3589" max="3589" width="16.28515625" style="75" customWidth="1"/>
    <col min="3590" max="3840" width="9.140625" style="75"/>
    <col min="3841" max="3841" width="25" style="75" customWidth="1"/>
    <col min="3842" max="3842" width="15.7109375" style="75" customWidth="1"/>
    <col min="3843" max="3843" width="8.140625" style="75" customWidth="1"/>
    <col min="3844" max="3844" width="9.28515625" style="75" customWidth="1"/>
    <col min="3845" max="3845" width="16.28515625" style="75" customWidth="1"/>
    <col min="3846" max="4096" width="9.140625" style="75"/>
    <col min="4097" max="4097" width="25" style="75" customWidth="1"/>
    <col min="4098" max="4098" width="15.7109375" style="75" customWidth="1"/>
    <col min="4099" max="4099" width="8.140625" style="75" customWidth="1"/>
    <col min="4100" max="4100" width="9.28515625" style="75" customWidth="1"/>
    <col min="4101" max="4101" width="16.28515625" style="75" customWidth="1"/>
    <col min="4102" max="4352" width="9.140625" style="75"/>
    <col min="4353" max="4353" width="25" style="75" customWidth="1"/>
    <col min="4354" max="4354" width="15.7109375" style="75" customWidth="1"/>
    <col min="4355" max="4355" width="8.140625" style="75" customWidth="1"/>
    <col min="4356" max="4356" width="9.28515625" style="75" customWidth="1"/>
    <col min="4357" max="4357" width="16.28515625" style="75" customWidth="1"/>
    <col min="4358" max="4608" width="9.140625" style="75"/>
    <col min="4609" max="4609" width="25" style="75" customWidth="1"/>
    <col min="4610" max="4610" width="15.7109375" style="75" customWidth="1"/>
    <col min="4611" max="4611" width="8.140625" style="75" customWidth="1"/>
    <col min="4612" max="4612" width="9.28515625" style="75" customWidth="1"/>
    <col min="4613" max="4613" width="16.28515625" style="75" customWidth="1"/>
    <col min="4614" max="4864" width="9.140625" style="75"/>
    <col min="4865" max="4865" width="25" style="75" customWidth="1"/>
    <col min="4866" max="4866" width="15.7109375" style="75" customWidth="1"/>
    <col min="4867" max="4867" width="8.140625" style="75" customWidth="1"/>
    <col min="4868" max="4868" width="9.28515625" style="75" customWidth="1"/>
    <col min="4869" max="4869" width="16.28515625" style="75" customWidth="1"/>
    <col min="4870" max="5120" width="9.140625" style="75"/>
    <col min="5121" max="5121" width="25" style="75" customWidth="1"/>
    <col min="5122" max="5122" width="15.7109375" style="75" customWidth="1"/>
    <col min="5123" max="5123" width="8.140625" style="75" customWidth="1"/>
    <col min="5124" max="5124" width="9.28515625" style="75" customWidth="1"/>
    <col min="5125" max="5125" width="16.28515625" style="75" customWidth="1"/>
    <col min="5126" max="5376" width="9.140625" style="75"/>
    <col min="5377" max="5377" width="25" style="75" customWidth="1"/>
    <col min="5378" max="5378" width="15.7109375" style="75" customWidth="1"/>
    <col min="5379" max="5379" width="8.140625" style="75" customWidth="1"/>
    <col min="5380" max="5380" width="9.28515625" style="75" customWidth="1"/>
    <col min="5381" max="5381" width="16.28515625" style="75" customWidth="1"/>
    <col min="5382" max="5632" width="9.140625" style="75"/>
    <col min="5633" max="5633" width="25" style="75" customWidth="1"/>
    <col min="5634" max="5634" width="15.7109375" style="75" customWidth="1"/>
    <col min="5635" max="5635" width="8.140625" style="75" customWidth="1"/>
    <col min="5636" max="5636" width="9.28515625" style="75" customWidth="1"/>
    <col min="5637" max="5637" width="16.28515625" style="75" customWidth="1"/>
    <col min="5638" max="5888" width="9.140625" style="75"/>
    <col min="5889" max="5889" width="25" style="75" customWidth="1"/>
    <col min="5890" max="5890" width="15.7109375" style="75" customWidth="1"/>
    <col min="5891" max="5891" width="8.140625" style="75" customWidth="1"/>
    <col min="5892" max="5892" width="9.28515625" style="75" customWidth="1"/>
    <col min="5893" max="5893" width="16.28515625" style="75" customWidth="1"/>
    <col min="5894" max="6144" width="9.140625" style="75"/>
    <col min="6145" max="6145" width="25" style="75" customWidth="1"/>
    <col min="6146" max="6146" width="15.7109375" style="75" customWidth="1"/>
    <col min="6147" max="6147" width="8.140625" style="75" customWidth="1"/>
    <col min="6148" max="6148" width="9.28515625" style="75" customWidth="1"/>
    <col min="6149" max="6149" width="16.28515625" style="75" customWidth="1"/>
    <col min="6150" max="6400" width="9.140625" style="75"/>
    <col min="6401" max="6401" width="25" style="75" customWidth="1"/>
    <col min="6402" max="6402" width="15.7109375" style="75" customWidth="1"/>
    <col min="6403" max="6403" width="8.140625" style="75" customWidth="1"/>
    <col min="6404" max="6404" width="9.28515625" style="75" customWidth="1"/>
    <col min="6405" max="6405" width="16.28515625" style="75" customWidth="1"/>
    <col min="6406" max="6656" width="9.140625" style="75"/>
    <col min="6657" max="6657" width="25" style="75" customWidth="1"/>
    <col min="6658" max="6658" width="15.7109375" style="75" customWidth="1"/>
    <col min="6659" max="6659" width="8.140625" style="75" customWidth="1"/>
    <col min="6660" max="6660" width="9.28515625" style="75" customWidth="1"/>
    <col min="6661" max="6661" width="16.28515625" style="75" customWidth="1"/>
    <col min="6662" max="6912" width="9.140625" style="75"/>
    <col min="6913" max="6913" width="25" style="75" customWidth="1"/>
    <col min="6914" max="6914" width="15.7109375" style="75" customWidth="1"/>
    <col min="6915" max="6915" width="8.140625" style="75" customWidth="1"/>
    <col min="6916" max="6916" width="9.28515625" style="75" customWidth="1"/>
    <col min="6917" max="6917" width="16.28515625" style="75" customWidth="1"/>
    <col min="6918" max="7168" width="9.140625" style="75"/>
    <col min="7169" max="7169" width="25" style="75" customWidth="1"/>
    <col min="7170" max="7170" width="15.7109375" style="75" customWidth="1"/>
    <col min="7171" max="7171" width="8.140625" style="75" customWidth="1"/>
    <col min="7172" max="7172" width="9.28515625" style="75" customWidth="1"/>
    <col min="7173" max="7173" width="16.28515625" style="75" customWidth="1"/>
    <col min="7174" max="7424" width="9.140625" style="75"/>
    <col min="7425" max="7425" width="25" style="75" customWidth="1"/>
    <col min="7426" max="7426" width="15.7109375" style="75" customWidth="1"/>
    <col min="7427" max="7427" width="8.140625" style="75" customWidth="1"/>
    <col min="7428" max="7428" width="9.28515625" style="75" customWidth="1"/>
    <col min="7429" max="7429" width="16.28515625" style="75" customWidth="1"/>
    <col min="7430" max="7680" width="9.140625" style="75"/>
    <col min="7681" max="7681" width="25" style="75" customWidth="1"/>
    <col min="7682" max="7682" width="15.7109375" style="75" customWidth="1"/>
    <col min="7683" max="7683" width="8.140625" style="75" customWidth="1"/>
    <col min="7684" max="7684" width="9.28515625" style="75" customWidth="1"/>
    <col min="7685" max="7685" width="16.28515625" style="75" customWidth="1"/>
    <col min="7686" max="7936" width="9.140625" style="75"/>
    <col min="7937" max="7937" width="25" style="75" customWidth="1"/>
    <col min="7938" max="7938" width="15.7109375" style="75" customWidth="1"/>
    <col min="7939" max="7939" width="8.140625" style="75" customWidth="1"/>
    <col min="7940" max="7940" width="9.28515625" style="75" customWidth="1"/>
    <col min="7941" max="7941" width="16.28515625" style="75" customWidth="1"/>
    <col min="7942" max="8192" width="9.140625" style="75"/>
    <col min="8193" max="8193" width="25" style="75" customWidth="1"/>
    <col min="8194" max="8194" width="15.7109375" style="75" customWidth="1"/>
    <col min="8195" max="8195" width="8.140625" style="75" customWidth="1"/>
    <col min="8196" max="8196" width="9.28515625" style="75" customWidth="1"/>
    <col min="8197" max="8197" width="16.28515625" style="75" customWidth="1"/>
    <col min="8198" max="8448" width="9.140625" style="75"/>
    <col min="8449" max="8449" width="25" style="75" customWidth="1"/>
    <col min="8450" max="8450" width="15.7109375" style="75" customWidth="1"/>
    <col min="8451" max="8451" width="8.140625" style="75" customWidth="1"/>
    <col min="8452" max="8452" width="9.28515625" style="75" customWidth="1"/>
    <col min="8453" max="8453" width="16.28515625" style="75" customWidth="1"/>
    <col min="8454" max="8704" width="9.140625" style="75"/>
    <col min="8705" max="8705" width="25" style="75" customWidth="1"/>
    <col min="8706" max="8706" width="15.7109375" style="75" customWidth="1"/>
    <col min="8707" max="8707" width="8.140625" style="75" customWidth="1"/>
    <col min="8708" max="8708" width="9.28515625" style="75" customWidth="1"/>
    <col min="8709" max="8709" width="16.28515625" style="75" customWidth="1"/>
    <col min="8710" max="8960" width="9.140625" style="75"/>
    <col min="8961" max="8961" width="25" style="75" customWidth="1"/>
    <col min="8962" max="8962" width="15.7109375" style="75" customWidth="1"/>
    <col min="8963" max="8963" width="8.140625" style="75" customWidth="1"/>
    <col min="8964" max="8964" width="9.28515625" style="75" customWidth="1"/>
    <col min="8965" max="8965" width="16.28515625" style="75" customWidth="1"/>
    <col min="8966" max="9216" width="9.140625" style="75"/>
    <col min="9217" max="9217" width="25" style="75" customWidth="1"/>
    <col min="9218" max="9218" width="15.7109375" style="75" customWidth="1"/>
    <col min="9219" max="9219" width="8.140625" style="75" customWidth="1"/>
    <col min="9220" max="9220" width="9.28515625" style="75" customWidth="1"/>
    <col min="9221" max="9221" width="16.28515625" style="75" customWidth="1"/>
    <col min="9222" max="9472" width="9.140625" style="75"/>
    <col min="9473" max="9473" width="25" style="75" customWidth="1"/>
    <col min="9474" max="9474" width="15.7109375" style="75" customWidth="1"/>
    <col min="9475" max="9475" width="8.140625" style="75" customWidth="1"/>
    <col min="9476" max="9476" width="9.28515625" style="75" customWidth="1"/>
    <col min="9477" max="9477" width="16.28515625" style="75" customWidth="1"/>
    <col min="9478" max="9728" width="9.140625" style="75"/>
    <col min="9729" max="9729" width="25" style="75" customWidth="1"/>
    <col min="9730" max="9730" width="15.7109375" style="75" customWidth="1"/>
    <col min="9731" max="9731" width="8.140625" style="75" customWidth="1"/>
    <col min="9732" max="9732" width="9.28515625" style="75" customWidth="1"/>
    <col min="9733" max="9733" width="16.28515625" style="75" customWidth="1"/>
    <col min="9734" max="9984" width="9.140625" style="75"/>
    <col min="9985" max="9985" width="25" style="75" customWidth="1"/>
    <col min="9986" max="9986" width="15.7109375" style="75" customWidth="1"/>
    <col min="9987" max="9987" width="8.140625" style="75" customWidth="1"/>
    <col min="9988" max="9988" width="9.28515625" style="75" customWidth="1"/>
    <col min="9989" max="9989" width="16.28515625" style="75" customWidth="1"/>
    <col min="9990" max="10240" width="9.140625" style="75"/>
    <col min="10241" max="10241" width="25" style="75" customWidth="1"/>
    <col min="10242" max="10242" width="15.7109375" style="75" customWidth="1"/>
    <col min="10243" max="10243" width="8.140625" style="75" customWidth="1"/>
    <col min="10244" max="10244" width="9.28515625" style="75" customWidth="1"/>
    <col min="10245" max="10245" width="16.28515625" style="75" customWidth="1"/>
    <col min="10246" max="10496" width="9.140625" style="75"/>
    <col min="10497" max="10497" width="25" style="75" customWidth="1"/>
    <col min="10498" max="10498" width="15.7109375" style="75" customWidth="1"/>
    <col min="10499" max="10499" width="8.140625" style="75" customWidth="1"/>
    <col min="10500" max="10500" width="9.28515625" style="75" customWidth="1"/>
    <col min="10501" max="10501" width="16.28515625" style="75" customWidth="1"/>
    <col min="10502" max="10752" width="9.140625" style="75"/>
    <col min="10753" max="10753" width="25" style="75" customWidth="1"/>
    <col min="10754" max="10754" width="15.7109375" style="75" customWidth="1"/>
    <col min="10755" max="10755" width="8.140625" style="75" customWidth="1"/>
    <col min="10756" max="10756" width="9.28515625" style="75" customWidth="1"/>
    <col min="10757" max="10757" width="16.28515625" style="75" customWidth="1"/>
    <col min="10758" max="11008" width="9.140625" style="75"/>
    <col min="11009" max="11009" width="25" style="75" customWidth="1"/>
    <col min="11010" max="11010" width="15.7109375" style="75" customWidth="1"/>
    <col min="11011" max="11011" width="8.140625" style="75" customWidth="1"/>
    <col min="11012" max="11012" width="9.28515625" style="75" customWidth="1"/>
    <col min="11013" max="11013" width="16.28515625" style="75" customWidth="1"/>
    <col min="11014" max="11264" width="9.140625" style="75"/>
    <col min="11265" max="11265" width="25" style="75" customWidth="1"/>
    <col min="11266" max="11266" width="15.7109375" style="75" customWidth="1"/>
    <col min="11267" max="11267" width="8.140625" style="75" customWidth="1"/>
    <col min="11268" max="11268" width="9.28515625" style="75" customWidth="1"/>
    <col min="11269" max="11269" width="16.28515625" style="75" customWidth="1"/>
    <col min="11270" max="11520" width="9.140625" style="75"/>
    <col min="11521" max="11521" width="25" style="75" customWidth="1"/>
    <col min="11522" max="11522" width="15.7109375" style="75" customWidth="1"/>
    <col min="11523" max="11523" width="8.140625" style="75" customWidth="1"/>
    <col min="11524" max="11524" width="9.28515625" style="75" customWidth="1"/>
    <col min="11525" max="11525" width="16.28515625" style="75" customWidth="1"/>
    <col min="11526" max="11776" width="9.140625" style="75"/>
    <col min="11777" max="11777" width="25" style="75" customWidth="1"/>
    <col min="11778" max="11778" width="15.7109375" style="75" customWidth="1"/>
    <col min="11779" max="11779" width="8.140625" style="75" customWidth="1"/>
    <col min="11780" max="11780" width="9.28515625" style="75" customWidth="1"/>
    <col min="11781" max="11781" width="16.28515625" style="75" customWidth="1"/>
    <col min="11782" max="12032" width="9.140625" style="75"/>
    <col min="12033" max="12033" width="25" style="75" customWidth="1"/>
    <col min="12034" max="12034" width="15.7109375" style="75" customWidth="1"/>
    <col min="12035" max="12035" width="8.140625" style="75" customWidth="1"/>
    <col min="12036" max="12036" width="9.28515625" style="75" customWidth="1"/>
    <col min="12037" max="12037" width="16.28515625" style="75" customWidth="1"/>
    <col min="12038" max="12288" width="9.140625" style="75"/>
    <col min="12289" max="12289" width="25" style="75" customWidth="1"/>
    <col min="12290" max="12290" width="15.7109375" style="75" customWidth="1"/>
    <col min="12291" max="12291" width="8.140625" style="75" customWidth="1"/>
    <col min="12292" max="12292" width="9.28515625" style="75" customWidth="1"/>
    <col min="12293" max="12293" width="16.28515625" style="75" customWidth="1"/>
    <col min="12294" max="12544" width="9.140625" style="75"/>
    <col min="12545" max="12545" width="25" style="75" customWidth="1"/>
    <col min="12546" max="12546" width="15.7109375" style="75" customWidth="1"/>
    <col min="12547" max="12547" width="8.140625" style="75" customWidth="1"/>
    <col min="12548" max="12548" width="9.28515625" style="75" customWidth="1"/>
    <col min="12549" max="12549" width="16.28515625" style="75" customWidth="1"/>
    <col min="12550" max="12800" width="9.140625" style="75"/>
    <col min="12801" max="12801" width="25" style="75" customWidth="1"/>
    <col min="12802" max="12802" width="15.7109375" style="75" customWidth="1"/>
    <col min="12803" max="12803" width="8.140625" style="75" customWidth="1"/>
    <col min="12804" max="12804" width="9.28515625" style="75" customWidth="1"/>
    <col min="12805" max="12805" width="16.28515625" style="75" customWidth="1"/>
    <col min="12806" max="13056" width="9.140625" style="75"/>
    <col min="13057" max="13057" width="25" style="75" customWidth="1"/>
    <col min="13058" max="13058" width="15.7109375" style="75" customWidth="1"/>
    <col min="13059" max="13059" width="8.140625" style="75" customWidth="1"/>
    <col min="13060" max="13060" width="9.28515625" style="75" customWidth="1"/>
    <col min="13061" max="13061" width="16.28515625" style="75" customWidth="1"/>
    <col min="13062" max="13312" width="9.140625" style="75"/>
    <col min="13313" max="13313" width="25" style="75" customWidth="1"/>
    <col min="13314" max="13314" width="15.7109375" style="75" customWidth="1"/>
    <col min="13315" max="13315" width="8.140625" style="75" customWidth="1"/>
    <col min="13316" max="13316" width="9.28515625" style="75" customWidth="1"/>
    <col min="13317" max="13317" width="16.28515625" style="75" customWidth="1"/>
    <col min="13318" max="13568" width="9.140625" style="75"/>
    <col min="13569" max="13569" width="25" style="75" customWidth="1"/>
    <col min="13570" max="13570" width="15.7109375" style="75" customWidth="1"/>
    <col min="13571" max="13571" width="8.140625" style="75" customWidth="1"/>
    <col min="13572" max="13572" width="9.28515625" style="75" customWidth="1"/>
    <col min="13573" max="13573" width="16.28515625" style="75" customWidth="1"/>
    <col min="13574" max="13824" width="9.140625" style="75"/>
    <col min="13825" max="13825" width="25" style="75" customWidth="1"/>
    <col min="13826" max="13826" width="15.7109375" style="75" customWidth="1"/>
    <col min="13827" max="13827" width="8.140625" style="75" customWidth="1"/>
    <col min="13828" max="13828" width="9.28515625" style="75" customWidth="1"/>
    <col min="13829" max="13829" width="16.28515625" style="75" customWidth="1"/>
    <col min="13830" max="14080" width="9.140625" style="75"/>
    <col min="14081" max="14081" width="25" style="75" customWidth="1"/>
    <col min="14082" max="14082" width="15.7109375" style="75" customWidth="1"/>
    <col min="14083" max="14083" width="8.140625" style="75" customWidth="1"/>
    <col min="14084" max="14084" width="9.28515625" style="75" customWidth="1"/>
    <col min="14085" max="14085" width="16.28515625" style="75" customWidth="1"/>
    <col min="14086" max="14336" width="9.140625" style="75"/>
    <col min="14337" max="14337" width="25" style="75" customWidth="1"/>
    <col min="14338" max="14338" width="15.7109375" style="75" customWidth="1"/>
    <col min="14339" max="14339" width="8.140625" style="75" customWidth="1"/>
    <col min="14340" max="14340" width="9.28515625" style="75" customWidth="1"/>
    <col min="14341" max="14341" width="16.28515625" style="75" customWidth="1"/>
    <col min="14342" max="14592" width="9.140625" style="75"/>
    <col min="14593" max="14593" width="25" style="75" customWidth="1"/>
    <col min="14594" max="14594" width="15.7109375" style="75" customWidth="1"/>
    <col min="14595" max="14595" width="8.140625" style="75" customWidth="1"/>
    <col min="14596" max="14596" width="9.28515625" style="75" customWidth="1"/>
    <col min="14597" max="14597" width="16.28515625" style="75" customWidth="1"/>
    <col min="14598" max="14848" width="9.140625" style="75"/>
    <col min="14849" max="14849" width="25" style="75" customWidth="1"/>
    <col min="14850" max="14850" width="15.7109375" style="75" customWidth="1"/>
    <col min="14851" max="14851" width="8.140625" style="75" customWidth="1"/>
    <col min="14852" max="14852" width="9.28515625" style="75" customWidth="1"/>
    <col min="14853" max="14853" width="16.28515625" style="75" customWidth="1"/>
    <col min="14854" max="15104" width="9.140625" style="75"/>
    <col min="15105" max="15105" width="25" style="75" customWidth="1"/>
    <col min="15106" max="15106" width="15.7109375" style="75" customWidth="1"/>
    <col min="15107" max="15107" width="8.140625" style="75" customWidth="1"/>
    <col min="15108" max="15108" width="9.28515625" style="75" customWidth="1"/>
    <col min="15109" max="15109" width="16.28515625" style="75" customWidth="1"/>
    <col min="15110" max="15360" width="9.140625" style="75"/>
    <col min="15361" max="15361" width="25" style="75" customWidth="1"/>
    <col min="15362" max="15362" width="15.7109375" style="75" customWidth="1"/>
    <col min="15363" max="15363" width="8.140625" style="75" customWidth="1"/>
    <col min="15364" max="15364" width="9.28515625" style="75" customWidth="1"/>
    <col min="15365" max="15365" width="16.28515625" style="75" customWidth="1"/>
    <col min="15366" max="15616" width="9.140625" style="75"/>
    <col min="15617" max="15617" width="25" style="75" customWidth="1"/>
    <col min="15618" max="15618" width="15.7109375" style="75" customWidth="1"/>
    <col min="15619" max="15619" width="8.140625" style="75" customWidth="1"/>
    <col min="15620" max="15620" width="9.28515625" style="75" customWidth="1"/>
    <col min="15621" max="15621" width="16.28515625" style="75" customWidth="1"/>
    <col min="15622" max="15872" width="9.140625" style="75"/>
    <col min="15873" max="15873" width="25" style="75" customWidth="1"/>
    <col min="15874" max="15874" width="15.7109375" style="75" customWidth="1"/>
    <col min="15875" max="15875" width="8.140625" style="75" customWidth="1"/>
    <col min="15876" max="15876" width="9.28515625" style="75" customWidth="1"/>
    <col min="15877" max="15877" width="16.28515625" style="75" customWidth="1"/>
    <col min="15878" max="16128" width="9.140625" style="75"/>
    <col min="16129" max="16129" width="25" style="75" customWidth="1"/>
    <col min="16130" max="16130" width="15.7109375" style="75" customWidth="1"/>
    <col min="16131" max="16131" width="8.140625" style="75" customWidth="1"/>
    <col min="16132" max="16132" width="9.28515625" style="75" customWidth="1"/>
    <col min="16133" max="16133" width="16.28515625" style="75" customWidth="1"/>
    <col min="16134" max="16384" width="9.140625" style="75"/>
  </cols>
  <sheetData>
    <row r="1" spans="1:5">
      <c r="A1" s="75" t="s">
        <v>286</v>
      </c>
    </row>
    <row r="2" spans="1:5" ht="24" thickBot="1">
      <c r="A2" s="489" t="str">
        <f>CONCATENATE("Resultatbudget for"," ",B3+1)</f>
        <v>Resultatbudget for 2013</v>
      </c>
      <c r="B2" s="489"/>
      <c r="C2" s="489"/>
      <c r="D2" s="489"/>
      <c r="E2" s="490"/>
    </row>
    <row r="3" spans="1:5" ht="25.5">
      <c r="A3" s="215"/>
      <c r="B3" s="216">
        <v>2012</v>
      </c>
      <c r="C3" s="217" t="s">
        <v>138</v>
      </c>
      <c r="D3" s="218" t="s">
        <v>139</v>
      </c>
      <c r="E3" s="219" t="str">
        <f>CONCATENATE("Budget",  B3+1)</f>
        <v>Budget2013</v>
      </c>
    </row>
    <row r="4" spans="1:5">
      <c r="A4" s="91" t="s">
        <v>140</v>
      </c>
      <c r="B4" s="220">
        <v>70000</v>
      </c>
      <c r="C4" s="221">
        <v>1.02</v>
      </c>
      <c r="D4" s="221">
        <v>0.98</v>
      </c>
      <c r="E4" s="222">
        <f>B4*C4*D4</f>
        <v>69972</v>
      </c>
    </row>
    <row r="5" spans="1:5">
      <c r="A5" s="223" t="s">
        <v>141</v>
      </c>
      <c r="B5" s="220">
        <v>18000</v>
      </c>
      <c r="C5" s="224">
        <v>0.97</v>
      </c>
      <c r="D5" s="225">
        <f>D4</f>
        <v>0.98</v>
      </c>
      <c r="E5" s="222">
        <f>B5*C5*D5</f>
        <v>17110.8</v>
      </c>
    </row>
    <row r="6" spans="1:5">
      <c r="A6" s="91" t="str">
        <f>IF(A5="Råvarer","Arbejdsløn","-")</f>
        <v>Arbejdsløn</v>
      </c>
      <c r="B6" s="220">
        <v>18000</v>
      </c>
      <c r="C6" s="224">
        <v>1.01</v>
      </c>
      <c r="D6" s="225">
        <f>IF(A6="arbejdsløn",D5,0)</f>
        <v>0.98</v>
      </c>
      <c r="E6" s="222">
        <f>B6*C6*D6</f>
        <v>17816.400000000001</v>
      </c>
    </row>
    <row r="7" spans="1:5" hidden="1">
      <c r="A7" s="226" t="s">
        <v>142</v>
      </c>
      <c r="B7" s="227">
        <f>B4-B5-B6</f>
        <v>34000</v>
      </c>
      <c r="C7" s="228"/>
      <c r="D7" s="228"/>
      <c r="E7" s="229">
        <f>E4-E6-E5</f>
        <v>35044.800000000003</v>
      </c>
    </row>
    <row r="8" spans="1:5" hidden="1">
      <c r="A8" s="230" t="s">
        <v>143</v>
      </c>
      <c r="B8" s="220">
        <v>0</v>
      </c>
      <c r="C8" s="224">
        <v>1</v>
      </c>
      <c r="D8" s="231"/>
      <c r="E8" s="222">
        <f>B8*C8</f>
        <v>0</v>
      </c>
    </row>
    <row r="9" spans="1:5">
      <c r="A9" s="226" t="s">
        <v>144</v>
      </c>
      <c r="B9" s="227">
        <f>B7-B8</f>
        <v>34000</v>
      </c>
      <c r="C9" s="228"/>
      <c r="D9" s="228"/>
      <c r="E9" s="229">
        <f>E7-E8</f>
        <v>35044.800000000003</v>
      </c>
    </row>
    <row r="10" spans="1:5" hidden="1">
      <c r="A10" s="230" t="s">
        <v>143</v>
      </c>
      <c r="B10" s="220">
        <v>0</v>
      </c>
      <c r="C10" s="224">
        <v>1</v>
      </c>
      <c r="D10" s="231"/>
      <c r="E10" s="222">
        <f>B10*C10</f>
        <v>0</v>
      </c>
    </row>
    <row r="11" spans="1:5" hidden="1">
      <c r="A11" s="226" t="s">
        <v>145</v>
      </c>
      <c r="B11" s="227">
        <f>B9-B10</f>
        <v>34000</v>
      </c>
      <c r="C11" s="228"/>
      <c r="D11" s="228"/>
      <c r="E11" s="229">
        <f>E9-E10</f>
        <v>35044.800000000003</v>
      </c>
    </row>
    <row r="12" spans="1:5">
      <c r="A12" s="230" t="s">
        <v>146</v>
      </c>
      <c r="B12" s="220">
        <v>22500</v>
      </c>
      <c r="C12" s="224">
        <v>1.05</v>
      </c>
      <c r="D12" s="231"/>
      <c r="E12" s="222">
        <f>B12*C12</f>
        <v>23625</v>
      </c>
    </row>
    <row r="13" spans="1:5" hidden="1">
      <c r="A13" s="91" t="s">
        <v>147</v>
      </c>
      <c r="B13" s="220">
        <v>0</v>
      </c>
      <c r="C13" s="224">
        <v>1</v>
      </c>
      <c r="D13" s="231"/>
      <c r="E13" s="222">
        <f>B13*C13</f>
        <v>0</v>
      </c>
    </row>
    <row r="14" spans="1:5" hidden="1">
      <c r="A14" s="91" t="s">
        <v>148</v>
      </c>
      <c r="B14" s="220">
        <v>0</v>
      </c>
      <c r="C14" s="224">
        <v>1</v>
      </c>
      <c r="D14" s="231"/>
      <c r="E14" s="222">
        <f>B14*C14</f>
        <v>0</v>
      </c>
    </row>
    <row r="15" spans="1:5" hidden="1">
      <c r="A15" s="91"/>
      <c r="B15" s="220">
        <v>0</v>
      </c>
      <c r="C15" s="224"/>
      <c r="D15" s="231"/>
      <c r="E15" s="222"/>
    </row>
    <row r="16" spans="1:5" hidden="1">
      <c r="A16" s="91" t="s">
        <v>149</v>
      </c>
      <c r="B16" s="220">
        <v>0</v>
      </c>
      <c r="C16" s="224">
        <v>1</v>
      </c>
      <c r="D16" s="231"/>
      <c r="E16" s="222">
        <f>B16*C16</f>
        <v>0</v>
      </c>
    </row>
    <row r="17" spans="1:5">
      <c r="A17" s="226" t="s">
        <v>150</v>
      </c>
      <c r="B17" s="227">
        <f>B11-SUM(B12:B16)</f>
        <v>11500</v>
      </c>
      <c r="C17" s="227"/>
      <c r="D17" s="227"/>
      <c r="E17" s="227">
        <f>E11-SUM(E12:E16)</f>
        <v>11419.800000000003</v>
      </c>
    </row>
    <row r="18" spans="1:5">
      <c r="A18" s="91" t="s">
        <v>151</v>
      </c>
      <c r="B18" s="220">
        <v>6000</v>
      </c>
      <c r="C18" s="224">
        <v>1</v>
      </c>
      <c r="D18" s="231"/>
      <c r="E18" s="222">
        <v>6400</v>
      </c>
    </row>
    <row r="19" spans="1:5">
      <c r="A19" s="226" t="s">
        <v>152</v>
      </c>
      <c r="B19" s="232">
        <f>B17-B18</f>
        <v>5500</v>
      </c>
      <c r="C19" s="233"/>
      <c r="D19" s="233"/>
      <c r="E19" s="234">
        <f>E17-E18</f>
        <v>5019.8000000000029</v>
      </c>
    </row>
    <row r="20" spans="1:5">
      <c r="A20" s="91" t="s">
        <v>153</v>
      </c>
      <c r="B20" s="220">
        <v>606</v>
      </c>
      <c r="C20" s="224">
        <v>1</v>
      </c>
      <c r="D20" s="231"/>
      <c r="E20" s="222">
        <v>620</v>
      </c>
    </row>
    <row r="21" spans="1:5" hidden="1">
      <c r="A21" s="91" t="s">
        <v>154</v>
      </c>
      <c r="B21" s="220">
        <v>0</v>
      </c>
      <c r="C21" s="224">
        <v>1</v>
      </c>
      <c r="D21" s="231"/>
      <c r="E21" s="222">
        <f>B21*C21</f>
        <v>0</v>
      </c>
    </row>
    <row r="22" spans="1:5" hidden="1">
      <c r="A22" s="226" t="s">
        <v>155</v>
      </c>
      <c r="B22" s="232">
        <f>B19-B20+B21</f>
        <v>4894</v>
      </c>
      <c r="C22" s="233"/>
      <c r="D22" s="233"/>
      <c r="E22" s="234">
        <f>E19-E20+E21</f>
        <v>4399.8000000000029</v>
      </c>
    </row>
    <row r="23" spans="1:5" hidden="1">
      <c r="A23" s="91" t="s">
        <v>156</v>
      </c>
      <c r="B23" s="220">
        <v>0</v>
      </c>
      <c r="C23" s="224">
        <v>0</v>
      </c>
      <c r="D23" s="231"/>
      <c r="E23" s="222">
        <f>B23*C23</f>
        <v>0</v>
      </c>
    </row>
    <row r="24" spans="1:5">
      <c r="A24" s="226" t="s">
        <v>157</v>
      </c>
      <c r="B24" s="232">
        <f>B22-B23</f>
        <v>4894</v>
      </c>
      <c r="C24" s="233"/>
      <c r="D24" s="233"/>
      <c r="E24" s="234">
        <f>E22-E23</f>
        <v>4399.8000000000029</v>
      </c>
    </row>
    <row r="25" spans="1:5">
      <c r="A25" s="91" t="s">
        <v>158</v>
      </c>
      <c r="B25" s="235">
        <v>1594</v>
      </c>
      <c r="C25" s="236"/>
      <c r="D25" s="237">
        <v>0.25</v>
      </c>
      <c r="E25" s="234">
        <f>E24*D25</f>
        <v>1099.9500000000007</v>
      </c>
    </row>
    <row r="26" spans="1:5" ht="13.5" thickBot="1">
      <c r="A26" s="238" t="s">
        <v>4</v>
      </c>
      <c r="B26" s="239">
        <f>B24-B25</f>
        <v>3300</v>
      </c>
      <c r="C26" s="240"/>
      <c r="D26" s="240"/>
      <c r="E26" s="241">
        <f>E24-E25</f>
        <v>3299.8500000000022</v>
      </c>
    </row>
    <row r="27" spans="1:5" ht="13.5" thickTop="1"/>
    <row r="28" spans="1:5">
      <c r="A28" s="195" t="s">
        <v>159</v>
      </c>
    </row>
    <row r="29" spans="1:5">
      <c r="A29" s="75" t="s">
        <v>160</v>
      </c>
      <c r="B29" s="242">
        <v>1200</v>
      </c>
      <c r="E29" s="242">
        <v>1400</v>
      </c>
    </row>
    <row r="30" spans="1:5">
      <c r="A30" s="195" t="s">
        <v>161</v>
      </c>
      <c r="B30" s="242">
        <v>2100</v>
      </c>
      <c r="E30" s="242">
        <v>1900</v>
      </c>
    </row>
    <row r="31" spans="1:5">
      <c r="B31" s="243">
        <f>SUM(B29:B30)</f>
        <v>3300</v>
      </c>
      <c r="E31" s="244">
        <f>SUM(E29:E30)</f>
        <v>3300</v>
      </c>
    </row>
    <row r="32" spans="1:5">
      <c r="A32" s="195"/>
      <c r="E32" s="94"/>
    </row>
    <row r="33" spans="1:5">
      <c r="A33" s="195"/>
      <c r="E33" s="94"/>
    </row>
    <row r="34" spans="1:5">
      <c r="B34" s="75">
        <f>B3</f>
        <v>2012</v>
      </c>
      <c r="C34" s="491" t="s">
        <v>162</v>
      </c>
      <c r="D34" s="491"/>
      <c r="E34" s="75">
        <f>B34+1</f>
        <v>2013</v>
      </c>
    </row>
    <row r="35" spans="1:5">
      <c r="A35" s="75" t="s">
        <v>163</v>
      </c>
      <c r="B35" s="245">
        <v>10000</v>
      </c>
      <c r="C35" s="492">
        <v>-1000</v>
      </c>
      <c r="D35" s="492"/>
      <c r="E35" s="163">
        <f>B35+C35</f>
        <v>9000</v>
      </c>
    </row>
    <row r="37" spans="1:5" hidden="1">
      <c r="A37" s="246" t="s">
        <v>164</v>
      </c>
      <c r="B37" s="247" t="str">
        <f>IF(C37&gt;0,"incl. moms","excl. moms")</f>
        <v>excl. moms</v>
      </c>
      <c r="C37" s="493">
        <v>0</v>
      </c>
      <c r="D37" s="494"/>
    </row>
    <row r="38" spans="1:5" hidden="1"/>
    <row r="39" spans="1:5" hidden="1">
      <c r="A39" s="195" t="s">
        <v>165</v>
      </c>
      <c r="C39" s="495">
        <v>0</v>
      </c>
      <c r="D39" s="495"/>
    </row>
  </sheetData>
  <mergeCells count="5">
    <mergeCell ref="A2:E2"/>
    <mergeCell ref="C34:D34"/>
    <mergeCell ref="C35:D35"/>
    <mergeCell ref="C37:D37"/>
    <mergeCell ref="C39:D39"/>
  </mergeCells>
  <pageMargins left="0.59055118110236227" right="0.39370078740157483" top="0.98425196850393704" bottom="0.98425196850393704" header="0" footer="0"/>
  <pageSetup paperSize="9" scale="118"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dimension ref="A1:I66"/>
  <sheetViews>
    <sheetView workbookViewId="0">
      <selection activeCell="A2" sqref="A2:F2"/>
    </sheetView>
  </sheetViews>
  <sheetFormatPr defaultRowHeight="12.75"/>
  <cols>
    <col min="1" max="1" width="11.85546875" style="75" bestFit="1" customWidth="1"/>
    <col min="2" max="2" width="18.85546875" style="75" customWidth="1"/>
    <col min="3" max="3" width="15.28515625" style="75" customWidth="1"/>
    <col min="4" max="4" width="16" style="75" customWidth="1"/>
    <col min="5" max="5" width="14.42578125" style="75" customWidth="1"/>
    <col min="6" max="6" width="15.7109375" style="75" customWidth="1"/>
    <col min="7" max="256" width="9.140625" style="75"/>
    <col min="257" max="257" width="11.85546875" style="75" bestFit="1" customWidth="1"/>
    <col min="258" max="258" width="18.85546875" style="75" customWidth="1"/>
    <col min="259" max="259" width="15.28515625" style="75" customWidth="1"/>
    <col min="260" max="260" width="16" style="75" customWidth="1"/>
    <col min="261" max="261" width="14.42578125" style="75" customWidth="1"/>
    <col min="262" max="262" width="15.7109375" style="75" customWidth="1"/>
    <col min="263" max="512" width="9.140625" style="75"/>
    <col min="513" max="513" width="11.85546875" style="75" bestFit="1" customWidth="1"/>
    <col min="514" max="514" width="18.85546875" style="75" customWidth="1"/>
    <col min="515" max="515" width="15.28515625" style="75" customWidth="1"/>
    <col min="516" max="516" width="16" style="75" customWidth="1"/>
    <col min="517" max="517" width="14.42578125" style="75" customWidth="1"/>
    <col min="518" max="518" width="15.7109375" style="75" customWidth="1"/>
    <col min="519" max="768" width="9.140625" style="75"/>
    <col min="769" max="769" width="11.85546875" style="75" bestFit="1" customWidth="1"/>
    <col min="770" max="770" width="18.85546875" style="75" customWidth="1"/>
    <col min="771" max="771" width="15.28515625" style="75" customWidth="1"/>
    <col min="772" max="772" width="16" style="75" customWidth="1"/>
    <col min="773" max="773" width="14.42578125" style="75" customWidth="1"/>
    <col min="774" max="774" width="15.7109375" style="75" customWidth="1"/>
    <col min="775" max="1024" width="9.140625" style="75"/>
    <col min="1025" max="1025" width="11.85546875" style="75" bestFit="1" customWidth="1"/>
    <col min="1026" max="1026" width="18.85546875" style="75" customWidth="1"/>
    <col min="1027" max="1027" width="15.28515625" style="75" customWidth="1"/>
    <col min="1028" max="1028" width="16" style="75" customWidth="1"/>
    <col min="1029" max="1029" width="14.42578125" style="75" customWidth="1"/>
    <col min="1030" max="1030" width="15.7109375" style="75" customWidth="1"/>
    <col min="1031" max="1280" width="9.140625" style="75"/>
    <col min="1281" max="1281" width="11.85546875" style="75" bestFit="1" customWidth="1"/>
    <col min="1282" max="1282" width="18.85546875" style="75" customWidth="1"/>
    <col min="1283" max="1283" width="15.28515625" style="75" customWidth="1"/>
    <col min="1284" max="1284" width="16" style="75" customWidth="1"/>
    <col min="1285" max="1285" width="14.42578125" style="75" customWidth="1"/>
    <col min="1286" max="1286" width="15.7109375" style="75" customWidth="1"/>
    <col min="1287" max="1536" width="9.140625" style="75"/>
    <col min="1537" max="1537" width="11.85546875" style="75" bestFit="1" customWidth="1"/>
    <col min="1538" max="1538" width="18.85546875" style="75" customWidth="1"/>
    <col min="1539" max="1539" width="15.28515625" style="75" customWidth="1"/>
    <col min="1540" max="1540" width="16" style="75" customWidth="1"/>
    <col min="1541" max="1541" width="14.42578125" style="75" customWidth="1"/>
    <col min="1542" max="1542" width="15.7109375" style="75" customWidth="1"/>
    <col min="1543" max="1792" width="9.140625" style="75"/>
    <col min="1793" max="1793" width="11.85546875" style="75" bestFit="1" customWidth="1"/>
    <col min="1794" max="1794" width="18.85546875" style="75" customWidth="1"/>
    <col min="1795" max="1795" width="15.28515625" style="75" customWidth="1"/>
    <col min="1796" max="1796" width="16" style="75" customWidth="1"/>
    <col min="1797" max="1797" width="14.42578125" style="75" customWidth="1"/>
    <col min="1798" max="1798" width="15.7109375" style="75" customWidth="1"/>
    <col min="1799" max="2048" width="9.140625" style="75"/>
    <col min="2049" max="2049" width="11.85546875" style="75" bestFit="1" customWidth="1"/>
    <col min="2050" max="2050" width="18.85546875" style="75" customWidth="1"/>
    <col min="2051" max="2051" width="15.28515625" style="75" customWidth="1"/>
    <col min="2052" max="2052" width="16" style="75" customWidth="1"/>
    <col min="2053" max="2053" width="14.42578125" style="75" customWidth="1"/>
    <col min="2054" max="2054" width="15.7109375" style="75" customWidth="1"/>
    <col min="2055" max="2304" width="9.140625" style="75"/>
    <col min="2305" max="2305" width="11.85546875" style="75" bestFit="1" customWidth="1"/>
    <col min="2306" max="2306" width="18.85546875" style="75" customWidth="1"/>
    <col min="2307" max="2307" width="15.28515625" style="75" customWidth="1"/>
    <col min="2308" max="2308" width="16" style="75" customWidth="1"/>
    <col min="2309" max="2309" width="14.42578125" style="75" customWidth="1"/>
    <col min="2310" max="2310" width="15.7109375" style="75" customWidth="1"/>
    <col min="2311" max="2560" width="9.140625" style="75"/>
    <col min="2561" max="2561" width="11.85546875" style="75" bestFit="1" customWidth="1"/>
    <col min="2562" max="2562" width="18.85546875" style="75" customWidth="1"/>
    <col min="2563" max="2563" width="15.28515625" style="75" customWidth="1"/>
    <col min="2564" max="2564" width="16" style="75" customWidth="1"/>
    <col min="2565" max="2565" width="14.42578125" style="75" customWidth="1"/>
    <col min="2566" max="2566" width="15.7109375" style="75" customWidth="1"/>
    <col min="2567" max="2816" width="9.140625" style="75"/>
    <col min="2817" max="2817" width="11.85546875" style="75" bestFit="1" customWidth="1"/>
    <col min="2818" max="2818" width="18.85546875" style="75" customWidth="1"/>
    <col min="2819" max="2819" width="15.28515625" style="75" customWidth="1"/>
    <col min="2820" max="2820" width="16" style="75" customWidth="1"/>
    <col min="2821" max="2821" width="14.42578125" style="75" customWidth="1"/>
    <col min="2822" max="2822" width="15.7109375" style="75" customWidth="1"/>
    <col min="2823" max="3072" width="9.140625" style="75"/>
    <col min="3073" max="3073" width="11.85546875" style="75" bestFit="1" customWidth="1"/>
    <col min="3074" max="3074" width="18.85546875" style="75" customWidth="1"/>
    <col min="3075" max="3075" width="15.28515625" style="75" customWidth="1"/>
    <col min="3076" max="3076" width="16" style="75" customWidth="1"/>
    <col min="3077" max="3077" width="14.42578125" style="75" customWidth="1"/>
    <col min="3078" max="3078" width="15.7109375" style="75" customWidth="1"/>
    <col min="3079" max="3328" width="9.140625" style="75"/>
    <col min="3329" max="3329" width="11.85546875" style="75" bestFit="1" customWidth="1"/>
    <col min="3330" max="3330" width="18.85546875" style="75" customWidth="1"/>
    <col min="3331" max="3331" width="15.28515625" style="75" customWidth="1"/>
    <col min="3332" max="3332" width="16" style="75" customWidth="1"/>
    <col min="3333" max="3333" width="14.42578125" style="75" customWidth="1"/>
    <col min="3334" max="3334" width="15.7109375" style="75" customWidth="1"/>
    <col min="3335" max="3584" width="9.140625" style="75"/>
    <col min="3585" max="3585" width="11.85546875" style="75" bestFit="1" customWidth="1"/>
    <col min="3586" max="3586" width="18.85546875" style="75" customWidth="1"/>
    <col min="3587" max="3587" width="15.28515625" style="75" customWidth="1"/>
    <col min="3588" max="3588" width="16" style="75" customWidth="1"/>
    <col min="3589" max="3589" width="14.42578125" style="75" customWidth="1"/>
    <col min="3590" max="3590" width="15.7109375" style="75" customWidth="1"/>
    <col min="3591" max="3840" width="9.140625" style="75"/>
    <col min="3841" max="3841" width="11.85546875" style="75" bestFit="1" customWidth="1"/>
    <col min="3842" max="3842" width="18.85546875" style="75" customWidth="1"/>
    <col min="3843" max="3843" width="15.28515625" style="75" customWidth="1"/>
    <col min="3844" max="3844" width="16" style="75" customWidth="1"/>
    <col min="3845" max="3845" width="14.42578125" style="75" customWidth="1"/>
    <col min="3846" max="3846" width="15.7109375" style="75" customWidth="1"/>
    <col min="3847" max="4096" width="9.140625" style="75"/>
    <col min="4097" max="4097" width="11.85546875" style="75" bestFit="1" customWidth="1"/>
    <col min="4098" max="4098" width="18.85546875" style="75" customWidth="1"/>
    <col min="4099" max="4099" width="15.28515625" style="75" customWidth="1"/>
    <col min="4100" max="4100" width="16" style="75" customWidth="1"/>
    <col min="4101" max="4101" width="14.42578125" style="75" customWidth="1"/>
    <col min="4102" max="4102" width="15.7109375" style="75" customWidth="1"/>
    <col min="4103" max="4352" width="9.140625" style="75"/>
    <col min="4353" max="4353" width="11.85546875" style="75" bestFit="1" customWidth="1"/>
    <col min="4354" max="4354" width="18.85546875" style="75" customWidth="1"/>
    <col min="4355" max="4355" width="15.28515625" style="75" customWidth="1"/>
    <col min="4356" max="4356" width="16" style="75" customWidth="1"/>
    <col min="4357" max="4357" width="14.42578125" style="75" customWidth="1"/>
    <col min="4358" max="4358" width="15.7109375" style="75" customWidth="1"/>
    <col min="4359" max="4608" width="9.140625" style="75"/>
    <col min="4609" max="4609" width="11.85546875" style="75" bestFit="1" customWidth="1"/>
    <col min="4610" max="4610" width="18.85546875" style="75" customWidth="1"/>
    <col min="4611" max="4611" width="15.28515625" style="75" customWidth="1"/>
    <col min="4612" max="4612" width="16" style="75" customWidth="1"/>
    <col min="4613" max="4613" width="14.42578125" style="75" customWidth="1"/>
    <col min="4614" max="4614" width="15.7109375" style="75" customWidth="1"/>
    <col min="4615" max="4864" width="9.140625" style="75"/>
    <col min="4865" max="4865" width="11.85546875" style="75" bestFit="1" customWidth="1"/>
    <col min="4866" max="4866" width="18.85546875" style="75" customWidth="1"/>
    <col min="4867" max="4867" width="15.28515625" style="75" customWidth="1"/>
    <col min="4868" max="4868" width="16" style="75" customWidth="1"/>
    <col min="4869" max="4869" width="14.42578125" style="75" customWidth="1"/>
    <col min="4870" max="4870" width="15.7109375" style="75" customWidth="1"/>
    <col min="4871" max="5120" width="9.140625" style="75"/>
    <col min="5121" max="5121" width="11.85546875" style="75" bestFit="1" customWidth="1"/>
    <col min="5122" max="5122" width="18.85546875" style="75" customWidth="1"/>
    <col min="5123" max="5123" width="15.28515625" style="75" customWidth="1"/>
    <col min="5124" max="5124" width="16" style="75" customWidth="1"/>
    <col min="5125" max="5125" width="14.42578125" style="75" customWidth="1"/>
    <col min="5126" max="5126" width="15.7109375" style="75" customWidth="1"/>
    <col min="5127" max="5376" width="9.140625" style="75"/>
    <col min="5377" max="5377" width="11.85546875" style="75" bestFit="1" customWidth="1"/>
    <col min="5378" max="5378" width="18.85546875" style="75" customWidth="1"/>
    <col min="5379" max="5379" width="15.28515625" style="75" customWidth="1"/>
    <col min="5380" max="5380" width="16" style="75" customWidth="1"/>
    <col min="5381" max="5381" width="14.42578125" style="75" customWidth="1"/>
    <col min="5382" max="5382" width="15.7109375" style="75" customWidth="1"/>
    <col min="5383" max="5632" width="9.140625" style="75"/>
    <col min="5633" max="5633" width="11.85546875" style="75" bestFit="1" customWidth="1"/>
    <col min="5634" max="5634" width="18.85546875" style="75" customWidth="1"/>
    <col min="5635" max="5635" width="15.28515625" style="75" customWidth="1"/>
    <col min="5636" max="5636" width="16" style="75" customWidth="1"/>
    <col min="5637" max="5637" width="14.42578125" style="75" customWidth="1"/>
    <col min="5638" max="5638" width="15.7109375" style="75" customWidth="1"/>
    <col min="5639" max="5888" width="9.140625" style="75"/>
    <col min="5889" max="5889" width="11.85546875" style="75" bestFit="1" customWidth="1"/>
    <col min="5890" max="5890" width="18.85546875" style="75" customWidth="1"/>
    <col min="5891" max="5891" width="15.28515625" style="75" customWidth="1"/>
    <col min="5892" max="5892" width="16" style="75" customWidth="1"/>
    <col min="5893" max="5893" width="14.42578125" style="75" customWidth="1"/>
    <col min="5894" max="5894" width="15.7109375" style="75" customWidth="1"/>
    <col min="5895" max="6144" width="9.140625" style="75"/>
    <col min="6145" max="6145" width="11.85546875" style="75" bestFit="1" customWidth="1"/>
    <col min="6146" max="6146" width="18.85546875" style="75" customWidth="1"/>
    <col min="6147" max="6147" width="15.28515625" style="75" customWidth="1"/>
    <col min="6148" max="6148" width="16" style="75" customWidth="1"/>
    <col min="6149" max="6149" width="14.42578125" style="75" customWidth="1"/>
    <col min="6150" max="6150" width="15.7109375" style="75" customWidth="1"/>
    <col min="6151" max="6400" width="9.140625" style="75"/>
    <col min="6401" max="6401" width="11.85546875" style="75" bestFit="1" customWidth="1"/>
    <col min="6402" max="6402" width="18.85546875" style="75" customWidth="1"/>
    <col min="6403" max="6403" width="15.28515625" style="75" customWidth="1"/>
    <col min="6404" max="6404" width="16" style="75" customWidth="1"/>
    <col min="6405" max="6405" width="14.42578125" style="75" customWidth="1"/>
    <col min="6406" max="6406" width="15.7109375" style="75" customWidth="1"/>
    <col min="6407" max="6656" width="9.140625" style="75"/>
    <col min="6657" max="6657" width="11.85546875" style="75" bestFit="1" customWidth="1"/>
    <col min="6658" max="6658" width="18.85546875" style="75" customWidth="1"/>
    <col min="6659" max="6659" width="15.28515625" style="75" customWidth="1"/>
    <col min="6660" max="6660" width="16" style="75" customWidth="1"/>
    <col min="6661" max="6661" width="14.42578125" style="75" customWidth="1"/>
    <col min="6662" max="6662" width="15.7109375" style="75" customWidth="1"/>
    <col min="6663" max="6912" width="9.140625" style="75"/>
    <col min="6913" max="6913" width="11.85546875" style="75" bestFit="1" customWidth="1"/>
    <col min="6914" max="6914" width="18.85546875" style="75" customWidth="1"/>
    <col min="6915" max="6915" width="15.28515625" style="75" customWidth="1"/>
    <col min="6916" max="6916" width="16" style="75" customWidth="1"/>
    <col min="6917" max="6917" width="14.42578125" style="75" customWidth="1"/>
    <col min="6918" max="6918" width="15.7109375" style="75" customWidth="1"/>
    <col min="6919" max="7168" width="9.140625" style="75"/>
    <col min="7169" max="7169" width="11.85546875" style="75" bestFit="1" customWidth="1"/>
    <col min="7170" max="7170" width="18.85546875" style="75" customWidth="1"/>
    <col min="7171" max="7171" width="15.28515625" style="75" customWidth="1"/>
    <col min="7172" max="7172" width="16" style="75" customWidth="1"/>
    <col min="7173" max="7173" width="14.42578125" style="75" customWidth="1"/>
    <col min="7174" max="7174" width="15.7109375" style="75" customWidth="1"/>
    <col min="7175" max="7424" width="9.140625" style="75"/>
    <col min="7425" max="7425" width="11.85546875" style="75" bestFit="1" customWidth="1"/>
    <col min="7426" max="7426" width="18.85546875" style="75" customWidth="1"/>
    <col min="7427" max="7427" width="15.28515625" style="75" customWidth="1"/>
    <col min="7428" max="7428" width="16" style="75" customWidth="1"/>
    <col min="7429" max="7429" width="14.42578125" style="75" customWidth="1"/>
    <col min="7430" max="7430" width="15.7109375" style="75" customWidth="1"/>
    <col min="7431" max="7680" width="9.140625" style="75"/>
    <col min="7681" max="7681" width="11.85546875" style="75" bestFit="1" customWidth="1"/>
    <col min="7682" max="7682" width="18.85546875" style="75" customWidth="1"/>
    <col min="7683" max="7683" width="15.28515625" style="75" customWidth="1"/>
    <col min="7684" max="7684" width="16" style="75" customWidth="1"/>
    <col min="7685" max="7685" width="14.42578125" style="75" customWidth="1"/>
    <col min="7686" max="7686" width="15.7109375" style="75" customWidth="1"/>
    <col min="7687" max="7936" width="9.140625" style="75"/>
    <col min="7937" max="7937" width="11.85546875" style="75" bestFit="1" customWidth="1"/>
    <col min="7938" max="7938" width="18.85546875" style="75" customWidth="1"/>
    <col min="7939" max="7939" width="15.28515625" style="75" customWidth="1"/>
    <col min="7940" max="7940" width="16" style="75" customWidth="1"/>
    <col min="7941" max="7941" width="14.42578125" style="75" customWidth="1"/>
    <col min="7942" max="7942" width="15.7109375" style="75" customWidth="1"/>
    <col min="7943" max="8192" width="9.140625" style="75"/>
    <col min="8193" max="8193" width="11.85546875" style="75" bestFit="1" customWidth="1"/>
    <col min="8194" max="8194" width="18.85546875" style="75" customWidth="1"/>
    <col min="8195" max="8195" width="15.28515625" style="75" customWidth="1"/>
    <col min="8196" max="8196" width="16" style="75" customWidth="1"/>
    <col min="8197" max="8197" width="14.42578125" style="75" customWidth="1"/>
    <col min="8198" max="8198" width="15.7109375" style="75" customWidth="1"/>
    <col min="8199" max="8448" width="9.140625" style="75"/>
    <col min="8449" max="8449" width="11.85546875" style="75" bestFit="1" customWidth="1"/>
    <col min="8450" max="8450" width="18.85546875" style="75" customWidth="1"/>
    <col min="8451" max="8451" width="15.28515625" style="75" customWidth="1"/>
    <col min="8452" max="8452" width="16" style="75" customWidth="1"/>
    <col min="8453" max="8453" width="14.42578125" style="75" customWidth="1"/>
    <col min="8454" max="8454" width="15.7109375" style="75" customWidth="1"/>
    <col min="8455" max="8704" width="9.140625" style="75"/>
    <col min="8705" max="8705" width="11.85546875" style="75" bestFit="1" customWidth="1"/>
    <col min="8706" max="8706" width="18.85546875" style="75" customWidth="1"/>
    <col min="8707" max="8707" width="15.28515625" style="75" customWidth="1"/>
    <col min="8708" max="8708" width="16" style="75" customWidth="1"/>
    <col min="8709" max="8709" width="14.42578125" style="75" customWidth="1"/>
    <col min="8710" max="8710" width="15.7109375" style="75" customWidth="1"/>
    <col min="8711" max="8960" width="9.140625" style="75"/>
    <col min="8961" max="8961" width="11.85546875" style="75" bestFit="1" customWidth="1"/>
    <col min="8962" max="8962" width="18.85546875" style="75" customWidth="1"/>
    <col min="8963" max="8963" width="15.28515625" style="75" customWidth="1"/>
    <col min="8964" max="8964" width="16" style="75" customWidth="1"/>
    <col min="8965" max="8965" width="14.42578125" style="75" customWidth="1"/>
    <col min="8966" max="8966" width="15.7109375" style="75" customWidth="1"/>
    <col min="8967" max="9216" width="9.140625" style="75"/>
    <col min="9217" max="9217" width="11.85546875" style="75" bestFit="1" customWidth="1"/>
    <col min="9218" max="9218" width="18.85546875" style="75" customWidth="1"/>
    <col min="9219" max="9219" width="15.28515625" style="75" customWidth="1"/>
    <col min="9220" max="9220" width="16" style="75" customWidth="1"/>
    <col min="9221" max="9221" width="14.42578125" style="75" customWidth="1"/>
    <col min="9222" max="9222" width="15.7109375" style="75" customWidth="1"/>
    <col min="9223" max="9472" width="9.140625" style="75"/>
    <col min="9473" max="9473" width="11.85546875" style="75" bestFit="1" customWidth="1"/>
    <col min="9474" max="9474" width="18.85546875" style="75" customWidth="1"/>
    <col min="9475" max="9475" width="15.28515625" style="75" customWidth="1"/>
    <col min="9476" max="9476" width="16" style="75" customWidth="1"/>
    <col min="9477" max="9477" width="14.42578125" style="75" customWidth="1"/>
    <col min="9478" max="9478" width="15.7109375" style="75" customWidth="1"/>
    <col min="9479" max="9728" width="9.140625" style="75"/>
    <col min="9729" max="9729" width="11.85546875" style="75" bestFit="1" customWidth="1"/>
    <col min="9730" max="9730" width="18.85546875" style="75" customWidth="1"/>
    <col min="9731" max="9731" width="15.28515625" style="75" customWidth="1"/>
    <col min="9732" max="9732" width="16" style="75" customWidth="1"/>
    <col min="9733" max="9733" width="14.42578125" style="75" customWidth="1"/>
    <col min="9734" max="9734" width="15.7109375" style="75" customWidth="1"/>
    <col min="9735" max="9984" width="9.140625" style="75"/>
    <col min="9985" max="9985" width="11.85546875" style="75" bestFit="1" customWidth="1"/>
    <col min="9986" max="9986" width="18.85546875" style="75" customWidth="1"/>
    <col min="9987" max="9987" width="15.28515625" style="75" customWidth="1"/>
    <col min="9988" max="9988" width="16" style="75" customWidth="1"/>
    <col min="9989" max="9989" width="14.42578125" style="75" customWidth="1"/>
    <col min="9990" max="9990" width="15.7109375" style="75" customWidth="1"/>
    <col min="9991" max="10240" width="9.140625" style="75"/>
    <col min="10241" max="10241" width="11.85546875" style="75" bestFit="1" customWidth="1"/>
    <col min="10242" max="10242" width="18.85546875" style="75" customWidth="1"/>
    <col min="10243" max="10243" width="15.28515625" style="75" customWidth="1"/>
    <col min="10244" max="10244" width="16" style="75" customWidth="1"/>
    <col min="10245" max="10245" width="14.42578125" style="75" customWidth="1"/>
    <col min="10246" max="10246" width="15.7109375" style="75" customWidth="1"/>
    <col min="10247" max="10496" width="9.140625" style="75"/>
    <col min="10497" max="10497" width="11.85546875" style="75" bestFit="1" customWidth="1"/>
    <col min="10498" max="10498" width="18.85546875" style="75" customWidth="1"/>
    <col min="10499" max="10499" width="15.28515625" style="75" customWidth="1"/>
    <col min="10500" max="10500" width="16" style="75" customWidth="1"/>
    <col min="10501" max="10501" width="14.42578125" style="75" customWidth="1"/>
    <col min="10502" max="10502" width="15.7109375" style="75" customWidth="1"/>
    <col min="10503" max="10752" width="9.140625" style="75"/>
    <col min="10753" max="10753" width="11.85546875" style="75" bestFit="1" customWidth="1"/>
    <col min="10754" max="10754" width="18.85546875" style="75" customWidth="1"/>
    <col min="10755" max="10755" width="15.28515625" style="75" customWidth="1"/>
    <col min="10756" max="10756" width="16" style="75" customWidth="1"/>
    <col min="10757" max="10757" width="14.42578125" style="75" customWidth="1"/>
    <col min="10758" max="10758" width="15.7109375" style="75" customWidth="1"/>
    <col min="10759" max="11008" width="9.140625" style="75"/>
    <col min="11009" max="11009" width="11.85546875" style="75" bestFit="1" customWidth="1"/>
    <col min="11010" max="11010" width="18.85546875" style="75" customWidth="1"/>
    <col min="11011" max="11011" width="15.28515625" style="75" customWidth="1"/>
    <col min="11012" max="11012" width="16" style="75" customWidth="1"/>
    <col min="11013" max="11013" width="14.42578125" style="75" customWidth="1"/>
    <col min="11014" max="11014" width="15.7109375" style="75" customWidth="1"/>
    <col min="11015" max="11264" width="9.140625" style="75"/>
    <col min="11265" max="11265" width="11.85546875" style="75" bestFit="1" customWidth="1"/>
    <col min="11266" max="11266" width="18.85546875" style="75" customWidth="1"/>
    <col min="11267" max="11267" width="15.28515625" style="75" customWidth="1"/>
    <col min="11268" max="11268" width="16" style="75" customWidth="1"/>
    <col min="11269" max="11269" width="14.42578125" style="75" customWidth="1"/>
    <col min="11270" max="11270" width="15.7109375" style="75" customWidth="1"/>
    <col min="11271" max="11520" width="9.140625" style="75"/>
    <col min="11521" max="11521" width="11.85546875" style="75" bestFit="1" customWidth="1"/>
    <col min="11522" max="11522" width="18.85546875" style="75" customWidth="1"/>
    <col min="11523" max="11523" width="15.28515625" style="75" customWidth="1"/>
    <col min="11524" max="11524" width="16" style="75" customWidth="1"/>
    <col min="11525" max="11525" width="14.42578125" style="75" customWidth="1"/>
    <col min="11526" max="11526" width="15.7109375" style="75" customWidth="1"/>
    <col min="11527" max="11776" width="9.140625" style="75"/>
    <col min="11777" max="11777" width="11.85546875" style="75" bestFit="1" customWidth="1"/>
    <col min="11778" max="11778" width="18.85546875" style="75" customWidth="1"/>
    <col min="11779" max="11779" width="15.28515625" style="75" customWidth="1"/>
    <col min="11780" max="11780" width="16" style="75" customWidth="1"/>
    <col min="11781" max="11781" width="14.42578125" style="75" customWidth="1"/>
    <col min="11782" max="11782" width="15.7109375" style="75" customWidth="1"/>
    <col min="11783" max="12032" width="9.140625" style="75"/>
    <col min="12033" max="12033" width="11.85546875" style="75" bestFit="1" customWidth="1"/>
    <col min="12034" max="12034" width="18.85546875" style="75" customWidth="1"/>
    <col min="12035" max="12035" width="15.28515625" style="75" customWidth="1"/>
    <col min="12036" max="12036" width="16" style="75" customWidth="1"/>
    <col min="12037" max="12037" width="14.42578125" style="75" customWidth="1"/>
    <col min="12038" max="12038" width="15.7109375" style="75" customWidth="1"/>
    <col min="12039" max="12288" width="9.140625" style="75"/>
    <col min="12289" max="12289" width="11.85546875" style="75" bestFit="1" customWidth="1"/>
    <col min="12290" max="12290" width="18.85546875" style="75" customWidth="1"/>
    <col min="12291" max="12291" width="15.28515625" style="75" customWidth="1"/>
    <col min="12292" max="12292" width="16" style="75" customWidth="1"/>
    <col min="12293" max="12293" width="14.42578125" style="75" customWidth="1"/>
    <col min="12294" max="12294" width="15.7109375" style="75" customWidth="1"/>
    <col min="12295" max="12544" width="9.140625" style="75"/>
    <col min="12545" max="12545" width="11.85546875" style="75" bestFit="1" customWidth="1"/>
    <col min="12546" max="12546" width="18.85546875" style="75" customWidth="1"/>
    <col min="12547" max="12547" width="15.28515625" style="75" customWidth="1"/>
    <col min="12548" max="12548" width="16" style="75" customWidth="1"/>
    <col min="12549" max="12549" width="14.42578125" style="75" customWidth="1"/>
    <col min="12550" max="12550" width="15.7109375" style="75" customWidth="1"/>
    <col min="12551" max="12800" width="9.140625" style="75"/>
    <col min="12801" max="12801" width="11.85546875" style="75" bestFit="1" customWidth="1"/>
    <col min="12802" max="12802" width="18.85546875" style="75" customWidth="1"/>
    <col min="12803" max="12803" width="15.28515625" style="75" customWidth="1"/>
    <col min="12804" max="12804" width="16" style="75" customWidth="1"/>
    <col min="12805" max="12805" width="14.42578125" style="75" customWidth="1"/>
    <col min="12806" max="12806" width="15.7109375" style="75" customWidth="1"/>
    <col min="12807" max="13056" width="9.140625" style="75"/>
    <col min="13057" max="13057" width="11.85546875" style="75" bestFit="1" customWidth="1"/>
    <col min="13058" max="13058" width="18.85546875" style="75" customWidth="1"/>
    <col min="13059" max="13059" width="15.28515625" style="75" customWidth="1"/>
    <col min="13060" max="13060" width="16" style="75" customWidth="1"/>
    <col min="13061" max="13061" width="14.42578125" style="75" customWidth="1"/>
    <col min="13062" max="13062" width="15.7109375" style="75" customWidth="1"/>
    <col min="13063" max="13312" width="9.140625" style="75"/>
    <col min="13313" max="13313" width="11.85546875" style="75" bestFit="1" customWidth="1"/>
    <col min="13314" max="13314" width="18.85546875" style="75" customWidth="1"/>
    <col min="13315" max="13315" width="15.28515625" style="75" customWidth="1"/>
    <col min="13316" max="13316" width="16" style="75" customWidth="1"/>
    <col min="13317" max="13317" width="14.42578125" style="75" customWidth="1"/>
    <col min="13318" max="13318" width="15.7109375" style="75" customWidth="1"/>
    <col min="13319" max="13568" width="9.140625" style="75"/>
    <col min="13569" max="13569" width="11.85546875" style="75" bestFit="1" customWidth="1"/>
    <col min="13570" max="13570" width="18.85546875" style="75" customWidth="1"/>
    <col min="13571" max="13571" width="15.28515625" style="75" customWidth="1"/>
    <col min="13572" max="13572" width="16" style="75" customWidth="1"/>
    <col min="13573" max="13573" width="14.42578125" style="75" customWidth="1"/>
    <col min="13574" max="13574" width="15.7109375" style="75" customWidth="1"/>
    <col min="13575" max="13824" width="9.140625" style="75"/>
    <col min="13825" max="13825" width="11.85546875" style="75" bestFit="1" customWidth="1"/>
    <col min="13826" max="13826" width="18.85546875" style="75" customWidth="1"/>
    <col min="13827" max="13827" width="15.28515625" style="75" customWidth="1"/>
    <col min="13828" max="13828" width="16" style="75" customWidth="1"/>
    <col min="13829" max="13829" width="14.42578125" style="75" customWidth="1"/>
    <col min="13830" max="13830" width="15.7109375" style="75" customWidth="1"/>
    <col min="13831" max="14080" width="9.140625" style="75"/>
    <col min="14081" max="14081" width="11.85546875" style="75" bestFit="1" customWidth="1"/>
    <col min="14082" max="14082" width="18.85546875" style="75" customWidth="1"/>
    <col min="14083" max="14083" width="15.28515625" style="75" customWidth="1"/>
    <col min="14084" max="14084" width="16" style="75" customWidth="1"/>
    <col min="14085" max="14085" width="14.42578125" style="75" customWidth="1"/>
    <col min="14086" max="14086" width="15.7109375" style="75" customWidth="1"/>
    <col min="14087" max="14336" width="9.140625" style="75"/>
    <col min="14337" max="14337" width="11.85546875" style="75" bestFit="1" customWidth="1"/>
    <col min="14338" max="14338" width="18.85546875" style="75" customWidth="1"/>
    <col min="14339" max="14339" width="15.28515625" style="75" customWidth="1"/>
    <col min="14340" max="14340" width="16" style="75" customWidth="1"/>
    <col min="14341" max="14341" width="14.42578125" style="75" customWidth="1"/>
    <col min="14342" max="14342" width="15.7109375" style="75" customWidth="1"/>
    <col min="14343" max="14592" width="9.140625" style="75"/>
    <col min="14593" max="14593" width="11.85546875" style="75" bestFit="1" customWidth="1"/>
    <col min="14594" max="14594" width="18.85546875" style="75" customWidth="1"/>
    <col min="14595" max="14595" width="15.28515625" style="75" customWidth="1"/>
    <col min="14596" max="14596" width="16" style="75" customWidth="1"/>
    <col min="14597" max="14597" width="14.42578125" style="75" customWidth="1"/>
    <col min="14598" max="14598" width="15.7109375" style="75" customWidth="1"/>
    <col min="14599" max="14848" width="9.140625" style="75"/>
    <col min="14849" max="14849" width="11.85546875" style="75" bestFit="1" customWidth="1"/>
    <col min="14850" max="14850" width="18.85546875" style="75" customWidth="1"/>
    <col min="14851" max="14851" width="15.28515625" style="75" customWidth="1"/>
    <col min="14852" max="14852" width="16" style="75" customWidth="1"/>
    <col min="14853" max="14853" width="14.42578125" style="75" customWidth="1"/>
    <col min="14854" max="14854" width="15.7109375" style="75" customWidth="1"/>
    <col min="14855" max="15104" width="9.140625" style="75"/>
    <col min="15105" max="15105" width="11.85546875" style="75" bestFit="1" customWidth="1"/>
    <col min="15106" max="15106" width="18.85546875" style="75" customWidth="1"/>
    <col min="15107" max="15107" width="15.28515625" style="75" customWidth="1"/>
    <col min="15108" max="15108" width="16" style="75" customWidth="1"/>
    <col min="15109" max="15109" width="14.42578125" style="75" customWidth="1"/>
    <col min="15110" max="15110" width="15.7109375" style="75" customWidth="1"/>
    <col min="15111" max="15360" width="9.140625" style="75"/>
    <col min="15361" max="15361" width="11.85546875" style="75" bestFit="1" customWidth="1"/>
    <col min="15362" max="15362" width="18.85546875" style="75" customWidth="1"/>
    <col min="15363" max="15363" width="15.28515625" style="75" customWidth="1"/>
    <col min="15364" max="15364" width="16" style="75" customWidth="1"/>
    <col min="15365" max="15365" width="14.42578125" style="75" customWidth="1"/>
    <col min="15366" max="15366" width="15.7109375" style="75" customWidth="1"/>
    <col min="15367" max="15616" width="9.140625" style="75"/>
    <col min="15617" max="15617" width="11.85546875" style="75" bestFit="1" customWidth="1"/>
    <col min="15618" max="15618" width="18.85546875" style="75" customWidth="1"/>
    <col min="15619" max="15619" width="15.28515625" style="75" customWidth="1"/>
    <col min="15620" max="15620" width="16" style="75" customWidth="1"/>
    <col min="15621" max="15621" width="14.42578125" style="75" customWidth="1"/>
    <col min="15622" max="15622" width="15.7109375" style="75" customWidth="1"/>
    <col min="15623" max="15872" width="9.140625" style="75"/>
    <col min="15873" max="15873" width="11.85546875" style="75" bestFit="1" customWidth="1"/>
    <col min="15874" max="15874" width="18.85546875" style="75" customWidth="1"/>
    <col min="15875" max="15875" width="15.28515625" style="75" customWidth="1"/>
    <col min="15876" max="15876" width="16" style="75" customWidth="1"/>
    <col min="15877" max="15877" width="14.42578125" style="75" customWidth="1"/>
    <col min="15878" max="15878" width="15.7109375" style="75" customWidth="1"/>
    <col min="15879" max="16128" width="9.140625" style="75"/>
    <col min="16129" max="16129" width="11.85546875" style="75" bestFit="1" customWidth="1"/>
    <col min="16130" max="16130" width="18.85546875" style="75" customWidth="1"/>
    <col min="16131" max="16131" width="15.28515625" style="75" customWidth="1"/>
    <col min="16132" max="16132" width="16" style="75" customWidth="1"/>
    <col min="16133" max="16133" width="14.42578125" style="75" customWidth="1"/>
    <col min="16134" max="16134" width="15.7109375" style="75" customWidth="1"/>
    <col min="16135" max="16384" width="9.140625" style="75"/>
  </cols>
  <sheetData>
    <row r="1" spans="1:6">
      <c r="A1" s="75" t="s">
        <v>287</v>
      </c>
    </row>
    <row r="2" spans="1:6" ht="23.25">
      <c r="A2" s="498" t="s">
        <v>199</v>
      </c>
      <c r="B2" s="416"/>
      <c r="C2" s="416"/>
      <c r="D2" s="416"/>
      <c r="E2" s="416"/>
      <c r="F2" s="416"/>
    </row>
    <row r="3" spans="1:6" ht="18">
      <c r="A3" s="173" t="s">
        <v>150</v>
      </c>
      <c r="B3" s="173"/>
      <c r="C3" s="173"/>
      <c r="D3" s="173"/>
      <c r="E3" s="173"/>
      <c r="F3" s="303">
        <f>Resultatbudget!E17</f>
        <v>11419.800000000003</v>
      </c>
    </row>
    <row r="4" spans="1:6" ht="18">
      <c r="A4" s="131" t="s">
        <v>200</v>
      </c>
      <c r="B4" s="131"/>
      <c r="C4" s="131"/>
      <c r="D4" s="132" t="s">
        <v>201</v>
      </c>
      <c r="E4" s="132" t="s">
        <v>202</v>
      </c>
      <c r="F4" s="205"/>
    </row>
    <row r="5" spans="1:6" ht="18" hidden="1">
      <c r="A5" s="507" t="str">
        <f>Balance!A16</f>
        <v>-</v>
      </c>
      <c r="B5" s="507"/>
      <c r="C5" s="131"/>
      <c r="D5" s="205">
        <f>Balance!B16</f>
        <v>0</v>
      </c>
      <c r="E5" s="205">
        <f>Balance!E16</f>
        <v>0</v>
      </c>
      <c r="F5" s="205">
        <f t="shared" ref="F5:F11" si="0">D5-E5</f>
        <v>0</v>
      </c>
    </row>
    <row r="6" spans="1:6" ht="18" hidden="1">
      <c r="A6" s="507" t="str">
        <f>Balance!A17</f>
        <v>-</v>
      </c>
      <c r="B6" s="507"/>
      <c r="C6" s="131"/>
      <c r="D6" s="205">
        <f>Balance!B17</f>
        <v>0</v>
      </c>
      <c r="E6" s="205">
        <f>Balance!E17</f>
        <v>0</v>
      </c>
      <c r="F6" s="205">
        <f t="shared" si="0"/>
        <v>0</v>
      </c>
    </row>
    <row r="7" spans="1:6" ht="18">
      <c r="A7" s="507" t="str">
        <f>Balance!A18</f>
        <v>Varelager</v>
      </c>
      <c r="B7" s="507"/>
      <c r="C7" s="131"/>
      <c r="D7" s="205">
        <f>Balance!B18</f>
        <v>7000</v>
      </c>
      <c r="E7" s="205">
        <f>Balance!E18</f>
        <v>6985.44</v>
      </c>
      <c r="F7" s="205">
        <f t="shared" si="0"/>
        <v>14.5600000000004</v>
      </c>
    </row>
    <row r="8" spans="1:6" ht="18">
      <c r="A8" s="507" t="str">
        <f>Balance!A19</f>
        <v>Varedebitorer</v>
      </c>
      <c r="B8" s="507"/>
      <c r="C8" s="131"/>
      <c r="D8" s="205">
        <f>Balance!B19</f>
        <v>10000</v>
      </c>
      <c r="E8" s="205">
        <f>Balance!E19</f>
        <v>8746.5</v>
      </c>
      <c r="F8" s="205">
        <f t="shared" si="0"/>
        <v>1253.5</v>
      </c>
    </row>
    <row r="9" spans="1:6" ht="18" hidden="1">
      <c r="A9" s="507" t="str">
        <f>Balance!A20</f>
        <v>-</v>
      </c>
      <c r="B9" s="507"/>
      <c r="C9" s="131"/>
      <c r="D9" s="205">
        <f>Balance!B20</f>
        <v>0</v>
      </c>
      <c r="E9" s="205">
        <f>Balance!E20</f>
        <v>0</v>
      </c>
      <c r="F9" s="205">
        <f t="shared" si="0"/>
        <v>0</v>
      </c>
    </row>
    <row r="10" spans="1:6" ht="18" hidden="1">
      <c r="A10" s="507" t="str">
        <f>Balance!A21</f>
        <v>-</v>
      </c>
      <c r="B10" s="507"/>
      <c r="C10" s="131"/>
      <c r="D10" s="205">
        <f>Balance!B21</f>
        <v>0</v>
      </c>
      <c r="E10" s="205">
        <f>Balance!E21</f>
        <v>0</v>
      </c>
      <c r="F10" s="205">
        <f t="shared" si="0"/>
        <v>0</v>
      </c>
    </row>
    <row r="11" spans="1:6" ht="18" hidden="1">
      <c r="A11" s="507" t="str">
        <f>Balance!A22</f>
        <v>-</v>
      </c>
      <c r="B11" s="507"/>
      <c r="C11" s="131"/>
      <c r="D11" s="205">
        <f>Balance!B22</f>
        <v>0</v>
      </c>
      <c r="E11" s="205">
        <f>Balance!E22</f>
        <v>0</v>
      </c>
      <c r="F11" s="205">
        <f t="shared" si="0"/>
        <v>0</v>
      </c>
    </row>
    <row r="12" spans="1:6" ht="18">
      <c r="A12" s="131" t="s">
        <v>203</v>
      </c>
      <c r="B12" s="131"/>
      <c r="C12" s="131"/>
      <c r="D12" s="205"/>
      <c r="E12" s="205"/>
      <c r="F12" s="205"/>
    </row>
    <row r="13" spans="1:6" ht="18">
      <c r="A13" s="507" t="str">
        <f>Balance!F16</f>
        <v>Varekreditorer</v>
      </c>
      <c r="B13" s="507"/>
      <c r="C13" s="131"/>
      <c r="D13" s="205">
        <f>Balance!G16</f>
        <v>3000</v>
      </c>
      <c r="E13" s="205">
        <f>Balance!I16</f>
        <v>2851.7999999999997</v>
      </c>
      <c r="F13" s="205">
        <f t="shared" ref="F13:F18" si="1">E13-D13</f>
        <v>-148.20000000000027</v>
      </c>
    </row>
    <row r="14" spans="1:6" ht="18" hidden="1">
      <c r="A14" s="507" t="str">
        <f>Balance!F17</f>
        <v>Realkreditinstitutter</v>
      </c>
      <c r="B14" s="507"/>
      <c r="C14" s="131"/>
      <c r="D14" s="205">
        <f>Balance!G17</f>
        <v>0</v>
      </c>
      <c r="E14" s="205">
        <f>Balance!I17</f>
        <v>0</v>
      </c>
      <c r="F14" s="205">
        <f t="shared" si="1"/>
        <v>0</v>
      </c>
    </row>
    <row r="15" spans="1:6" ht="18" hidden="1">
      <c r="A15" s="507" t="str">
        <f>Balance!F18</f>
        <v>-</v>
      </c>
      <c r="B15" s="507"/>
      <c r="C15" s="131"/>
      <c r="D15" s="205">
        <f>Balance!G18</f>
        <v>0</v>
      </c>
      <c r="E15" s="205">
        <f>Balance!I18</f>
        <v>0</v>
      </c>
      <c r="F15" s="205">
        <f t="shared" si="1"/>
        <v>0</v>
      </c>
    </row>
    <row r="16" spans="1:6" ht="18" hidden="1">
      <c r="A16" s="507" t="str">
        <f>Balance!F19</f>
        <v>-</v>
      </c>
      <c r="B16" s="507"/>
      <c r="C16" s="131"/>
      <c r="D16" s="205">
        <f>Balance!G19</f>
        <v>0</v>
      </c>
      <c r="E16" s="205">
        <f>Balance!I19</f>
        <v>0</v>
      </c>
      <c r="F16" s="205">
        <f t="shared" si="1"/>
        <v>0</v>
      </c>
    </row>
    <row r="17" spans="1:6" ht="18" hidden="1">
      <c r="A17" s="507" t="str">
        <f>Balance!F20</f>
        <v>-</v>
      </c>
      <c r="B17" s="507"/>
      <c r="C17" s="131"/>
      <c r="D17" s="205">
        <f>Balance!G20</f>
        <v>0</v>
      </c>
      <c r="E17" s="205">
        <f>Balance!I20</f>
        <v>0</v>
      </c>
      <c r="F17" s="205">
        <f t="shared" si="1"/>
        <v>0</v>
      </c>
    </row>
    <row r="18" spans="1:6" ht="18">
      <c r="A18" s="507" t="str">
        <f>Balance!F21</f>
        <v>Andre kreditorer</v>
      </c>
      <c r="B18" s="507"/>
      <c r="C18" s="131"/>
      <c r="D18" s="205">
        <f>Balance!G21</f>
        <v>1800</v>
      </c>
      <c r="E18" s="205">
        <f>Balance!I21</f>
        <v>1800</v>
      </c>
      <c r="F18" s="205">
        <f t="shared" si="1"/>
        <v>0</v>
      </c>
    </row>
    <row r="19" spans="1:6" ht="18">
      <c r="A19" s="304" t="str">
        <f>Resultatbudget!A20</f>
        <v>Renteomkostninger</v>
      </c>
      <c r="B19" s="304"/>
      <c r="C19" s="131"/>
      <c r="D19" s="205"/>
      <c r="E19" s="205"/>
      <c r="F19" s="205">
        <f>Resultatbudget!E20*-1</f>
        <v>-620</v>
      </c>
    </row>
    <row r="20" spans="1:6" ht="18" hidden="1">
      <c r="A20" s="304" t="str">
        <f>Resultatbudget!A21</f>
        <v>Renteindtægter</v>
      </c>
      <c r="B20" s="304"/>
      <c r="C20" s="131"/>
      <c r="D20" s="205"/>
      <c r="E20" s="205"/>
      <c r="F20" s="205">
        <f>Resultatbudget!E21</f>
        <v>0</v>
      </c>
    </row>
    <row r="21" spans="1:6" ht="18">
      <c r="A21" s="173" t="s">
        <v>204</v>
      </c>
      <c r="B21" s="173"/>
      <c r="C21" s="173"/>
      <c r="D21" s="173"/>
      <c r="E21" s="173"/>
      <c r="F21" s="305">
        <f>SUM(F3:F20)</f>
        <v>11919.660000000003</v>
      </c>
    </row>
    <row r="22" spans="1:6" ht="18">
      <c r="A22" s="131" t="s">
        <v>205</v>
      </c>
      <c r="B22" s="131"/>
      <c r="C22" s="131"/>
      <c r="D22" s="131"/>
      <c r="E22" s="131"/>
      <c r="F22" s="131"/>
    </row>
    <row r="23" spans="1:6" ht="18">
      <c r="A23" s="131" t="s">
        <v>206</v>
      </c>
      <c r="B23" s="131"/>
      <c r="C23" s="131"/>
      <c r="D23" s="131"/>
      <c r="E23" s="131"/>
      <c r="F23" s="131">
        <f>Balance!C14*-1</f>
        <v>-4800</v>
      </c>
    </row>
    <row r="24" spans="1:6" ht="18">
      <c r="A24" s="173" t="s">
        <v>207</v>
      </c>
      <c r="B24" s="131"/>
      <c r="C24" s="131"/>
      <c r="D24" s="131"/>
      <c r="E24" s="131"/>
      <c r="F24" s="131"/>
    </row>
    <row r="25" spans="1:6" ht="18">
      <c r="A25" s="131" t="str">
        <f>Balance!F11</f>
        <v>Nyt lån til investeringer</v>
      </c>
      <c r="B25" s="131"/>
      <c r="C25" s="131"/>
      <c r="D25" s="131"/>
      <c r="E25" s="131"/>
      <c r="F25" s="131">
        <f>Balance!H11</f>
        <v>800</v>
      </c>
    </row>
    <row r="26" spans="1:6" ht="18" hidden="1">
      <c r="A26" s="131" t="str">
        <f>Resultatbudget!A39</f>
        <v>Aktie emmision</v>
      </c>
      <c r="B26" s="131"/>
      <c r="C26" s="131"/>
      <c r="D26" s="131"/>
      <c r="E26" s="131"/>
      <c r="F26" s="131">
        <f>Resultatbudget!C39</f>
        <v>0</v>
      </c>
    </row>
    <row r="27" spans="1:6" ht="18">
      <c r="A27" s="173" t="s">
        <v>208</v>
      </c>
      <c r="B27" s="131"/>
      <c r="C27" s="131"/>
      <c r="D27" s="131"/>
      <c r="E27" s="131"/>
      <c r="F27" s="131"/>
    </row>
    <row r="28" spans="1:6" ht="18">
      <c r="A28" s="507" t="str">
        <f>Balance!F12</f>
        <v>Langfristet gæld</v>
      </c>
      <c r="B28" s="507"/>
      <c r="C28" s="131"/>
      <c r="D28" s="131"/>
      <c r="E28" s="131"/>
      <c r="F28" s="131">
        <f>Balance!H12</f>
        <v>-3000</v>
      </c>
    </row>
    <row r="29" spans="1:6" ht="18" hidden="1">
      <c r="A29" s="507" t="str">
        <f>Balance!F13</f>
        <v>Realkreditinstitutter</v>
      </c>
      <c r="B29" s="507"/>
      <c r="C29" s="131"/>
      <c r="D29" s="131"/>
      <c r="E29" s="131"/>
      <c r="F29" s="131">
        <f>Balance!H13</f>
        <v>0</v>
      </c>
    </row>
    <row r="30" spans="1:6" ht="18" hidden="1">
      <c r="A30" s="131" t="str">
        <f>Balance!F7</f>
        <v>-</v>
      </c>
      <c r="B30" s="131"/>
      <c r="C30" s="131"/>
      <c r="D30" s="131"/>
      <c r="E30" s="131"/>
      <c r="F30" s="131">
        <f>(Balance!I7)*-1</f>
        <v>0</v>
      </c>
    </row>
    <row r="31" spans="1:6" ht="18">
      <c r="A31" s="131" t="str">
        <f>IF(Resultatbudget!B29&gt;0,A48,"-")</f>
        <v>Udbytte udbetales 100% fra år;"2012</v>
      </c>
      <c r="B31" s="131"/>
      <c r="C31" s="131"/>
      <c r="D31" s="131"/>
      <c r="E31" s="131"/>
      <c r="F31" s="131">
        <f>Balance!G22*-1</f>
        <v>-1200</v>
      </c>
    </row>
    <row r="32" spans="1:6" ht="18">
      <c r="A32" s="131" t="str">
        <f>Resultatbudget!A25</f>
        <v>Skat</v>
      </c>
      <c r="B32" s="131"/>
      <c r="C32" s="131"/>
      <c r="D32" s="131"/>
      <c r="E32" s="131"/>
      <c r="F32" s="306">
        <f>Resultatbudget!E25*-1</f>
        <v>-1099.9500000000007</v>
      </c>
    </row>
    <row r="33" spans="1:9" ht="18">
      <c r="A33" s="131" t="str">
        <f>IF(Resultatbudget!C35&gt;0,"Ændring af kassekredit max.","-")</f>
        <v>-</v>
      </c>
      <c r="B33" s="131"/>
      <c r="C33" s="131"/>
      <c r="D33" s="131"/>
      <c r="E33" s="131"/>
      <c r="F33" s="307">
        <f>Resultatbudget!C35</f>
        <v>-1000</v>
      </c>
    </row>
    <row r="34" spans="1:9" ht="18">
      <c r="A34" s="173" t="s">
        <v>209</v>
      </c>
      <c r="B34" s="173"/>
      <c r="C34" s="173"/>
      <c r="D34" s="173"/>
      <c r="E34" s="173"/>
      <c r="F34" s="308">
        <f>SUM(F21:F33)</f>
        <v>1619.7100000000028</v>
      </c>
    </row>
    <row r="35" spans="1:9" ht="18">
      <c r="A35" s="131" t="s">
        <v>210</v>
      </c>
      <c r="B35" s="131"/>
      <c r="C35" s="131"/>
      <c r="D35" s="131"/>
      <c r="E35" s="131"/>
      <c r="F35" s="131"/>
    </row>
    <row r="36" spans="1:9" ht="18" hidden="1">
      <c r="A36" s="131" t="s">
        <v>163</v>
      </c>
      <c r="B36" s="131"/>
      <c r="C36" s="131">
        <v>2000</v>
      </c>
      <c r="D36" s="131"/>
      <c r="E36" s="131"/>
      <c r="F36" s="131"/>
    </row>
    <row r="37" spans="1:9" ht="18" hidden="1">
      <c r="A37" s="131" t="s">
        <v>211</v>
      </c>
      <c r="B37" s="131"/>
      <c r="C37" s="131">
        <v>1500</v>
      </c>
      <c r="D37" s="131"/>
      <c r="E37" s="131"/>
      <c r="F37" s="131"/>
    </row>
    <row r="38" spans="1:9" ht="18">
      <c r="A38" s="131"/>
      <c r="B38" s="131"/>
      <c r="C38" s="131" t="str">
        <f>IF(Resultatbudget!$B$35&gt;0,"Gæld Primo","")</f>
        <v>Gæld Primo</v>
      </c>
      <c r="D38" s="131" t="str">
        <f>IF(Resultatbudget!$B$35&gt;0,"Max. Primo","")</f>
        <v>Max. Primo</v>
      </c>
      <c r="E38" s="131"/>
      <c r="F38" s="131"/>
    </row>
    <row r="39" spans="1:9" ht="18">
      <c r="A39" s="131" t="str">
        <f>IF(Resultatbudget!B35&gt;0,"Kassekredit disponibel","-")</f>
        <v>Kassekredit disponibel</v>
      </c>
      <c r="B39" s="131"/>
      <c r="C39" s="131">
        <f>IF(Resultatbudget!B35&gt;0,Resultatbudget!B35,"")</f>
        <v>10000</v>
      </c>
      <c r="D39" s="131">
        <f>IF(Resultatbudget!B35&gt;0,Balance!G23,"")</f>
        <v>7800</v>
      </c>
      <c r="E39" s="131"/>
      <c r="F39" s="204">
        <f>IF(Resultatbudget!B35&gt;0,C39-D39,0)</f>
        <v>2200</v>
      </c>
    </row>
    <row r="40" spans="1:9" ht="18">
      <c r="A40" s="309" t="s">
        <v>212</v>
      </c>
      <c r="B40" s="131"/>
      <c r="C40" s="131"/>
      <c r="D40" s="131"/>
      <c r="E40" s="131"/>
      <c r="F40" s="204">
        <f>Balance!B23</f>
        <v>200</v>
      </c>
    </row>
    <row r="41" spans="1:9" ht="18.75" thickBot="1">
      <c r="A41" s="173" t="s">
        <v>213</v>
      </c>
      <c r="B41" s="173"/>
      <c r="C41" s="173"/>
      <c r="D41" s="173"/>
      <c r="E41" s="173"/>
      <c r="F41" s="310">
        <f>SUM(F34:F40)</f>
        <v>4019.7100000000028</v>
      </c>
    </row>
    <row r="42" spans="1:9" ht="18.75" thickTop="1">
      <c r="A42" s="131" t="s">
        <v>214</v>
      </c>
      <c r="B42" s="131"/>
      <c r="C42" s="131"/>
      <c r="D42" s="131"/>
      <c r="E42" s="131"/>
      <c r="F42" s="204">
        <v>300</v>
      </c>
    </row>
    <row r="43" spans="1:9" ht="18">
      <c r="A43" s="131" t="s">
        <v>215</v>
      </c>
      <c r="F43" s="205">
        <f>F41-F42</f>
        <v>3719.7100000000028</v>
      </c>
      <c r="I43" s="160"/>
    </row>
    <row r="44" spans="1:9" ht="18">
      <c r="A44" s="131" t="s">
        <v>216</v>
      </c>
      <c r="F44" s="204">
        <f>9000-F43</f>
        <v>5280.2899999999972</v>
      </c>
    </row>
    <row r="48" spans="1:9" ht="18" hidden="1">
      <c r="A48" s="131" t="str">
        <f>(CONCATENATE("Udbytte udbetales 100% fra år;""",Resultatbudget!B3))</f>
        <v>Udbytte udbetales 100% fra år;"2012</v>
      </c>
    </row>
    <row r="50" spans="1:4">
      <c r="A50" s="77"/>
      <c r="B50" s="77"/>
      <c r="C50" s="77"/>
      <c r="D50" s="77"/>
    </row>
    <row r="51" spans="1:4">
      <c r="A51" s="77"/>
      <c r="B51" s="77"/>
      <c r="C51" s="77"/>
      <c r="D51" s="77"/>
    </row>
    <row r="52" spans="1:4">
      <c r="A52" s="77"/>
      <c r="B52" s="77"/>
      <c r="C52" s="77"/>
      <c r="D52" s="77"/>
    </row>
    <row r="53" spans="1:4" ht="18">
      <c r="A53" s="311"/>
      <c r="B53" s="311"/>
      <c r="C53" s="311"/>
      <c r="D53" s="77"/>
    </row>
    <row r="54" spans="1:4" ht="18">
      <c r="A54" s="312"/>
      <c r="B54" s="311"/>
      <c r="C54" s="313"/>
      <c r="D54" s="77"/>
    </row>
    <row r="55" spans="1:4" ht="18">
      <c r="A55" s="312"/>
      <c r="B55" s="311"/>
      <c r="C55" s="313"/>
      <c r="D55" s="77"/>
    </row>
    <row r="56" spans="1:4" ht="18">
      <c r="A56" s="312"/>
      <c r="B56" s="311"/>
      <c r="C56" s="313"/>
      <c r="D56" s="77"/>
    </row>
    <row r="57" spans="1:4" ht="18">
      <c r="A57" s="312"/>
      <c r="B57" s="311"/>
      <c r="C57" s="313"/>
      <c r="D57" s="77"/>
    </row>
    <row r="58" spans="1:4" ht="18">
      <c r="A58" s="311"/>
      <c r="B58" s="311"/>
      <c r="C58" s="313"/>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mergeCells count="16">
    <mergeCell ref="A17:B17"/>
    <mergeCell ref="A18:B18"/>
    <mergeCell ref="A28:B28"/>
    <mergeCell ref="A29:B29"/>
    <mergeCell ref="A10:B10"/>
    <mergeCell ref="A11:B11"/>
    <mergeCell ref="A13:B13"/>
    <mergeCell ref="A14:B14"/>
    <mergeCell ref="A15:B15"/>
    <mergeCell ref="A16:B16"/>
    <mergeCell ref="A9:B9"/>
    <mergeCell ref="A2:F2"/>
    <mergeCell ref="A5:B5"/>
    <mergeCell ref="A6:B6"/>
    <mergeCell ref="A7:B7"/>
    <mergeCell ref="A8:B8"/>
  </mergeCells>
  <pageMargins left="0.59055118110236227" right="0.59055118110236227" top="0.59055118110236227" bottom="0.39370078740157483"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I47"/>
  <sheetViews>
    <sheetView workbookViewId="0">
      <selection activeCell="B1" sqref="A1:XFD1"/>
    </sheetView>
  </sheetViews>
  <sheetFormatPr defaultRowHeight="12.75"/>
  <cols>
    <col min="1" max="1" width="22.7109375" style="75" customWidth="1"/>
    <col min="2" max="2" width="11.28515625" style="75" customWidth="1"/>
    <col min="3" max="3" width="10.42578125" style="75" customWidth="1"/>
    <col min="4" max="4" width="9.85546875" style="75" customWidth="1"/>
    <col min="5" max="5" width="11.5703125" style="75" customWidth="1"/>
    <col min="6" max="6" width="21.7109375" style="75" customWidth="1"/>
    <col min="7" max="7" width="14.5703125" style="75" customWidth="1"/>
    <col min="8" max="8" width="9.140625" style="75"/>
    <col min="9" max="9" width="13.140625" style="75" customWidth="1"/>
    <col min="10" max="256" width="9.140625" style="75"/>
    <col min="257" max="257" width="22.7109375" style="75" customWidth="1"/>
    <col min="258" max="258" width="11.28515625" style="75" customWidth="1"/>
    <col min="259" max="259" width="10.42578125" style="75" customWidth="1"/>
    <col min="260" max="260" width="9.85546875" style="75" customWidth="1"/>
    <col min="261" max="261" width="11.5703125" style="75" customWidth="1"/>
    <col min="262" max="262" width="21.7109375" style="75" customWidth="1"/>
    <col min="263" max="263" width="14.5703125" style="75" customWidth="1"/>
    <col min="264" max="264" width="9.140625" style="75"/>
    <col min="265" max="265" width="13.140625" style="75" customWidth="1"/>
    <col min="266" max="512" width="9.140625" style="75"/>
    <col min="513" max="513" width="22.7109375" style="75" customWidth="1"/>
    <col min="514" max="514" width="11.28515625" style="75" customWidth="1"/>
    <col min="515" max="515" width="10.42578125" style="75" customWidth="1"/>
    <col min="516" max="516" width="9.85546875" style="75" customWidth="1"/>
    <col min="517" max="517" width="11.5703125" style="75" customWidth="1"/>
    <col min="518" max="518" width="21.7109375" style="75" customWidth="1"/>
    <col min="519" max="519" width="14.5703125" style="75" customWidth="1"/>
    <col min="520" max="520" width="9.140625" style="75"/>
    <col min="521" max="521" width="13.140625" style="75" customWidth="1"/>
    <col min="522" max="768" width="9.140625" style="75"/>
    <col min="769" max="769" width="22.7109375" style="75" customWidth="1"/>
    <col min="770" max="770" width="11.28515625" style="75" customWidth="1"/>
    <col min="771" max="771" width="10.42578125" style="75" customWidth="1"/>
    <col min="772" max="772" width="9.85546875" style="75" customWidth="1"/>
    <col min="773" max="773" width="11.5703125" style="75" customWidth="1"/>
    <col min="774" max="774" width="21.7109375" style="75" customWidth="1"/>
    <col min="775" max="775" width="14.5703125" style="75" customWidth="1"/>
    <col min="776" max="776" width="9.140625" style="75"/>
    <col min="777" max="777" width="13.140625" style="75" customWidth="1"/>
    <col min="778" max="1024" width="9.140625" style="75"/>
    <col min="1025" max="1025" width="22.7109375" style="75" customWidth="1"/>
    <col min="1026" max="1026" width="11.28515625" style="75" customWidth="1"/>
    <col min="1027" max="1027" width="10.42578125" style="75" customWidth="1"/>
    <col min="1028" max="1028" width="9.85546875" style="75" customWidth="1"/>
    <col min="1029" max="1029" width="11.5703125" style="75" customWidth="1"/>
    <col min="1030" max="1030" width="21.7109375" style="75" customWidth="1"/>
    <col min="1031" max="1031" width="14.5703125" style="75" customWidth="1"/>
    <col min="1032" max="1032" width="9.140625" style="75"/>
    <col min="1033" max="1033" width="13.140625" style="75" customWidth="1"/>
    <col min="1034" max="1280" width="9.140625" style="75"/>
    <col min="1281" max="1281" width="22.7109375" style="75" customWidth="1"/>
    <col min="1282" max="1282" width="11.28515625" style="75" customWidth="1"/>
    <col min="1283" max="1283" width="10.42578125" style="75" customWidth="1"/>
    <col min="1284" max="1284" width="9.85546875" style="75" customWidth="1"/>
    <col min="1285" max="1285" width="11.5703125" style="75" customWidth="1"/>
    <col min="1286" max="1286" width="21.7109375" style="75" customWidth="1"/>
    <col min="1287" max="1287" width="14.5703125" style="75" customWidth="1"/>
    <col min="1288" max="1288" width="9.140625" style="75"/>
    <col min="1289" max="1289" width="13.140625" style="75" customWidth="1"/>
    <col min="1290" max="1536" width="9.140625" style="75"/>
    <col min="1537" max="1537" width="22.7109375" style="75" customWidth="1"/>
    <col min="1538" max="1538" width="11.28515625" style="75" customWidth="1"/>
    <col min="1539" max="1539" width="10.42578125" style="75" customWidth="1"/>
    <col min="1540" max="1540" width="9.85546875" style="75" customWidth="1"/>
    <col min="1541" max="1541" width="11.5703125" style="75" customWidth="1"/>
    <col min="1542" max="1542" width="21.7109375" style="75" customWidth="1"/>
    <col min="1543" max="1543" width="14.5703125" style="75" customWidth="1"/>
    <col min="1544" max="1544" width="9.140625" style="75"/>
    <col min="1545" max="1545" width="13.140625" style="75" customWidth="1"/>
    <col min="1546" max="1792" width="9.140625" style="75"/>
    <col min="1793" max="1793" width="22.7109375" style="75" customWidth="1"/>
    <col min="1794" max="1794" width="11.28515625" style="75" customWidth="1"/>
    <col min="1795" max="1795" width="10.42578125" style="75" customWidth="1"/>
    <col min="1796" max="1796" width="9.85546875" style="75" customWidth="1"/>
    <col min="1797" max="1797" width="11.5703125" style="75" customWidth="1"/>
    <col min="1798" max="1798" width="21.7109375" style="75" customWidth="1"/>
    <col min="1799" max="1799" width="14.5703125" style="75" customWidth="1"/>
    <col min="1800" max="1800" width="9.140625" style="75"/>
    <col min="1801" max="1801" width="13.140625" style="75" customWidth="1"/>
    <col min="1802" max="2048" width="9.140625" style="75"/>
    <col min="2049" max="2049" width="22.7109375" style="75" customWidth="1"/>
    <col min="2050" max="2050" width="11.28515625" style="75" customWidth="1"/>
    <col min="2051" max="2051" width="10.42578125" style="75" customWidth="1"/>
    <col min="2052" max="2052" width="9.85546875" style="75" customWidth="1"/>
    <col min="2053" max="2053" width="11.5703125" style="75" customWidth="1"/>
    <col min="2054" max="2054" width="21.7109375" style="75" customWidth="1"/>
    <col min="2055" max="2055" width="14.5703125" style="75" customWidth="1"/>
    <col min="2056" max="2056" width="9.140625" style="75"/>
    <col min="2057" max="2057" width="13.140625" style="75" customWidth="1"/>
    <col min="2058" max="2304" width="9.140625" style="75"/>
    <col min="2305" max="2305" width="22.7109375" style="75" customWidth="1"/>
    <col min="2306" max="2306" width="11.28515625" style="75" customWidth="1"/>
    <col min="2307" max="2307" width="10.42578125" style="75" customWidth="1"/>
    <col min="2308" max="2308" width="9.85546875" style="75" customWidth="1"/>
    <col min="2309" max="2309" width="11.5703125" style="75" customWidth="1"/>
    <col min="2310" max="2310" width="21.7109375" style="75" customWidth="1"/>
    <col min="2311" max="2311" width="14.5703125" style="75" customWidth="1"/>
    <col min="2312" max="2312" width="9.140625" style="75"/>
    <col min="2313" max="2313" width="13.140625" style="75" customWidth="1"/>
    <col min="2314" max="2560" width="9.140625" style="75"/>
    <col min="2561" max="2561" width="22.7109375" style="75" customWidth="1"/>
    <col min="2562" max="2562" width="11.28515625" style="75" customWidth="1"/>
    <col min="2563" max="2563" width="10.42578125" style="75" customWidth="1"/>
    <col min="2564" max="2564" width="9.85546875" style="75" customWidth="1"/>
    <col min="2565" max="2565" width="11.5703125" style="75" customWidth="1"/>
    <col min="2566" max="2566" width="21.7109375" style="75" customWidth="1"/>
    <col min="2567" max="2567" width="14.5703125" style="75" customWidth="1"/>
    <col min="2568" max="2568" width="9.140625" style="75"/>
    <col min="2569" max="2569" width="13.140625" style="75" customWidth="1"/>
    <col min="2570" max="2816" width="9.140625" style="75"/>
    <col min="2817" max="2817" width="22.7109375" style="75" customWidth="1"/>
    <col min="2818" max="2818" width="11.28515625" style="75" customWidth="1"/>
    <col min="2819" max="2819" width="10.42578125" style="75" customWidth="1"/>
    <col min="2820" max="2820" width="9.85546875" style="75" customWidth="1"/>
    <col min="2821" max="2821" width="11.5703125" style="75" customWidth="1"/>
    <col min="2822" max="2822" width="21.7109375" style="75" customWidth="1"/>
    <col min="2823" max="2823" width="14.5703125" style="75" customWidth="1"/>
    <col min="2824" max="2824" width="9.140625" style="75"/>
    <col min="2825" max="2825" width="13.140625" style="75" customWidth="1"/>
    <col min="2826" max="3072" width="9.140625" style="75"/>
    <col min="3073" max="3073" width="22.7109375" style="75" customWidth="1"/>
    <col min="3074" max="3074" width="11.28515625" style="75" customWidth="1"/>
    <col min="3075" max="3075" width="10.42578125" style="75" customWidth="1"/>
    <col min="3076" max="3076" width="9.85546875" style="75" customWidth="1"/>
    <col min="3077" max="3077" width="11.5703125" style="75" customWidth="1"/>
    <col min="3078" max="3078" width="21.7109375" style="75" customWidth="1"/>
    <col min="3079" max="3079" width="14.5703125" style="75" customWidth="1"/>
    <col min="3080" max="3080" width="9.140625" style="75"/>
    <col min="3081" max="3081" width="13.140625" style="75" customWidth="1"/>
    <col min="3082" max="3328" width="9.140625" style="75"/>
    <col min="3329" max="3329" width="22.7109375" style="75" customWidth="1"/>
    <col min="3330" max="3330" width="11.28515625" style="75" customWidth="1"/>
    <col min="3331" max="3331" width="10.42578125" style="75" customWidth="1"/>
    <col min="3332" max="3332" width="9.85546875" style="75" customWidth="1"/>
    <col min="3333" max="3333" width="11.5703125" style="75" customWidth="1"/>
    <col min="3334" max="3334" width="21.7109375" style="75" customWidth="1"/>
    <col min="3335" max="3335" width="14.5703125" style="75" customWidth="1"/>
    <col min="3336" max="3336" width="9.140625" style="75"/>
    <col min="3337" max="3337" width="13.140625" style="75" customWidth="1"/>
    <col min="3338" max="3584" width="9.140625" style="75"/>
    <col min="3585" max="3585" width="22.7109375" style="75" customWidth="1"/>
    <col min="3586" max="3586" width="11.28515625" style="75" customWidth="1"/>
    <col min="3587" max="3587" width="10.42578125" style="75" customWidth="1"/>
    <col min="3588" max="3588" width="9.85546875" style="75" customWidth="1"/>
    <col min="3589" max="3589" width="11.5703125" style="75" customWidth="1"/>
    <col min="3590" max="3590" width="21.7109375" style="75" customWidth="1"/>
    <col min="3591" max="3591" width="14.5703125" style="75" customWidth="1"/>
    <col min="3592" max="3592" width="9.140625" style="75"/>
    <col min="3593" max="3593" width="13.140625" style="75" customWidth="1"/>
    <col min="3594" max="3840" width="9.140625" style="75"/>
    <col min="3841" max="3841" width="22.7109375" style="75" customWidth="1"/>
    <col min="3842" max="3842" width="11.28515625" style="75" customWidth="1"/>
    <col min="3843" max="3843" width="10.42578125" style="75" customWidth="1"/>
    <col min="3844" max="3844" width="9.85546875" style="75" customWidth="1"/>
    <col min="3845" max="3845" width="11.5703125" style="75" customWidth="1"/>
    <col min="3846" max="3846" width="21.7109375" style="75" customWidth="1"/>
    <col min="3847" max="3847" width="14.5703125" style="75" customWidth="1"/>
    <col min="3848" max="3848" width="9.140625" style="75"/>
    <col min="3849" max="3849" width="13.140625" style="75" customWidth="1"/>
    <col min="3850" max="4096" width="9.140625" style="75"/>
    <col min="4097" max="4097" width="22.7109375" style="75" customWidth="1"/>
    <col min="4098" max="4098" width="11.28515625" style="75" customWidth="1"/>
    <col min="4099" max="4099" width="10.42578125" style="75" customWidth="1"/>
    <col min="4100" max="4100" width="9.85546875" style="75" customWidth="1"/>
    <col min="4101" max="4101" width="11.5703125" style="75" customWidth="1"/>
    <col min="4102" max="4102" width="21.7109375" style="75" customWidth="1"/>
    <col min="4103" max="4103" width="14.5703125" style="75" customWidth="1"/>
    <col min="4104" max="4104" width="9.140625" style="75"/>
    <col min="4105" max="4105" width="13.140625" style="75" customWidth="1"/>
    <col min="4106" max="4352" width="9.140625" style="75"/>
    <col min="4353" max="4353" width="22.7109375" style="75" customWidth="1"/>
    <col min="4354" max="4354" width="11.28515625" style="75" customWidth="1"/>
    <col min="4355" max="4355" width="10.42578125" style="75" customWidth="1"/>
    <col min="4356" max="4356" width="9.85546875" style="75" customWidth="1"/>
    <col min="4357" max="4357" width="11.5703125" style="75" customWidth="1"/>
    <col min="4358" max="4358" width="21.7109375" style="75" customWidth="1"/>
    <col min="4359" max="4359" width="14.5703125" style="75" customWidth="1"/>
    <col min="4360" max="4360" width="9.140625" style="75"/>
    <col min="4361" max="4361" width="13.140625" style="75" customWidth="1"/>
    <col min="4362" max="4608" width="9.140625" style="75"/>
    <col min="4609" max="4609" width="22.7109375" style="75" customWidth="1"/>
    <col min="4610" max="4610" width="11.28515625" style="75" customWidth="1"/>
    <col min="4611" max="4611" width="10.42578125" style="75" customWidth="1"/>
    <col min="4612" max="4612" width="9.85546875" style="75" customWidth="1"/>
    <col min="4613" max="4613" width="11.5703125" style="75" customWidth="1"/>
    <col min="4614" max="4614" width="21.7109375" style="75" customWidth="1"/>
    <col min="4615" max="4615" width="14.5703125" style="75" customWidth="1"/>
    <col min="4616" max="4616" width="9.140625" style="75"/>
    <col min="4617" max="4617" width="13.140625" style="75" customWidth="1"/>
    <col min="4618" max="4864" width="9.140625" style="75"/>
    <col min="4865" max="4865" width="22.7109375" style="75" customWidth="1"/>
    <col min="4866" max="4866" width="11.28515625" style="75" customWidth="1"/>
    <col min="4867" max="4867" width="10.42578125" style="75" customWidth="1"/>
    <col min="4868" max="4868" width="9.85546875" style="75" customWidth="1"/>
    <col min="4869" max="4869" width="11.5703125" style="75" customWidth="1"/>
    <col min="4870" max="4870" width="21.7109375" style="75" customWidth="1"/>
    <col min="4871" max="4871" width="14.5703125" style="75" customWidth="1"/>
    <col min="4872" max="4872" width="9.140625" style="75"/>
    <col min="4873" max="4873" width="13.140625" style="75" customWidth="1"/>
    <col min="4874" max="5120" width="9.140625" style="75"/>
    <col min="5121" max="5121" width="22.7109375" style="75" customWidth="1"/>
    <col min="5122" max="5122" width="11.28515625" style="75" customWidth="1"/>
    <col min="5123" max="5123" width="10.42578125" style="75" customWidth="1"/>
    <col min="5124" max="5124" width="9.85546875" style="75" customWidth="1"/>
    <col min="5125" max="5125" width="11.5703125" style="75" customWidth="1"/>
    <col min="5126" max="5126" width="21.7109375" style="75" customWidth="1"/>
    <col min="5127" max="5127" width="14.5703125" style="75" customWidth="1"/>
    <col min="5128" max="5128" width="9.140625" style="75"/>
    <col min="5129" max="5129" width="13.140625" style="75" customWidth="1"/>
    <col min="5130" max="5376" width="9.140625" style="75"/>
    <col min="5377" max="5377" width="22.7109375" style="75" customWidth="1"/>
    <col min="5378" max="5378" width="11.28515625" style="75" customWidth="1"/>
    <col min="5379" max="5379" width="10.42578125" style="75" customWidth="1"/>
    <col min="5380" max="5380" width="9.85546875" style="75" customWidth="1"/>
    <col min="5381" max="5381" width="11.5703125" style="75" customWidth="1"/>
    <col min="5382" max="5382" width="21.7109375" style="75" customWidth="1"/>
    <col min="5383" max="5383" width="14.5703125" style="75" customWidth="1"/>
    <col min="5384" max="5384" width="9.140625" style="75"/>
    <col min="5385" max="5385" width="13.140625" style="75" customWidth="1"/>
    <col min="5386" max="5632" width="9.140625" style="75"/>
    <col min="5633" max="5633" width="22.7109375" style="75" customWidth="1"/>
    <col min="5634" max="5634" width="11.28515625" style="75" customWidth="1"/>
    <col min="5635" max="5635" width="10.42578125" style="75" customWidth="1"/>
    <col min="5636" max="5636" width="9.85546875" style="75" customWidth="1"/>
    <col min="5637" max="5637" width="11.5703125" style="75" customWidth="1"/>
    <col min="5638" max="5638" width="21.7109375" style="75" customWidth="1"/>
    <col min="5639" max="5639" width="14.5703125" style="75" customWidth="1"/>
    <col min="5640" max="5640" width="9.140625" style="75"/>
    <col min="5641" max="5641" width="13.140625" style="75" customWidth="1"/>
    <col min="5642" max="5888" width="9.140625" style="75"/>
    <col min="5889" max="5889" width="22.7109375" style="75" customWidth="1"/>
    <col min="5890" max="5890" width="11.28515625" style="75" customWidth="1"/>
    <col min="5891" max="5891" width="10.42578125" style="75" customWidth="1"/>
    <col min="5892" max="5892" width="9.85546875" style="75" customWidth="1"/>
    <col min="5893" max="5893" width="11.5703125" style="75" customWidth="1"/>
    <col min="5894" max="5894" width="21.7109375" style="75" customWidth="1"/>
    <col min="5895" max="5895" width="14.5703125" style="75" customWidth="1"/>
    <col min="5896" max="5896" width="9.140625" style="75"/>
    <col min="5897" max="5897" width="13.140625" style="75" customWidth="1"/>
    <col min="5898" max="6144" width="9.140625" style="75"/>
    <col min="6145" max="6145" width="22.7109375" style="75" customWidth="1"/>
    <col min="6146" max="6146" width="11.28515625" style="75" customWidth="1"/>
    <col min="6147" max="6147" width="10.42578125" style="75" customWidth="1"/>
    <col min="6148" max="6148" width="9.85546875" style="75" customWidth="1"/>
    <col min="6149" max="6149" width="11.5703125" style="75" customWidth="1"/>
    <col min="6150" max="6150" width="21.7109375" style="75" customWidth="1"/>
    <col min="6151" max="6151" width="14.5703125" style="75" customWidth="1"/>
    <col min="6152" max="6152" width="9.140625" style="75"/>
    <col min="6153" max="6153" width="13.140625" style="75" customWidth="1"/>
    <col min="6154" max="6400" width="9.140625" style="75"/>
    <col min="6401" max="6401" width="22.7109375" style="75" customWidth="1"/>
    <col min="6402" max="6402" width="11.28515625" style="75" customWidth="1"/>
    <col min="6403" max="6403" width="10.42578125" style="75" customWidth="1"/>
    <col min="6404" max="6404" width="9.85546875" style="75" customWidth="1"/>
    <col min="6405" max="6405" width="11.5703125" style="75" customWidth="1"/>
    <col min="6406" max="6406" width="21.7109375" style="75" customWidth="1"/>
    <col min="6407" max="6407" width="14.5703125" style="75" customWidth="1"/>
    <col min="6408" max="6408" width="9.140625" style="75"/>
    <col min="6409" max="6409" width="13.140625" style="75" customWidth="1"/>
    <col min="6410" max="6656" width="9.140625" style="75"/>
    <col min="6657" max="6657" width="22.7109375" style="75" customWidth="1"/>
    <col min="6658" max="6658" width="11.28515625" style="75" customWidth="1"/>
    <col min="6659" max="6659" width="10.42578125" style="75" customWidth="1"/>
    <col min="6660" max="6660" width="9.85546875" style="75" customWidth="1"/>
    <col min="6661" max="6661" width="11.5703125" style="75" customWidth="1"/>
    <col min="6662" max="6662" width="21.7109375" style="75" customWidth="1"/>
    <col min="6663" max="6663" width="14.5703125" style="75" customWidth="1"/>
    <col min="6664" max="6664" width="9.140625" style="75"/>
    <col min="6665" max="6665" width="13.140625" style="75" customWidth="1"/>
    <col min="6666" max="6912" width="9.140625" style="75"/>
    <col min="6913" max="6913" width="22.7109375" style="75" customWidth="1"/>
    <col min="6914" max="6914" width="11.28515625" style="75" customWidth="1"/>
    <col min="6915" max="6915" width="10.42578125" style="75" customWidth="1"/>
    <col min="6916" max="6916" width="9.85546875" style="75" customWidth="1"/>
    <col min="6917" max="6917" width="11.5703125" style="75" customWidth="1"/>
    <col min="6918" max="6918" width="21.7109375" style="75" customWidth="1"/>
    <col min="6919" max="6919" width="14.5703125" style="75" customWidth="1"/>
    <col min="6920" max="6920" width="9.140625" style="75"/>
    <col min="6921" max="6921" width="13.140625" style="75" customWidth="1"/>
    <col min="6922" max="7168" width="9.140625" style="75"/>
    <col min="7169" max="7169" width="22.7109375" style="75" customWidth="1"/>
    <col min="7170" max="7170" width="11.28515625" style="75" customWidth="1"/>
    <col min="7171" max="7171" width="10.42578125" style="75" customWidth="1"/>
    <col min="7172" max="7172" width="9.85546875" style="75" customWidth="1"/>
    <col min="7173" max="7173" width="11.5703125" style="75" customWidth="1"/>
    <col min="7174" max="7174" width="21.7109375" style="75" customWidth="1"/>
    <col min="7175" max="7175" width="14.5703125" style="75" customWidth="1"/>
    <col min="7176" max="7176" width="9.140625" style="75"/>
    <col min="7177" max="7177" width="13.140625" style="75" customWidth="1"/>
    <col min="7178" max="7424" width="9.140625" style="75"/>
    <col min="7425" max="7425" width="22.7109375" style="75" customWidth="1"/>
    <col min="7426" max="7426" width="11.28515625" style="75" customWidth="1"/>
    <col min="7427" max="7427" width="10.42578125" style="75" customWidth="1"/>
    <col min="7428" max="7428" width="9.85546875" style="75" customWidth="1"/>
    <col min="7429" max="7429" width="11.5703125" style="75" customWidth="1"/>
    <col min="7430" max="7430" width="21.7109375" style="75" customWidth="1"/>
    <col min="7431" max="7431" width="14.5703125" style="75" customWidth="1"/>
    <col min="7432" max="7432" width="9.140625" style="75"/>
    <col min="7433" max="7433" width="13.140625" style="75" customWidth="1"/>
    <col min="7434" max="7680" width="9.140625" style="75"/>
    <col min="7681" max="7681" width="22.7109375" style="75" customWidth="1"/>
    <col min="7682" max="7682" width="11.28515625" style="75" customWidth="1"/>
    <col min="7683" max="7683" width="10.42578125" style="75" customWidth="1"/>
    <col min="7684" max="7684" width="9.85546875" style="75" customWidth="1"/>
    <col min="7685" max="7685" width="11.5703125" style="75" customWidth="1"/>
    <col min="7686" max="7686" width="21.7109375" style="75" customWidth="1"/>
    <col min="7687" max="7687" width="14.5703125" style="75" customWidth="1"/>
    <col min="7688" max="7688" width="9.140625" style="75"/>
    <col min="7689" max="7689" width="13.140625" style="75" customWidth="1"/>
    <col min="7690" max="7936" width="9.140625" style="75"/>
    <col min="7937" max="7937" width="22.7109375" style="75" customWidth="1"/>
    <col min="7938" max="7938" width="11.28515625" style="75" customWidth="1"/>
    <col min="7939" max="7939" width="10.42578125" style="75" customWidth="1"/>
    <col min="7940" max="7940" width="9.85546875" style="75" customWidth="1"/>
    <col min="7941" max="7941" width="11.5703125" style="75" customWidth="1"/>
    <col min="7942" max="7942" width="21.7109375" style="75" customWidth="1"/>
    <col min="7943" max="7943" width="14.5703125" style="75" customWidth="1"/>
    <col min="7944" max="7944" width="9.140625" style="75"/>
    <col min="7945" max="7945" width="13.140625" style="75" customWidth="1"/>
    <col min="7946" max="8192" width="9.140625" style="75"/>
    <col min="8193" max="8193" width="22.7109375" style="75" customWidth="1"/>
    <col min="8194" max="8194" width="11.28515625" style="75" customWidth="1"/>
    <col min="8195" max="8195" width="10.42578125" style="75" customWidth="1"/>
    <col min="8196" max="8196" width="9.85546875" style="75" customWidth="1"/>
    <col min="8197" max="8197" width="11.5703125" style="75" customWidth="1"/>
    <col min="8198" max="8198" width="21.7109375" style="75" customWidth="1"/>
    <col min="8199" max="8199" width="14.5703125" style="75" customWidth="1"/>
    <col min="8200" max="8200" width="9.140625" style="75"/>
    <col min="8201" max="8201" width="13.140625" style="75" customWidth="1"/>
    <col min="8202" max="8448" width="9.140625" style="75"/>
    <col min="8449" max="8449" width="22.7109375" style="75" customWidth="1"/>
    <col min="8450" max="8450" width="11.28515625" style="75" customWidth="1"/>
    <col min="8451" max="8451" width="10.42578125" style="75" customWidth="1"/>
    <col min="8452" max="8452" width="9.85546875" style="75" customWidth="1"/>
    <col min="8453" max="8453" width="11.5703125" style="75" customWidth="1"/>
    <col min="8454" max="8454" width="21.7109375" style="75" customWidth="1"/>
    <col min="8455" max="8455" width="14.5703125" style="75" customWidth="1"/>
    <col min="8456" max="8456" width="9.140625" style="75"/>
    <col min="8457" max="8457" width="13.140625" style="75" customWidth="1"/>
    <col min="8458" max="8704" width="9.140625" style="75"/>
    <col min="8705" max="8705" width="22.7109375" style="75" customWidth="1"/>
    <col min="8706" max="8706" width="11.28515625" style="75" customWidth="1"/>
    <col min="8707" max="8707" width="10.42578125" style="75" customWidth="1"/>
    <col min="8708" max="8708" width="9.85546875" style="75" customWidth="1"/>
    <col min="8709" max="8709" width="11.5703125" style="75" customWidth="1"/>
    <col min="8710" max="8710" width="21.7109375" style="75" customWidth="1"/>
    <col min="8711" max="8711" width="14.5703125" style="75" customWidth="1"/>
    <col min="8712" max="8712" width="9.140625" style="75"/>
    <col min="8713" max="8713" width="13.140625" style="75" customWidth="1"/>
    <col min="8714" max="8960" width="9.140625" style="75"/>
    <col min="8961" max="8961" width="22.7109375" style="75" customWidth="1"/>
    <col min="8962" max="8962" width="11.28515625" style="75" customWidth="1"/>
    <col min="8963" max="8963" width="10.42578125" style="75" customWidth="1"/>
    <col min="8964" max="8964" width="9.85546875" style="75" customWidth="1"/>
    <col min="8965" max="8965" width="11.5703125" style="75" customWidth="1"/>
    <col min="8966" max="8966" width="21.7109375" style="75" customWidth="1"/>
    <col min="8967" max="8967" width="14.5703125" style="75" customWidth="1"/>
    <col min="8968" max="8968" width="9.140625" style="75"/>
    <col min="8969" max="8969" width="13.140625" style="75" customWidth="1"/>
    <col min="8970" max="9216" width="9.140625" style="75"/>
    <col min="9217" max="9217" width="22.7109375" style="75" customWidth="1"/>
    <col min="9218" max="9218" width="11.28515625" style="75" customWidth="1"/>
    <col min="9219" max="9219" width="10.42578125" style="75" customWidth="1"/>
    <col min="9220" max="9220" width="9.85546875" style="75" customWidth="1"/>
    <col min="9221" max="9221" width="11.5703125" style="75" customWidth="1"/>
    <col min="9222" max="9222" width="21.7109375" style="75" customWidth="1"/>
    <col min="9223" max="9223" width="14.5703125" style="75" customWidth="1"/>
    <col min="9224" max="9224" width="9.140625" style="75"/>
    <col min="9225" max="9225" width="13.140625" style="75" customWidth="1"/>
    <col min="9226" max="9472" width="9.140625" style="75"/>
    <col min="9473" max="9473" width="22.7109375" style="75" customWidth="1"/>
    <col min="9474" max="9474" width="11.28515625" style="75" customWidth="1"/>
    <col min="9475" max="9475" width="10.42578125" style="75" customWidth="1"/>
    <col min="9476" max="9476" width="9.85546875" style="75" customWidth="1"/>
    <col min="9477" max="9477" width="11.5703125" style="75" customWidth="1"/>
    <col min="9478" max="9478" width="21.7109375" style="75" customWidth="1"/>
    <col min="9479" max="9479" width="14.5703125" style="75" customWidth="1"/>
    <col min="9480" max="9480" width="9.140625" style="75"/>
    <col min="9481" max="9481" width="13.140625" style="75" customWidth="1"/>
    <col min="9482" max="9728" width="9.140625" style="75"/>
    <col min="9729" max="9729" width="22.7109375" style="75" customWidth="1"/>
    <col min="9730" max="9730" width="11.28515625" style="75" customWidth="1"/>
    <col min="9731" max="9731" width="10.42578125" style="75" customWidth="1"/>
    <col min="9732" max="9732" width="9.85546875" style="75" customWidth="1"/>
    <col min="9733" max="9733" width="11.5703125" style="75" customWidth="1"/>
    <col min="9734" max="9734" width="21.7109375" style="75" customWidth="1"/>
    <col min="9735" max="9735" width="14.5703125" style="75" customWidth="1"/>
    <col min="9736" max="9736" width="9.140625" style="75"/>
    <col min="9737" max="9737" width="13.140625" style="75" customWidth="1"/>
    <col min="9738" max="9984" width="9.140625" style="75"/>
    <col min="9985" max="9985" width="22.7109375" style="75" customWidth="1"/>
    <col min="9986" max="9986" width="11.28515625" style="75" customWidth="1"/>
    <col min="9987" max="9987" width="10.42578125" style="75" customWidth="1"/>
    <col min="9988" max="9988" width="9.85546875" style="75" customWidth="1"/>
    <col min="9989" max="9989" width="11.5703125" style="75" customWidth="1"/>
    <col min="9990" max="9990" width="21.7109375" style="75" customWidth="1"/>
    <col min="9991" max="9991" width="14.5703125" style="75" customWidth="1"/>
    <col min="9992" max="9992" width="9.140625" style="75"/>
    <col min="9993" max="9993" width="13.140625" style="75" customWidth="1"/>
    <col min="9994" max="10240" width="9.140625" style="75"/>
    <col min="10241" max="10241" width="22.7109375" style="75" customWidth="1"/>
    <col min="10242" max="10242" width="11.28515625" style="75" customWidth="1"/>
    <col min="10243" max="10243" width="10.42578125" style="75" customWidth="1"/>
    <col min="10244" max="10244" width="9.85546875" style="75" customWidth="1"/>
    <col min="10245" max="10245" width="11.5703125" style="75" customWidth="1"/>
    <col min="10246" max="10246" width="21.7109375" style="75" customWidth="1"/>
    <col min="10247" max="10247" width="14.5703125" style="75" customWidth="1"/>
    <col min="10248" max="10248" width="9.140625" style="75"/>
    <col min="10249" max="10249" width="13.140625" style="75" customWidth="1"/>
    <col min="10250" max="10496" width="9.140625" style="75"/>
    <col min="10497" max="10497" width="22.7109375" style="75" customWidth="1"/>
    <col min="10498" max="10498" width="11.28515625" style="75" customWidth="1"/>
    <col min="10499" max="10499" width="10.42578125" style="75" customWidth="1"/>
    <col min="10500" max="10500" width="9.85546875" style="75" customWidth="1"/>
    <col min="10501" max="10501" width="11.5703125" style="75" customWidth="1"/>
    <col min="10502" max="10502" width="21.7109375" style="75" customWidth="1"/>
    <col min="10503" max="10503" width="14.5703125" style="75" customWidth="1"/>
    <col min="10504" max="10504" width="9.140625" style="75"/>
    <col min="10505" max="10505" width="13.140625" style="75" customWidth="1"/>
    <col min="10506" max="10752" width="9.140625" style="75"/>
    <col min="10753" max="10753" width="22.7109375" style="75" customWidth="1"/>
    <col min="10754" max="10754" width="11.28515625" style="75" customWidth="1"/>
    <col min="10755" max="10755" width="10.42578125" style="75" customWidth="1"/>
    <col min="10756" max="10756" width="9.85546875" style="75" customWidth="1"/>
    <col min="10757" max="10757" width="11.5703125" style="75" customWidth="1"/>
    <col min="10758" max="10758" width="21.7109375" style="75" customWidth="1"/>
    <col min="10759" max="10759" width="14.5703125" style="75" customWidth="1"/>
    <col min="10760" max="10760" width="9.140625" style="75"/>
    <col min="10761" max="10761" width="13.140625" style="75" customWidth="1"/>
    <col min="10762" max="11008" width="9.140625" style="75"/>
    <col min="11009" max="11009" width="22.7109375" style="75" customWidth="1"/>
    <col min="11010" max="11010" width="11.28515625" style="75" customWidth="1"/>
    <col min="11011" max="11011" width="10.42578125" style="75" customWidth="1"/>
    <col min="11012" max="11012" width="9.85546875" style="75" customWidth="1"/>
    <col min="11013" max="11013" width="11.5703125" style="75" customWidth="1"/>
    <col min="11014" max="11014" width="21.7109375" style="75" customWidth="1"/>
    <col min="11015" max="11015" width="14.5703125" style="75" customWidth="1"/>
    <col min="11016" max="11016" width="9.140625" style="75"/>
    <col min="11017" max="11017" width="13.140625" style="75" customWidth="1"/>
    <col min="11018" max="11264" width="9.140625" style="75"/>
    <col min="11265" max="11265" width="22.7109375" style="75" customWidth="1"/>
    <col min="11266" max="11266" width="11.28515625" style="75" customWidth="1"/>
    <col min="11267" max="11267" width="10.42578125" style="75" customWidth="1"/>
    <col min="11268" max="11268" width="9.85546875" style="75" customWidth="1"/>
    <col min="11269" max="11269" width="11.5703125" style="75" customWidth="1"/>
    <col min="11270" max="11270" width="21.7109375" style="75" customWidth="1"/>
    <col min="11271" max="11271" width="14.5703125" style="75" customWidth="1"/>
    <col min="11272" max="11272" width="9.140625" style="75"/>
    <col min="11273" max="11273" width="13.140625" style="75" customWidth="1"/>
    <col min="11274" max="11520" width="9.140625" style="75"/>
    <col min="11521" max="11521" width="22.7109375" style="75" customWidth="1"/>
    <col min="11522" max="11522" width="11.28515625" style="75" customWidth="1"/>
    <col min="11523" max="11523" width="10.42578125" style="75" customWidth="1"/>
    <col min="11524" max="11524" width="9.85546875" style="75" customWidth="1"/>
    <col min="11525" max="11525" width="11.5703125" style="75" customWidth="1"/>
    <col min="11526" max="11526" width="21.7109375" style="75" customWidth="1"/>
    <col min="11527" max="11527" width="14.5703125" style="75" customWidth="1"/>
    <col min="11528" max="11528" width="9.140625" style="75"/>
    <col min="11529" max="11529" width="13.140625" style="75" customWidth="1"/>
    <col min="11530" max="11776" width="9.140625" style="75"/>
    <col min="11777" max="11777" width="22.7109375" style="75" customWidth="1"/>
    <col min="11778" max="11778" width="11.28515625" style="75" customWidth="1"/>
    <col min="11779" max="11779" width="10.42578125" style="75" customWidth="1"/>
    <col min="11780" max="11780" width="9.85546875" style="75" customWidth="1"/>
    <col min="11781" max="11781" width="11.5703125" style="75" customWidth="1"/>
    <col min="11782" max="11782" width="21.7109375" style="75" customWidth="1"/>
    <col min="11783" max="11783" width="14.5703125" style="75" customWidth="1"/>
    <col min="11784" max="11784" width="9.140625" style="75"/>
    <col min="11785" max="11785" width="13.140625" style="75" customWidth="1"/>
    <col min="11786" max="12032" width="9.140625" style="75"/>
    <col min="12033" max="12033" width="22.7109375" style="75" customWidth="1"/>
    <col min="12034" max="12034" width="11.28515625" style="75" customWidth="1"/>
    <col min="12035" max="12035" width="10.42578125" style="75" customWidth="1"/>
    <col min="12036" max="12036" width="9.85546875" style="75" customWidth="1"/>
    <col min="12037" max="12037" width="11.5703125" style="75" customWidth="1"/>
    <col min="12038" max="12038" width="21.7109375" style="75" customWidth="1"/>
    <col min="12039" max="12039" width="14.5703125" style="75" customWidth="1"/>
    <col min="12040" max="12040" width="9.140625" style="75"/>
    <col min="12041" max="12041" width="13.140625" style="75" customWidth="1"/>
    <col min="12042" max="12288" width="9.140625" style="75"/>
    <col min="12289" max="12289" width="22.7109375" style="75" customWidth="1"/>
    <col min="12290" max="12290" width="11.28515625" style="75" customWidth="1"/>
    <col min="12291" max="12291" width="10.42578125" style="75" customWidth="1"/>
    <col min="12292" max="12292" width="9.85546875" style="75" customWidth="1"/>
    <col min="12293" max="12293" width="11.5703125" style="75" customWidth="1"/>
    <col min="12294" max="12294" width="21.7109375" style="75" customWidth="1"/>
    <col min="12295" max="12295" width="14.5703125" style="75" customWidth="1"/>
    <col min="12296" max="12296" width="9.140625" style="75"/>
    <col min="12297" max="12297" width="13.140625" style="75" customWidth="1"/>
    <col min="12298" max="12544" width="9.140625" style="75"/>
    <col min="12545" max="12545" width="22.7109375" style="75" customWidth="1"/>
    <col min="12546" max="12546" width="11.28515625" style="75" customWidth="1"/>
    <col min="12547" max="12547" width="10.42578125" style="75" customWidth="1"/>
    <col min="12548" max="12548" width="9.85546875" style="75" customWidth="1"/>
    <col min="12549" max="12549" width="11.5703125" style="75" customWidth="1"/>
    <col min="12550" max="12550" width="21.7109375" style="75" customWidth="1"/>
    <col min="12551" max="12551" width="14.5703125" style="75" customWidth="1"/>
    <col min="12552" max="12552" width="9.140625" style="75"/>
    <col min="12553" max="12553" width="13.140625" style="75" customWidth="1"/>
    <col min="12554" max="12800" width="9.140625" style="75"/>
    <col min="12801" max="12801" width="22.7109375" style="75" customWidth="1"/>
    <col min="12802" max="12802" width="11.28515625" style="75" customWidth="1"/>
    <col min="12803" max="12803" width="10.42578125" style="75" customWidth="1"/>
    <col min="12804" max="12804" width="9.85546875" style="75" customWidth="1"/>
    <col min="12805" max="12805" width="11.5703125" style="75" customWidth="1"/>
    <col min="12806" max="12806" width="21.7109375" style="75" customWidth="1"/>
    <col min="12807" max="12807" width="14.5703125" style="75" customWidth="1"/>
    <col min="12808" max="12808" width="9.140625" style="75"/>
    <col min="12809" max="12809" width="13.140625" style="75" customWidth="1"/>
    <col min="12810" max="13056" width="9.140625" style="75"/>
    <col min="13057" max="13057" width="22.7109375" style="75" customWidth="1"/>
    <col min="13058" max="13058" width="11.28515625" style="75" customWidth="1"/>
    <col min="13059" max="13059" width="10.42578125" style="75" customWidth="1"/>
    <col min="13060" max="13060" width="9.85546875" style="75" customWidth="1"/>
    <col min="13061" max="13061" width="11.5703125" style="75" customWidth="1"/>
    <col min="13062" max="13062" width="21.7109375" style="75" customWidth="1"/>
    <col min="13063" max="13063" width="14.5703125" style="75" customWidth="1"/>
    <col min="13064" max="13064" width="9.140625" style="75"/>
    <col min="13065" max="13065" width="13.140625" style="75" customWidth="1"/>
    <col min="13066" max="13312" width="9.140625" style="75"/>
    <col min="13313" max="13313" width="22.7109375" style="75" customWidth="1"/>
    <col min="13314" max="13314" width="11.28515625" style="75" customWidth="1"/>
    <col min="13315" max="13315" width="10.42578125" style="75" customWidth="1"/>
    <col min="13316" max="13316" width="9.85546875" style="75" customWidth="1"/>
    <col min="13317" max="13317" width="11.5703125" style="75" customWidth="1"/>
    <col min="13318" max="13318" width="21.7109375" style="75" customWidth="1"/>
    <col min="13319" max="13319" width="14.5703125" style="75" customWidth="1"/>
    <col min="13320" max="13320" width="9.140625" style="75"/>
    <col min="13321" max="13321" width="13.140625" style="75" customWidth="1"/>
    <col min="13322" max="13568" width="9.140625" style="75"/>
    <col min="13569" max="13569" width="22.7109375" style="75" customWidth="1"/>
    <col min="13570" max="13570" width="11.28515625" style="75" customWidth="1"/>
    <col min="13571" max="13571" width="10.42578125" style="75" customWidth="1"/>
    <col min="13572" max="13572" width="9.85546875" style="75" customWidth="1"/>
    <col min="13573" max="13573" width="11.5703125" style="75" customWidth="1"/>
    <col min="13574" max="13574" width="21.7109375" style="75" customWidth="1"/>
    <col min="13575" max="13575" width="14.5703125" style="75" customWidth="1"/>
    <col min="13576" max="13576" width="9.140625" style="75"/>
    <col min="13577" max="13577" width="13.140625" style="75" customWidth="1"/>
    <col min="13578" max="13824" width="9.140625" style="75"/>
    <col min="13825" max="13825" width="22.7109375" style="75" customWidth="1"/>
    <col min="13826" max="13826" width="11.28515625" style="75" customWidth="1"/>
    <col min="13827" max="13827" width="10.42578125" style="75" customWidth="1"/>
    <col min="13828" max="13828" width="9.85546875" style="75" customWidth="1"/>
    <col min="13829" max="13829" width="11.5703125" style="75" customWidth="1"/>
    <col min="13830" max="13830" width="21.7109375" style="75" customWidth="1"/>
    <col min="13831" max="13831" width="14.5703125" style="75" customWidth="1"/>
    <col min="13832" max="13832" width="9.140625" style="75"/>
    <col min="13833" max="13833" width="13.140625" style="75" customWidth="1"/>
    <col min="13834" max="14080" width="9.140625" style="75"/>
    <col min="14081" max="14081" width="22.7109375" style="75" customWidth="1"/>
    <col min="14082" max="14082" width="11.28515625" style="75" customWidth="1"/>
    <col min="14083" max="14083" width="10.42578125" style="75" customWidth="1"/>
    <col min="14084" max="14084" width="9.85546875" style="75" customWidth="1"/>
    <col min="14085" max="14085" width="11.5703125" style="75" customWidth="1"/>
    <col min="14086" max="14086" width="21.7109375" style="75" customWidth="1"/>
    <col min="14087" max="14087" width="14.5703125" style="75" customWidth="1"/>
    <col min="14088" max="14088" width="9.140625" style="75"/>
    <col min="14089" max="14089" width="13.140625" style="75" customWidth="1"/>
    <col min="14090" max="14336" width="9.140625" style="75"/>
    <col min="14337" max="14337" width="22.7109375" style="75" customWidth="1"/>
    <col min="14338" max="14338" width="11.28515625" style="75" customWidth="1"/>
    <col min="14339" max="14339" width="10.42578125" style="75" customWidth="1"/>
    <col min="14340" max="14340" width="9.85546875" style="75" customWidth="1"/>
    <col min="14341" max="14341" width="11.5703125" style="75" customWidth="1"/>
    <col min="14342" max="14342" width="21.7109375" style="75" customWidth="1"/>
    <col min="14343" max="14343" width="14.5703125" style="75" customWidth="1"/>
    <col min="14344" max="14344" width="9.140625" style="75"/>
    <col min="14345" max="14345" width="13.140625" style="75" customWidth="1"/>
    <col min="14346" max="14592" width="9.140625" style="75"/>
    <col min="14593" max="14593" width="22.7109375" style="75" customWidth="1"/>
    <col min="14594" max="14594" width="11.28515625" style="75" customWidth="1"/>
    <col min="14595" max="14595" width="10.42578125" style="75" customWidth="1"/>
    <col min="14596" max="14596" width="9.85546875" style="75" customWidth="1"/>
    <col min="14597" max="14597" width="11.5703125" style="75" customWidth="1"/>
    <col min="14598" max="14598" width="21.7109375" style="75" customWidth="1"/>
    <col min="14599" max="14599" width="14.5703125" style="75" customWidth="1"/>
    <col min="14600" max="14600" width="9.140625" style="75"/>
    <col min="14601" max="14601" width="13.140625" style="75" customWidth="1"/>
    <col min="14602" max="14848" width="9.140625" style="75"/>
    <col min="14849" max="14849" width="22.7109375" style="75" customWidth="1"/>
    <col min="14850" max="14850" width="11.28515625" style="75" customWidth="1"/>
    <col min="14851" max="14851" width="10.42578125" style="75" customWidth="1"/>
    <col min="14852" max="14852" width="9.85546875" style="75" customWidth="1"/>
    <col min="14853" max="14853" width="11.5703125" style="75" customWidth="1"/>
    <col min="14854" max="14854" width="21.7109375" style="75" customWidth="1"/>
    <col min="14855" max="14855" width="14.5703125" style="75" customWidth="1"/>
    <col min="14856" max="14856" width="9.140625" style="75"/>
    <col min="14857" max="14857" width="13.140625" style="75" customWidth="1"/>
    <col min="14858" max="15104" width="9.140625" style="75"/>
    <col min="15105" max="15105" width="22.7109375" style="75" customWidth="1"/>
    <col min="15106" max="15106" width="11.28515625" style="75" customWidth="1"/>
    <col min="15107" max="15107" width="10.42578125" style="75" customWidth="1"/>
    <col min="15108" max="15108" width="9.85546875" style="75" customWidth="1"/>
    <col min="15109" max="15109" width="11.5703125" style="75" customWidth="1"/>
    <col min="15110" max="15110" width="21.7109375" style="75" customWidth="1"/>
    <col min="15111" max="15111" width="14.5703125" style="75" customWidth="1"/>
    <col min="15112" max="15112" width="9.140625" style="75"/>
    <col min="15113" max="15113" width="13.140625" style="75" customWidth="1"/>
    <col min="15114" max="15360" width="9.140625" style="75"/>
    <col min="15361" max="15361" width="22.7109375" style="75" customWidth="1"/>
    <col min="15362" max="15362" width="11.28515625" style="75" customWidth="1"/>
    <col min="15363" max="15363" width="10.42578125" style="75" customWidth="1"/>
    <col min="15364" max="15364" width="9.85546875" style="75" customWidth="1"/>
    <col min="15365" max="15365" width="11.5703125" style="75" customWidth="1"/>
    <col min="15366" max="15366" width="21.7109375" style="75" customWidth="1"/>
    <col min="15367" max="15367" width="14.5703125" style="75" customWidth="1"/>
    <col min="15368" max="15368" width="9.140625" style="75"/>
    <col min="15369" max="15369" width="13.140625" style="75" customWidth="1"/>
    <col min="15370" max="15616" width="9.140625" style="75"/>
    <col min="15617" max="15617" width="22.7109375" style="75" customWidth="1"/>
    <col min="15618" max="15618" width="11.28515625" style="75" customWidth="1"/>
    <col min="15619" max="15619" width="10.42578125" style="75" customWidth="1"/>
    <col min="15620" max="15620" width="9.85546875" style="75" customWidth="1"/>
    <col min="15621" max="15621" width="11.5703125" style="75" customWidth="1"/>
    <col min="15622" max="15622" width="21.7109375" style="75" customWidth="1"/>
    <col min="15623" max="15623" width="14.5703125" style="75" customWidth="1"/>
    <col min="15624" max="15624" width="9.140625" style="75"/>
    <col min="15625" max="15625" width="13.140625" style="75" customWidth="1"/>
    <col min="15626" max="15872" width="9.140625" style="75"/>
    <col min="15873" max="15873" width="22.7109375" style="75" customWidth="1"/>
    <col min="15874" max="15874" width="11.28515625" style="75" customWidth="1"/>
    <col min="15875" max="15875" width="10.42578125" style="75" customWidth="1"/>
    <col min="15876" max="15876" width="9.85546875" style="75" customWidth="1"/>
    <col min="15877" max="15877" width="11.5703125" style="75" customWidth="1"/>
    <col min="15878" max="15878" width="21.7109375" style="75" customWidth="1"/>
    <col min="15879" max="15879" width="14.5703125" style="75" customWidth="1"/>
    <col min="15880" max="15880" width="9.140625" style="75"/>
    <col min="15881" max="15881" width="13.140625" style="75" customWidth="1"/>
    <col min="15882" max="16128" width="9.140625" style="75"/>
    <col min="16129" max="16129" width="22.7109375" style="75" customWidth="1"/>
    <col min="16130" max="16130" width="11.28515625" style="75" customWidth="1"/>
    <col min="16131" max="16131" width="10.42578125" style="75" customWidth="1"/>
    <col min="16132" max="16132" width="9.85546875" style="75" customWidth="1"/>
    <col min="16133" max="16133" width="11.5703125" style="75" customWidth="1"/>
    <col min="16134" max="16134" width="21.7109375" style="75" customWidth="1"/>
    <col min="16135" max="16135" width="14.5703125" style="75" customWidth="1"/>
    <col min="16136" max="16136" width="9.140625" style="75"/>
    <col min="16137" max="16137" width="13.140625" style="75" customWidth="1"/>
    <col min="16138" max="16384" width="9.140625" style="75"/>
  </cols>
  <sheetData>
    <row r="1" spans="1:9">
      <c r="A1" s="75" t="s">
        <v>288</v>
      </c>
    </row>
    <row r="2" spans="1:9" ht="23.25">
      <c r="A2" s="498" t="s">
        <v>166</v>
      </c>
      <c r="B2" s="494"/>
      <c r="C2" s="494"/>
      <c r="D2" s="494"/>
      <c r="E2" s="494"/>
      <c r="F2" s="494"/>
      <c r="G2" s="494"/>
      <c r="H2" s="494"/>
      <c r="I2" s="494"/>
    </row>
    <row r="3" spans="1:9" ht="13.5" thickBot="1">
      <c r="A3" s="75" t="s">
        <v>167</v>
      </c>
      <c r="B3" s="75" t="str">
        <f>CONCATENATE("31/12-",Resultatbudget!B3)</f>
        <v>31/12-2012</v>
      </c>
      <c r="E3" s="75" t="str">
        <f>CONCATENATE("31/12-",Resultatbudget!B3+1)</f>
        <v>31/12-2013</v>
      </c>
      <c r="F3" s="75" t="s">
        <v>168</v>
      </c>
      <c r="G3" s="75" t="str">
        <f>B3</f>
        <v>31/12-2012</v>
      </c>
      <c r="H3" s="75" t="s">
        <v>162</v>
      </c>
      <c r="I3" s="75" t="str">
        <f>E3</f>
        <v>31/12-2013</v>
      </c>
    </row>
    <row r="4" spans="1:9">
      <c r="A4" s="248" t="s">
        <v>169</v>
      </c>
      <c r="B4" s="249"/>
      <c r="C4" s="249" t="s">
        <v>170</v>
      </c>
      <c r="D4" s="250" t="s">
        <v>171</v>
      </c>
      <c r="E4" s="251"/>
      <c r="F4" s="252" t="s">
        <v>172</v>
      </c>
      <c r="G4" s="253"/>
      <c r="H4" s="253"/>
      <c r="I4" s="254"/>
    </row>
    <row r="5" spans="1:9">
      <c r="A5" s="230" t="s">
        <v>173</v>
      </c>
      <c r="B5" s="220">
        <v>9000</v>
      </c>
      <c r="C5" s="220">
        <v>0</v>
      </c>
      <c r="D5" s="255">
        <v>0</v>
      </c>
      <c r="E5" s="256">
        <f>B5+C5-D5</f>
        <v>9000</v>
      </c>
      <c r="F5" s="257" t="str">
        <f>IF(Resultatbudget!B31&gt;0,"Aktiekapital","Primo")</f>
        <v>Aktiekapital</v>
      </c>
      <c r="G5" s="258">
        <v>10000</v>
      </c>
      <c r="H5" s="259">
        <f>Resultatbudget!C39</f>
        <v>0</v>
      </c>
      <c r="I5" s="260">
        <f>IF(F5="Aktiekapital",G5+H5,G8)</f>
        <v>10000</v>
      </c>
    </row>
    <row r="6" spans="1:9">
      <c r="A6" s="261" t="s">
        <v>174</v>
      </c>
      <c r="B6" s="220">
        <v>25000</v>
      </c>
      <c r="C6" s="220">
        <v>4800</v>
      </c>
      <c r="D6" s="255">
        <v>3200</v>
      </c>
      <c r="E6" s="256">
        <f>B6+C6-D6</f>
        <v>26600</v>
      </c>
      <c r="F6" s="262" t="s">
        <v>175</v>
      </c>
      <c r="G6" s="263">
        <v>21200</v>
      </c>
      <c r="H6" s="264">
        <f>IF(F5="Aktiekapital",Resultatbudget!E30,0)</f>
        <v>1900</v>
      </c>
      <c r="I6" s="265">
        <f>IF(F5="aktiekapital",G6+H6,Resultatbudget!E26)</f>
        <v>23100</v>
      </c>
    </row>
    <row r="7" spans="1:9">
      <c r="A7" s="261" t="s">
        <v>176</v>
      </c>
      <c r="B7" s="220">
        <v>11300</v>
      </c>
      <c r="C7" s="220">
        <v>0</v>
      </c>
      <c r="D7" s="255">
        <v>3200</v>
      </c>
      <c r="E7" s="256">
        <f>B7+C7-D7</f>
        <v>8100</v>
      </c>
      <c r="F7" s="266" t="str">
        <f>IF(F5="Aktiekapital","-","Privatforbrug")</f>
        <v>-</v>
      </c>
      <c r="G7" s="263">
        <v>0</v>
      </c>
      <c r="H7" s="264"/>
      <c r="I7" s="267">
        <v>0</v>
      </c>
    </row>
    <row r="8" spans="1:9">
      <c r="A8" s="150"/>
      <c r="B8" s="220">
        <v>0</v>
      </c>
      <c r="C8" s="220">
        <v>0</v>
      </c>
      <c r="D8" s="255"/>
      <c r="E8" s="256">
        <f t="shared" ref="E8:E13" si="0">B8+C8</f>
        <v>0</v>
      </c>
      <c r="F8" s="268" t="s">
        <v>177</v>
      </c>
      <c r="G8" s="269">
        <f>G5+G6-G7</f>
        <v>31200</v>
      </c>
      <c r="H8" s="270">
        <f>H5+H6-H7</f>
        <v>1900</v>
      </c>
      <c r="I8" s="271">
        <f>I5+I6-I7</f>
        <v>33100</v>
      </c>
    </row>
    <row r="9" spans="1:9" hidden="1">
      <c r="A9" s="150"/>
      <c r="B9" s="220">
        <v>0</v>
      </c>
      <c r="C9" s="220">
        <v>0</v>
      </c>
      <c r="D9" s="255"/>
      <c r="E9" s="256">
        <f t="shared" si="0"/>
        <v>0</v>
      </c>
      <c r="F9" s="272" t="s">
        <v>178</v>
      </c>
      <c r="G9" s="256"/>
      <c r="H9" s="256"/>
      <c r="I9" s="265">
        <f>G9+H9</f>
        <v>0</v>
      </c>
    </row>
    <row r="10" spans="1:9" hidden="1">
      <c r="A10" s="261" t="s">
        <v>143</v>
      </c>
      <c r="B10" s="220">
        <v>0</v>
      </c>
      <c r="C10" s="220">
        <v>0</v>
      </c>
      <c r="D10" s="255"/>
      <c r="E10" s="256">
        <f t="shared" si="0"/>
        <v>0</v>
      </c>
      <c r="F10" s="100" t="s">
        <v>179</v>
      </c>
      <c r="G10" s="256"/>
      <c r="H10" s="264"/>
      <c r="I10" s="265">
        <f>G10+H10</f>
        <v>0</v>
      </c>
    </row>
    <row r="11" spans="1:9">
      <c r="A11" s="150"/>
      <c r="B11" s="220">
        <v>0</v>
      </c>
      <c r="C11" s="220">
        <v>0</v>
      </c>
      <c r="D11" s="255"/>
      <c r="E11" s="256">
        <f t="shared" si="0"/>
        <v>0</v>
      </c>
      <c r="F11" s="261" t="s">
        <v>180</v>
      </c>
      <c r="G11" s="256"/>
      <c r="H11" s="273">
        <v>800</v>
      </c>
      <c r="I11" s="265">
        <f>G11+H11</f>
        <v>800</v>
      </c>
    </row>
    <row r="12" spans="1:9">
      <c r="A12" s="150"/>
      <c r="B12" s="220">
        <v>0</v>
      </c>
      <c r="C12" s="220">
        <v>0</v>
      </c>
      <c r="D12" s="255"/>
      <c r="E12" s="256">
        <f t="shared" si="0"/>
        <v>0</v>
      </c>
      <c r="F12" s="261" t="s">
        <v>181</v>
      </c>
      <c r="G12" s="263">
        <v>17500</v>
      </c>
      <c r="H12" s="273">
        <v>-3000</v>
      </c>
      <c r="I12" s="265">
        <f>G12+H12</f>
        <v>14500</v>
      </c>
    </row>
    <row r="13" spans="1:9" hidden="1">
      <c r="A13" s="261" t="s">
        <v>143</v>
      </c>
      <c r="B13" s="220">
        <v>0</v>
      </c>
      <c r="C13" s="220">
        <v>0</v>
      </c>
      <c r="D13" s="255"/>
      <c r="E13" s="256">
        <f t="shared" si="0"/>
        <v>0</v>
      </c>
      <c r="F13" s="150" t="s">
        <v>182</v>
      </c>
      <c r="G13" s="263"/>
      <c r="H13" s="273"/>
      <c r="I13" s="265">
        <f>G13+H13</f>
        <v>0</v>
      </c>
    </row>
    <row r="14" spans="1:9">
      <c r="A14" s="274" t="s">
        <v>183</v>
      </c>
      <c r="B14" s="275">
        <f>SUM(B5:B13)</f>
        <v>45300</v>
      </c>
      <c r="C14" s="232">
        <f>SUM(C5:C13)</f>
        <v>4800</v>
      </c>
      <c r="D14" s="232">
        <f>SUM(D5:D13)</f>
        <v>6400</v>
      </c>
      <c r="E14" s="269">
        <f>B14+C14-D14</f>
        <v>43700</v>
      </c>
      <c r="F14" s="274" t="s">
        <v>184</v>
      </c>
      <c r="G14" s="269">
        <f>SUM(G9:G13)</f>
        <v>17500</v>
      </c>
      <c r="H14" s="270">
        <f>SUM(H9:H13)</f>
        <v>-2200</v>
      </c>
      <c r="I14" s="271">
        <f>SUM(I9:I13)</f>
        <v>15300</v>
      </c>
    </row>
    <row r="15" spans="1:9">
      <c r="A15" s="276" t="s">
        <v>185</v>
      </c>
      <c r="B15" s="277"/>
      <c r="C15" s="499" t="s">
        <v>162</v>
      </c>
      <c r="D15" s="500"/>
      <c r="E15" s="256"/>
      <c r="F15" s="261" t="s">
        <v>186</v>
      </c>
      <c r="G15" s="256"/>
      <c r="H15" s="264"/>
      <c r="I15" s="265">
        <f t="shared" ref="I15:I20" si="1">G15+H15</f>
        <v>0</v>
      </c>
    </row>
    <row r="16" spans="1:9">
      <c r="A16" s="278" t="s">
        <v>143</v>
      </c>
      <c r="B16" s="220">
        <v>0</v>
      </c>
      <c r="C16" s="499"/>
      <c r="D16" s="500"/>
      <c r="E16" s="256">
        <v>0</v>
      </c>
      <c r="F16" s="150" t="s">
        <v>187</v>
      </c>
      <c r="G16" s="263">
        <v>3000</v>
      </c>
      <c r="H16" s="264"/>
      <c r="I16" s="265">
        <f>I42</f>
        <v>2851.7999999999997</v>
      </c>
    </row>
    <row r="17" spans="1:9" hidden="1">
      <c r="A17" s="278" t="s">
        <v>143</v>
      </c>
      <c r="B17" s="279">
        <v>0</v>
      </c>
      <c r="C17" s="496"/>
      <c r="D17" s="497"/>
      <c r="E17" s="256">
        <f>IF(I31="-",0,I31)</f>
        <v>0</v>
      </c>
      <c r="F17" s="150" t="s">
        <v>182</v>
      </c>
      <c r="G17" s="263">
        <v>0</v>
      </c>
      <c r="H17" s="273"/>
      <c r="I17" s="265">
        <f t="shared" si="1"/>
        <v>0</v>
      </c>
    </row>
    <row r="18" spans="1:9">
      <c r="A18" s="278" t="s">
        <v>188</v>
      </c>
      <c r="B18" s="220">
        <v>7000</v>
      </c>
      <c r="C18" s="496"/>
      <c r="D18" s="497"/>
      <c r="E18" s="256">
        <f>IF(Resultatbudget!B6=0,0,I35)</f>
        <v>6985.44</v>
      </c>
      <c r="F18" s="261" t="s">
        <v>143</v>
      </c>
      <c r="G18" s="263">
        <v>0</v>
      </c>
      <c r="H18" s="273"/>
      <c r="I18" s="265">
        <f t="shared" si="1"/>
        <v>0</v>
      </c>
    </row>
    <row r="19" spans="1:9">
      <c r="A19" s="280" t="s">
        <v>189</v>
      </c>
      <c r="B19" s="220">
        <v>10000</v>
      </c>
      <c r="C19" s="496"/>
      <c r="D19" s="497"/>
      <c r="E19" s="256">
        <f>I39</f>
        <v>8746.5</v>
      </c>
      <c r="F19" s="261" t="s">
        <v>143</v>
      </c>
      <c r="G19" s="263">
        <v>0</v>
      </c>
      <c r="H19" s="273"/>
      <c r="I19" s="265">
        <f t="shared" si="1"/>
        <v>0</v>
      </c>
    </row>
    <row r="20" spans="1:9" hidden="1">
      <c r="A20" s="278" t="s">
        <v>143</v>
      </c>
      <c r="B20" s="220">
        <v>0</v>
      </c>
      <c r="C20" s="501">
        <v>0</v>
      </c>
      <c r="D20" s="502"/>
      <c r="E20" s="256">
        <f>B20+C20</f>
        <v>0</v>
      </c>
      <c r="F20" s="150" t="s">
        <v>143</v>
      </c>
      <c r="G20" s="263">
        <v>0</v>
      </c>
      <c r="H20" s="273">
        <v>0</v>
      </c>
      <c r="I20" s="265">
        <f t="shared" si="1"/>
        <v>0</v>
      </c>
    </row>
    <row r="21" spans="1:9">
      <c r="A21" s="278" t="s">
        <v>143</v>
      </c>
      <c r="B21" s="220">
        <v>0</v>
      </c>
      <c r="C21" s="501">
        <v>0</v>
      </c>
      <c r="D21" s="502"/>
      <c r="E21" s="256">
        <f>B21+C21</f>
        <v>0</v>
      </c>
      <c r="F21" s="230" t="s">
        <v>190</v>
      </c>
      <c r="G21" s="263">
        <v>1800</v>
      </c>
      <c r="H21" s="273">
        <v>0</v>
      </c>
      <c r="I21" s="265">
        <f>G21+H21</f>
        <v>1800</v>
      </c>
    </row>
    <row r="22" spans="1:9">
      <c r="A22" s="278" t="s">
        <v>143</v>
      </c>
      <c r="B22" s="220">
        <v>0</v>
      </c>
      <c r="C22" s="501">
        <v>0</v>
      </c>
      <c r="D22" s="502"/>
      <c r="E22" s="256">
        <f>B22+C22</f>
        <v>0</v>
      </c>
      <c r="F22" s="261" t="str">
        <f>IF(Resultatbudget!E29&gt;0,"Udbytte","-")</f>
        <v>Udbytte</v>
      </c>
      <c r="G22" s="281">
        <f>Resultatbudget!B29</f>
        <v>1200</v>
      </c>
      <c r="H22" s="264"/>
      <c r="I22" s="265">
        <f>Resultatbudget!E29</f>
        <v>1400</v>
      </c>
    </row>
    <row r="23" spans="1:9">
      <c r="A23" s="280" t="s">
        <v>191</v>
      </c>
      <c r="B23" s="220">
        <v>200</v>
      </c>
      <c r="C23" s="496"/>
      <c r="D23" s="497"/>
      <c r="E23" s="256">
        <v>300</v>
      </c>
      <c r="F23" s="91" t="str">
        <f>(IF(Resultatbudget!B35&gt;0,"Kassekredit","-"))</f>
        <v>Kassekredit</v>
      </c>
      <c r="G23" s="263">
        <v>7800</v>
      </c>
      <c r="H23" s="264">
        <f>IF(Likviditetsbudget!F41&lt;0,Likviditetsbudget!F41*-1+Resultatbudget!E35-Balance!G23,0)</f>
        <v>0</v>
      </c>
      <c r="I23" s="265">
        <v>5280</v>
      </c>
    </row>
    <row r="24" spans="1:9">
      <c r="A24" s="257" t="s">
        <v>192</v>
      </c>
      <c r="B24" s="282">
        <f>SUM(B16:B23)</f>
        <v>17200</v>
      </c>
      <c r="C24" s="499"/>
      <c r="D24" s="500"/>
      <c r="E24" s="283">
        <f>SUM(E16:E23)</f>
        <v>16031.939999999999</v>
      </c>
      <c r="F24" s="284" t="s">
        <v>193</v>
      </c>
      <c r="G24" s="285">
        <f>SUM(G15:G23)</f>
        <v>13800</v>
      </c>
      <c r="H24" s="286">
        <f>SUM(H15:H23)</f>
        <v>0</v>
      </c>
      <c r="I24" s="287">
        <f>SUM(I15:I23)</f>
        <v>11331.8</v>
      </c>
    </row>
    <row r="25" spans="1:9" ht="13.5" thickBot="1">
      <c r="A25" s="288" t="s">
        <v>194</v>
      </c>
      <c r="B25" s="289">
        <f>SUM(B14:B23)</f>
        <v>62500</v>
      </c>
      <c r="C25" s="503"/>
      <c r="D25" s="504"/>
      <c r="E25" s="290">
        <f>SUM(E24+E14)</f>
        <v>59731.94</v>
      </c>
      <c r="F25" s="288" t="s">
        <v>195</v>
      </c>
      <c r="G25" s="291">
        <f>SUM(G24+G14+G8)</f>
        <v>62500</v>
      </c>
      <c r="H25" s="292"/>
      <c r="I25" s="293">
        <f>SUM(I24+I14+I8)</f>
        <v>59731.8</v>
      </c>
    </row>
    <row r="26" spans="1:9" ht="13.5" thickTop="1">
      <c r="A26" s="101"/>
      <c r="B26" s="294"/>
      <c r="C26" s="295"/>
      <c r="D26" s="295"/>
      <c r="E26" s="294"/>
      <c r="F26" s="101"/>
      <c r="G26" s="296"/>
      <c r="H26" s="256"/>
      <c r="I26" s="296"/>
    </row>
    <row r="27" spans="1:9">
      <c r="A27" s="195" t="s">
        <v>196</v>
      </c>
      <c r="B27" s="505" t="s">
        <v>197</v>
      </c>
      <c r="C27" s="505"/>
      <c r="E27" s="75">
        <f>Resultatbudget!B3</f>
        <v>2012</v>
      </c>
      <c r="H27" s="75">
        <f>E27+1</f>
        <v>2013</v>
      </c>
    </row>
    <row r="28" spans="1:9" ht="13.5" hidden="1" thickBot="1">
      <c r="B28" s="506" t="str">
        <f>Resultatbudget!A5</f>
        <v>Råvarer</v>
      </c>
      <c r="C28" s="506"/>
      <c r="E28" s="146">
        <f>Resultatbudget!B5</f>
        <v>18000</v>
      </c>
      <c r="F28" s="297" t="e">
        <f>CONCATENATE("=",ROUND((E28/E29),2),"  ", "gange")</f>
        <v>#DIV/0!</v>
      </c>
      <c r="H28" s="146">
        <f>Resultatbudget!E5</f>
        <v>17110.8</v>
      </c>
      <c r="I28" s="298">
        <v>0</v>
      </c>
    </row>
    <row r="29" spans="1:9" hidden="1">
      <c r="A29" s="195" t="str">
        <f>A16</f>
        <v>-</v>
      </c>
      <c r="B29" s="494" t="str">
        <f>A29</f>
        <v>-</v>
      </c>
      <c r="C29" s="494"/>
      <c r="E29" s="299">
        <f>B16</f>
        <v>0</v>
      </c>
      <c r="F29" s="297"/>
      <c r="H29" s="298" t="e">
        <f>E28/E29</f>
        <v>#DIV/0!</v>
      </c>
      <c r="I29" s="298"/>
    </row>
    <row r="30" spans="1:9" hidden="1">
      <c r="F30" s="297"/>
      <c r="I30" s="298"/>
    </row>
    <row r="31" spans="1:9" ht="13.5" hidden="1" thickBot="1">
      <c r="A31" s="195" t="str">
        <f>A17</f>
        <v>-</v>
      </c>
      <c r="B31" s="506" t="str">
        <f>IF(Resultatbudget!B6=0,"-",B32)</f>
        <v>Råvarer+Arbejdsløn</v>
      </c>
      <c r="C31" s="506"/>
      <c r="E31" s="146">
        <f>IF(Resultatbudget!B6=0,"-",E32)</f>
        <v>36000</v>
      </c>
      <c r="F31" s="297">
        <v>0</v>
      </c>
      <c r="H31" s="146">
        <f>IF(Resultatbudget!B6=0,"-",Resultatbudget!E5+Resultatbudget!E6)</f>
        <v>34927.199999999997</v>
      </c>
      <c r="I31" s="298">
        <v>0</v>
      </c>
    </row>
    <row r="32" spans="1:9" ht="13.5" hidden="1" thickBot="1">
      <c r="A32" s="75" t="str">
        <f>A17</f>
        <v>-</v>
      </c>
      <c r="B32" s="506" t="str">
        <f>CONCATENATE(Resultatbudget!A5,"+",Resultatbudget!A6)</f>
        <v>Råvarer+Arbejdsløn</v>
      </c>
      <c r="C32" s="506"/>
      <c r="E32" s="146">
        <f>Resultatbudget!B5+Resultatbudget!B6</f>
        <v>36000</v>
      </c>
      <c r="F32" s="297" t="e">
        <f>CONCATENATE("=", ROUND((E32/E33),2), "gange")</f>
        <v>#DIV/0!</v>
      </c>
      <c r="H32" s="75">
        <f>Resultatbudget!E5+Resultatbudget!E6</f>
        <v>34927.199999999997</v>
      </c>
      <c r="I32" s="298" t="e">
        <f>H32/H33</f>
        <v>#DIV/0!</v>
      </c>
    </row>
    <row r="33" spans="1:9" hidden="1">
      <c r="B33" s="494" t="str">
        <f>A17</f>
        <v>-</v>
      </c>
      <c r="C33" s="494"/>
      <c r="E33" s="75">
        <f>IF(Resultatbudget!B6=0,"-",B17)</f>
        <v>0</v>
      </c>
      <c r="F33" s="297"/>
      <c r="I33" s="298"/>
    </row>
    <row r="34" spans="1:9" hidden="1">
      <c r="F34" s="297"/>
      <c r="I34" s="298"/>
    </row>
    <row r="35" spans="1:9" ht="13.5" thickBot="1">
      <c r="A35" s="195" t="str">
        <f>A18</f>
        <v>Varelager</v>
      </c>
      <c r="B35" s="506" t="str">
        <f>IF(Resultatbudget!B6=0,"-",B36)</f>
        <v>Råvarer+Arbejdsløn</v>
      </c>
      <c r="C35" s="506"/>
      <c r="E35" s="146">
        <f>IF(Resultatbudget!B6=0,"-",Resultatbudget!B5+Resultatbudget!B6)</f>
        <v>36000</v>
      </c>
      <c r="F35" s="297" t="str">
        <f>IF(E35="-","-",F36)</f>
        <v>=5.14gange</v>
      </c>
      <c r="H35" s="146">
        <f>IF(Resultatbudget!B6=0,"-",Resultatbudget!E5+Resultatbudget!E6)</f>
        <v>34927.199999999997</v>
      </c>
      <c r="I35" s="298">
        <f>H35/H37</f>
        <v>6985.44</v>
      </c>
    </row>
    <row r="36" spans="1:9" ht="13.5" hidden="1" thickBot="1">
      <c r="A36" s="75" t="str">
        <f>A18</f>
        <v>Varelager</v>
      </c>
      <c r="B36" s="506" t="str">
        <f>CONCATENATE(Resultatbudget!A5,"+",Resultatbudget!A6)</f>
        <v>Råvarer+Arbejdsløn</v>
      </c>
      <c r="C36" s="506"/>
      <c r="E36" s="75">
        <f>E32</f>
        <v>36000</v>
      </c>
      <c r="F36" s="297" t="str">
        <f>CONCATENATE("=", ROUND((E36/E37),2), "gange")</f>
        <v>=5.14gange</v>
      </c>
      <c r="H36" s="75">
        <f>Resultatbudget!E5+Resultatbudget!E6</f>
        <v>34927.199999999997</v>
      </c>
      <c r="I36" s="298">
        <f>H36/H37</f>
        <v>6985.44</v>
      </c>
    </row>
    <row r="37" spans="1:9">
      <c r="B37" s="494" t="str">
        <f>IF(Resultatbudget!B6=0,"-",A36)</f>
        <v>Varelager</v>
      </c>
      <c r="C37" s="494"/>
      <c r="E37" s="75">
        <f>IF(B18=0,"-",B18)</f>
        <v>7000</v>
      </c>
      <c r="H37" s="120">
        <f>360/72</f>
        <v>5</v>
      </c>
    </row>
    <row r="38" spans="1:9">
      <c r="B38" s="77"/>
      <c r="C38" s="77"/>
      <c r="D38" s="77"/>
      <c r="E38" s="77"/>
      <c r="H38" s="77"/>
    </row>
    <row r="39" spans="1:9" ht="13.5" thickBot="1">
      <c r="A39" s="195" t="str">
        <f>A19</f>
        <v>Varedebitorer</v>
      </c>
      <c r="B39" s="506" t="str">
        <f>IF(Resultatbudget!B37="incl. Moms",CONCATENATE(Resultatbudget!A4," * ", (1+Resultatbudget!C37)),CONCATENATE(Resultatbudget!A4,"   ",    "excl. moms"))</f>
        <v>Omsætning   excl. moms</v>
      </c>
      <c r="C39" s="506"/>
      <c r="E39" s="146">
        <f>IF(Resultatbudget!B37="incl. moms",Resultatbudget!B4*(1+Resultatbudget!C37),Resultatbudget!B4)</f>
        <v>70000</v>
      </c>
      <c r="F39" s="299" t="str">
        <f>CONCATENATE(ROUND((E39/E40),2),"  ","gange")</f>
        <v>7  gange</v>
      </c>
      <c r="H39" s="146">
        <f>IF(Resultatbudget!B37="incl. moms",Resultatbudget!E4*1.25,Resultatbudget!E4)</f>
        <v>69972</v>
      </c>
      <c r="I39" s="298">
        <f>H39/H40</f>
        <v>8746.5</v>
      </c>
    </row>
    <row r="40" spans="1:9">
      <c r="B40" s="494" t="str">
        <f>A19</f>
        <v>Varedebitorer</v>
      </c>
      <c r="C40" s="494"/>
      <c r="E40" s="299">
        <f>B19</f>
        <v>10000</v>
      </c>
      <c r="F40" s="299"/>
      <c r="H40" s="298">
        <f>360/45</f>
        <v>8</v>
      </c>
      <c r="I40" s="298"/>
    </row>
    <row r="41" spans="1:9">
      <c r="B41" s="77"/>
      <c r="C41" s="77"/>
      <c r="E41" s="77"/>
      <c r="F41" s="299"/>
      <c r="I41" s="298"/>
    </row>
    <row r="42" spans="1:9" ht="13.5" thickBot="1">
      <c r="A42" s="195" t="str">
        <f>F16</f>
        <v>Varekreditorer</v>
      </c>
      <c r="B42" s="506" t="str">
        <f>IF(Resultatbudget!B37="excl. moms","Varekøb excl.. moms",CONCATENATE("Varekøb"," * ",(1+Resultatbudget!C37)))</f>
        <v>Varekøb excl.. moms</v>
      </c>
      <c r="C42" s="506"/>
      <c r="E42" s="300">
        <f>IF(Resultatbudget!B37="excl. Moms",E46,E46*(1+Resultatbudget!C37))</f>
        <v>18000</v>
      </c>
      <c r="F42" s="299" t="str">
        <f>CONCATENATE(ROUND((E42/E43),2),"  ","gange")</f>
        <v>6  gange</v>
      </c>
      <c r="H42" s="146">
        <f>Resultatbudget!E5</f>
        <v>17110.8</v>
      </c>
      <c r="I42" s="298">
        <f>H42/H43</f>
        <v>2851.7999999999997</v>
      </c>
    </row>
    <row r="43" spans="1:9">
      <c r="B43" s="494" t="str">
        <f>F16</f>
        <v>Varekreditorer</v>
      </c>
      <c r="C43" s="494"/>
      <c r="E43" s="299">
        <f>G16</f>
        <v>3000</v>
      </c>
      <c r="H43" s="301">
        <f>E42/E43</f>
        <v>6</v>
      </c>
    </row>
    <row r="45" spans="1:9">
      <c r="A45" s="302" t="s">
        <v>198</v>
      </c>
      <c r="B45" s="195" t="str">
        <f>Resultatbudget!A5</f>
        <v>Råvarer</v>
      </c>
      <c r="C45" s="195" t="str">
        <f>CONCATENATE("+","  ",A16,"  ","ultimo","  "," - ",A16,"  ","primo")</f>
        <v>+  -  ultimo   - -  primo</v>
      </c>
      <c r="D45" s="195"/>
      <c r="E45" s="195"/>
      <c r="F45" s="195"/>
    </row>
    <row r="46" spans="1:9">
      <c r="A46" s="120" t="str">
        <f>CONCATENATE("Varekøb"," ",Resultatbudget!B3)</f>
        <v>Varekøb 2012</v>
      </c>
      <c r="B46" s="75">
        <f>Resultatbudget!B5</f>
        <v>18000</v>
      </c>
      <c r="C46" s="75" t="str">
        <f>CONCATENATE("+","  ",B16)</f>
        <v>+  0</v>
      </c>
      <c r="D46" s="75" t="str">
        <f>CONCATENATE("-","  ",B16)</f>
        <v>-  0</v>
      </c>
      <c r="E46" s="299">
        <f>B46+B16-B16</f>
        <v>18000</v>
      </c>
      <c r="F46" s="75" t="str">
        <f>CONCATENATE("Det forudsættes at der ikke er lagerændringer fra primo"," ",Resultatbudget!B3," ","til ultimo"," ",Resultatbudget!B3)</f>
        <v>Det forudsættes at der ikke er lagerændringer fra primo 2012 til ultimo 2012</v>
      </c>
    </row>
    <row r="47" spans="1:9">
      <c r="A47" s="120" t="str">
        <f>CONCATENATE("Varekøb"," ",Resultatbudget!B3+1)</f>
        <v>Varekøb 2013</v>
      </c>
      <c r="B47" s="163">
        <f>Resultatbudget!E5</f>
        <v>17110.8</v>
      </c>
      <c r="C47" s="75" t="str">
        <f>CONCATENATE("+","  ",E16)</f>
        <v>+  0</v>
      </c>
      <c r="D47" s="75" t="str">
        <f>CONCATENATE("-","  ",B16)</f>
        <v>-  0</v>
      </c>
      <c r="E47" s="299">
        <f>B47+E16-B16</f>
        <v>17110.8</v>
      </c>
    </row>
  </sheetData>
  <mergeCells count="25">
    <mergeCell ref="B43:C43"/>
    <mergeCell ref="B35:C35"/>
    <mergeCell ref="B36:C36"/>
    <mergeCell ref="B37:C37"/>
    <mergeCell ref="B39:C39"/>
    <mergeCell ref="B40:C40"/>
    <mergeCell ref="B42:C42"/>
    <mergeCell ref="B33:C33"/>
    <mergeCell ref="C20:D20"/>
    <mergeCell ref="C21:D21"/>
    <mergeCell ref="C22:D22"/>
    <mergeCell ref="C23:D23"/>
    <mergeCell ref="C24:D24"/>
    <mergeCell ref="C25:D25"/>
    <mergeCell ref="B27:C27"/>
    <mergeCell ref="B28:C28"/>
    <mergeCell ref="B29:C29"/>
    <mergeCell ref="B31:C31"/>
    <mergeCell ref="B32:C32"/>
    <mergeCell ref="C19:D19"/>
    <mergeCell ref="A2:I2"/>
    <mergeCell ref="C15:D15"/>
    <mergeCell ref="C16:D16"/>
    <mergeCell ref="C17:D17"/>
    <mergeCell ref="C18:D18"/>
  </mergeCells>
  <pageMargins left="0.78740157480314965" right="0.78740157480314965" top="0.19685039370078741" bottom="0.39370078740157483" header="0" footer="0"/>
  <pageSetup paperSize="9" scale="95" orientation="landscape"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P398"/>
  <sheetViews>
    <sheetView zoomScale="80" zoomScaleNormal="80" workbookViewId="0">
      <selection activeCell="A2" sqref="A2"/>
    </sheetView>
  </sheetViews>
  <sheetFormatPr defaultRowHeight="12.75"/>
  <cols>
    <col min="2" max="2" width="3.28515625" customWidth="1"/>
    <col min="3" max="3" width="17.7109375" customWidth="1"/>
    <col min="4" max="4" width="13.42578125" customWidth="1"/>
    <col min="5" max="5" width="14.85546875" customWidth="1"/>
    <col min="6" max="6" width="15.5703125" customWidth="1"/>
    <col min="7" max="7" width="15.7109375" customWidth="1"/>
    <col min="8" max="8" width="14.85546875" customWidth="1"/>
    <col min="9" max="9" width="15" customWidth="1"/>
    <col min="10" max="10" width="14" bestFit="1" customWidth="1"/>
    <col min="11" max="11" width="14.140625" customWidth="1"/>
    <col min="12" max="13" width="13.5703125" customWidth="1"/>
    <col min="14" max="14" width="18" customWidth="1"/>
    <col min="15" max="15" width="16.42578125" customWidth="1"/>
    <col min="16" max="16" width="11" customWidth="1"/>
    <col min="258" max="258" width="3.28515625" customWidth="1"/>
    <col min="259" max="259" width="17.7109375" customWidth="1"/>
    <col min="260" max="260" width="13.42578125" customWidth="1"/>
    <col min="261" max="261" width="14.85546875" customWidth="1"/>
    <col min="262" max="262" width="15.5703125" customWidth="1"/>
    <col min="263" max="263" width="15.7109375" customWidth="1"/>
    <col min="264" max="264" width="14.85546875" customWidth="1"/>
    <col min="265" max="265" width="15" customWidth="1"/>
    <col min="266" max="266" width="14" bestFit="1" customWidth="1"/>
    <col min="267" max="267" width="14.140625" customWidth="1"/>
    <col min="268" max="269" width="13.5703125" customWidth="1"/>
    <col min="270" max="270" width="18" customWidth="1"/>
    <col min="271" max="271" width="16.42578125" customWidth="1"/>
    <col min="272" max="272" width="11" customWidth="1"/>
    <col min="514" max="514" width="3.28515625" customWidth="1"/>
    <col min="515" max="515" width="17.7109375" customWidth="1"/>
    <col min="516" max="516" width="13.42578125" customWidth="1"/>
    <col min="517" max="517" width="14.85546875" customWidth="1"/>
    <col min="518" max="518" width="15.5703125" customWidth="1"/>
    <col min="519" max="519" width="15.7109375" customWidth="1"/>
    <col min="520" max="520" width="14.85546875" customWidth="1"/>
    <col min="521" max="521" width="15" customWidth="1"/>
    <col min="522" max="522" width="14" bestFit="1" customWidth="1"/>
    <col min="523" max="523" width="14.140625" customWidth="1"/>
    <col min="524" max="525" width="13.5703125" customWidth="1"/>
    <col min="526" max="526" width="18" customWidth="1"/>
    <col min="527" max="527" width="16.42578125" customWidth="1"/>
    <col min="528" max="528" width="11" customWidth="1"/>
    <col min="770" max="770" width="3.28515625" customWidth="1"/>
    <col min="771" max="771" width="17.7109375" customWidth="1"/>
    <col min="772" max="772" width="13.42578125" customWidth="1"/>
    <col min="773" max="773" width="14.85546875" customWidth="1"/>
    <col min="774" max="774" width="15.5703125" customWidth="1"/>
    <col min="775" max="775" width="15.7109375" customWidth="1"/>
    <col min="776" max="776" width="14.85546875" customWidth="1"/>
    <col min="777" max="777" width="15" customWidth="1"/>
    <col min="778" max="778" width="14" bestFit="1" customWidth="1"/>
    <col min="779" max="779" width="14.140625" customWidth="1"/>
    <col min="780" max="781" width="13.5703125" customWidth="1"/>
    <col min="782" max="782" width="18" customWidth="1"/>
    <col min="783" max="783" width="16.42578125" customWidth="1"/>
    <col min="784" max="784" width="11" customWidth="1"/>
    <col min="1026" max="1026" width="3.28515625" customWidth="1"/>
    <col min="1027" max="1027" width="17.7109375" customWidth="1"/>
    <col min="1028" max="1028" width="13.42578125" customWidth="1"/>
    <col min="1029" max="1029" width="14.85546875" customWidth="1"/>
    <col min="1030" max="1030" width="15.5703125" customWidth="1"/>
    <col min="1031" max="1031" width="15.7109375" customWidth="1"/>
    <col min="1032" max="1032" width="14.85546875" customWidth="1"/>
    <col min="1033" max="1033" width="15" customWidth="1"/>
    <col min="1034" max="1034" width="14" bestFit="1" customWidth="1"/>
    <col min="1035" max="1035" width="14.140625" customWidth="1"/>
    <col min="1036" max="1037" width="13.5703125" customWidth="1"/>
    <col min="1038" max="1038" width="18" customWidth="1"/>
    <col min="1039" max="1039" width="16.42578125" customWidth="1"/>
    <col min="1040" max="1040" width="11" customWidth="1"/>
    <col min="1282" max="1282" width="3.28515625" customWidth="1"/>
    <col min="1283" max="1283" width="17.7109375" customWidth="1"/>
    <col min="1284" max="1284" width="13.42578125" customWidth="1"/>
    <col min="1285" max="1285" width="14.85546875" customWidth="1"/>
    <col min="1286" max="1286" width="15.5703125" customWidth="1"/>
    <col min="1287" max="1287" width="15.7109375" customWidth="1"/>
    <col min="1288" max="1288" width="14.85546875" customWidth="1"/>
    <col min="1289" max="1289" width="15" customWidth="1"/>
    <col min="1290" max="1290" width="14" bestFit="1" customWidth="1"/>
    <col min="1291" max="1291" width="14.140625" customWidth="1"/>
    <col min="1292" max="1293" width="13.5703125" customWidth="1"/>
    <col min="1294" max="1294" width="18" customWidth="1"/>
    <col min="1295" max="1295" width="16.42578125" customWidth="1"/>
    <col min="1296" max="1296" width="11" customWidth="1"/>
    <col min="1538" max="1538" width="3.28515625" customWidth="1"/>
    <col min="1539" max="1539" width="17.7109375" customWidth="1"/>
    <col min="1540" max="1540" width="13.42578125" customWidth="1"/>
    <col min="1541" max="1541" width="14.85546875" customWidth="1"/>
    <col min="1542" max="1542" width="15.5703125" customWidth="1"/>
    <col min="1543" max="1543" width="15.7109375" customWidth="1"/>
    <col min="1544" max="1544" width="14.85546875" customWidth="1"/>
    <col min="1545" max="1545" width="15" customWidth="1"/>
    <col min="1546" max="1546" width="14" bestFit="1" customWidth="1"/>
    <col min="1547" max="1547" width="14.140625" customWidth="1"/>
    <col min="1548" max="1549" width="13.5703125" customWidth="1"/>
    <col min="1550" max="1550" width="18" customWidth="1"/>
    <col min="1551" max="1551" width="16.42578125" customWidth="1"/>
    <col min="1552" max="1552" width="11" customWidth="1"/>
    <col min="1794" max="1794" width="3.28515625" customWidth="1"/>
    <col min="1795" max="1795" width="17.7109375" customWidth="1"/>
    <col min="1796" max="1796" width="13.42578125" customWidth="1"/>
    <col min="1797" max="1797" width="14.85546875" customWidth="1"/>
    <col min="1798" max="1798" width="15.5703125" customWidth="1"/>
    <col min="1799" max="1799" width="15.7109375" customWidth="1"/>
    <col min="1800" max="1800" width="14.85546875" customWidth="1"/>
    <col min="1801" max="1801" width="15" customWidth="1"/>
    <col min="1802" max="1802" width="14" bestFit="1" customWidth="1"/>
    <col min="1803" max="1803" width="14.140625" customWidth="1"/>
    <col min="1804" max="1805" width="13.5703125" customWidth="1"/>
    <col min="1806" max="1806" width="18" customWidth="1"/>
    <col min="1807" max="1807" width="16.42578125" customWidth="1"/>
    <col min="1808" max="1808" width="11" customWidth="1"/>
    <col min="2050" max="2050" width="3.28515625" customWidth="1"/>
    <col min="2051" max="2051" width="17.7109375" customWidth="1"/>
    <col min="2052" max="2052" width="13.42578125" customWidth="1"/>
    <col min="2053" max="2053" width="14.85546875" customWidth="1"/>
    <col min="2054" max="2054" width="15.5703125" customWidth="1"/>
    <col min="2055" max="2055" width="15.7109375" customWidth="1"/>
    <col min="2056" max="2056" width="14.85546875" customWidth="1"/>
    <col min="2057" max="2057" width="15" customWidth="1"/>
    <col min="2058" max="2058" width="14" bestFit="1" customWidth="1"/>
    <col min="2059" max="2059" width="14.140625" customWidth="1"/>
    <col min="2060" max="2061" width="13.5703125" customWidth="1"/>
    <col min="2062" max="2062" width="18" customWidth="1"/>
    <col min="2063" max="2063" width="16.42578125" customWidth="1"/>
    <col min="2064" max="2064" width="11" customWidth="1"/>
    <col min="2306" max="2306" width="3.28515625" customWidth="1"/>
    <col min="2307" max="2307" width="17.7109375" customWidth="1"/>
    <col min="2308" max="2308" width="13.42578125" customWidth="1"/>
    <col min="2309" max="2309" width="14.85546875" customWidth="1"/>
    <col min="2310" max="2310" width="15.5703125" customWidth="1"/>
    <col min="2311" max="2311" width="15.7109375" customWidth="1"/>
    <col min="2312" max="2312" width="14.85546875" customWidth="1"/>
    <col min="2313" max="2313" width="15" customWidth="1"/>
    <col min="2314" max="2314" width="14" bestFit="1" customWidth="1"/>
    <col min="2315" max="2315" width="14.140625" customWidth="1"/>
    <col min="2316" max="2317" width="13.5703125" customWidth="1"/>
    <col min="2318" max="2318" width="18" customWidth="1"/>
    <col min="2319" max="2319" width="16.42578125" customWidth="1"/>
    <col min="2320" max="2320" width="11" customWidth="1"/>
    <col min="2562" max="2562" width="3.28515625" customWidth="1"/>
    <col min="2563" max="2563" width="17.7109375" customWidth="1"/>
    <col min="2564" max="2564" width="13.42578125" customWidth="1"/>
    <col min="2565" max="2565" width="14.85546875" customWidth="1"/>
    <col min="2566" max="2566" width="15.5703125" customWidth="1"/>
    <col min="2567" max="2567" width="15.7109375" customWidth="1"/>
    <col min="2568" max="2568" width="14.85546875" customWidth="1"/>
    <col min="2569" max="2569" width="15" customWidth="1"/>
    <col min="2570" max="2570" width="14" bestFit="1" customWidth="1"/>
    <col min="2571" max="2571" width="14.140625" customWidth="1"/>
    <col min="2572" max="2573" width="13.5703125" customWidth="1"/>
    <col min="2574" max="2574" width="18" customWidth="1"/>
    <col min="2575" max="2575" width="16.42578125" customWidth="1"/>
    <col min="2576" max="2576" width="11" customWidth="1"/>
    <col min="2818" max="2818" width="3.28515625" customWidth="1"/>
    <col min="2819" max="2819" width="17.7109375" customWidth="1"/>
    <col min="2820" max="2820" width="13.42578125" customWidth="1"/>
    <col min="2821" max="2821" width="14.85546875" customWidth="1"/>
    <col min="2822" max="2822" width="15.5703125" customWidth="1"/>
    <col min="2823" max="2823" width="15.7109375" customWidth="1"/>
    <col min="2824" max="2824" width="14.85546875" customWidth="1"/>
    <col min="2825" max="2825" width="15" customWidth="1"/>
    <col min="2826" max="2826" width="14" bestFit="1" customWidth="1"/>
    <col min="2827" max="2827" width="14.140625" customWidth="1"/>
    <col min="2828" max="2829" width="13.5703125" customWidth="1"/>
    <col min="2830" max="2830" width="18" customWidth="1"/>
    <col min="2831" max="2831" width="16.42578125" customWidth="1"/>
    <col min="2832" max="2832" width="11" customWidth="1"/>
    <col min="3074" max="3074" width="3.28515625" customWidth="1"/>
    <col min="3075" max="3075" width="17.7109375" customWidth="1"/>
    <col min="3076" max="3076" width="13.42578125" customWidth="1"/>
    <col min="3077" max="3077" width="14.85546875" customWidth="1"/>
    <col min="3078" max="3078" width="15.5703125" customWidth="1"/>
    <col min="3079" max="3079" width="15.7109375" customWidth="1"/>
    <col min="3080" max="3080" width="14.85546875" customWidth="1"/>
    <col min="3081" max="3081" width="15" customWidth="1"/>
    <col min="3082" max="3082" width="14" bestFit="1" customWidth="1"/>
    <col min="3083" max="3083" width="14.140625" customWidth="1"/>
    <col min="3084" max="3085" width="13.5703125" customWidth="1"/>
    <col min="3086" max="3086" width="18" customWidth="1"/>
    <col min="3087" max="3087" width="16.42578125" customWidth="1"/>
    <col min="3088" max="3088" width="11" customWidth="1"/>
    <col min="3330" max="3330" width="3.28515625" customWidth="1"/>
    <col min="3331" max="3331" width="17.7109375" customWidth="1"/>
    <col min="3332" max="3332" width="13.42578125" customWidth="1"/>
    <col min="3333" max="3333" width="14.85546875" customWidth="1"/>
    <col min="3334" max="3334" width="15.5703125" customWidth="1"/>
    <col min="3335" max="3335" width="15.7109375" customWidth="1"/>
    <col min="3336" max="3336" width="14.85546875" customWidth="1"/>
    <col min="3337" max="3337" width="15" customWidth="1"/>
    <col min="3338" max="3338" width="14" bestFit="1" customWidth="1"/>
    <col min="3339" max="3339" width="14.140625" customWidth="1"/>
    <col min="3340" max="3341" width="13.5703125" customWidth="1"/>
    <col min="3342" max="3342" width="18" customWidth="1"/>
    <col min="3343" max="3343" width="16.42578125" customWidth="1"/>
    <col min="3344" max="3344" width="11" customWidth="1"/>
    <col min="3586" max="3586" width="3.28515625" customWidth="1"/>
    <col min="3587" max="3587" width="17.7109375" customWidth="1"/>
    <col min="3588" max="3588" width="13.42578125" customWidth="1"/>
    <col min="3589" max="3589" width="14.85546875" customWidth="1"/>
    <col min="3590" max="3590" width="15.5703125" customWidth="1"/>
    <col min="3591" max="3591" width="15.7109375" customWidth="1"/>
    <col min="3592" max="3592" width="14.85546875" customWidth="1"/>
    <col min="3593" max="3593" width="15" customWidth="1"/>
    <col min="3594" max="3594" width="14" bestFit="1" customWidth="1"/>
    <col min="3595" max="3595" width="14.140625" customWidth="1"/>
    <col min="3596" max="3597" width="13.5703125" customWidth="1"/>
    <col min="3598" max="3598" width="18" customWidth="1"/>
    <col min="3599" max="3599" width="16.42578125" customWidth="1"/>
    <col min="3600" max="3600" width="11" customWidth="1"/>
    <col min="3842" max="3842" width="3.28515625" customWidth="1"/>
    <col min="3843" max="3843" width="17.7109375" customWidth="1"/>
    <col min="3844" max="3844" width="13.42578125" customWidth="1"/>
    <col min="3845" max="3845" width="14.85546875" customWidth="1"/>
    <col min="3846" max="3846" width="15.5703125" customWidth="1"/>
    <col min="3847" max="3847" width="15.7109375" customWidth="1"/>
    <col min="3848" max="3848" width="14.85546875" customWidth="1"/>
    <col min="3849" max="3849" width="15" customWidth="1"/>
    <col min="3850" max="3850" width="14" bestFit="1" customWidth="1"/>
    <col min="3851" max="3851" width="14.140625" customWidth="1"/>
    <col min="3852" max="3853" width="13.5703125" customWidth="1"/>
    <col min="3854" max="3854" width="18" customWidth="1"/>
    <col min="3855" max="3855" width="16.42578125" customWidth="1"/>
    <col min="3856" max="3856" width="11" customWidth="1"/>
    <col min="4098" max="4098" width="3.28515625" customWidth="1"/>
    <col min="4099" max="4099" width="17.7109375" customWidth="1"/>
    <col min="4100" max="4100" width="13.42578125" customWidth="1"/>
    <col min="4101" max="4101" width="14.85546875" customWidth="1"/>
    <col min="4102" max="4102" width="15.5703125" customWidth="1"/>
    <col min="4103" max="4103" width="15.7109375" customWidth="1"/>
    <col min="4104" max="4104" width="14.85546875" customWidth="1"/>
    <col min="4105" max="4105" width="15" customWidth="1"/>
    <col min="4106" max="4106" width="14" bestFit="1" customWidth="1"/>
    <col min="4107" max="4107" width="14.140625" customWidth="1"/>
    <col min="4108" max="4109" width="13.5703125" customWidth="1"/>
    <col min="4110" max="4110" width="18" customWidth="1"/>
    <col min="4111" max="4111" width="16.42578125" customWidth="1"/>
    <col min="4112" max="4112" width="11" customWidth="1"/>
    <col min="4354" max="4354" width="3.28515625" customWidth="1"/>
    <col min="4355" max="4355" width="17.7109375" customWidth="1"/>
    <col min="4356" max="4356" width="13.42578125" customWidth="1"/>
    <col min="4357" max="4357" width="14.85546875" customWidth="1"/>
    <col min="4358" max="4358" width="15.5703125" customWidth="1"/>
    <col min="4359" max="4359" width="15.7109375" customWidth="1"/>
    <col min="4360" max="4360" width="14.85546875" customWidth="1"/>
    <col min="4361" max="4361" width="15" customWidth="1"/>
    <col min="4362" max="4362" width="14" bestFit="1" customWidth="1"/>
    <col min="4363" max="4363" width="14.140625" customWidth="1"/>
    <col min="4364" max="4365" width="13.5703125" customWidth="1"/>
    <col min="4366" max="4366" width="18" customWidth="1"/>
    <col min="4367" max="4367" width="16.42578125" customWidth="1"/>
    <col min="4368" max="4368" width="11" customWidth="1"/>
    <col min="4610" max="4610" width="3.28515625" customWidth="1"/>
    <col min="4611" max="4611" width="17.7109375" customWidth="1"/>
    <col min="4612" max="4612" width="13.42578125" customWidth="1"/>
    <col min="4613" max="4613" width="14.85546875" customWidth="1"/>
    <col min="4614" max="4614" width="15.5703125" customWidth="1"/>
    <col min="4615" max="4615" width="15.7109375" customWidth="1"/>
    <col min="4616" max="4616" width="14.85546875" customWidth="1"/>
    <col min="4617" max="4617" width="15" customWidth="1"/>
    <col min="4618" max="4618" width="14" bestFit="1" customWidth="1"/>
    <col min="4619" max="4619" width="14.140625" customWidth="1"/>
    <col min="4620" max="4621" width="13.5703125" customWidth="1"/>
    <col min="4622" max="4622" width="18" customWidth="1"/>
    <col min="4623" max="4623" width="16.42578125" customWidth="1"/>
    <col min="4624" max="4624" width="11" customWidth="1"/>
    <col min="4866" max="4866" width="3.28515625" customWidth="1"/>
    <col min="4867" max="4867" width="17.7109375" customWidth="1"/>
    <col min="4868" max="4868" width="13.42578125" customWidth="1"/>
    <col min="4869" max="4869" width="14.85546875" customWidth="1"/>
    <col min="4870" max="4870" width="15.5703125" customWidth="1"/>
    <col min="4871" max="4871" width="15.7109375" customWidth="1"/>
    <col min="4872" max="4872" width="14.85546875" customWidth="1"/>
    <col min="4873" max="4873" width="15" customWidth="1"/>
    <col min="4874" max="4874" width="14" bestFit="1" customWidth="1"/>
    <col min="4875" max="4875" width="14.140625" customWidth="1"/>
    <col min="4876" max="4877" width="13.5703125" customWidth="1"/>
    <col min="4878" max="4878" width="18" customWidth="1"/>
    <col min="4879" max="4879" width="16.42578125" customWidth="1"/>
    <col min="4880" max="4880" width="11" customWidth="1"/>
    <col min="5122" max="5122" width="3.28515625" customWidth="1"/>
    <col min="5123" max="5123" width="17.7109375" customWidth="1"/>
    <col min="5124" max="5124" width="13.42578125" customWidth="1"/>
    <col min="5125" max="5125" width="14.85546875" customWidth="1"/>
    <col min="5126" max="5126" width="15.5703125" customWidth="1"/>
    <col min="5127" max="5127" width="15.7109375" customWidth="1"/>
    <col min="5128" max="5128" width="14.85546875" customWidth="1"/>
    <col min="5129" max="5129" width="15" customWidth="1"/>
    <col min="5130" max="5130" width="14" bestFit="1" customWidth="1"/>
    <col min="5131" max="5131" width="14.140625" customWidth="1"/>
    <col min="5132" max="5133" width="13.5703125" customWidth="1"/>
    <col min="5134" max="5134" width="18" customWidth="1"/>
    <col min="5135" max="5135" width="16.42578125" customWidth="1"/>
    <col min="5136" max="5136" width="11" customWidth="1"/>
    <col min="5378" max="5378" width="3.28515625" customWidth="1"/>
    <col min="5379" max="5379" width="17.7109375" customWidth="1"/>
    <col min="5380" max="5380" width="13.42578125" customWidth="1"/>
    <col min="5381" max="5381" width="14.85546875" customWidth="1"/>
    <col min="5382" max="5382" width="15.5703125" customWidth="1"/>
    <col min="5383" max="5383" width="15.7109375" customWidth="1"/>
    <col min="5384" max="5384" width="14.85546875" customWidth="1"/>
    <col min="5385" max="5385" width="15" customWidth="1"/>
    <col min="5386" max="5386" width="14" bestFit="1" customWidth="1"/>
    <col min="5387" max="5387" width="14.140625" customWidth="1"/>
    <col min="5388" max="5389" width="13.5703125" customWidth="1"/>
    <col min="5390" max="5390" width="18" customWidth="1"/>
    <col min="5391" max="5391" width="16.42578125" customWidth="1"/>
    <col min="5392" max="5392" width="11" customWidth="1"/>
    <col min="5634" max="5634" width="3.28515625" customWidth="1"/>
    <col min="5635" max="5635" width="17.7109375" customWidth="1"/>
    <col min="5636" max="5636" width="13.42578125" customWidth="1"/>
    <col min="5637" max="5637" width="14.85546875" customWidth="1"/>
    <col min="5638" max="5638" width="15.5703125" customWidth="1"/>
    <col min="5639" max="5639" width="15.7109375" customWidth="1"/>
    <col min="5640" max="5640" width="14.85546875" customWidth="1"/>
    <col min="5641" max="5641" width="15" customWidth="1"/>
    <col min="5642" max="5642" width="14" bestFit="1" customWidth="1"/>
    <col min="5643" max="5643" width="14.140625" customWidth="1"/>
    <col min="5644" max="5645" width="13.5703125" customWidth="1"/>
    <col min="5646" max="5646" width="18" customWidth="1"/>
    <col min="5647" max="5647" width="16.42578125" customWidth="1"/>
    <col min="5648" max="5648" width="11" customWidth="1"/>
    <col min="5890" max="5890" width="3.28515625" customWidth="1"/>
    <col min="5891" max="5891" width="17.7109375" customWidth="1"/>
    <col min="5892" max="5892" width="13.42578125" customWidth="1"/>
    <col min="5893" max="5893" width="14.85546875" customWidth="1"/>
    <col min="5894" max="5894" width="15.5703125" customWidth="1"/>
    <col min="5895" max="5895" width="15.7109375" customWidth="1"/>
    <col min="5896" max="5896" width="14.85546875" customWidth="1"/>
    <col min="5897" max="5897" width="15" customWidth="1"/>
    <col min="5898" max="5898" width="14" bestFit="1" customWidth="1"/>
    <col min="5899" max="5899" width="14.140625" customWidth="1"/>
    <col min="5900" max="5901" width="13.5703125" customWidth="1"/>
    <col min="5902" max="5902" width="18" customWidth="1"/>
    <col min="5903" max="5903" width="16.42578125" customWidth="1"/>
    <col min="5904" max="5904" width="11" customWidth="1"/>
    <col min="6146" max="6146" width="3.28515625" customWidth="1"/>
    <col min="6147" max="6147" width="17.7109375" customWidth="1"/>
    <col min="6148" max="6148" width="13.42578125" customWidth="1"/>
    <col min="6149" max="6149" width="14.85546875" customWidth="1"/>
    <col min="6150" max="6150" width="15.5703125" customWidth="1"/>
    <col min="6151" max="6151" width="15.7109375" customWidth="1"/>
    <col min="6152" max="6152" width="14.85546875" customWidth="1"/>
    <col min="6153" max="6153" width="15" customWidth="1"/>
    <col min="6154" max="6154" width="14" bestFit="1" customWidth="1"/>
    <col min="6155" max="6155" width="14.140625" customWidth="1"/>
    <col min="6156" max="6157" width="13.5703125" customWidth="1"/>
    <col min="6158" max="6158" width="18" customWidth="1"/>
    <col min="6159" max="6159" width="16.42578125" customWidth="1"/>
    <col min="6160" max="6160" width="11" customWidth="1"/>
    <col min="6402" max="6402" width="3.28515625" customWidth="1"/>
    <col min="6403" max="6403" width="17.7109375" customWidth="1"/>
    <col min="6404" max="6404" width="13.42578125" customWidth="1"/>
    <col min="6405" max="6405" width="14.85546875" customWidth="1"/>
    <col min="6406" max="6406" width="15.5703125" customWidth="1"/>
    <col min="6407" max="6407" width="15.7109375" customWidth="1"/>
    <col min="6408" max="6408" width="14.85546875" customWidth="1"/>
    <col min="6409" max="6409" width="15" customWidth="1"/>
    <col min="6410" max="6410" width="14" bestFit="1" customWidth="1"/>
    <col min="6411" max="6411" width="14.140625" customWidth="1"/>
    <col min="6412" max="6413" width="13.5703125" customWidth="1"/>
    <col min="6414" max="6414" width="18" customWidth="1"/>
    <col min="6415" max="6415" width="16.42578125" customWidth="1"/>
    <col min="6416" max="6416" width="11" customWidth="1"/>
    <col min="6658" max="6658" width="3.28515625" customWidth="1"/>
    <col min="6659" max="6659" width="17.7109375" customWidth="1"/>
    <col min="6660" max="6660" width="13.42578125" customWidth="1"/>
    <col min="6661" max="6661" width="14.85546875" customWidth="1"/>
    <col min="6662" max="6662" width="15.5703125" customWidth="1"/>
    <col min="6663" max="6663" width="15.7109375" customWidth="1"/>
    <col min="6664" max="6664" width="14.85546875" customWidth="1"/>
    <col min="6665" max="6665" width="15" customWidth="1"/>
    <col min="6666" max="6666" width="14" bestFit="1" customWidth="1"/>
    <col min="6667" max="6667" width="14.140625" customWidth="1"/>
    <col min="6668" max="6669" width="13.5703125" customWidth="1"/>
    <col min="6670" max="6670" width="18" customWidth="1"/>
    <col min="6671" max="6671" width="16.42578125" customWidth="1"/>
    <col min="6672" max="6672" width="11" customWidth="1"/>
    <col min="6914" max="6914" width="3.28515625" customWidth="1"/>
    <col min="6915" max="6915" width="17.7109375" customWidth="1"/>
    <col min="6916" max="6916" width="13.42578125" customWidth="1"/>
    <col min="6917" max="6917" width="14.85546875" customWidth="1"/>
    <col min="6918" max="6918" width="15.5703125" customWidth="1"/>
    <col min="6919" max="6919" width="15.7109375" customWidth="1"/>
    <col min="6920" max="6920" width="14.85546875" customWidth="1"/>
    <col min="6921" max="6921" width="15" customWidth="1"/>
    <col min="6922" max="6922" width="14" bestFit="1" customWidth="1"/>
    <col min="6923" max="6923" width="14.140625" customWidth="1"/>
    <col min="6924" max="6925" width="13.5703125" customWidth="1"/>
    <col min="6926" max="6926" width="18" customWidth="1"/>
    <col min="6927" max="6927" width="16.42578125" customWidth="1"/>
    <col min="6928" max="6928" width="11" customWidth="1"/>
    <col min="7170" max="7170" width="3.28515625" customWidth="1"/>
    <col min="7171" max="7171" width="17.7109375" customWidth="1"/>
    <col min="7172" max="7172" width="13.42578125" customWidth="1"/>
    <col min="7173" max="7173" width="14.85546875" customWidth="1"/>
    <col min="7174" max="7174" width="15.5703125" customWidth="1"/>
    <col min="7175" max="7175" width="15.7109375" customWidth="1"/>
    <col min="7176" max="7176" width="14.85546875" customWidth="1"/>
    <col min="7177" max="7177" width="15" customWidth="1"/>
    <col min="7178" max="7178" width="14" bestFit="1" customWidth="1"/>
    <col min="7179" max="7179" width="14.140625" customWidth="1"/>
    <col min="7180" max="7181" width="13.5703125" customWidth="1"/>
    <col min="7182" max="7182" width="18" customWidth="1"/>
    <col min="7183" max="7183" width="16.42578125" customWidth="1"/>
    <col min="7184" max="7184" width="11" customWidth="1"/>
    <col min="7426" max="7426" width="3.28515625" customWidth="1"/>
    <col min="7427" max="7427" width="17.7109375" customWidth="1"/>
    <col min="7428" max="7428" width="13.42578125" customWidth="1"/>
    <col min="7429" max="7429" width="14.85546875" customWidth="1"/>
    <col min="7430" max="7430" width="15.5703125" customWidth="1"/>
    <col min="7431" max="7431" width="15.7109375" customWidth="1"/>
    <col min="7432" max="7432" width="14.85546875" customWidth="1"/>
    <col min="7433" max="7433" width="15" customWidth="1"/>
    <col min="7434" max="7434" width="14" bestFit="1" customWidth="1"/>
    <col min="7435" max="7435" width="14.140625" customWidth="1"/>
    <col min="7436" max="7437" width="13.5703125" customWidth="1"/>
    <col min="7438" max="7438" width="18" customWidth="1"/>
    <col min="7439" max="7439" width="16.42578125" customWidth="1"/>
    <col min="7440" max="7440" width="11" customWidth="1"/>
    <col min="7682" max="7682" width="3.28515625" customWidth="1"/>
    <col min="7683" max="7683" width="17.7109375" customWidth="1"/>
    <col min="7684" max="7684" width="13.42578125" customWidth="1"/>
    <col min="7685" max="7685" width="14.85546875" customWidth="1"/>
    <col min="7686" max="7686" width="15.5703125" customWidth="1"/>
    <col min="7687" max="7687" width="15.7109375" customWidth="1"/>
    <col min="7688" max="7688" width="14.85546875" customWidth="1"/>
    <col min="7689" max="7689" width="15" customWidth="1"/>
    <col min="7690" max="7690" width="14" bestFit="1" customWidth="1"/>
    <col min="7691" max="7691" width="14.140625" customWidth="1"/>
    <col min="7692" max="7693" width="13.5703125" customWidth="1"/>
    <col min="7694" max="7694" width="18" customWidth="1"/>
    <col min="7695" max="7695" width="16.42578125" customWidth="1"/>
    <col min="7696" max="7696" width="11" customWidth="1"/>
    <col min="7938" max="7938" width="3.28515625" customWidth="1"/>
    <col min="7939" max="7939" width="17.7109375" customWidth="1"/>
    <col min="7940" max="7940" width="13.42578125" customWidth="1"/>
    <col min="7941" max="7941" width="14.85546875" customWidth="1"/>
    <col min="7942" max="7942" width="15.5703125" customWidth="1"/>
    <col min="7943" max="7943" width="15.7109375" customWidth="1"/>
    <col min="7944" max="7944" width="14.85546875" customWidth="1"/>
    <col min="7945" max="7945" width="15" customWidth="1"/>
    <col min="7946" max="7946" width="14" bestFit="1" customWidth="1"/>
    <col min="7947" max="7947" width="14.140625" customWidth="1"/>
    <col min="7948" max="7949" width="13.5703125" customWidth="1"/>
    <col min="7950" max="7950" width="18" customWidth="1"/>
    <col min="7951" max="7951" width="16.42578125" customWidth="1"/>
    <col min="7952" max="7952" width="11" customWidth="1"/>
    <col min="8194" max="8194" width="3.28515625" customWidth="1"/>
    <col min="8195" max="8195" width="17.7109375" customWidth="1"/>
    <col min="8196" max="8196" width="13.42578125" customWidth="1"/>
    <col min="8197" max="8197" width="14.85546875" customWidth="1"/>
    <col min="8198" max="8198" width="15.5703125" customWidth="1"/>
    <col min="8199" max="8199" width="15.7109375" customWidth="1"/>
    <col min="8200" max="8200" width="14.85546875" customWidth="1"/>
    <col min="8201" max="8201" width="15" customWidth="1"/>
    <col min="8202" max="8202" width="14" bestFit="1" customWidth="1"/>
    <col min="8203" max="8203" width="14.140625" customWidth="1"/>
    <col min="8204" max="8205" width="13.5703125" customWidth="1"/>
    <col min="8206" max="8206" width="18" customWidth="1"/>
    <col min="8207" max="8207" width="16.42578125" customWidth="1"/>
    <col min="8208" max="8208" width="11" customWidth="1"/>
    <col min="8450" max="8450" width="3.28515625" customWidth="1"/>
    <col min="8451" max="8451" width="17.7109375" customWidth="1"/>
    <col min="8452" max="8452" width="13.42578125" customWidth="1"/>
    <col min="8453" max="8453" width="14.85546875" customWidth="1"/>
    <col min="8454" max="8454" width="15.5703125" customWidth="1"/>
    <col min="8455" max="8455" width="15.7109375" customWidth="1"/>
    <col min="8456" max="8456" width="14.85546875" customWidth="1"/>
    <col min="8457" max="8457" width="15" customWidth="1"/>
    <col min="8458" max="8458" width="14" bestFit="1" customWidth="1"/>
    <col min="8459" max="8459" width="14.140625" customWidth="1"/>
    <col min="8460" max="8461" width="13.5703125" customWidth="1"/>
    <col min="8462" max="8462" width="18" customWidth="1"/>
    <col min="8463" max="8463" width="16.42578125" customWidth="1"/>
    <col min="8464" max="8464" width="11" customWidth="1"/>
    <col min="8706" max="8706" width="3.28515625" customWidth="1"/>
    <col min="8707" max="8707" width="17.7109375" customWidth="1"/>
    <col min="8708" max="8708" width="13.42578125" customWidth="1"/>
    <col min="8709" max="8709" width="14.85546875" customWidth="1"/>
    <col min="8710" max="8710" width="15.5703125" customWidth="1"/>
    <col min="8711" max="8711" width="15.7109375" customWidth="1"/>
    <col min="8712" max="8712" width="14.85546875" customWidth="1"/>
    <col min="8713" max="8713" width="15" customWidth="1"/>
    <col min="8714" max="8714" width="14" bestFit="1" customWidth="1"/>
    <col min="8715" max="8715" width="14.140625" customWidth="1"/>
    <col min="8716" max="8717" width="13.5703125" customWidth="1"/>
    <col min="8718" max="8718" width="18" customWidth="1"/>
    <col min="8719" max="8719" width="16.42578125" customWidth="1"/>
    <col min="8720" max="8720" width="11" customWidth="1"/>
    <col min="8962" max="8962" width="3.28515625" customWidth="1"/>
    <col min="8963" max="8963" width="17.7109375" customWidth="1"/>
    <col min="8964" max="8964" width="13.42578125" customWidth="1"/>
    <col min="8965" max="8965" width="14.85546875" customWidth="1"/>
    <col min="8966" max="8966" width="15.5703125" customWidth="1"/>
    <col min="8967" max="8967" width="15.7109375" customWidth="1"/>
    <col min="8968" max="8968" width="14.85546875" customWidth="1"/>
    <col min="8969" max="8969" width="15" customWidth="1"/>
    <col min="8970" max="8970" width="14" bestFit="1" customWidth="1"/>
    <col min="8971" max="8971" width="14.140625" customWidth="1"/>
    <col min="8972" max="8973" width="13.5703125" customWidth="1"/>
    <col min="8974" max="8974" width="18" customWidth="1"/>
    <col min="8975" max="8975" width="16.42578125" customWidth="1"/>
    <col min="8976" max="8976" width="11" customWidth="1"/>
    <col min="9218" max="9218" width="3.28515625" customWidth="1"/>
    <col min="9219" max="9219" width="17.7109375" customWidth="1"/>
    <col min="9220" max="9220" width="13.42578125" customWidth="1"/>
    <col min="9221" max="9221" width="14.85546875" customWidth="1"/>
    <col min="9222" max="9222" width="15.5703125" customWidth="1"/>
    <col min="9223" max="9223" width="15.7109375" customWidth="1"/>
    <col min="9224" max="9224" width="14.85546875" customWidth="1"/>
    <col min="9225" max="9225" width="15" customWidth="1"/>
    <col min="9226" max="9226" width="14" bestFit="1" customWidth="1"/>
    <col min="9227" max="9227" width="14.140625" customWidth="1"/>
    <col min="9228" max="9229" width="13.5703125" customWidth="1"/>
    <col min="9230" max="9230" width="18" customWidth="1"/>
    <col min="9231" max="9231" width="16.42578125" customWidth="1"/>
    <col min="9232" max="9232" width="11" customWidth="1"/>
    <col min="9474" max="9474" width="3.28515625" customWidth="1"/>
    <col min="9475" max="9475" width="17.7109375" customWidth="1"/>
    <col min="9476" max="9476" width="13.42578125" customWidth="1"/>
    <col min="9477" max="9477" width="14.85546875" customWidth="1"/>
    <col min="9478" max="9478" width="15.5703125" customWidth="1"/>
    <col min="9479" max="9479" width="15.7109375" customWidth="1"/>
    <col min="9480" max="9480" width="14.85546875" customWidth="1"/>
    <col min="9481" max="9481" width="15" customWidth="1"/>
    <col min="9482" max="9482" width="14" bestFit="1" customWidth="1"/>
    <col min="9483" max="9483" width="14.140625" customWidth="1"/>
    <col min="9484" max="9485" width="13.5703125" customWidth="1"/>
    <col min="9486" max="9486" width="18" customWidth="1"/>
    <col min="9487" max="9487" width="16.42578125" customWidth="1"/>
    <col min="9488" max="9488" width="11" customWidth="1"/>
    <col min="9730" max="9730" width="3.28515625" customWidth="1"/>
    <col min="9731" max="9731" width="17.7109375" customWidth="1"/>
    <col min="9732" max="9732" width="13.42578125" customWidth="1"/>
    <col min="9733" max="9733" width="14.85546875" customWidth="1"/>
    <col min="9734" max="9734" width="15.5703125" customWidth="1"/>
    <col min="9735" max="9735" width="15.7109375" customWidth="1"/>
    <col min="9736" max="9736" width="14.85546875" customWidth="1"/>
    <col min="9737" max="9737" width="15" customWidth="1"/>
    <col min="9738" max="9738" width="14" bestFit="1" customWidth="1"/>
    <col min="9739" max="9739" width="14.140625" customWidth="1"/>
    <col min="9740" max="9741" width="13.5703125" customWidth="1"/>
    <col min="9742" max="9742" width="18" customWidth="1"/>
    <col min="9743" max="9743" width="16.42578125" customWidth="1"/>
    <col min="9744" max="9744" width="11" customWidth="1"/>
    <col min="9986" max="9986" width="3.28515625" customWidth="1"/>
    <col min="9987" max="9987" width="17.7109375" customWidth="1"/>
    <col min="9988" max="9988" width="13.42578125" customWidth="1"/>
    <col min="9989" max="9989" width="14.85546875" customWidth="1"/>
    <col min="9990" max="9990" width="15.5703125" customWidth="1"/>
    <col min="9991" max="9991" width="15.7109375" customWidth="1"/>
    <col min="9992" max="9992" width="14.85546875" customWidth="1"/>
    <col min="9993" max="9993" width="15" customWidth="1"/>
    <col min="9994" max="9994" width="14" bestFit="1" customWidth="1"/>
    <col min="9995" max="9995" width="14.140625" customWidth="1"/>
    <col min="9996" max="9997" width="13.5703125" customWidth="1"/>
    <col min="9998" max="9998" width="18" customWidth="1"/>
    <col min="9999" max="9999" width="16.42578125" customWidth="1"/>
    <col min="10000" max="10000" width="11" customWidth="1"/>
    <col min="10242" max="10242" width="3.28515625" customWidth="1"/>
    <col min="10243" max="10243" width="17.7109375" customWidth="1"/>
    <col min="10244" max="10244" width="13.42578125" customWidth="1"/>
    <col min="10245" max="10245" width="14.85546875" customWidth="1"/>
    <col min="10246" max="10246" width="15.5703125" customWidth="1"/>
    <col min="10247" max="10247" width="15.7109375" customWidth="1"/>
    <col min="10248" max="10248" width="14.85546875" customWidth="1"/>
    <col min="10249" max="10249" width="15" customWidth="1"/>
    <col min="10250" max="10250" width="14" bestFit="1" customWidth="1"/>
    <col min="10251" max="10251" width="14.140625" customWidth="1"/>
    <col min="10252" max="10253" width="13.5703125" customWidth="1"/>
    <col min="10254" max="10254" width="18" customWidth="1"/>
    <col min="10255" max="10255" width="16.42578125" customWidth="1"/>
    <col min="10256" max="10256" width="11" customWidth="1"/>
    <col min="10498" max="10498" width="3.28515625" customWidth="1"/>
    <col min="10499" max="10499" width="17.7109375" customWidth="1"/>
    <col min="10500" max="10500" width="13.42578125" customWidth="1"/>
    <col min="10501" max="10501" width="14.85546875" customWidth="1"/>
    <col min="10502" max="10502" width="15.5703125" customWidth="1"/>
    <col min="10503" max="10503" width="15.7109375" customWidth="1"/>
    <col min="10504" max="10504" width="14.85546875" customWidth="1"/>
    <col min="10505" max="10505" width="15" customWidth="1"/>
    <col min="10506" max="10506" width="14" bestFit="1" customWidth="1"/>
    <col min="10507" max="10507" width="14.140625" customWidth="1"/>
    <col min="10508" max="10509" width="13.5703125" customWidth="1"/>
    <col min="10510" max="10510" width="18" customWidth="1"/>
    <col min="10511" max="10511" width="16.42578125" customWidth="1"/>
    <col min="10512" max="10512" width="11" customWidth="1"/>
    <col min="10754" max="10754" width="3.28515625" customWidth="1"/>
    <col min="10755" max="10755" width="17.7109375" customWidth="1"/>
    <col min="10756" max="10756" width="13.42578125" customWidth="1"/>
    <col min="10757" max="10757" width="14.85546875" customWidth="1"/>
    <col min="10758" max="10758" width="15.5703125" customWidth="1"/>
    <col min="10759" max="10759" width="15.7109375" customWidth="1"/>
    <col min="10760" max="10760" width="14.85546875" customWidth="1"/>
    <col min="10761" max="10761" width="15" customWidth="1"/>
    <col min="10762" max="10762" width="14" bestFit="1" customWidth="1"/>
    <col min="10763" max="10763" width="14.140625" customWidth="1"/>
    <col min="10764" max="10765" width="13.5703125" customWidth="1"/>
    <col min="10766" max="10766" width="18" customWidth="1"/>
    <col min="10767" max="10767" width="16.42578125" customWidth="1"/>
    <col min="10768" max="10768" width="11" customWidth="1"/>
    <col min="11010" max="11010" width="3.28515625" customWidth="1"/>
    <col min="11011" max="11011" width="17.7109375" customWidth="1"/>
    <col min="11012" max="11012" width="13.42578125" customWidth="1"/>
    <col min="11013" max="11013" width="14.85546875" customWidth="1"/>
    <col min="11014" max="11014" width="15.5703125" customWidth="1"/>
    <col min="11015" max="11015" width="15.7109375" customWidth="1"/>
    <col min="11016" max="11016" width="14.85546875" customWidth="1"/>
    <col min="11017" max="11017" width="15" customWidth="1"/>
    <col min="11018" max="11018" width="14" bestFit="1" customWidth="1"/>
    <col min="11019" max="11019" width="14.140625" customWidth="1"/>
    <col min="11020" max="11021" width="13.5703125" customWidth="1"/>
    <col min="11022" max="11022" width="18" customWidth="1"/>
    <col min="11023" max="11023" width="16.42578125" customWidth="1"/>
    <col min="11024" max="11024" width="11" customWidth="1"/>
    <col min="11266" max="11266" width="3.28515625" customWidth="1"/>
    <col min="11267" max="11267" width="17.7109375" customWidth="1"/>
    <col min="11268" max="11268" width="13.42578125" customWidth="1"/>
    <col min="11269" max="11269" width="14.85546875" customWidth="1"/>
    <col min="11270" max="11270" width="15.5703125" customWidth="1"/>
    <col min="11271" max="11271" width="15.7109375" customWidth="1"/>
    <col min="11272" max="11272" width="14.85546875" customWidth="1"/>
    <col min="11273" max="11273" width="15" customWidth="1"/>
    <col min="11274" max="11274" width="14" bestFit="1" customWidth="1"/>
    <col min="11275" max="11275" width="14.140625" customWidth="1"/>
    <col min="11276" max="11277" width="13.5703125" customWidth="1"/>
    <col min="11278" max="11278" width="18" customWidth="1"/>
    <col min="11279" max="11279" width="16.42578125" customWidth="1"/>
    <col min="11280" max="11280" width="11" customWidth="1"/>
    <col min="11522" max="11522" width="3.28515625" customWidth="1"/>
    <col min="11523" max="11523" width="17.7109375" customWidth="1"/>
    <col min="11524" max="11524" width="13.42578125" customWidth="1"/>
    <col min="11525" max="11525" width="14.85546875" customWidth="1"/>
    <col min="11526" max="11526" width="15.5703125" customWidth="1"/>
    <col min="11527" max="11527" width="15.7109375" customWidth="1"/>
    <col min="11528" max="11528" width="14.85546875" customWidth="1"/>
    <col min="11529" max="11529" width="15" customWidth="1"/>
    <col min="11530" max="11530" width="14" bestFit="1" customWidth="1"/>
    <col min="11531" max="11531" width="14.140625" customWidth="1"/>
    <col min="11532" max="11533" width="13.5703125" customWidth="1"/>
    <col min="11534" max="11534" width="18" customWidth="1"/>
    <col min="11535" max="11535" width="16.42578125" customWidth="1"/>
    <col min="11536" max="11536" width="11" customWidth="1"/>
    <col min="11778" max="11778" width="3.28515625" customWidth="1"/>
    <col min="11779" max="11779" width="17.7109375" customWidth="1"/>
    <col min="11780" max="11780" width="13.42578125" customWidth="1"/>
    <col min="11781" max="11781" width="14.85546875" customWidth="1"/>
    <col min="11782" max="11782" width="15.5703125" customWidth="1"/>
    <col min="11783" max="11783" width="15.7109375" customWidth="1"/>
    <col min="11784" max="11784" width="14.85546875" customWidth="1"/>
    <col min="11785" max="11785" width="15" customWidth="1"/>
    <col min="11786" max="11786" width="14" bestFit="1" customWidth="1"/>
    <col min="11787" max="11787" width="14.140625" customWidth="1"/>
    <col min="11788" max="11789" width="13.5703125" customWidth="1"/>
    <col min="11790" max="11790" width="18" customWidth="1"/>
    <col min="11791" max="11791" width="16.42578125" customWidth="1"/>
    <col min="11792" max="11792" width="11" customWidth="1"/>
    <col min="12034" max="12034" width="3.28515625" customWidth="1"/>
    <col min="12035" max="12035" width="17.7109375" customWidth="1"/>
    <col min="12036" max="12036" width="13.42578125" customWidth="1"/>
    <col min="12037" max="12037" width="14.85546875" customWidth="1"/>
    <col min="12038" max="12038" width="15.5703125" customWidth="1"/>
    <col min="12039" max="12039" width="15.7109375" customWidth="1"/>
    <col min="12040" max="12040" width="14.85546875" customWidth="1"/>
    <col min="12041" max="12041" width="15" customWidth="1"/>
    <col min="12042" max="12042" width="14" bestFit="1" customWidth="1"/>
    <col min="12043" max="12043" width="14.140625" customWidth="1"/>
    <col min="12044" max="12045" width="13.5703125" customWidth="1"/>
    <col min="12046" max="12046" width="18" customWidth="1"/>
    <col min="12047" max="12047" width="16.42578125" customWidth="1"/>
    <col min="12048" max="12048" width="11" customWidth="1"/>
    <col min="12290" max="12290" width="3.28515625" customWidth="1"/>
    <col min="12291" max="12291" width="17.7109375" customWidth="1"/>
    <col min="12292" max="12292" width="13.42578125" customWidth="1"/>
    <col min="12293" max="12293" width="14.85546875" customWidth="1"/>
    <col min="12294" max="12294" width="15.5703125" customWidth="1"/>
    <col min="12295" max="12295" width="15.7109375" customWidth="1"/>
    <col min="12296" max="12296" width="14.85546875" customWidth="1"/>
    <col min="12297" max="12297" width="15" customWidth="1"/>
    <col min="12298" max="12298" width="14" bestFit="1" customWidth="1"/>
    <col min="12299" max="12299" width="14.140625" customWidth="1"/>
    <col min="12300" max="12301" width="13.5703125" customWidth="1"/>
    <col min="12302" max="12302" width="18" customWidth="1"/>
    <col min="12303" max="12303" width="16.42578125" customWidth="1"/>
    <col min="12304" max="12304" width="11" customWidth="1"/>
    <col min="12546" max="12546" width="3.28515625" customWidth="1"/>
    <col min="12547" max="12547" width="17.7109375" customWidth="1"/>
    <col min="12548" max="12548" width="13.42578125" customWidth="1"/>
    <col min="12549" max="12549" width="14.85546875" customWidth="1"/>
    <col min="12550" max="12550" width="15.5703125" customWidth="1"/>
    <col min="12551" max="12551" width="15.7109375" customWidth="1"/>
    <col min="12552" max="12552" width="14.85546875" customWidth="1"/>
    <col min="12553" max="12553" width="15" customWidth="1"/>
    <col min="12554" max="12554" width="14" bestFit="1" customWidth="1"/>
    <col min="12555" max="12555" width="14.140625" customWidth="1"/>
    <col min="12556" max="12557" width="13.5703125" customWidth="1"/>
    <col min="12558" max="12558" width="18" customWidth="1"/>
    <col min="12559" max="12559" width="16.42578125" customWidth="1"/>
    <col min="12560" max="12560" width="11" customWidth="1"/>
    <col min="12802" max="12802" width="3.28515625" customWidth="1"/>
    <col min="12803" max="12803" width="17.7109375" customWidth="1"/>
    <col min="12804" max="12804" width="13.42578125" customWidth="1"/>
    <col min="12805" max="12805" width="14.85546875" customWidth="1"/>
    <col min="12806" max="12806" width="15.5703125" customWidth="1"/>
    <col min="12807" max="12807" width="15.7109375" customWidth="1"/>
    <col min="12808" max="12808" width="14.85546875" customWidth="1"/>
    <col min="12809" max="12809" width="15" customWidth="1"/>
    <col min="12810" max="12810" width="14" bestFit="1" customWidth="1"/>
    <col min="12811" max="12811" width="14.140625" customWidth="1"/>
    <col min="12812" max="12813" width="13.5703125" customWidth="1"/>
    <col min="12814" max="12814" width="18" customWidth="1"/>
    <col min="12815" max="12815" width="16.42578125" customWidth="1"/>
    <col min="12816" max="12816" width="11" customWidth="1"/>
    <col min="13058" max="13058" width="3.28515625" customWidth="1"/>
    <col min="13059" max="13059" width="17.7109375" customWidth="1"/>
    <col min="13060" max="13060" width="13.42578125" customWidth="1"/>
    <col min="13061" max="13061" width="14.85546875" customWidth="1"/>
    <col min="13062" max="13062" width="15.5703125" customWidth="1"/>
    <col min="13063" max="13063" width="15.7109375" customWidth="1"/>
    <col min="13064" max="13064" width="14.85546875" customWidth="1"/>
    <col min="13065" max="13065" width="15" customWidth="1"/>
    <col min="13066" max="13066" width="14" bestFit="1" customWidth="1"/>
    <col min="13067" max="13067" width="14.140625" customWidth="1"/>
    <col min="13068" max="13069" width="13.5703125" customWidth="1"/>
    <col min="13070" max="13070" width="18" customWidth="1"/>
    <col min="13071" max="13071" width="16.42578125" customWidth="1"/>
    <col min="13072" max="13072" width="11" customWidth="1"/>
    <col min="13314" max="13314" width="3.28515625" customWidth="1"/>
    <col min="13315" max="13315" width="17.7109375" customWidth="1"/>
    <col min="13316" max="13316" width="13.42578125" customWidth="1"/>
    <col min="13317" max="13317" width="14.85546875" customWidth="1"/>
    <col min="13318" max="13318" width="15.5703125" customWidth="1"/>
    <col min="13319" max="13319" width="15.7109375" customWidth="1"/>
    <col min="13320" max="13320" width="14.85546875" customWidth="1"/>
    <col min="13321" max="13321" width="15" customWidth="1"/>
    <col min="13322" max="13322" width="14" bestFit="1" customWidth="1"/>
    <col min="13323" max="13323" width="14.140625" customWidth="1"/>
    <col min="13324" max="13325" width="13.5703125" customWidth="1"/>
    <col min="13326" max="13326" width="18" customWidth="1"/>
    <col min="13327" max="13327" width="16.42578125" customWidth="1"/>
    <col min="13328" max="13328" width="11" customWidth="1"/>
    <col min="13570" max="13570" width="3.28515625" customWidth="1"/>
    <col min="13571" max="13571" width="17.7109375" customWidth="1"/>
    <col min="13572" max="13572" width="13.42578125" customWidth="1"/>
    <col min="13573" max="13573" width="14.85546875" customWidth="1"/>
    <col min="13574" max="13574" width="15.5703125" customWidth="1"/>
    <col min="13575" max="13575" width="15.7109375" customWidth="1"/>
    <col min="13576" max="13576" width="14.85546875" customWidth="1"/>
    <col min="13577" max="13577" width="15" customWidth="1"/>
    <col min="13578" max="13578" width="14" bestFit="1" customWidth="1"/>
    <col min="13579" max="13579" width="14.140625" customWidth="1"/>
    <col min="13580" max="13581" width="13.5703125" customWidth="1"/>
    <col min="13582" max="13582" width="18" customWidth="1"/>
    <col min="13583" max="13583" width="16.42578125" customWidth="1"/>
    <col min="13584" max="13584" width="11" customWidth="1"/>
    <col min="13826" max="13826" width="3.28515625" customWidth="1"/>
    <col min="13827" max="13827" width="17.7109375" customWidth="1"/>
    <col min="13828" max="13828" width="13.42578125" customWidth="1"/>
    <col min="13829" max="13829" width="14.85546875" customWidth="1"/>
    <col min="13830" max="13830" width="15.5703125" customWidth="1"/>
    <col min="13831" max="13831" width="15.7109375" customWidth="1"/>
    <col min="13832" max="13832" width="14.85546875" customWidth="1"/>
    <col min="13833" max="13833" width="15" customWidth="1"/>
    <col min="13834" max="13834" width="14" bestFit="1" customWidth="1"/>
    <col min="13835" max="13835" width="14.140625" customWidth="1"/>
    <col min="13836" max="13837" width="13.5703125" customWidth="1"/>
    <col min="13838" max="13838" width="18" customWidth="1"/>
    <col min="13839" max="13839" width="16.42578125" customWidth="1"/>
    <col min="13840" max="13840" width="11" customWidth="1"/>
    <col min="14082" max="14082" width="3.28515625" customWidth="1"/>
    <col min="14083" max="14083" width="17.7109375" customWidth="1"/>
    <col min="14084" max="14084" width="13.42578125" customWidth="1"/>
    <col min="14085" max="14085" width="14.85546875" customWidth="1"/>
    <col min="14086" max="14086" width="15.5703125" customWidth="1"/>
    <col min="14087" max="14087" width="15.7109375" customWidth="1"/>
    <col min="14088" max="14088" width="14.85546875" customWidth="1"/>
    <col min="14089" max="14089" width="15" customWidth="1"/>
    <col min="14090" max="14090" width="14" bestFit="1" customWidth="1"/>
    <col min="14091" max="14091" width="14.140625" customWidth="1"/>
    <col min="14092" max="14093" width="13.5703125" customWidth="1"/>
    <col min="14094" max="14094" width="18" customWidth="1"/>
    <col min="14095" max="14095" width="16.42578125" customWidth="1"/>
    <col min="14096" max="14096" width="11" customWidth="1"/>
    <col min="14338" max="14338" width="3.28515625" customWidth="1"/>
    <col min="14339" max="14339" width="17.7109375" customWidth="1"/>
    <col min="14340" max="14340" width="13.42578125" customWidth="1"/>
    <col min="14341" max="14341" width="14.85546875" customWidth="1"/>
    <col min="14342" max="14342" width="15.5703125" customWidth="1"/>
    <col min="14343" max="14343" width="15.7109375" customWidth="1"/>
    <col min="14344" max="14344" width="14.85546875" customWidth="1"/>
    <col min="14345" max="14345" width="15" customWidth="1"/>
    <col min="14346" max="14346" width="14" bestFit="1" customWidth="1"/>
    <col min="14347" max="14347" width="14.140625" customWidth="1"/>
    <col min="14348" max="14349" width="13.5703125" customWidth="1"/>
    <col min="14350" max="14350" width="18" customWidth="1"/>
    <col min="14351" max="14351" width="16.42578125" customWidth="1"/>
    <col min="14352" max="14352" width="11" customWidth="1"/>
    <col min="14594" max="14594" width="3.28515625" customWidth="1"/>
    <col min="14595" max="14595" width="17.7109375" customWidth="1"/>
    <col min="14596" max="14596" width="13.42578125" customWidth="1"/>
    <col min="14597" max="14597" width="14.85546875" customWidth="1"/>
    <col min="14598" max="14598" width="15.5703125" customWidth="1"/>
    <col min="14599" max="14599" width="15.7109375" customWidth="1"/>
    <col min="14600" max="14600" width="14.85546875" customWidth="1"/>
    <col min="14601" max="14601" width="15" customWidth="1"/>
    <col min="14602" max="14602" width="14" bestFit="1" customWidth="1"/>
    <col min="14603" max="14603" width="14.140625" customWidth="1"/>
    <col min="14604" max="14605" width="13.5703125" customWidth="1"/>
    <col min="14606" max="14606" width="18" customWidth="1"/>
    <col min="14607" max="14607" width="16.42578125" customWidth="1"/>
    <col min="14608" max="14608" width="11" customWidth="1"/>
    <col min="14850" max="14850" width="3.28515625" customWidth="1"/>
    <col min="14851" max="14851" width="17.7109375" customWidth="1"/>
    <col min="14852" max="14852" width="13.42578125" customWidth="1"/>
    <col min="14853" max="14853" width="14.85546875" customWidth="1"/>
    <col min="14854" max="14854" width="15.5703125" customWidth="1"/>
    <col min="14855" max="14855" width="15.7109375" customWidth="1"/>
    <col min="14856" max="14856" width="14.85546875" customWidth="1"/>
    <col min="14857" max="14857" width="15" customWidth="1"/>
    <col min="14858" max="14858" width="14" bestFit="1" customWidth="1"/>
    <col min="14859" max="14859" width="14.140625" customWidth="1"/>
    <col min="14860" max="14861" width="13.5703125" customWidth="1"/>
    <col min="14862" max="14862" width="18" customWidth="1"/>
    <col min="14863" max="14863" width="16.42578125" customWidth="1"/>
    <col min="14864" max="14864" width="11" customWidth="1"/>
    <col min="15106" max="15106" width="3.28515625" customWidth="1"/>
    <col min="15107" max="15107" width="17.7109375" customWidth="1"/>
    <col min="15108" max="15108" width="13.42578125" customWidth="1"/>
    <col min="15109" max="15109" width="14.85546875" customWidth="1"/>
    <col min="15110" max="15110" width="15.5703125" customWidth="1"/>
    <col min="15111" max="15111" width="15.7109375" customWidth="1"/>
    <col min="15112" max="15112" width="14.85546875" customWidth="1"/>
    <col min="15113" max="15113" width="15" customWidth="1"/>
    <col min="15114" max="15114" width="14" bestFit="1" customWidth="1"/>
    <col min="15115" max="15115" width="14.140625" customWidth="1"/>
    <col min="15116" max="15117" width="13.5703125" customWidth="1"/>
    <col min="15118" max="15118" width="18" customWidth="1"/>
    <col min="15119" max="15119" width="16.42578125" customWidth="1"/>
    <col min="15120" max="15120" width="11" customWidth="1"/>
    <col min="15362" max="15362" width="3.28515625" customWidth="1"/>
    <col min="15363" max="15363" width="17.7109375" customWidth="1"/>
    <col min="15364" max="15364" width="13.42578125" customWidth="1"/>
    <col min="15365" max="15365" width="14.85546875" customWidth="1"/>
    <col min="15366" max="15366" width="15.5703125" customWidth="1"/>
    <col min="15367" max="15367" width="15.7109375" customWidth="1"/>
    <col min="15368" max="15368" width="14.85546875" customWidth="1"/>
    <col min="15369" max="15369" width="15" customWidth="1"/>
    <col min="15370" max="15370" width="14" bestFit="1" customWidth="1"/>
    <col min="15371" max="15371" width="14.140625" customWidth="1"/>
    <col min="15372" max="15373" width="13.5703125" customWidth="1"/>
    <col min="15374" max="15374" width="18" customWidth="1"/>
    <col min="15375" max="15375" width="16.42578125" customWidth="1"/>
    <col min="15376" max="15376" width="11" customWidth="1"/>
    <col min="15618" max="15618" width="3.28515625" customWidth="1"/>
    <col min="15619" max="15619" width="17.7109375" customWidth="1"/>
    <col min="15620" max="15620" width="13.42578125" customWidth="1"/>
    <col min="15621" max="15621" width="14.85546875" customWidth="1"/>
    <col min="15622" max="15622" width="15.5703125" customWidth="1"/>
    <col min="15623" max="15623" width="15.7109375" customWidth="1"/>
    <col min="15624" max="15624" width="14.85546875" customWidth="1"/>
    <col min="15625" max="15625" width="15" customWidth="1"/>
    <col min="15626" max="15626" width="14" bestFit="1" customWidth="1"/>
    <col min="15627" max="15627" width="14.140625" customWidth="1"/>
    <col min="15628" max="15629" width="13.5703125" customWidth="1"/>
    <col min="15630" max="15630" width="18" customWidth="1"/>
    <col min="15631" max="15631" width="16.42578125" customWidth="1"/>
    <col min="15632" max="15632" width="11" customWidth="1"/>
    <col min="15874" max="15874" width="3.28515625" customWidth="1"/>
    <col min="15875" max="15875" width="17.7109375" customWidth="1"/>
    <col min="15876" max="15876" width="13.42578125" customWidth="1"/>
    <col min="15877" max="15877" width="14.85546875" customWidth="1"/>
    <col min="15878" max="15878" width="15.5703125" customWidth="1"/>
    <col min="15879" max="15879" width="15.7109375" customWidth="1"/>
    <col min="15880" max="15880" width="14.85546875" customWidth="1"/>
    <col min="15881" max="15881" width="15" customWidth="1"/>
    <col min="15882" max="15882" width="14" bestFit="1" customWidth="1"/>
    <col min="15883" max="15883" width="14.140625" customWidth="1"/>
    <col min="15884" max="15885" width="13.5703125" customWidth="1"/>
    <col min="15886" max="15886" width="18" customWidth="1"/>
    <col min="15887" max="15887" width="16.42578125" customWidth="1"/>
    <col min="15888" max="15888" width="11" customWidth="1"/>
    <col min="16130" max="16130" width="3.28515625" customWidth="1"/>
    <col min="16131" max="16131" width="17.7109375" customWidth="1"/>
    <col min="16132" max="16132" width="13.42578125" customWidth="1"/>
    <col min="16133" max="16133" width="14.85546875" customWidth="1"/>
    <col min="16134" max="16134" width="15.5703125" customWidth="1"/>
    <col min="16135" max="16135" width="15.7109375" customWidth="1"/>
    <col min="16136" max="16136" width="14.85546875" customWidth="1"/>
    <col min="16137" max="16137" width="15" customWidth="1"/>
    <col min="16138" max="16138" width="14" bestFit="1" customWidth="1"/>
    <col min="16139" max="16139" width="14.140625" customWidth="1"/>
    <col min="16140" max="16141" width="13.5703125" customWidth="1"/>
    <col min="16142" max="16142" width="18" customWidth="1"/>
    <col min="16143" max="16143" width="16.42578125" customWidth="1"/>
    <col min="16144" max="16144" width="11" customWidth="1"/>
  </cols>
  <sheetData>
    <row r="1" spans="1:16">
      <c r="A1" t="s">
        <v>289</v>
      </c>
    </row>
    <row r="2" spans="1:16" ht="18">
      <c r="C2" s="50" t="s">
        <v>221</v>
      </c>
    </row>
    <row r="3" spans="1:16" ht="15.75">
      <c r="C3" s="17" t="s">
        <v>222</v>
      </c>
      <c r="D3" s="316" t="s">
        <v>223</v>
      </c>
    </row>
    <row r="4" spans="1:16" ht="16.5" thickBot="1">
      <c r="C4" s="17" t="s">
        <v>224</v>
      </c>
      <c r="D4" s="316">
        <v>1</v>
      </c>
      <c r="E4" t="s">
        <v>225</v>
      </c>
    </row>
    <row r="5" spans="1:16" ht="30.75" thickBot="1">
      <c r="A5" s="317" t="s">
        <v>226</v>
      </c>
      <c r="B5" s="317" t="s">
        <v>227</v>
      </c>
      <c r="C5" s="318" t="s">
        <v>228</v>
      </c>
      <c r="D5" s="319" t="s">
        <v>229</v>
      </c>
      <c r="E5" s="319" t="s">
        <v>140</v>
      </c>
      <c r="F5" s="319" t="s">
        <v>230</v>
      </c>
      <c r="G5" s="319" t="s">
        <v>231</v>
      </c>
      <c r="H5" s="319" t="s">
        <v>232</v>
      </c>
      <c r="I5" s="319" t="s">
        <v>233</v>
      </c>
      <c r="J5" s="320" t="s">
        <v>234</v>
      </c>
      <c r="K5" s="321" t="s">
        <v>235</v>
      </c>
      <c r="L5" s="322" t="s">
        <v>236</v>
      </c>
      <c r="M5" s="323" t="s">
        <v>237</v>
      </c>
      <c r="N5" s="324" t="s">
        <v>238</v>
      </c>
      <c r="O5" s="325" t="s">
        <v>239</v>
      </c>
      <c r="P5" s="326" t="s">
        <v>240</v>
      </c>
    </row>
    <row r="6" spans="1:16" ht="15" customHeight="1" thickBot="1">
      <c r="A6" s="517" t="str">
        <f>IF(C6=0,0,CONCATENATE(B6," ",$D$3))</f>
        <v>1 Q</v>
      </c>
      <c r="B6" s="519">
        <v>1</v>
      </c>
      <c r="C6" s="573">
        <v>800</v>
      </c>
      <c r="D6" s="574">
        <v>600</v>
      </c>
      <c r="E6" s="548">
        <f>D6*C6</f>
        <v>480000</v>
      </c>
      <c r="F6" s="565">
        <f>165+165+40</f>
        <v>370</v>
      </c>
      <c r="G6" s="548">
        <f>F6*D6</f>
        <v>222000</v>
      </c>
      <c r="H6" s="549">
        <f>E6-G6</f>
        <v>258000</v>
      </c>
      <c r="I6" s="571">
        <v>0</v>
      </c>
      <c r="J6" s="552">
        <f>H6-I6</f>
        <v>258000</v>
      </c>
      <c r="K6" s="536">
        <f>C6-F6</f>
        <v>430</v>
      </c>
      <c r="L6" s="537">
        <f>D6/$D$4</f>
        <v>600</v>
      </c>
      <c r="M6" s="538">
        <f>IF(L6=0,0,H6/L6)</f>
        <v>430</v>
      </c>
      <c r="N6" s="327">
        <f>IF(L6=0,0,H6/L6)</f>
        <v>430</v>
      </c>
      <c r="O6" s="327"/>
      <c r="P6" s="328">
        <f>IF(L6&lt;0,0,L6)</f>
        <v>600</v>
      </c>
    </row>
    <row r="7" spans="1:16" ht="15.75" customHeight="1" thickBot="1">
      <c r="A7" s="518"/>
      <c r="B7" s="520"/>
      <c r="C7" s="569"/>
      <c r="D7" s="570"/>
      <c r="E7" s="545"/>
      <c r="F7" s="569"/>
      <c r="G7" s="545"/>
      <c r="H7" s="546"/>
      <c r="I7" s="572"/>
      <c r="J7" s="547"/>
      <c r="K7" s="520"/>
      <c r="L7" s="520"/>
      <c r="M7" s="539"/>
      <c r="N7" s="517">
        <f>IF(L8=0,0,(H8-H6)/(L8-L6))</f>
        <v>310</v>
      </c>
      <c r="O7" s="329"/>
      <c r="P7" s="517">
        <f>IF(L8-L6&lt;0,0,L8-L6)</f>
        <v>200</v>
      </c>
    </row>
    <row r="8" spans="1:16" ht="13.5" thickBot="1">
      <c r="A8" s="517" t="str">
        <f>IF(C8=0,0,CONCATENATE(B8," ",$D$3))</f>
        <v>2 Q</v>
      </c>
      <c r="B8" s="519">
        <v>2</v>
      </c>
      <c r="C8" s="565">
        <v>770</v>
      </c>
      <c r="D8" s="567">
        <v>800</v>
      </c>
      <c r="E8" s="525">
        <f>D8*C8</f>
        <v>616000</v>
      </c>
      <c r="F8" s="527">
        <f>IF(C8=0,0,$F$6)</f>
        <v>370</v>
      </c>
      <c r="G8" s="525">
        <f>F8*D8</f>
        <v>296000</v>
      </c>
      <c r="H8" s="529">
        <f>E8-G8</f>
        <v>320000</v>
      </c>
      <c r="I8" s="531">
        <f>IF(C8=0,0,$I$6)</f>
        <v>0</v>
      </c>
      <c r="J8" s="534">
        <f>H8-I8</f>
        <v>320000</v>
      </c>
      <c r="K8" s="536">
        <f>C8-F8</f>
        <v>400</v>
      </c>
      <c r="L8" s="538">
        <f>D8/$D$4</f>
        <v>800</v>
      </c>
      <c r="M8" s="538">
        <f>IF(L8=0,0,H8/L8)</f>
        <v>400</v>
      </c>
      <c r="N8" s="540"/>
      <c r="O8" s="330"/>
      <c r="P8" s="518"/>
    </row>
    <row r="9" spans="1:16" ht="13.5" thickBot="1">
      <c r="A9" s="518"/>
      <c r="B9" s="520"/>
      <c r="C9" s="569"/>
      <c r="D9" s="570"/>
      <c r="E9" s="545"/>
      <c r="F9" s="542"/>
      <c r="G9" s="545"/>
      <c r="H9" s="546"/>
      <c r="I9" s="533"/>
      <c r="J9" s="547"/>
      <c r="K9" s="520"/>
      <c r="L9" s="539"/>
      <c r="M9" s="539"/>
      <c r="N9" s="517">
        <f>IF(L10=0,0,(H10-H8)/(L10-L8))</f>
        <v>210</v>
      </c>
      <c r="O9" s="329"/>
      <c r="P9" s="517">
        <f>IF(L10-L8&lt;0,0,L10-L8)</f>
        <v>150</v>
      </c>
    </row>
    <row r="10" spans="1:16" ht="13.5" customHeight="1" thickBot="1">
      <c r="A10" s="517" t="str">
        <f>IF(C10=0,0,CONCATENATE(B10," ",$D$3))</f>
        <v>3 Q</v>
      </c>
      <c r="B10" s="519">
        <v>3</v>
      </c>
      <c r="C10" s="565">
        <v>740</v>
      </c>
      <c r="D10" s="567">
        <v>950</v>
      </c>
      <c r="E10" s="525">
        <f>D10*C10</f>
        <v>703000</v>
      </c>
      <c r="F10" s="527">
        <f>IF(C10=0,0,$F$6)</f>
        <v>370</v>
      </c>
      <c r="G10" s="525">
        <f>F10*D10</f>
        <v>351500</v>
      </c>
      <c r="H10" s="529">
        <f>E10-G10</f>
        <v>351500</v>
      </c>
      <c r="I10" s="531">
        <f>IF(C10=0,0,$I$6)</f>
        <v>0</v>
      </c>
      <c r="J10" s="534">
        <f>H10-I10</f>
        <v>351500</v>
      </c>
      <c r="K10" s="536">
        <f>C10-F10</f>
        <v>370</v>
      </c>
      <c r="L10" s="538">
        <f>D10/$D$4</f>
        <v>950</v>
      </c>
      <c r="M10" s="538">
        <f>IF(L10=0,0,H10/L10)</f>
        <v>370</v>
      </c>
      <c r="N10" s="540"/>
      <c r="O10" s="330"/>
      <c r="P10" s="518"/>
    </row>
    <row r="11" spans="1:16" ht="13.5" customHeight="1" thickBot="1">
      <c r="A11" s="518"/>
      <c r="B11" s="520"/>
      <c r="C11" s="569"/>
      <c r="D11" s="570"/>
      <c r="E11" s="545"/>
      <c r="F11" s="542"/>
      <c r="G11" s="545"/>
      <c r="H11" s="546"/>
      <c r="I11" s="533"/>
      <c r="J11" s="547"/>
      <c r="K11" s="520"/>
      <c r="L11" s="539"/>
      <c r="M11" s="539"/>
      <c r="N11" s="517">
        <f>IF(L12=0,0,(H12-H10)/(L12-L10))</f>
        <v>140</v>
      </c>
      <c r="O11" s="329"/>
      <c r="P11" s="517">
        <f>IF(L12-L10&lt;0,0,L12-L10)</f>
        <v>200</v>
      </c>
    </row>
    <row r="12" spans="1:16" ht="13.5" customHeight="1" thickBot="1">
      <c r="A12" s="517" t="str">
        <f>IF(C12=0,0,CONCATENATE(B12," ",$D$3))</f>
        <v>4 Q</v>
      </c>
      <c r="B12" s="519">
        <v>4</v>
      </c>
      <c r="C12" s="565">
        <v>700</v>
      </c>
      <c r="D12" s="567">
        <v>1150</v>
      </c>
      <c r="E12" s="525">
        <f>D12*C12</f>
        <v>805000</v>
      </c>
      <c r="F12" s="527">
        <f>IF(C12=0,0,$F$6)</f>
        <v>370</v>
      </c>
      <c r="G12" s="525">
        <f>F12*D12</f>
        <v>425500</v>
      </c>
      <c r="H12" s="529">
        <f>E12-G12</f>
        <v>379500</v>
      </c>
      <c r="I12" s="531">
        <f>IF(C12=0,0,$I$6)</f>
        <v>0</v>
      </c>
      <c r="J12" s="534">
        <f>H12-I12</f>
        <v>379500</v>
      </c>
      <c r="K12" s="536">
        <f>C12-F12</f>
        <v>330</v>
      </c>
      <c r="L12" s="538">
        <f>D12/$D$4</f>
        <v>1150</v>
      </c>
      <c r="M12" s="538">
        <f>IF(L12=0,0,H12/L12)</f>
        <v>330</v>
      </c>
      <c r="N12" s="540"/>
      <c r="O12" s="330"/>
      <c r="P12" s="518"/>
    </row>
    <row r="13" spans="1:16" ht="13.5" customHeight="1" thickBot="1">
      <c r="A13" s="518"/>
      <c r="B13" s="520"/>
      <c r="C13" s="569"/>
      <c r="D13" s="570"/>
      <c r="E13" s="545"/>
      <c r="F13" s="528"/>
      <c r="G13" s="545"/>
      <c r="H13" s="546"/>
      <c r="I13" s="533"/>
      <c r="J13" s="547"/>
      <c r="K13" s="520"/>
      <c r="L13" s="539"/>
      <c r="M13" s="539"/>
      <c r="N13" s="517">
        <f>IF(L14=0,0,(H14-H12)/(L14-L12))</f>
        <v>-390</v>
      </c>
      <c r="O13" s="329"/>
      <c r="P13" s="517">
        <f>IF(L14-L12&lt;0,0,L14-L12)</f>
        <v>50</v>
      </c>
    </row>
    <row r="14" spans="1:16" ht="13.5" customHeight="1" thickBot="1">
      <c r="A14" s="517" t="str">
        <f>IF(C14=0,0,CONCATENATE(B14," ",$D$3))</f>
        <v>5 Q</v>
      </c>
      <c r="B14" s="519">
        <v>5</v>
      </c>
      <c r="C14" s="565">
        <v>670</v>
      </c>
      <c r="D14" s="567">
        <v>1200</v>
      </c>
      <c r="E14" s="525">
        <f>D14*C14</f>
        <v>804000</v>
      </c>
      <c r="F14" s="527">
        <f>IF(C14=0,0,$F$6)</f>
        <v>370</v>
      </c>
      <c r="G14" s="525">
        <f>F14*D14</f>
        <v>444000</v>
      </c>
      <c r="H14" s="529">
        <f>E14-G14</f>
        <v>360000</v>
      </c>
      <c r="I14" s="531">
        <f>IF(C14=0,0,$I$6)</f>
        <v>0</v>
      </c>
      <c r="J14" s="534">
        <f>H14-I14</f>
        <v>360000</v>
      </c>
      <c r="K14" s="536">
        <f>C14-F14</f>
        <v>300</v>
      </c>
      <c r="L14" s="538">
        <f>D14/$D$4</f>
        <v>1200</v>
      </c>
      <c r="M14" s="538">
        <f>IF(L14=0,0,H14/L14)</f>
        <v>300</v>
      </c>
      <c r="N14" s="540"/>
      <c r="O14" s="330"/>
      <c r="P14" s="518"/>
    </row>
    <row r="15" spans="1:16" ht="13.5" customHeight="1" thickBot="1">
      <c r="A15" s="518"/>
      <c r="B15" s="520"/>
      <c r="C15" s="569"/>
      <c r="D15" s="570"/>
      <c r="E15" s="545"/>
      <c r="F15" s="528"/>
      <c r="G15" s="545"/>
      <c r="H15" s="546"/>
      <c r="I15" s="533"/>
      <c r="J15" s="547"/>
      <c r="K15" s="520"/>
      <c r="L15" s="539"/>
      <c r="M15" s="539"/>
      <c r="N15" s="517">
        <f>IF(L16=0,0,(H16-H14)/(L16-L14))</f>
        <v>0</v>
      </c>
      <c r="O15" s="329"/>
      <c r="P15" s="517">
        <f>IF(L16-L14&lt;0,0,L16-L14)</f>
        <v>0</v>
      </c>
    </row>
    <row r="16" spans="1:16" ht="13.5" customHeight="1" thickBot="1">
      <c r="A16" s="517">
        <f>IF(C16=0,0,CONCATENATE(B16," ",$D$3))</f>
        <v>0</v>
      </c>
      <c r="B16" s="519">
        <v>6</v>
      </c>
      <c r="C16" s="565">
        <v>0</v>
      </c>
      <c r="D16" s="567">
        <v>0</v>
      </c>
      <c r="E16" s="525">
        <f>D16*C16</f>
        <v>0</v>
      </c>
      <c r="F16" s="527">
        <f>IF(C16=0,0,$F$6)</f>
        <v>0</v>
      </c>
      <c r="G16" s="525">
        <f>F16*D16</f>
        <v>0</v>
      </c>
      <c r="H16" s="529">
        <f>E16-G16</f>
        <v>0</v>
      </c>
      <c r="I16" s="531">
        <f>IF(C16=0,0,$I$6)</f>
        <v>0</v>
      </c>
      <c r="J16" s="534">
        <f>H16-I16</f>
        <v>0</v>
      </c>
      <c r="K16" s="536">
        <f>C16-F16</f>
        <v>0</v>
      </c>
      <c r="L16" s="538">
        <f>D16/$D$4</f>
        <v>0</v>
      </c>
      <c r="M16" s="538">
        <f>IF(L16=0,0,H16/L16)</f>
        <v>0</v>
      </c>
      <c r="N16" s="540"/>
      <c r="O16" s="330"/>
      <c r="P16" s="518"/>
    </row>
    <row r="17" spans="1:16" ht="13.5" customHeight="1" thickBot="1">
      <c r="A17" s="518"/>
      <c r="B17" s="520"/>
      <c r="C17" s="569"/>
      <c r="D17" s="570"/>
      <c r="E17" s="545"/>
      <c r="F17" s="542"/>
      <c r="G17" s="545"/>
      <c r="H17" s="546"/>
      <c r="I17" s="533"/>
      <c r="J17" s="547"/>
      <c r="K17" s="520"/>
      <c r="L17" s="539"/>
      <c r="M17" s="539"/>
      <c r="N17" s="517">
        <f>IF(L18=0,0,(H18-H16)/(L18-L16))</f>
        <v>0</v>
      </c>
      <c r="O17" s="329"/>
      <c r="P17" s="517">
        <f>IF(L18-L16&lt;0,0,L18-L16)</f>
        <v>0</v>
      </c>
    </row>
    <row r="18" spans="1:16" ht="13.5" customHeight="1" thickBot="1">
      <c r="A18" s="517">
        <f>IF(C18=0,0,CONCATENATE(B18," ",$D$3))</f>
        <v>0</v>
      </c>
      <c r="B18" s="519">
        <v>7</v>
      </c>
      <c r="C18" s="565">
        <v>0</v>
      </c>
      <c r="D18" s="567">
        <v>0</v>
      </c>
      <c r="E18" s="525">
        <f>D18*C18</f>
        <v>0</v>
      </c>
      <c r="F18" s="527">
        <f>IF(C18=0,0,$F$6)</f>
        <v>0</v>
      </c>
      <c r="G18" s="525">
        <f>F18*D18</f>
        <v>0</v>
      </c>
      <c r="H18" s="529">
        <f>E18-G18</f>
        <v>0</v>
      </c>
      <c r="I18" s="531">
        <f>IF(C18=0,0,$I$6)</f>
        <v>0</v>
      </c>
      <c r="J18" s="534">
        <f>H18-I18</f>
        <v>0</v>
      </c>
      <c r="K18" s="536">
        <f>C18-F18</f>
        <v>0</v>
      </c>
      <c r="L18" s="538">
        <f>D18/$D$4</f>
        <v>0</v>
      </c>
      <c r="M18" s="538">
        <f>IF(L18=0,0,H18/L18)</f>
        <v>0</v>
      </c>
      <c r="N18" s="540"/>
      <c r="O18" s="330"/>
      <c r="P18" s="518"/>
    </row>
    <row r="19" spans="1:16" ht="13.5" customHeight="1" thickBot="1">
      <c r="A19" s="518"/>
      <c r="B19" s="520"/>
      <c r="C19" s="566"/>
      <c r="D19" s="568"/>
      <c r="E19" s="526"/>
      <c r="F19" s="542"/>
      <c r="G19" s="526"/>
      <c r="H19" s="530"/>
      <c r="I19" s="533"/>
      <c r="J19" s="535"/>
      <c r="K19" s="520"/>
      <c r="L19" s="539"/>
      <c r="M19" s="539"/>
      <c r="N19" s="517">
        <f>IF(L20=0,0,(H20-H18)/(L20-L18))</f>
        <v>0</v>
      </c>
      <c r="O19" s="329"/>
      <c r="P19" s="517">
        <f>IF(L20-L18&lt;0,0,L20-L18)</f>
        <v>0</v>
      </c>
    </row>
    <row r="20" spans="1:16" ht="12.75" customHeight="1" thickBot="1">
      <c r="A20" s="517">
        <f>IF(C20=0,0,CONCATENATE(B20," ",$D$3))</f>
        <v>0</v>
      </c>
      <c r="B20" s="519">
        <v>8</v>
      </c>
      <c r="C20" s="565">
        <v>0</v>
      </c>
      <c r="D20" s="567">
        <v>0</v>
      </c>
      <c r="E20" s="525">
        <f>D20*C20</f>
        <v>0</v>
      </c>
      <c r="F20" s="527">
        <f>IF(C20=0,0,$F$6)</f>
        <v>0</v>
      </c>
      <c r="G20" s="525">
        <f>F20*D20</f>
        <v>0</v>
      </c>
      <c r="H20" s="529">
        <f>E20-G20</f>
        <v>0</v>
      </c>
      <c r="I20" s="531">
        <f>IF(C20=0,0,$I$6)</f>
        <v>0</v>
      </c>
      <c r="J20" s="534">
        <f>H20-I20</f>
        <v>0</v>
      </c>
      <c r="K20" s="541">
        <f>C20-F20</f>
        <v>0</v>
      </c>
      <c r="L20" s="538">
        <f>D20/$D$4</f>
        <v>0</v>
      </c>
      <c r="M20" s="538">
        <f>IF(L20=0,0,H20/L20)</f>
        <v>0</v>
      </c>
      <c r="N20" s="540"/>
      <c r="O20" s="330"/>
      <c r="P20" s="518"/>
    </row>
    <row r="21" spans="1:16" ht="13.5" customHeight="1" thickBot="1">
      <c r="A21" s="518"/>
      <c r="B21" s="520"/>
      <c r="C21" s="566"/>
      <c r="D21" s="568"/>
      <c r="E21" s="526"/>
      <c r="F21" s="528"/>
      <c r="G21" s="526"/>
      <c r="H21" s="530"/>
      <c r="I21" s="532"/>
      <c r="J21" s="535"/>
      <c r="K21" s="520"/>
      <c r="L21" s="539"/>
      <c r="M21" s="539"/>
      <c r="N21" s="515"/>
      <c r="O21" s="331"/>
    </row>
    <row r="22" spans="1:16" hidden="1">
      <c r="C22" s="516"/>
      <c r="D22" s="512"/>
      <c r="E22" s="512"/>
      <c r="F22" s="516"/>
      <c r="G22" s="512"/>
      <c r="H22" s="512"/>
      <c r="I22" s="512"/>
      <c r="J22" s="512"/>
      <c r="K22" s="513"/>
      <c r="L22" s="515"/>
      <c r="M22" s="515"/>
      <c r="N22" s="514"/>
      <c r="O22" s="332"/>
    </row>
    <row r="23" spans="1:16" hidden="1">
      <c r="C23" s="516"/>
      <c r="D23" s="512"/>
      <c r="E23" s="512"/>
      <c r="F23" s="516"/>
      <c r="G23" s="512"/>
      <c r="H23" s="512"/>
      <c r="I23" s="512"/>
      <c r="J23" s="512"/>
      <c r="K23" s="514"/>
      <c r="L23" s="514"/>
      <c r="M23" s="515"/>
      <c r="N23" s="515"/>
      <c r="O23" s="331"/>
    </row>
    <row r="24" spans="1:16" hidden="1">
      <c r="C24" s="516"/>
      <c r="D24" s="512"/>
      <c r="E24" s="512"/>
      <c r="F24" s="516"/>
      <c r="G24" s="512"/>
      <c r="H24" s="512"/>
      <c r="I24" s="512"/>
      <c r="J24" s="512"/>
      <c r="K24" s="513"/>
      <c r="L24" s="515"/>
      <c r="M24" s="515"/>
      <c r="N24" s="514"/>
      <c r="O24" s="332"/>
    </row>
    <row r="25" spans="1:16" hidden="1">
      <c r="C25" s="516"/>
      <c r="D25" s="512"/>
      <c r="E25" s="512"/>
      <c r="F25" s="516"/>
      <c r="G25" s="512"/>
      <c r="H25" s="512"/>
      <c r="I25" s="512"/>
      <c r="J25" s="512"/>
      <c r="K25" s="514"/>
      <c r="L25" s="514"/>
      <c r="M25" s="515"/>
    </row>
    <row r="26" spans="1:16" ht="22.5">
      <c r="C26" t="s">
        <v>241</v>
      </c>
      <c r="D26" s="333">
        <f>MAX(J6:J25)</f>
        <v>379500</v>
      </c>
      <c r="E26" t="s">
        <v>242</v>
      </c>
      <c r="F26" s="334"/>
      <c r="G26" s="335"/>
      <c r="H26" s="334"/>
      <c r="I26" s="334"/>
      <c r="J26" s="336"/>
    </row>
    <row r="27" spans="1:16" ht="22.5">
      <c r="C27" s="337" t="s">
        <v>243</v>
      </c>
      <c r="D27" s="335">
        <f>IF(D26=J6,C6,IF(D26=J8,C8,IF(D26=J10,C10,IF(D26=J12,C12,IF(D26=J14,C14,IF(D26=J16,C16,IF(D26=J18,C18,IF(D26=J20,C20,"ingen"))))))))</f>
        <v>700</v>
      </c>
      <c r="E27" s="335"/>
      <c r="F27" s="334"/>
      <c r="G27" s="335"/>
      <c r="H27" s="334"/>
      <c r="I27" s="334"/>
      <c r="J27" s="336"/>
    </row>
    <row r="28" spans="1:16" ht="22.5">
      <c r="C28" s="337" t="s">
        <v>244</v>
      </c>
      <c r="D28" s="335">
        <f>IF($D$26=J6,D6,IF($D$26=J8,D8,IF($D$26=J10,D10,IF($D$26=J12,D12,IF($D$26=J14,D14,IF($D$26=J16,D16,IF($D$26=J18,D18,IF(D27=J20,D20,"ingen"))))))))</f>
        <v>1150</v>
      </c>
      <c r="E28" s="335"/>
      <c r="F28" s="334"/>
      <c r="G28" s="335"/>
      <c r="H28" s="334"/>
      <c r="I28" s="334"/>
      <c r="J28" s="336"/>
    </row>
    <row r="29" spans="1:16" ht="22.5" hidden="1">
      <c r="C29" s="337"/>
      <c r="D29" s="335"/>
      <c r="E29" s="335"/>
      <c r="F29" s="334"/>
      <c r="G29" s="335"/>
      <c r="H29" s="334"/>
      <c r="I29" s="334"/>
      <c r="J29" s="336"/>
    </row>
    <row r="30" spans="1:16" ht="18">
      <c r="C30" s="50"/>
    </row>
    <row r="31" spans="1:16" ht="15.75">
      <c r="C31" s="17" t="s">
        <v>222</v>
      </c>
      <c r="D31" s="338" t="s">
        <v>245</v>
      </c>
    </row>
    <row r="32" spans="1:16" ht="16.5" thickBot="1">
      <c r="C32" s="17" t="s">
        <v>224</v>
      </c>
      <c r="D32" s="338">
        <v>1</v>
      </c>
      <c r="E32" t="s">
        <v>225</v>
      </c>
    </row>
    <row r="33" spans="1:16" ht="30.75" thickBot="1">
      <c r="A33" s="339" t="str">
        <f>A5</f>
        <v>Navn</v>
      </c>
      <c r="B33" s="317" t="str">
        <f>B5</f>
        <v>Nr.</v>
      </c>
      <c r="C33" s="318" t="s">
        <v>228</v>
      </c>
      <c r="D33" s="319" t="s">
        <v>229</v>
      </c>
      <c r="E33" s="319" t="s">
        <v>140</v>
      </c>
      <c r="F33" s="319" t="s">
        <v>230</v>
      </c>
      <c r="G33" s="319" t="s">
        <v>231</v>
      </c>
      <c r="H33" s="319" t="s">
        <v>232</v>
      </c>
      <c r="I33" s="319" t="s">
        <v>233</v>
      </c>
      <c r="J33" s="320" t="s">
        <v>234</v>
      </c>
      <c r="K33" s="321" t="s">
        <v>235</v>
      </c>
      <c r="L33" s="322" t="s">
        <v>236</v>
      </c>
      <c r="M33" s="323" t="s">
        <v>237</v>
      </c>
      <c r="N33" s="324" t="s">
        <v>238</v>
      </c>
      <c r="O33" s="325"/>
      <c r="P33" s="326" t="s">
        <v>246</v>
      </c>
    </row>
    <row r="34" spans="1:16" ht="13.5" thickBot="1">
      <c r="A34" s="517" t="str">
        <f>IF(C34=0,0,CONCATENATE(B34," ",$D$31))</f>
        <v>1 Z</v>
      </c>
      <c r="B34" s="519">
        <f>B6</f>
        <v>1</v>
      </c>
      <c r="C34" s="563">
        <v>700</v>
      </c>
      <c r="D34" s="564">
        <v>1000</v>
      </c>
      <c r="E34" s="548">
        <f>D34*C34</f>
        <v>700000</v>
      </c>
      <c r="F34" s="555">
        <v>360</v>
      </c>
      <c r="G34" s="548">
        <f>F34*D34</f>
        <v>360000</v>
      </c>
      <c r="H34" s="549">
        <f>E34-G34</f>
        <v>340000</v>
      </c>
      <c r="I34" s="561">
        <v>0</v>
      </c>
      <c r="J34" s="552">
        <f>H34-I34</f>
        <v>340000</v>
      </c>
      <c r="K34" s="536">
        <f>C34-F34</f>
        <v>340</v>
      </c>
      <c r="L34" s="537">
        <f>D34/$D$32</f>
        <v>1000</v>
      </c>
      <c r="M34" s="538">
        <f>IF(L34=0,0,H34/L34)</f>
        <v>340</v>
      </c>
      <c r="N34" s="327">
        <f>IF(L34=0,0,H34/L34)</f>
        <v>340</v>
      </c>
      <c r="O34" s="327"/>
      <c r="P34" s="328">
        <f>L34</f>
        <v>1000</v>
      </c>
    </row>
    <row r="35" spans="1:16" ht="13.5" thickBot="1">
      <c r="A35" s="518"/>
      <c r="B35" s="520"/>
      <c r="C35" s="559"/>
      <c r="D35" s="560"/>
      <c r="E35" s="545"/>
      <c r="F35" s="559"/>
      <c r="G35" s="545"/>
      <c r="H35" s="546"/>
      <c r="I35" s="562"/>
      <c r="J35" s="547"/>
      <c r="K35" s="520"/>
      <c r="L35" s="520"/>
      <c r="M35" s="539"/>
      <c r="N35" s="517">
        <f>IF(L36=0,0,(H36-H34)/(L36-L34))</f>
        <v>165</v>
      </c>
      <c r="O35" s="329"/>
      <c r="P35" s="517">
        <f>IF(L36-L34&lt;0,0,(L36-L34))</f>
        <v>400</v>
      </c>
    </row>
    <row r="36" spans="1:16" ht="13.5" thickBot="1">
      <c r="A36" s="517" t="str">
        <f>IF(C36=0,0,CONCATENATE(B36," ",$D$31))</f>
        <v>2 Z</v>
      </c>
      <c r="B36" s="519">
        <f>B8</f>
        <v>2</v>
      </c>
      <c r="C36" s="555">
        <v>650</v>
      </c>
      <c r="D36" s="557">
        <v>1400</v>
      </c>
      <c r="E36" s="525">
        <f>D36*C36</f>
        <v>910000</v>
      </c>
      <c r="F36" s="527">
        <f>IF(C36=0,0,$F$34)</f>
        <v>360</v>
      </c>
      <c r="G36" s="525">
        <f>F36*D36</f>
        <v>504000</v>
      </c>
      <c r="H36" s="529">
        <f>E36-G36</f>
        <v>406000</v>
      </c>
      <c r="I36" s="531">
        <f>IF(C36=0,0,$I$34)</f>
        <v>0</v>
      </c>
      <c r="J36" s="534">
        <f>H36-I36</f>
        <v>406000</v>
      </c>
      <c r="K36" s="536">
        <f>C36-F36</f>
        <v>290</v>
      </c>
      <c r="L36" s="537">
        <f>D36/$D$32</f>
        <v>1400</v>
      </c>
      <c r="M36" s="538">
        <f>IF(L36=0,0,H36/L36)</f>
        <v>290</v>
      </c>
      <c r="N36" s="540"/>
      <c r="O36" s="330"/>
      <c r="P36" s="518"/>
    </row>
    <row r="37" spans="1:16" ht="13.5" thickBot="1">
      <c r="A37" s="518"/>
      <c r="B37" s="520"/>
      <c r="C37" s="559"/>
      <c r="D37" s="560"/>
      <c r="E37" s="545"/>
      <c r="F37" s="542"/>
      <c r="G37" s="545"/>
      <c r="H37" s="546"/>
      <c r="I37" s="533"/>
      <c r="J37" s="547"/>
      <c r="K37" s="520"/>
      <c r="L37" s="520"/>
      <c r="M37" s="539"/>
      <c r="N37" s="517">
        <f>IF(L38=0,0,(H38-H36)/(L38-L36))</f>
        <v>65</v>
      </c>
      <c r="O37" s="329"/>
      <c r="P37" s="517">
        <f>IF(L38-L36&lt;0,0,(L38-L36))</f>
        <v>400</v>
      </c>
    </row>
    <row r="38" spans="1:16" ht="13.5" customHeight="1" thickBot="1">
      <c r="A38" s="517" t="str">
        <f>IF(C38=0,0,CONCATENATE(B38," ",$D$31))</f>
        <v>3 Z</v>
      </c>
      <c r="B38" s="519">
        <f>B10</f>
        <v>3</v>
      </c>
      <c r="C38" s="555">
        <v>600</v>
      </c>
      <c r="D38" s="557">
        <v>1800</v>
      </c>
      <c r="E38" s="525">
        <f>D38*C38</f>
        <v>1080000</v>
      </c>
      <c r="F38" s="527">
        <f>IF(C38=0,0,$F$34)</f>
        <v>360</v>
      </c>
      <c r="G38" s="525">
        <f>F38*D38</f>
        <v>648000</v>
      </c>
      <c r="H38" s="529">
        <f>E38-G38</f>
        <v>432000</v>
      </c>
      <c r="I38" s="531">
        <f>IF(C38=0,0,$I$34)</f>
        <v>0</v>
      </c>
      <c r="J38" s="534">
        <f>H38-I38</f>
        <v>432000</v>
      </c>
      <c r="K38" s="536">
        <f>C38-F38</f>
        <v>240</v>
      </c>
      <c r="L38" s="537">
        <f>D38/$D$32</f>
        <v>1800</v>
      </c>
      <c r="M38" s="538">
        <f>IF(L38=0,0,H38/L38)</f>
        <v>240</v>
      </c>
      <c r="N38" s="540"/>
      <c r="O38" s="330"/>
      <c r="P38" s="518"/>
    </row>
    <row r="39" spans="1:16" ht="13.5" customHeight="1" thickBot="1">
      <c r="A39" s="518"/>
      <c r="B39" s="520"/>
      <c r="C39" s="559"/>
      <c r="D39" s="560"/>
      <c r="E39" s="545"/>
      <c r="F39" s="542"/>
      <c r="G39" s="545"/>
      <c r="H39" s="546"/>
      <c r="I39" s="533"/>
      <c r="J39" s="547"/>
      <c r="K39" s="520"/>
      <c r="L39" s="520"/>
      <c r="M39" s="539"/>
      <c r="N39" s="517">
        <f>IF(L40=0,0,(H40-H38)/(L40-L38))</f>
        <v>40</v>
      </c>
      <c r="O39" s="329"/>
      <c r="P39" s="517">
        <f>IF(L40-L38&lt;0,0,(L40-L38))</f>
        <v>600</v>
      </c>
    </row>
    <row r="40" spans="1:16" ht="13.5" customHeight="1" thickBot="1">
      <c r="A40" s="517" t="str">
        <f>IF(C40=0,0,CONCATENATE(B40," ",$D$31))</f>
        <v>4 Z</v>
      </c>
      <c r="B40" s="519">
        <f>B12</f>
        <v>4</v>
      </c>
      <c r="C40" s="555">
        <v>550</v>
      </c>
      <c r="D40" s="557">
        <v>2400</v>
      </c>
      <c r="E40" s="525">
        <f>D40*C40</f>
        <v>1320000</v>
      </c>
      <c r="F40" s="527">
        <f>IF(C40=0,0,$F$34)</f>
        <v>360</v>
      </c>
      <c r="G40" s="525">
        <f>F40*D40</f>
        <v>864000</v>
      </c>
      <c r="H40" s="529">
        <f>E40-G40</f>
        <v>456000</v>
      </c>
      <c r="I40" s="531">
        <f>IF(C40=0,0,$I$34)</f>
        <v>0</v>
      </c>
      <c r="J40" s="534">
        <f>H40-I40</f>
        <v>456000</v>
      </c>
      <c r="K40" s="536">
        <f>C40-F40</f>
        <v>190</v>
      </c>
      <c r="L40" s="537">
        <f>D40/$D$32</f>
        <v>2400</v>
      </c>
      <c r="M40" s="538">
        <f>IF(L40=0,0,H40/L40)</f>
        <v>190</v>
      </c>
      <c r="N40" s="540"/>
      <c r="O40" s="330"/>
      <c r="P40" s="518"/>
    </row>
    <row r="41" spans="1:16" ht="13.5" customHeight="1" thickBot="1">
      <c r="A41" s="518"/>
      <c r="B41" s="520"/>
      <c r="C41" s="559"/>
      <c r="D41" s="560"/>
      <c r="E41" s="545"/>
      <c r="F41" s="542"/>
      <c r="G41" s="545"/>
      <c r="H41" s="546"/>
      <c r="I41" s="533"/>
      <c r="J41" s="547"/>
      <c r="K41" s="520"/>
      <c r="L41" s="520"/>
      <c r="M41" s="539"/>
      <c r="N41" s="517">
        <f>IF(L42=0,0,(H42-H40)/(L42-L40))</f>
        <v>0</v>
      </c>
      <c r="O41" s="329"/>
      <c r="P41" s="517">
        <f>IF(L42-L40&lt;0,0,(L42-L40))</f>
        <v>0</v>
      </c>
    </row>
    <row r="42" spans="1:16" ht="13.5" customHeight="1" thickBot="1">
      <c r="A42" s="517">
        <f>IF(C42=0,0,CONCATENATE(B42," ",$D$31))</f>
        <v>0</v>
      </c>
      <c r="B42" s="519">
        <f>B14</f>
        <v>5</v>
      </c>
      <c r="C42" s="555">
        <v>0</v>
      </c>
      <c r="D42" s="557">
        <v>0</v>
      </c>
      <c r="E42" s="525">
        <f>D42*C42</f>
        <v>0</v>
      </c>
      <c r="F42" s="527">
        <f>IF(C42=0,0,$F$34)</f>
        <v>0</v>
      </c>
      <c r="G42" s="525">
        <f>F42*D42</f>
        <v>0</v>
      </c>
      <c r="H42" s="529">
        <f>E42-G42</f>
        <v>0</v>
      </c>
      <c r="I42" s="531">
        <f>IF(C42=0,0,$I$34)</f>
        <v>0</v>
      </c>
      <c r="J42" s="534">
        <f>H42-I42</f>
        <v>0</v>
      </c>
      <c r="K42" s="536">
        <f>C42-F42</f>
        <v>0</v>
      </c>
      <c r="L42" s="537">
        <f>D42/$D$32</f>
        <v>0</v>
      </c>
      <c r="M42" s="538">
        <f>IF(L42=0,0,H42/L42)</f>
        <v>0</v>
      </c>
      <c r="N42" s="540"/>
      <c r="O42" s="330"/>
      <c r="P42" s="518"/>
    </row>
    <row r="43" spans="1:16" ht="13.5" customHeight="1" thickBot="1">
      <c r="A43" s="518"/>
      <c r="B43" s="520"/>
      <c r="C43" s="559"/>
      <c r="D43" s="560"/>
      <c r="E43" s="545"/>
      <c r="F43" s="542"/>
      <c r="G43" s="545"/>
      <c r="H43" s="546"/>
      <c r="I43" s="533"/>
      <c r="J43" s="547"/>
      <c r="K43" s="520"/>
      <c r="L43" s="520"/>
      <c r="M43" s="539"/>
      <c r="N43" s="517">
        <f>IF(L44=0,0,(H44-H42)/(L44-L42))</f>
        <v>0</v>
      </c>
      <c r="O43" s="329"/>
      <c r="P43" s="517">
        <f>IF(L44-L42&lt;0,0,(L44-L42))</f>
        <v>0</v>
      </c>
    </row>
    <row r="44" spans="1:16" ht="13.5" customHeight="1" thickBot="1">
      <c r="A44" s="517">
        <f>IF(C44=0,0,CONCATENATE(B44," ",$D$31))</f>
        <v>0</v>
      </c>
      <c r="B44" s="519">
        <f>B16</f>
        <v>6</v>
      </c>
      <c r="C44" s="555">
        <v>0</v>
      </c>
      <c r="D44" s="557">
        <v>0</v>
      </c>
      <c r="E44" s="525">
        <f>D44*C44</f>
        <v>0</v>
      </c>
      <c r="F44" s="527">
        <f>IF(C44=0,0,$F$34)</f>
        <v>0</v>
      </c>
      <c r="G44" s="525">
        <f>F44*D44</f>
        <v>0</v>
      </c>
      <c r="H44" s="529">
        <f>E44-G44</f>
        <v>0</v>
      </c>
      <c r="I44" s="531">
        <f>IF(C44=0,0,$I$34)</f>
        <v>0</v>
      </c>
      <c r="J44" s="534">
        <f>H44-I44</f>
        <v>0</v>
      </c>
      <c r="K44" s="536">
        <f>C44-F44</f>
        <v>0</v>
      </c>
      <c r="L44" s="537">
        <f>D44/$D$32</f>
        <v>0</v>
      </c>
      <c r="M44" s="538">
        <f>IF(L44=0,0,H44/L44)</f>
        <v>0</v>
      </c>
      <c r="N44" s="540"/>
      <c r="O44" s="330"/>
      <c r="P44" s="518"/>
    </row>
    <row r="45" spans="1:16" ht="13.5" customHeight="1" thickBot="1">
      <c r="A45" s="518"/>
      <c r="B45" s="520"/>
      <c r="C45" s="559"/>
      <c r="D45" s="560"/>
      <c r="E45" s="545"/>
      <c r="F45" s="542"/>
      <c r="G45" s="545"/>
      <c r="H45" s="546"/>
      <c r="I45" s="533"/>
      <c r="J45" s="547"/>
      <c r="K45" s="520"/>
      <c r="L45" s="520"/>
      <c r="M45" s="539"/>
      <c r="N45" s="517">
        <f>IF(L46=0,0,(H46-H44)/(L46-L44))</f>
        <v>0</v>
      </c>
      <c r="O45" s="329"/>
      <c r="P45" s="517">
        <f>IF(L46-L44&lt;0,0,(L46-L44))</f>
        <v>0</v>
      </c>
    </row>
    <row r="46" spans="1:16" ht="13.5" customHeight="1" thickBot="1">
      <c r="A46" s="517">
        <f>IF(C46=0,0,CONCATENATE(B46," ",$D$31))</f>
        <v>0</v>
      </c>
      <c r="B46" s="519">
        <f>B18</f>
        <v>7</v>
      </c>
      <c r="C46" s="555">
        <v>0</v>
      </c>
      <c r="D46" s="557">
        <v>0</v>
      </c>
      <c r="E46" s="525">
        <f>D46*C46</f>
        <v>0</v>
      </c>
      <c r="F46" s="527">
        <f>IF(C46=0,0,$F$34)</f>
        <v>0</v>
      </c>
      <c r="G46" s="525">
        <f>F46*D46</f>
        <v>0</v>
      </c>
      <c r="H46" s="529">
        <f>E46-G46</f>
        <v>0</v>
      </c>
      <c r="I46" s="531">
        <f>IF(C46=0,0,$I$34)</f>
        <v>0</v>
      </c>
      <c r="J46" s="534">
        <f>H46-I46</f>
        <v>0</v>
      </c>
      <c r="K46" s="536">
        <f>C46-F46</f>
        <v>0</v>
      </c>
      <c r="L46" s="537">
        <f>D46/$D$32</f>
        <v>0</v>
      </c>
      <c r="M46" s="538">
        <f>IF(L46=0,0,H46/L46)</f>
        <v>0</v>
      </c>
      <c r="N46" s="540"/>
      <c r="O46" s="330"/>
      <c r="P46" s="518"/>
    </row>
    <row r="47" spans="1:16" ht="13.5" customHeight="1" thickBot="1">
      <c r="A47" s="518"/>
      <c r="B47" s="520"/>
      <c r="C47" s="556"/>
      <c r="D47" s="558"/>
      <c r="E47" s="526"/>
      <c r="F47" s="542"/>
      <c r="G47" s="526"/>
      <c r="H47" s="530"/>
      <c r="I47" s="533"/>
      <c r="J47" s="535"/>
      <c r="K47" s="520"/>
      <c r="L47" s="520"/>
      <c r="M47" s="539"/>
      <c r="N47" s="517">
        <f>IF(L48=0,0,(H48-H46)/(L48-L46))</f>
        <v>0</v>
      </c>
      <c r="O47" s="329"/>
      <c r="P47" s="517">
        <f>IF(L48-L46&lt;0,0,(L48-L46))</f>
        <v>0</v>
      </c>
    </row>
    <row r="48" spans="1:16" ht="13.5" customHeight="1" thickBot="1">
      <c r="A48" s="517">
        <f>IF(C48=0,0,CONCATENATE(B48," ",$D$31))</f>
        <v>0</v>
      </c>
      <c r="B48" s="519">
        <f>B20</f>
        <v>8</v>
      </c>
      <c r="C48" s="555">
        <v>0</v>
      </c>
      <c r="D48" s="557">
        <v>0</v>
      </c>
      <c r="E48" s="525">
        <f>D48*C48</f>
        <v>0</v>
      </c>
      <c r="F48" s="527">
        <f>IF(C48=0,0,$F$34)</f>
        <v>0</v>
      </c>
      <c r="G48" s="525">
        <f>F48*D48</f>
        <v>0</v>
      </c>
      <c r="H48" s="529">
        <f>E48-G48</f>
        <v>0</v>
      </c>
      <c r="I48" s="531">
        <f>IF(C48=0,0,$I$34)</f>
        <v>0</v>
      </c>
      <c r="J48" s="534">
        <f>H48-I48</f>
        <v>0</v>
      </c>
      <c r="K48" s="541">
        <f>C48-F48</f>
        <v>0</v>
      </c>
      <c r="L48" s="537">
        <f>D48/$D$32</f>
        <v>0</v>
      </c>
      <c r="M48" s="538">
        <f>IF(L48=0,0,H48/L48)</f>
        <v>0</v>
      </c>
      <c r="N48" s="540"/>
      <c r="O48" s="330"/>
      <c r="P48" s="518"/>
    </row>
    <row r="49" spans="1:16" ht="13.5" customHeight="1" thickBot="1">
      <c r="A49" s="518"/>
      <c r="B49" s="520"/>
      <c r="C49" s="556"/>
      <c r="D49" s="558"/>
      <c r="E49" s="526"/>
      <c r="F49" s="528"/>
      <c r="G49" s="526"/>
      <c r="H49" s="530"/>
      <c r="I49" s="532"/>
      <c r="J49" s="535"/>
      <c r="K49" s="520"/>
      <c r="L49" s="520"/>
      <c r="M49" s="539"/>
      <c r="N49" s="515"/>
      <c r="O49" s="331"/>
    </row>
    <row r="50" spans="1:16" hidden="1">
      <c r="C50" s="516"/>
      <c r="D50" s="512"/>
      <c r="E50" s="512"/>
      <c r="F50" s="516"/>
      <c r="G50" s="512"/>
      <c r="H50" s="512"/>
      <c r="I50" s="512"/>
      <c r="J50" s="512"/>
      <c r="K50" s="513"/>
      <c r="L50" s="515"/>
      <c r="M50" s="515"/>
      <c r="N50" s="514"/>
      <c r="O50" s="332"/>
    </row>
    <row r="51" spans="1:16" hidden="1">
      <c r="C51" s="516"/>
      <c r="D51" s="512"/>
      <c r="E51" s="512"/>
      <c r="F51" s="516"/>
      <c r="G51" s="512"/>
      <c r="H51" s="512"/>
      <c r="I51" s="512"/>
      <c r="J51" s="512"/>
      <c r="K51" s="514"/>
      <c r="L51" s="514"/>
      <c r="M51" s="515"/>
      <c r="N51" s="515"/>
      <c r="O51" s="331"/>
    </row>
    <row r="52" spans="1:16" hidden="1">
      <c r="C52" s="516"/>
      <c r="D52" s="512"/>
      <c r="E52" s="512"/>
      <c r="F52" s="516"/>
      <c r="G52" s="512"/>
      <c r="H52" s="512"/>
      <c r="I52" s="512"/>
      <c r="J52" s="512"/>
      <c r="K52" s="513"/>
      <c r="L52" s="515"/>
      <c r="M52" s="515"/>
      <c r="N52" s="514"/>
      <c r="O52" s="332"/>
    </row>
    <row r="53" spans="1:16" hidden="1">
      <c r="C53" s="516"/>
      <c r="D53" s="512"/>
      <c r="E53" s="512"/>
      <c r="F53" s="516"/>
      <c r="G53" s="512"/>
      <c r="H53" s="512"/>
      <c r="I53" s="512"/>
      <c r="J53" s="512"/>
      <c r="K53" s="514"/>
      <c r="L53" s="514"/>
      <c r="M53" s="515"/>
    </row>
    <row r="54" spans="1:16" ht="22.5">
      <c r="C54" t="s">
        <v>241</v>
      </c>
      <c r="D54" s="333">
        <f>MAX(J34:J53)</f>
        <v>456000</v>
      </c>
      <c r="E54" t="s">
        <v>242</v>
      </c>
      <c r="F54" s="334"/>
      <c r="G54" s="335"/>
      <c r="H54" s="334"/>
      <c r="I54" s="334"/>
      <c r="J54" s="336"/>
    </row>
    <row r="55" spans="1:16" ht="22.5">
      <c r="C55" s="337" t="s">
        <v>243</v>
      </c>
      <c r="D55" s="335">
        <f>IF(D54=J34,C34,IF(D54=J36,C36,IF(D54=J38,C38,IF(D54=J40,C40,IF(D54=J42,C42,IF(D54=J44,C44,IF(D54=J46,C46,IF(D54=J48,C48,"ingen"))))))))</f>
        <v>550</v>
      </c>
      <c r="E55" s="335"/>
      <c r="F55" s="334"/>
      <c r="G55" s="335"/>
      <c r="H55" s="334"/>
      <c r="I55" s="334"/>
      <c r="J55" s="336"/>
    </row>
    <row r="56" spans="1:16" ht="22.5">
      <c r="C56" s="337" t="s">
        <v>244</v>
      </c>
      <c r="D56" s="335">
        <f>IF(D54=J34,D34,IF(D54=J36,D36,IF(D54=J38,D38,IF(D54=J40,D40,IF(D54=J42,D42,IF(D54=J44,D44,IF(D54=J46,D46,IF(D54=J48,D48,"ingen"))))))))</f>
        <v>2400</v>
      </c>
      <c r="E56" s="335"/>
      <c r="F56" s="334"/>
      <c r="G56" s="335"/>
      <c r="H56" s="334"/>
      <c r="I56" s="334"/>
      <c r="J56" s="336"/>
    </row>
    <row r="58" spans="1:16" ht="18" hidden="1">
      <c r="C58" s="50"/>
    </row>
    <row r="59" spans="1:16" ht="15.75">
      <c r="C59" s="17" t="s">
        <v>222</v>
      </c>
      <c r="D59" s="340" t="s">
        <v>247</v>
      </c>
    </row>
    <row r="60" spans="1:16" ht="16.5" thickBot="1">
      <c r="C60" s="17" t="s">
        <v>224</v>
      </c>
      <c r="D60" s="340">
        <v>1</v>
      </c>
      <c r="E60" t="s">
        <v>225</v>
      </c>
    </row>
    <row r="61" spans="1:16" ht="30.75" thickBot="1">
      <c r="A61" s="339" t="str">
        <f>A33</f>
        <v>Navn</v>
      </c>
      <c r="B61" s="317" t="str">
        <f>B33</f>
        <v>Nr.</v>
      </c>
      <c r="C61" s="318" t="s">
        <v>228</v>
      </c>
      <c r="D61" s="319" t="s">
        <v>229</v>
      </c>
      <c r="E61" s="319" t="s">
        <v>140</v>
      </c>
      <c r="F61" s="319" t="s">
        <v>230</v>
      </c>
      <c r="G61" s="319" t="s">
        <v>231</v>
      </c>
      <c r="H61" s="319" t="s">
        <v>232</v>
      </c>
      <c r="I61" s="319" t="s">
        <v>233</v>
      </c>
      <c r="J61" s="320" t="s">
        <v>234</v>
      </c>
      <c r="K61" s="321" t="s">
        <v>235</v>
      </c>
      <c r="L61" s="322" t="s">
        <v>236</v>
      </c>
      <c r="M61" s="323" t="s">
        <v>237</v>
      </c>
      <c r="N61" s="324" t="s">
        <v>238</v>
      </c>
      <c r="O61" s="325"/>
      <c r="P61" s="326" t="s">
        <v>246</v>
      </c>
    </row>
    <row r="62" spans="1:16" ht="13.5" thickBot="1">
      <c r="A62" s="517" t="str">
        <f>IF(C62=0,0,CONCATENATE(B62," ",$D$59))</f>
        <v>1 Udland</v>
      </c>
      <c r="B62" s="519">
        <f>B34</f>
        <v>1</v>
      </c>
      <c r="C62" s="553">
        <v>600</v>
      </c>
      <c r="D62" s="554">
        <v>900</v>
      </c>
      <c r="E62" s="548">
        <f>D62*C62</f>
        <v>540000</v>
      </c>
      <c r="F62" s="521">
        <v>420</v>
      </c>
      <c r="G62" s="548">
        <f>F62*D62</f>
        <v>378000</v>
      </c>
      <c r="H62" s="549">
        <f>E62-G62</f>
        <v>162000</v>
      </c>
      <c r="I62" s="550">
        <v>0</v>
      </c>
      <c r="J62" s="552">
        <f>H62-I62</f>
        <v>162000</v>
      </c>
      <c r="K62" s="536">
        <f>C62-F62</f>
        <v>180</v>
      </c>
      <c r="L62" s="537">
        <f>D62/$D$60</f>
        <v>900</v>
      </c>
      <c r="M62" s="538">
        <f>IF(L62=0,0,H62/L62)</f>
        <v>180</v>
      </c>
      <c r="N62" s="327">
        <f>IF(L62=0,0,H62/L62)</f>
        <v>180</v>
      </c>
      <c r="O62" s="327"/>
      <c r="P62" s="328">
        <f>L62</f>
        <v>900</v>
      </c>
    </row>
    <row r="63" spans="1:16" ht="13.5" thickBot="1">
      <c r="A63" s="518"/>
      <c r="B63" s="520"/>
      <c r="C63" s="543"/>
      <c r="D63" s="544"/>
      <c r="E63" s="545"/>
      <c r="F63" s="543"/>
      <c r="G63" s="545"/>
      <c r="H63" s="546"/>
      <c r="I63" s="551"/>
      <c r="J63" s="547"/>
      <c r="K63" s="520"/>
      <c r="L63" s="520"/>
      <c r="M63" s="539"/>
      <c r="N63" s="517">
        <f>IF(L64=0,0,(H64-H62)/(L64-L62))</f>
        <v>0</v>
      </c>
      <c r="O63" s="329"/>
      <c r="P63" s="517">
        <f>IF(L64-L62&lt;0,0,L64-L62)</f>
        <v>0</v>
      </c>
    </row>
    <row r="64" spans="1:16" ht="13.5" thickBot="1">
      <c r="A64" s="517">
        <f>IF(C64=0,0,CONCATENATE(B64," ",$D$59))</f>
        <v>0</v>
      </c>
      <c r="B64" s="519">
        <f>B36</f>
        <v>2</v>
      </c>
      <c r="C64" s="521">
        <v>0</v>
      </c>
      <c r="D64" s="523">
        <v>0</v>
      </c>
      <c r="E64" s="525">
        <f>D64*C64</f>
        <v>0</v>
      </c>
      <c r="F64" s="527">
        <f>IF(C64=0,0,$F$62)</f>
        <v>0</v>
      </c>
      <c r="G64" s="525">
        <f>F64*D64</f>
        <v>0</v>
      </c>
      <c r="H64" s="529">
        <f>E64-G64</f>
        <v>0</v>
      </c>
      <c r="I64" s="531">
        <f>IF(C64=0,0,$I$62)</f>
        <v>0</v>
      </c>
      <c r="J64" s="534">
        <f>H64-I64</f>
        <v>0</v>
      </c>
      <c r="K64" s="536">
        <f>C64-F64</f>
        <v>0</v>
      </c>
      <c r="L64" s="537">
        <f>D64/$D$60</f>
        <v>0</v>
      </c>
      <c r="M64" s="538">
        <f>IF(L64=0,0,H64/L64)</f>
        <v>0</v>
      </c>
      <c r="N64" s="540"/>
      <c r="O64" s="330"/>
      <c r="P64" s="518"/>
    </row>
    <row r="65" spans="1:16" ht="13.5" thickBot="1">
      <c r="A65" s="518"/>
      <c r="B65" s="520"/>
      <c r="C65" s="543"/>
      <c r="D65" s="544"/>
      <c r="E65" s="545"/>
      <c r="F65" s="542"/>
      <c r="G65" s="545"/>
      <c r="H65" s="546"/>
      <c r="I65" s="533"/>
      <c r="J65" s="547"/>
      <c r="K65" s="520"/>
      <c r="L65" s="520"/>
      <c r="M65" s="539"/>
      <c r="N65" s="517">
        <f>IF(L66=0,0,(H66-H64)/(L66-L64))</f>
        <v>0</v>
      </c>
      <c r="O65" s="329"/>
      <c r="P65" s="517">
        <f>IF(L66-L64&lt;0,0,L66-L64)</f>
        <v>0</v>
      </c>
    </row>
    <row r="66" spans="1:16" ht="13.5" customHeight="1" thickBot="1">
      <c r="A66" s="517">
        <f>IF(C66=0,0,CONCATENATE(B66," ",$D$59))</f>
        <v>0</v>
      </c>
      <c r="B66" s="519">
        <f>B38</f>
        <v>3</v>
      </c>
      <c r="C66" s="521">
        <v>0</v>
      </c>
      <c r="D66" s="523">
        <v>0</v>
      </c>
      <c r="E66" s="525">
        <f>D66*C66</f>
        <v>0</v>
      </c>
      <c r="F66" s="527">
        <f>IF(C66=0,0,$F$62)</f>
        <v>0</v>
      </c>
      <c r="G66" s="525">
        <f>F66*D66</f>
        <v>0</v>
      </c>
      <c r="H66" s="529">
        <f>E66-G66</f>
        <v>0</v>
      </c>
      <c r="I66" s="531">
        <f>IF(C66=0,0,$I$62)</f>
        <v>0</v>
      </c>
      <c r="J66" s="534">
        <f>H66-I66</f>
        <v>0</v>
      </c>
      <c r="K66" s="536">
        <f>C66-F66</f>
        <v>0</v>
      </c>
      <c r="L66" s="537">
        <f>D66/$D$60</f>
        <v>0</v>
      </c>
      <c r="M66" s="538">
        <f>IF(L66=0,0,H66/L66)</f>
        <v>0</v>
      </c>
      <c r="N66" s="540"/>
      <c r="O66" s="330"/>
      <c r="P66" s="518"/>
    </row>
    <row r="67" spans="1:16" ht="13.5" customHeight="1" thickBot="1">
      <c r="A67" s="518"/>
      <c r="B67" s="520"/>
      <c r="C67" s="543"/>
      <c r="D67" s="544"/>
      <c r="E67" s="545"/>
      <c r="F67" s="542"/>
      <c r="G67" s="545"/>
      <c r="H67" s="546"/>
      <c r="I67" s="533"/>
      <c r="J67" s="547"/>
      <c r="K67" s="520"/>
      <c r="L67" s="520"/>
      <c r="M67" s="539"/>
      <c r="N67" s="517">
        <f>IF(L68=0,0,(H68-H66)/(L68-L66))</f>
        <v>0</v>
      </c>
      <c r="O67" s="329"/>
      <c r="P67" s="517">
        <f>IF(L68-L66&lt;0,0,L68-L66)</f>
        <v>0</v>
      </c>
    </row>
    <row r="68" spans="1:16" ht="13.5" customHeight="1" thickBot="1">
      <c r="A68" s="517">
        <f>IF(C68=0,0,CONCATENATE(B68," ",$D$59))</f>
        <v>0</v>
      </c>
      <c r="B68" s="519">
        <f>B40</f>
        <v>4</v>
      </c>
      <c r="C68" s="521">
        <v>0</v>
      </c>
      <c r="D68" s="523">
        <v>0</v>
      </c>
      <c r="E68" s="525">
        <f>D68*C68</f>
        <v>0</v>
      </c>
      <c r="F68" s="527">
        <f>IF(C68=0,0,$F$62)</f>
        <v>0</v>
      </c>
      <c r="G68" s="525">
        <f>F68*D68</f>
        <v>0</v>
      </c>
      <c r="H68" s="529">
        <f>E68-G68</f>
        <v>0</v>
      </c>
      <c r="I68" s="531">
        <f>IF(C68=0,0,$I$62)</f>
        <v>0</v>
      </c>
      <c r="J68" s="534">
        <f>H68-I68</f>
        <v>0</v>
      </c>
      <c r="K68" s="536">
        <f>C68-F68</f>
        <v>0</v>
      </c>
      <c r="L68" s="537">
        <f>D68/$D$60</f>
        <v>0</v>
      </c>
      <c r="M68" s="538">
        <f>IF(L68=0,0,H68/L68)</f>
        <v>0</v>
      </c>
      <c r="N68" s="540"/>
      <c r="O68" s="330"/>
      <c r="P68" s="518"/>
    </row>
    <row r="69" spans="1:16" ht="13.5" customHeight="1" thickBot="1">
      <c r="A69" s="518"/>
      <c r="B69" s="520"/>
      <c r="C69" s="543"/>
      <c r="D69" s="544"/>
      <c r="E69" s="545"/>
      <c r="F69" s="542"/>
      <c r="G69" s="545"/>
      <c r="H69" s="546"/>
      <c r="I69" s="533"/>
      <c r="J69" s="547"/>
      <c r="K69" s="520"/>
      <c r="L69" s="520"/>
      <c r="M69" s="539"/>
      <c r="N69" s="517">
        <f>IF(L70=0,0,(H70-H68)/(L70-L68))</f>
        <v>0</v>
      </c>
      <c r="O69" s="329"/>
      <c r="P69" s="517">
        <f>IF(L70-L68&lt;0,0,L70-L68)</f>
        <v>0</v>
      </c>
    </row>
    <row r="70" spans="1:16" ht="13.5" customHeight="1" thickBot="1">
      <c r="A70" s="517">
        <f>IF(C70=0,0,CONCATENATE(B70," ",$D$59))</f>
        <v>0</v>
      </c>
      <c r="B70" s="519">
        <f>B42</f>
        <v>5</v>
      </c>
      <c r="C70" s="521">
        <v>0</v>
      </c>
      <c r="D70" s="523">
        <v>0</v>
      </c>
      <c r="E70" s="525">
        <f>D70*C70</f>
        <v>0</v>
      </c>
      <c r="F70" s="527">
        <f>IF(C70=0,0,$F$62)</f>
        <v>0</v>
      </c>
      <c r="G70" s="525">
        <f>F70*D70</f>
        <v>0</v>
      </c>
      <c r="H70" s="529">
        <f>E70-G70</f>
        <v>0</v>
      </c>
      <c r="I70" s="531">
        <f>IF(C70=0,0,$I$62)</f>
        <v>0</v>
      </c>
      <c r="J70" s="534">
        <f>H70-I70</f>
        <v>0</v>
      </c>
      <c r="K70" s="536">
        <f>C70-F70</f>
        <v>0</v>
      </c>
      <c r="L70" s="537">
        <f>D70/$D$60</f>
        <v>0</v>
      </c>
      <c r="M70" s="538">
        <f>IF(L70=0,0,H70/L70)</f>
        <v>0</v>
      </c>
      <c r="N70" s="540"/>
      <c r="O70" s="330"/>
      <c r="P70" s="518"/>
    </row>
    <row r="71" spans="1:16" ht="13.5" customHeight="1" thickBot="1">
      <c r="A71" s="518"/>
      <c r="B71" s="520"/>
      <c r="C71" s="543"/>
      <c r="D71" s="544"/>
      <c r="E71" s="545"/>
      <c r="F71" s="542"/>
      <c r="G71" s="545"/>
      <c r="H71" s="546"/>
      <c r="I71" s="533"/>
      <c r="J71" s="547"/>
      <c r="K71" s="520"/>
      <c r="L71" s="520"/>
      <c r="M71" s="539"/>
      <c r="N71" s="517">
        <f>IF(L72=0,0,(H72-H70)/(L72-L70))</f>
        <v>0</v>
      </c>
      <c r="O71" s="329"/>
      <c r="P71" s="517">
        <f>IF(L72-L70&lt;0,0,L72-L70)</f>
        <v>0</v>
      </c>
    </row>
    <row r="72" spans="1:16" ht="13.5" customHeight="1" thickBot="1">
      <c r="A72" s="517">
        <f>IF(C72=0,0,CONCATENATE(B72," ",$D$59))</f>
        <v>0</v>
      </c>
      <c r="B72" s="519">
        <f>B44</f>
        <v>6</v>
      </c>
      <c r="C72" s="521">
        <v>0</v>
      </c>
      <c r="D72" s="523">
        <v>0</v>
      </c>
      <c r="E72" s="525">
        <f>D72*C72</f>
        <v>0</v>
      </c>
      <c r="F72" s="527">
        <f>IF(C72=0,0,$F$62)</f>
        <v>0</v>
      </c>
      <c r="G72" s="525">
        <f>F72*D72</f>
        <v>0</v>
      </c>
      <c r="H72" s="529">
        <f>E72-G72</f>
        <v>0</v>
      </c>
      <c r="I72" s="531">
        <f>IF(C72=0,0,$I$62)</f>
        <v>0</v>
      </c>
      <c r="J72" s="534">
        <f>H72-I72</f>
        <v>0</v>
      </c>
      <c r="K72" s="536">
        <f>C72-F72</f>
        <v>0</v>
      </c>
      <c r="L72" s="537">
        <f>D72/$D$60</f>
        <v>0</v>
      </c>
      <c r="M72" s="538">
        <f>IF(L72=0,0,H72/L72)</f>
        <v>0</v>
      </c>
      <c r="N72" s="540"/>
      <c r="O72" s="330"/>
      <c r="P72" s="518"/>
    </row>
    <row r="73" spans="1:16" ht="13.5" customHeight="1" thickBot="1">
      <c r="A73" s="518"/>
      <c r="B73" s="520"/>
      <c r="C73" s="543"/>
      <c r="D73" s="544"/>
      <c r="E73" s="545"/>
      <c r="F73" s="542"/>
      <c r="G73" s="545"/>
      <c r="H73" s="546"/>
      <c r="I73" s="533"/>
      <c r="J73" s="547"/>
      <c r="K73" s="520"/>
      <c r="L73" s="520"/>
      <c r="M73" s="539"/>
      <c r="N73" s="517">
        <f>IF(L74=0,0,(H74-H72)/(L74-L72))</f>
        <v>0</v>
      </c>
      <c r="O73" s="329"/>
      <c r="P73" s="517">
        <f>IF(L74-L72&lt;0,0,L74-L72)</f>
        <v>0</v>
      </c>
    </row>
    <row r="74" spans="1:16" ht="13.5" customHeight="1" thickBot="1">
      <c r="A74" s="517">
        <f>IF(C74=0,0,CONCATENATE(B74," ",$D$59))</f>
        <v>0</v>
      </c>
      <c r="B74" s="519">
        <f>B46</f>
        <v>7</v>
      </c>
      <c r="C74" s="521">
        <v>0</v>
      </c>
      <c r="D74" s="523">
        <v>0</v>
      </c>
      <c r="E74" s="525">
        <f>D74*C74</f>
        <v>0</v>
      </c>
      <c r="F74" s="527">
        <f>IF(C74=0,0,$F$62)</f>
        <v>0</v>
      </c>
      <c r="G74" s="525">
        <f>F74*D74</f>
        <v>0</v>
      </c>
      <c r="H74" s="529">
        <f>E74-G74</f>
        <v>0</v>
      </c>
      <c r="I74" s="531">
        <f>IF(C74=0,0,$I$62)</f>
        <v>0</v>
      </c>
      <c r="J74" s="534">
        <f>H74-I74</f>
        <v>0</v>
      </c>
      <c r="K74" s="536">
        <f>C74-F74</f>
        <v>0</v>
      </c>
      <c r="L74" s="537">
        <f>D74/$D$60</f>
        <v>0</v>
      </c>
      <c r="M74" s="538">
        <f>IF(L74=0,0,H74/L74)</f>
        <v>0</v>
      </c>
      <c r="N74" s="540"/>
      <c r="O74" s="330"/>
      <c r="P74" s="518"/>
    </row>
    <row r="75" spans="1:16" ht="13.5" customHeight="1" thickBot="1">
      <c r="A75" s="518"/>
      <c r="B75" s="520"/>
      <c r="C75" s="522"/>
      <c r="D75" s="524"/>
      <c r="E75" s="526"/>
      <c r="F75" s="542"/>
      <c r="G75" s="526"/>
      <c r="H75" s="530"/>
      <c r="I75" s="533"/>
      <c r="J75" s="535"/>
      <c r="K75" s="520"/>
      <c r="L75" s="520"/>
      <c r="M75" s="539"/>
      <c r="N75" s="517">
        <f>IF(L76=0,0,(H76-H74)/(L76-L74))</f>
        <v>0</v>
      </c>
      <c r="O75" s="329"/>
      <c r="P75" s="517">
        <f>IF(L76-L74&lt;0,0,L76-L74)</f>
        <v>0</v>
      </c>
    </row>
    <row r="76" spans="1:16" ht="13.5" customHeight="1" thickBot="1">
      <c r="A76" s="517">
        <f>IF(C76=0,0,CONCATENATE(B76," ",$D$59))</f>
        <v>0</v>
      </c>
      <c r="B76" s="519">
        <f>B48</f>
        <v>8</v>
      </c>
      <c r="C76" s="521">
        <v>0</v>
      </c>
      <c r="D76" s="523">
        <v>0</v>
      </c>
      <c r="E76" s="525">
        <f>D76*C76</f>
        <v>0</v>
      </c>
      <c r="F76" s="527">
        <f>IF(C76=0,0,$F$62)</f>
        <v>0</v>
      </c>
      <c r="G76" s="525">
        <f>F76*D76</f>
        <v>0</v>
      </c>
      <c r="H76" s="529">
        <f>E76-G76</f>
        <v>0</v>
      </c>
      <c r="I76" s="531">
        <f>IF(C76=0,0,$I$62)</f>
        <v>0</v>
      </c>
      <c r="J76" s="534">
        <f>H76-I76</f>
        <v>0</v>
      </c>
      <c r="K76" s="541">
        <f>C76-F76</f>
        <v>0</v>
      </c>
      <c r="L76" s="537">
        <f>D76/$D$60</f>
        <v>0</v>
      </c>
      <c r="M76" s="538">
        <f>IF(L76=0,0,H76/L76)</f>
        <v>0</v>
      </c>
      <c r="N76" s="540"/>
      <c r="O76" s="330"/>
      <c r="P76" s="518"/>
    </row>
    <row r="77" spans="1:16" ht="13.5" customHeight="1" thickBot="1">
      <c r="A77" s="518"/>
      <c r="B77" s="520"/>
      <c r="C77" s="522"/>
      <c r="D77" s="524"/>
      <c r="E77" s="526"/>
      <c r="F77" s="528"/>
      <c r="G77" s="526"/>
      <c r="H77" s="530"/>
      <c r="I77" s="532"/>
      <c r="J77" s="535"/>
      <c r="K77" s="520"/>
      <c r="L77" s="520"/>
      <c r="M77" s="539"/>
      <c r="N77" s="515"/>
      <c r="O77" s="331"/>
    </row>
    <row r="78" spans="1:16" hidden="1">
      <c r="C78" s="516"/>
      <c r="D78" s="512"/>
      <c r="E78" s="512"/>
      <c r="F78" s="516"/>
      <c r="G78" s="512"/>
      <c r="H78" s="512"/>
      <c r="I78" s="512"/>
      <c r="J78" s="512"/>
      <c r="K78" s="513"/>
      <c r="L78" s="515"/>
      <c r="M78" s="515"/>
      <c r="N78" s="514"/>
      <c r="O78" s="332"/>
    </row>
    <row r="79" spans="1:16" hidden="1">
      <c r="C79" s="516"/>
      <c r="D79" s="512"/>
      <c r="E79" s="512"/>
      <c r="F79" s="516"/>
      <c r="G79" s="512"/>
      <c r="H79" s="512"/>
      <c r="I79" s="512"/>
      <c r="J79" s="512"/>
      <c r="K79" s="514"/>
      <c r="L79" s="514"/>
      <c r="M79" s="515"/>
      <c r="N79" s="515"/>
      <c r="O79" s="331"/>
    </row>
    <row r="80" spans="1:16" hidden="1">
      <c r="C80" s="516"/>
      <c r="D80" s="512"/>
      <c r="E80" s="512"/>
      <c r="F80" s="516"/>
      <c r="G80" s="512"/>
      <c r="H80" s="512"/>
      <c r="I80" s="512"/>
      <c r="J80" s="512"/>
      <c r="K80" s="513"/>
      <c r="L80" s="515"/>
      <c r="M80" s="515"/>
      <c r="N80" s="514"/>
      <c r="O80" s="332"/>
    </row>
    <row r="81" spans="3:15" hidden="1">
      <c r="C81" s="516"/>
      <c r="D81" s="512"/>
      <c r="E81" s="512"/>
      <c r="F81" s="516"/>
      <c r="G81" s="512"/>
      <c r="H81" s="512"/>
      <c r="I81" s="512"/>
      <c r="J81" s="512"/>
      <c r="K81" s="514"/>
      <c r="L81" s="514"/>
      <c r="M81" s="515"/>
    </row>
    <row r="82" spans="3:15" ht="22.5">
      <c r="C82" t="s">
        <v>241</v>
      </c>
      <c r="D82" s="333">
        <f>MAX(J62:J81)</f>
        <v>162000</v>
      </c>
      <c r="E82" t="s">
        <v>242</v>
      </c>
      <c r="F82" s="334"/>
      <c r="G82" s="335"/>
      <c r="H82" s="334"/>
      <c r="I82" s="334"/>
      <c r="J82" s="336"/>
    </row>
    <row r="83" spans="3:15" ht="22.5">
      <c r="C83" s="337" t="s">
        <v>243</v>
      </c>
      <c r="D83" s="335">
        <f>IF(D82=J62,C62,IF(D82=J64,C64,IF(D82=J66,C66,IF(D82=J68,C68,IF(D82=J70,C70,IF(D82=J72,C72,IF(D82=J74,C74,IF(D82=J76,C76,"ingen"))))))))</f>
        <v>600</v>
      </c>
      <c r="E83" s="335"/>
      <c r="F83" s="334"/>
      <c r="G83" s="335"/>
      <c r="H83" s="334"/>
      <c r="I83" s="334"/>
      <c r="J83" s="336"/>
    </row>
    <row r="84" spans="3:15" ht="22.5">
      <c r="C84" s="337" t="s">
        <v>244</v>
      </c>
      <c r="D84" s="335">
        <f>IF(D82=J62,D62,IF(D82=J64,D64,IF(D82=J66,D66,IF(D82=J68,D68,IF(D82=J70,D70,IF(D82=J72,D72,IF(D82=J74,D74,IF(D82=J76,D76,"ingen"))))))))</f>
        <v>900</v>
      </c>
      <c r="E84" s="335"/>
      <c r="F84" s="334"/>
      <c r="G84" s="335"/>
      <c r="H84" s="334"/>
      <c r="I84" s="334"/>
      <c r="J84" s="336"/>
    </row>
    <row r="85" spans="3:15" ht="22.5">
      <c r="F85" s="334"/>
      <c r="G85" s="335"/>
      <c r="H85" s="334"/>
      <c r="I85" s="334"/>
      <c r="J85" s="336"/>
    </row>
    <row r="86" spans="3:15" ht="18">
      <c r="C86" s="510" t="s">
        <v>248</v>
      </c>
      <c r="D86" s="510"/>
      <c r="E86" s="510"/>
      <c r="F86" s="510"/>
      <c r="G86" s="510"/>
      <c r="H86" s="510"/>
      <c r="I86" s="341"/>
      <c r="J86" s="341"/>
      <c r="K86" s="341"/>
      <c r="L86" s="341"/>
      <c r="M86" s="341"/>
      <c r="N86" s="341"/>
      <c r="O86" s="341"/>
    </row>
    <row r="87" spans="3:15" ht="21">
      <c r="C87" s="337" t="s">
        <v>249</v>
      </c>
      <c r="D87" s="342">
        <v>2700</v>
      </c>
      <c r="E87" s="335" t="s">
        <v>250</v>
      </c>
      <c r="F87" s="343"/>
      <c r="G87" s="343"/>
      <c r="H87" s="343"/>
      <c r="I87" s="341" t="s">
        <v>276</v>
      </c>
      <c r="J87" s="376">
        <f>D87+750</f>
        <v>3450</v>
      </c>
      <c r="K87" s="341"/>
      <c r="L87" s="341"/>
      <c r="M87" s="341"/>
      <c r="N87" s="343"/>
      <c r="O87" s="343"/>
    </row>
    <row r="88" spans="3:15" ht="36">
      <c r="C88" s="343" t="s">
        <v>251</v>
      </c>
      <c r="D88" s="343" t="s">
        <v>252</v>
      </c>
      <c r="E88" s="343" t="s">
        <v>253</v>
      </c>
      <c r="F88" s="344" t="s">
        <v>254</v>
      </c>
      <c r="G88" s="344" t="s">
        <v>255</v>
      </c>
      <c r="H88" s="343" t="s">
        <v>256</v>
      </c>
      <c r="I88" s="341"/>
      <c r="J88" s="341"/>
      <c r="K88" s="341"/>
      <c r="L88" s="341"/>
      <c r="M88" s="341"/>
      <c r="N88" s="343"/>
      <c r="O88" s="343"/>
    </row>
    <row r="89" spans="3:15" ht="12.75" customHeight="1">
      <c r="C89" s="508" t="s">
        <v>257</v>
      </c>
      <c r="D89" s="511">
        <f>løsningstabel!F2</f>
        <v>430</v>
      </c>
      <c r="E89" s="508" t="str">
        <f>løsningstabel!G2</f>
        <v>1 Q</v>
      </c>
      <c r="F89" s="508">
        <f>løsningstabel!H2</f>
        <v>600</v>
      </c>
      <c r="G89" s="508">
        <f>F89</f>
        <v>600</v>
      </c>
      <c r="H89" s="508" t="str">
        <f>IF(G89&lt;=$D$87,"Ja","Nej")</f>
        <v>Ja</v>
      </c>
      <c r="I89" s="341"/>
      <c r="J89" s="341"/>
      <c r="K89" s="341"/>
      <c r="L89" s="341"/>
      <c r="M89" s="341"/>
    </row>
    <row r="90" spans="3:15" ht="12.75" customHeight="1">
      <c r="C90" s="508"/>
      <c r="D90" s="511"/>
      <c r="E90" s="508"/>
      <c r="F90" s="508"/>
      <c r="G90" s="508"/>
      <c r="H90" s="508"/>
      <c r="I90" s="341"/>
      <c r="J90" s="341"/>
      <c r="K90" s="341"/>
      <c r="L90" s="341"/>
      <c r="M90" s="341"/>
    </row>
    <row r="91" spans="3:15" ht="12.75" customHeight="1">
      <c r="C91" s="508" t="s">
        <v>258</v>
      </c>
      <c r="D91" s="511">
        <f>løsningstabel!F3</f>
        <v>340</v>
      </c>
      <c r="E91" s="508" t="str">
        <f>løsningstabel!G3</f>
        <v>1 Z</v>
      </c>
      <c r="F91" s="508">
        <f>løsningstabel!H3</f>
        <v>1000</v>
      </c>
      <c r="G91" s="508">
        <f>G89+F91</f>
        <v>1600</v>
      </c>
      <c r="H91" s="508" t="str">
        <f>IF(G91&lt;=$D$87,"Ja","Nej")</f>
        <v>Ja</v>
      </c>
      <c r="I91" s="341"/>
      <c r="J91" s="341"/>
      <c r="K91" s="341"/>
      <c r="L91" s="341"/>
      <c r="M91" s="341"/>
    </row>
    <row r="92" spans="3:15" ht="12.75" customHeight="1">
      <c r="C92" s="508"/>
      <c r="D92" s="511"/>
      <c r="E92" s="508"/>
      <c r="F92" s="508"/>
      <c r="G92" s="508"/>
      <c r="H92" s="508"/>
      <c r="I92" s="341"/>
      <c r="J92" s="341"/>
      <c r="K92" s="341"/>
      <c r="L92" s="341"/>
      <c r="M92" s="341"/>
    </row>
    <row r="93" spans="3:15" ht="12.75" customHeight="1">
      <c r="C93" s="508" t="s">
        <v>259</v>
      </c>
      <c r="D93" s="511">
        <f>løsningstabel!F4</f>
        <v>310</v>
      </c>
      <c r="E93" s="508" t="str">
        <f>løsningstabel!G4</f>
        <v>2 Q</v>
      </c>
      <c r="F93" s="508">
        <f>løsningstabel!H4</f>
        <v>200</v>
      </c>
      <c r="G93" s="508">
        <f>G91+F93</f>
        <v>1800</v>
      </c>
      <c r="H93" s="508" t="str">
        <f>IF(G93&lt;=$D$87,"Ja","Nej")</f>
        <v>Ja</v>
      </c>
      <c r="I93" s="341"/>
      <c r="J93" s="341"/>
      <c r="K93" s="341"/>
      <c r="L93" s="341"/>
      <c r="M93" s="341"/>
    </row>
    <row r="94" spans="3:15" ht="12.75" customHeight="1">
      <c r="C94" s="508"/>
      <c r="D94" s="511"/>
      <c r="E94" s="508"/>
      <c r="F94" s="508"/>
      <c r="G94" s="508"/>
      <c r="H94" s="508"/>
      <c r="I94" s="341"/>
      <c r="J94" s="341"/>
      <c r="K94" s="341"/>
      <c r="L94" s="341"/>
      <c r="M94" s="341"/>
    </row>
    <row r="95" spans="3:15" ht="12.75" customHeight="1">
      <c r="C95" s="508" t="s">
        <v>260</v>
      </c>
      <c r="D95" s="511">
        <f>løsningstabel!F5</f>
        <v>210</v>
      </c>
      <c r="E95" s="508" t="str">
        <f>løsningstabel!G5</f>
        <v>3 Q</v>
      </c>
      <c r="F95" s="508">
        <f>løsningstabel!H5</f>
        <v>150</v>
      </c>
      <c r="G95" s="508">
        <f>G93+F95</f>
        <v>1950</v>
      </c>
      <c r="H95" s="508" t="str">
        <f>IF(G95&lt;=$D$87,"Ja","Nej")</f>
        <v>Ja</v>
      </c>
      <c r="I95" s="341"/>
      <c r="J95" s="341"/>
      <c r="K95" s="341"/>
      <c r="L95" s="341"/>
      <c r="M95" s="341"/>
    </row>
    <row r="96" spans="3:15" ht="12.75" customHeight="1">
      <c r="C96" s="508"/>
      <c r="D96" s="511"/>
      <c r="E96" s="508"/>
      <c r="F96" s="508"/>
      <c r="G96" s="508"/>
      <c r="H96" s="508"/>
      <c r="I96" s="341"/>
      <c r="J96" s="341"/>
      <c r="K96" s="341"/>
      <c r="L96" s="341"/>
      <c r="M96" s="341"/>
    </row>
    <row r="97" spans="3:13" ht="12.75" customHeight="1">
      <c r="C97" s="508" t="s">
        <v>261</v>
      </c>
      <c r="D97" s="511">
        <f>løsningstabel!F6</f>
        <v>180</v>
      </c>
      <c r="E97" s="508" t="str">
        <f>løsningstabel!G6</f>
        <v>1 Udland</v>
      </c>
      <c r="F97" s="508">
        <f>løsningstabel!H6</f>
        <v>900</v>
      </c>
      <c r="G97" s="508">
        <f>G95+F97</f>
        <v>2850</v>
      </c>
      <c r="H97" s="508" t="str">
        <f>IF(G97&lt;=$D$87,"Ja","Nej")</f>
        <v>Nej</v>
      </c>
      <c r="I97" s="341"/>
      <c r="J97" s="341"/>
      <c r="K97" s="341"/>
      <c r="L97" s="341"/>
      <c r="M97" s="341"/>
    </row>
    <row r="98" spans="3:13" ht="12.75" customHeight="1">
      <c r="C98" s="508"/>
      <c r="D98" s="511"/>
      <c r="E98" s="508"/>
      <c r="F98" s="508"/>
      <c r="G98" s="508"/>
      <c r="H98" s="508"/>
      <c r="I98" s="341"/>
      <c r="J98" s="341" t="s">
        <v>278</v>
      </c>
      <c r="K98" s="341"/>
      <c r="L98" s="341"/>
      <c r="M98" s="341"/>
    </row>
    <row r="99" spans="3:13" ht="12.75" customHeight="1">
      <c r="C99" s="508" t="s">
        <v>262</v>
      </c>
      <c r="D99" s="511">
        <f>løsningstabel!F7</f>
        <v>165</v>
      </c>
      <c r="E99" s="508" t="str">
        <f>løsningstabel!G7</f>
        <v>2 Z</v>
      </c>
      <c r="F99" s="508">
        <f>løsningstabel!H7</f>
        <v>400</v>
      </c>
      <c r="G99" s="508">
        <f>G97+F99</f>
        <v>3250</v>
      </c>
      <c r="H99" s="508" t="str">
        <f>IF(G99&lt;=$D$87,"Ja","Nej")</f>
        <v>Nej</v>
      </c>
      <c r="I99" s="341"/>
      <c r="J99" s="341"/>
      <c r="K99" s="341"/>
      <c r="L99" s="341"/>
      <c r="M99" s="341"/>
    </row>
    <row r="100" spans="3:13" ht="12.75" customHeight="1">
      <c r="C100" s="508"/>
      <c r="D100" s="511"/>
      <c r="E100" s="508"/>
      <c r="F100" s="508"/>
      <c r="G100" s="508"/>
      <c r="H100" s="508"/>
      <c r="I100" s="341"/>
      <c r="J100" s="341" t="s">
        <v>278</v>
      </c>
      <c r="K100" s="341"/>
      <c r="L100" s="341"/>
      <c r="M100" s="341"/>
    </row>
    <row r="101" spans="3:13" ht="12.75" customHeight="1">
      <c r="C101" s="508" t="s">
        <v>263</v>
      </c>
      <c r="D101" s="511">
        <f>løsningstabel!F8</f>
        <v>140</v>
      </c>
      <c r="E101" s="508" t="s">
        <v>277</v>
      </c>
      <c r="F101" s="508">
        <v>200</v>
      </c>
      <c r="G101" s="508">
        <f>G99+F101</f>
        <v>3450</v>
      </c>
      <c r="H101" s="508" t="str">
        <f>IF(G101&lt;=$D$87,"Ja","Nej")</f>
        <v>Nej</v>
      </c>
      <c r="I101" s="341"/>
      <c r="J101" s="341"/>
      <c r="K101" s="341"/>
      <c r="L101" s="341"/>
      <c r="M101" s="341"/>
    </row>
    <row r="102" spans="3:13" ht="12.75" customHeight="1">
      <c r="C102" s="508"/>
      <c r="D102" s="511"/>
      <c r="E102" s="508"/>
      <c r="F102" s="508"/>
      <c r="G102" s="508"/>
      <c r="H102" s="508"/>
      <c r="I102" s="341"/>
      <c r="J102" s="341" t="s">
        <v>278</v>
      </c>
      <c r="K102" s="341"/>
      <c r="L102" s="341"/>
      <c r="M102" s="341"/>
    </row>
    <row r="103" spans="3:13" ht="12.75" hidden="1" customHeight="1">
      <c r="C103" s="508" t="s">
        <v>264</v>
      </c>
      <c r="D103" s="511">
        <f>løsningstabel!F9</f>
        <v>65</v>
      </c>
      <c r="E103" s="508" t="str">
        <f>løsningstabel!G9</f>
        <v>3 Z</v>
      </c>
      <c r="F103" s="508">
        <f>løsningstabel!H9</f>
        <v>400</v>
      </c>
      <c r="G103" s="508">
        <f>G101+F103</f>
        <v>3850</v>
      </c>
      <c r="H103" s="508" t="str">
        <f>IF(G103&lt;=$D$87,"Ja","Nej")</f>
        <v>Nej</v>
      </c>
      <c r="I103" s="341"/>
      <c r="J103" s="341"/>
      <c r="K103" s="341"/>
      <c r="L103" s="341"/>
      <c r="M103" s="341"/>
    </row>
    <row r="104" spans="3:13" ht="12.75" hidden="1" customHeight="1">
      <c r="C104" s="508"/>
      <c r="D104" s="511"/>
      <c r="E104" s="508"/>
      <c r="F104" s="508"/>
      <c r="G104" s="508"/>
      <c r="H104" s="508"/>
      <c r="I104" s="341"/>
      <c r="J104" s="341"/>
      <c r="K104" s="341"/>
      <c r="L104" s="341"/>
      <c r="M104" s="341"/>
    </row>
    <row r="105" spans="3:13" ht="12.75" hidden="1" customHeight="1">
      <c r="C105" s="508" t="s">
        <v>265</v>
      </c>
      <c r="D105" s="511">
        <f>løsningstabel!F10</f>
        <v>40</v>
      </c>
      <c r="E105" s="508" t="str">
        <f>løsningstabel!G10</f>
        <v>4 Z</v>
      </c>
      <c r="F105" s="508">
        <f>løsningstabel!H10</f>
        <v>600</v>
      </c>
      <c r="G105" s="508">
        <f>G103+F105</f>
        <v>4450</v>
      </c>
      <c r="H105" s="508" t="str">
        <f>IF(G105&lt;=$D$87,"Ja","Nej")</f>
        <v>Nej</v>
      </c>
      <c r="I105" s="341"/>
      <c r="J105" s="341"/>
      <c r="K105" s="341"/>
      <c r="L105" s="341"/>
      <c r="M105" s="341"/>
    </row>
    <row r="106" spans="3:13" ht="12.75" hidden="1" customHeight="1">
      <c r="C106" s="508"/>
      <c r="D106" s="511"/>
      <c r="E106" s="508"/>
      <c r="F106" s="508"/>
      <c r="G106" s="508"/>
      <c r="H106" s="508"/>
      <c r="I106" s="341"/>
      <c r="J106" s="341"/>
      <c r="K106" s="341"/>
      <c r="L106" s="341"/>
      <c r="M106" s="341"/>
    </row>
    <row r="107" spans="3:13" ht="12.75" hidden="1" customHeight="1">
      <c r="C107" s="508" t="s">
        <v>266</v>
      </c>
      <c r="D107" s="511">
        <f>løsningstabel!F11</f>
        <v>0</v>
      </c>
      <c r="E107" s="508" t="str">
        <f>løsningstabel!G11</f>
        <v>2 Udland</v>
      </c>
      <c r="F107" s="508">
        <f>løsningstabel!H11</f>
        <v>0</v>
      </c>
      <c r="G107" s="508">
        <f>G105+F107</f>
        <v>4450</v>
      </c>
      <c r="H107" s="508" t="str">
        <f>IF(G107&lt;=$D$87,"Ja","Nej")</f>
        <v>Nej</v>
      </c>
      <c r="I107" s="341"/>
      <c r="J107" s="341"/>
      <c r="K107" s="341"/>
      <c r="L107" s="341"/>
      <c r="M107" s="341"/>
    </row>
    <row r="108" spans="3:13" ht="12.75" hidden="1" customHeight="1">
      <c r="C108" s="508"/>
      <c r="D108" s="511"/>
      <c r="E108" s="508"/>
      <c r="F108" s="508"/>
      <c r="G108" s="508"/>
      <c r="H108" s="508"/>
      <c r="I108" s="341"/>
      <c r="J108" s="341"/>
      <c r="K108" s="341"/>
      <c r="L108" s="341"/>
      <c r="M108" s="341"/>
    </row>
    <row r="109" spans="3:13" ht="12.75" hidden="1" customHeight="1">
      <c r="C109" s="508" t="s">
        <v>267</v>
      </c>
      <c r="D109" s="511">
        <f>løsningstabel!F12</f>
        <v>0</v>
      </c>
      <c r="E109" s="508" t="str">
        <f>løsningstabel!G12</f>
        <v>5 Z</v>
      </c>
      <c r="F109" s="508" t="str">
        <f>løsningstabel!H12</f>
        <v>-</v>
      </c>
      <c r="G109" s="508" t="e">
        <f>G107+F109</f>
        <v>#VALUE!</v>
      </c>
      <c r="H109" s="508" t="e">
        <f>IF(G109&lt;=$D$87,"Ja","Nej")</f>
        <v>#VALUE!</v>
      </c>
      <c r="I109" s="341"/>
      <c r="J109" s="341"/>
      <c r="K109" s="341"/>
      <c r="L109" s="341"/>
      <c r="M109" s="341"/>
    </row>
    <row r="110" spans="3:13" ht="12.75" hidden="1" customHeight="1">
      <c r="C110" s="508"/>
      <c r="D110" s="511"/>
      <c r="E110" s="508"/>
      <c r="F110" s="508"/>
      <c r="G110" s="508"/>
      <c r="H110" s="508"/>
      <c r="I110" s="341"/>
      <c r="J110" s="341"/>
      <c r="K110" s="341"/>
      <c r="L110" s="341"/>
      <c r="M110" s="341"/>
    </row>
    <row r="111" spans="3:13" ht="12.75" hidden="1" customHeight="1">
      <c r="C111" s="508" t="s">
        <v>268</v>
      </c>
      <c r="D111" s="511">
        <f>løsningstabel!F13</f>
        <v>0</v>
      </c>
      <c r="E111" s="508" t="str">
        <f>løsningstabel!G13</f>
        <v>5 Z</v>
      </c>
      <c r="F111" s="508" t="str">
        <f>løsningstabel!H13</f>
        <v>-</v>
      </c>
      <c r="G111" s="508" t="e">
        <f>G109+F111</f>
        <v>#VALUE!</v>
      </c>
      <c r="H111" s="508" t="e">
        <f>IF(G111&lt;=$D$87,"Ja","Nej")</f>
        <v>#VALUE!</v>
      </c>
      <c r="I111" s="341"/>
      <c r="J111" s="341"/>
      <c r="K111" s="341"/>
      <c r="L111" s="341"/>
      <c r="M111" s="341"/>
    </row>
    <row r="112" spans="3:13" ht="12.75" hidden="1" customHeight="1">
      <c r="C112" s="508"/>
      <c r="D112" s="511"/>
      <c r="E112" s="508"/>
      <c r="F112" s="508"/>
      <c r="G112" s="508"/>
      <c r="H112" s="508"/>
      <c r="I112" s="341"/>
      <c r="J112" s="341"/>
      <c r="K112" s="341"/>
      <c r="L112" s="341"/>
      <c r="M112" s="341"/>
    </row>
    <row r="113" spans="1:13" ht="12.75" customHeight="1">
      <c r="A113">
        <v>4.0999999999999996</v>
      </c>
      <c r="C113" s="214"/>
      <c r="D113" s="345"/>
      <c r="E113" s="214"/>
      <c r="F113" s="214"/>
      <c r="G113" s="214"/>
      <c r="H113" s="214"/>
      <c r="I113" s="341"/>
      <c r="J113" s="341"/>
      <c r="K113" s="341"/>
      <c r="L113" s="341"/>
      <c r="M113" s="341"/>
    </row>
    <row r="114" spans="1:13" ht="18">
      <c r="A114" s="510" t="s">
        <v>269</v>
      </c>
      <c r="B114" s="510"/>
      <c r="C114" s="510"/>
      <c r="D114" s="510"/>
      <c r="E114" s="510"/>
      <c r="F114" s="510"/>
      <c r="G114" s="510"/>
      <c r="H114" s="510"/>
      <c r="I114" s="341"/>
      <c r="J114" s="341"/>
      <c r="K114" s="341"/>
      <c r="L114" s="341"/>
      <c r="M114" s="341"/>
    </row>
    <row r="115" spans="1:13" ht="12.75" customHeight="1">
      <c r="A115" s="508" t="s">
        <v>270</v>
      </c>
      <c r="B115" s="508"/>
      <c r="C115" s="214" t="s">
        <v>228</v>
      </c>
      <c r="D115" s="214" t="s">
        <v>229</v>
      </c>
      <c r="E115" s="214" t="s">
        <v>140</v>
      </c>
      <c r="F115" s="214" t="s">
        <v>230</v>
      </c>
      <c r="G115" s="214" t="s">
        <v>231</v>
      </c>
      <c r="H115" s="214" t="s">
        <v>232</v>
      </c>
      <c r="I115" s="346" t="s">
        <v>271</v>
      </c>
      <c r="J115" s="346" t="s">
        <v>234</v>
      </c>
      <c r="K115" s="341"/>
      <c r="L115" s="341"/>
      <c r="M115" s="341"/>
    </row>
    <row r="116" spans="1:13" ht="12.75" customHeight="1">
      <c r="A116" s="509" t="str">
        <f>A10</f>
        <v>3 Q</v>
      </c>
      <c r="B116" s="508"/>
      <c r="C116" s="347">
        <f>C10</f>
        <v>740</v>
      </c>
      <c r="D116" s="347">
        <f t="shared" ref="D116:J116" si="0">D10</f>
        <v>950</v>
      </c>
      <c r="E116" s="347">
        <f t="shared" si="0"/>
        <v>703000</v>
      </c>
      <c r="F116" s="347">
        <f t="shared" si="0"/>
        <v>370</v>
      </c>
      <c r="G116" s="347">
        <f t="shared" si="0"/>
        <v>351500</v>
      </c>
      <c r="H116" s="347">
        <f t="shared" si="0"/>
        <v>351500</v>
      </c>
      <c r="I116" s="347">
        <f t="shared" si="0"/>
        <v>0</v>
      </c>
      <c r="J116" s="347">
        <f t="shared" si="0"/>
        <v>351500</v>
      </c>
      <c r="K116" s="341"/>
      <c r="L116" s="341"/>
      <c r="M116" s="341"/>
    </row>
    <row r="117" spans="1:13" ht="12.75" customHeight="1">
      <c r="A117" s="509" t="str">
        <f>A34</f>
        <v>1 Z</v>
      </c>
      <c r="B117" s="508"/>
      <c r="C117" s="347">
        <f>C34</f>
        <v>700</v>
      </c>
      <c r="D117" s="347">
        <f t="shared" ref="D117:J117" si="1">D34</f>
        <v>1000</v>
      </c>
      <c r="E117" s="347">
        <f t="shared" si="1"/>
        <v>700000</v>
      </c>
      <c r="F117" s="347">
        <f t="shared" si="1"/>
        <v>360</v>
      </c>
      <c r="G117" s="347">
        <f t="shared" si="1"/>
        <v>360000</v>
      </c>
      <c r="H117" s="347">
        <f t="shared" si="1"/>
        <v>340000</v>
      </c>
      <c r="I117" s="347">
        <f t="shared" si="1"/>
        <v>0</v>
      </c>
      <c r="J117" s="347">
        <f t="shared" si="1"/>
        <v>340000</v>
      </c>
      <c r="K117" s="341"/>
      <c r="L117" s="341"/>
      <c r="M117" s="341"/>
    </row>
    <row r="118" spans="1:13" ht="12.75" customHeight="1">
      <c r="A118" s="509" t="str">
        <f>A62</f>
        <v>1 Udland</v>
      </c>
      <c r="B118" s="508"/>
      <c r="C118" s="347">
        <v>600</v>
      </c>
      <c r="D118" s="348">
        <v>750</v>
      </c>
      <c r="E118" s="348">
        <f>C118*D118</f>
        <v>450000</v>
      </c>
      <c r="F118" s="348">
        <v>420</v>
      </c>
      <c r="G118" s="348">
        <f>F118*D118</f>
        <v>315000</v>
      </c>
      <c r="H118" s="348">
        <f>E118-G118</f>
        <v>135000</v>
      </c>
      <c r="I118" s="348"/>
      <c r="J118" s="348">
        <f>H118</f>
        <v>135000</v>
      </c>
      <c r="K118" s="341"/>
      <c r="L118" s="341"/>
      <c r="M118" s="341"/>
    </row>
    <row r="119" spans="1:13" ht="12.75" customHeight="1">
      <c r="A119" t="s">
        <v>272</v>
      </c>
      <c r="C119" s="349"/>
      <c r="D119" s="349">
        <f>SUM(D116:D118)</f>
        <v>2700</v>
      </c>
      <c r="E119" s="349"/>
      <c r="F119" s="349"/>
      <c r="G119" s="349">
        <f>SUM(G116:G118)</f>
        <v>1026500</v>
      </c>
      <c r="H119" s="349">
        <f>SUM(H116:H118)</f>
        <v>826500</v>
      </c>
      <c r="I119" s="349">
        <f>SUM(I116:I118)</f>
        <v>0</v>
      </c>
      <c r="J119" s="349">
        <f>SUM(J116:J118)</f>
        <v>826500</v>
      </c>
      <c r="K119" s="341"/>
      <c r="L119" s="341"/>
      <c r="M119" s="341"/>
    </row>
    <row r="120" spans="1:13" ht="12.75" customHeight="1">
      <c r="C120" s="214"/>
      <c r="D120" s="214"/>
      <c r="E120" s="214"/>
      <c r="F120" s="214"/>
      <c r="G120" s="214"/>
      <c r="H120" s="214"/>
      <c r="I120" s="341"/>
      <c r="J120" s="341"/>
      <c r="K120" s="341"/>
      <c r="L120" s="341"/>
      <c r="M120" s="341"/>
    </row>
    <row r="121" spans="1:13" ht="12.75" customHeight="1">
      <c r="A121">
        <v>4.2</v>
      </c>
      <c r="C121" s="214"/>
      <c r="D121" s="214"/>
      <c r="E121" s="214"/>
      <c r="F121" s="214"/>
      <c r="G121" s="214"/>
      <c r="H121" s="214"/>
      <c r="I121" s="341"/>
      <c r="J121" s="341"/>
      <c r="K121" s="341"/>
      <c r="L121" s="341"/>
      <c r="M121" s="341"/>
    </row>
    <row r="122" spans="1:13" ht="12.75" customHeight="1">
      <c r="A122" s="510" t="s">
        <v>269</v>
      </c>
      <c r="B122" s="510"/>
      <c r="C122" s="510"/>
      <c r="D122" s="510"/>
      <c r="E122" s="510"/>
      <c r="F122" s="510"/>
      <c r="G122" s="510"/>
      <c r="H122" s="510"/>
      <c r="I122" s="341"/>
      <c r="J122" s="341"/>
      <c r="K122" s="341"/>
      <c r="L122" s="341"/>
      <c r="M122" s="341"/>
    </row>
    <row r="123" spans="1:13" ht="12.75" customHeight="1">
      <c r="A123" s="508" t="s">
        <v>270</v>
      </c>
      <c r="B123" s="508"/>
      <c r="C123" s="214" t="s">
        <v>228</v>
      </c>
      <c r="D123" s="214" t="s">
        <v>229</v>
      </c>
      <c r="E123" s="214" t="s">
        <v>140</v>
      </c>
      <c r="F123" s="214" t="s">
        <v>230</v>
      </c>
      <c r="G123" s="214" t="s">
        <v>231</v>
      </c>
      <c r="H123" s="214" t="s">
        <v>232</v>
      </c>
      <c r="I123" s="346" t="s">
        <v>271</v>
      </c>
      <c r="J123" s="346" t="s">
        <v>234</v>
      </c>
      <c r="K123" s="341"/>
      <c r="L123" s="341"/>
      <c r="M123" s="341"/>
    </row>
    <row r="124" spans="1:13" ht="12.75" customHeight="1">
      <c r="A124" s="509" t="str">
        <f>A12</f>
        <v>4 Q</v>
      </c>
      <c r="B124" s="508"/>
      <c r="C124" s="347">
        <f>C12</f>
        <v>700</v>
      </c>
      <c r="D124" s="347">
        <f t="shared" ref="D124:J124" si="2">D12</f>
        <v>1150</v>
      </c>
      <c r="E124" s="347">
        <f t="shared" si="2"/>
        <v>805000</v>
      </c>
      <c r="F124" s="347">
        <f t="shared" si="2"/>
        <v>370</v>
      </c>
      <c r="G124" s="347">
        <f t="shared" si="2"/>
        <v>425500</v>
      </c>
      <c r="H124" s="347">
        <f t="shared" si="2"/>
        <v>379500</v>
      </c>
      <c r="I124" s="347">
        <f t="shared" si="2"/>
        <v>0</v>
      </c>
      <c r="J124" s="377">
        <f t="shared" si="2"/>
        <v>379500</v>
      </c>
      <c r="K124" s="341"/>
      <c r="L124" s="341"/>
      <c r="M124" s="341"/>
    </row>
    <row r="125" spans="1:13" ht="12.75" customHeight="1">
      <c r="A125" s="509" t="str">
        <f>A36</f>
        <v>2 Z</v>
      </c>
      <c r="B125" s="508"/>
      <c r="C125" s="347">
        <f>C36</f>
        <v>650</v>
      </c>
      <c r="D125" s="347">
        <f t="shared" ref="D125:J125" si="3">D36</f>
        <v>1400</v>
      </c>
      <c r="E125" s="347">
        <f t="shared" si="3"/>
        <v>910000</v>
      </c>
      <c r="F125" s="347">
        <f t="shared" si="3"/>
        <v>360</v>
      </c>
      <c r="G125" s="347">
        <f t="shared" si="3"/>
        <v>504000</v>
      </c>
      <c r="H125" s="347">
        <f t="shared" si="3"/>
        <v>406000</v>
      </c>
      <c r="I125" s="347">
        <f t="shared" si="3"/>
        <v>0</v>
      </c>
      <c r="J125" s="377">
        <f t="shared" si="3"/>
        <v>406000</v>
      </c>
      <c r="K125" s="341"/>
      <c r="L125" s="341"/>
      <c r="M125" s="341"/>
    </row>
    <row r="126" spans="1:13" ht="12.75" customHeight="1">
      <c r="A126" s="509" t="str">
        <f>A62</f>
        <v>1 Udland</v>
      </c>
      <c r="B126" s="508"/>
      <c r="C126" s="347">
        <f>C62</f>
        <v>600</v>
      </c>
      <c r="D126" s="347">
        <f t="shared" ref="D126:J126" si="4">D62</f>
        <v>900</v>
      </c>
      <c r="E126" s="347">
        <f t="shared" si="4"/>
        <v>540000</v>
      </c>
      <c r="F126" s="347">
        <f t="shared" si="4"/>
        <v>420</v>
      </c>
      <c r="G126" s="347">
        <f t="shared" si="4"/>
        <v>378000</v>
      </c>
      <c r="H126" s="347">
        <f t="shared" si="4"/>
        <v>162000</v>
      </c>
      <c r="I126" s="347">
        <f t="shared" si="4"/>
        <v>0</v>
      </c>
      <c r="J126" s="377">
        <f t="shared" si="4"/>
        <v>162000</v>
      </c>
      <c r="K126" s="341"/>
      <c r="L126" s="341"/>
      <c r="M126" s="341"/>
    </row>
    <row r="127" spans="1:13" ht="12.75" customHeight="1">
      <c r="A127" t="s">
        <v>272</v>
      </c>
      <c r="C127" s="349"/>
      <c r="D127" s="349">
        <f>SUM(D124:D126)</f>
        <v>3450</v>
      </c>
      <c r="E127" s="349"/>
      <c r="F127" s="349"/>
      <c r="G127" s="349">
        <f>SUM(G124:G126)</f>
        <v>1307500</v>
      </c>
      <c r="H127" s="349">
        <f>SUM(H124:H126)</f>
        <v>947500</v>
      </c>
      <c r="I127" s="349">
        <f>SUM(I124:I126)</f>
        <v>0</v>
      </c>
      <c r="J127" s="378">
        <f>SUM(J124:J126)</f>
        <v>947500</v>
      </c>
      <c r="K127" s="341"/>
      <c r="L127" s="341"/>
      <c r="M127" s="341"/>
    </row>
    <row r="128" spans="1:13" ht="12.75" customHeight="1">
      <c r="A128" t="s">
        <v>279</v>
      </c>
      <c r="C128" s="214">
        <v>50</v>
      </c>
      <c r="D128" s="214">
        <v>750</v>
      </c>
      <c r="E128" s="214"/>
      <c r="F128" s="214"/>
      <c r="G128" s="214"/>
      <c r="H128" s="214"/>
      <c r="I128" s="341"/>
      <c r="J128" s="379">
        <f>D128*C128</f>
        <v>37500</v>
      </c>
      <c r="K128" s="341"/>
      <c r="L128" s="341"/>
      <c r="M128" s="341"/>
    </row>
    <row r="129" spans="1:13" ht="12.75" customHeight="1">
      <c r="A129" s="380" t="s">
        <v>280</v>
      </c>
      <c r="C129" s="214"/>
      <c r="I129" s="341"/>
      <c r="J129" s="381">
        <f>J127-J128</f>
        <v>910000</v>
      </c>
      <c r="K129" s="341"/>
      <c r="L129" s="341"/>
      <c r="M129" s="341"/>
    </row>
    <row r="130" spans="1:13" ht="12.75" customHeight="1">
      <c r="A130">
        <v>4.3</v>
      </c>
      <c r="C130" s="214"/>
      <c r="I130" s="341"/>
      <c r="J130" s="341"/>
      <c r="K130" s="341"/>
      <c r="L130" s="341"/>
      <c r="M130" s="341"/>
    </row>
    <row r="131" spans="1:13" ht="12.75" customHeight="1">
      <c r="A131" s="380" t="s">
        <v>281</v>
      </c>
      <c r="C131" s="214"/>
      <c r="I131" s="341"/>
      <c r="J131" s="341"/>
      <c r="K131" s="341"/>
      <c r="L131" s="341"/>
      <c r="M131" s="341"/>
    </row>
    <row r="132" spans="1:13" ht="12.75" customHeight="1">
      <c r="C132" s="214"/>
      <c r="I132" s="341"/>
      <c r="J132" s="341"/>
      <c r="K132" s="341"/>
      <c r="L132" s="341"/>
      <c r="M132" s="341"/>
    </row>
    <row r="133" spans="1:13" ht="12.75" customHeight="1">
      <c r="C133" s="214"/>
      <c r="I133" s="341"/>
      <c r="J133" s="341"/>
      <c r="K133" s="341"/>
      <c r="L133" s="341"/>
      <c r="M133" s="341"/>
    </row>
    <row r="134" spans="1:13" ht="12.75" customHeight="1">
      <c r="C134" s="214"/>
      <c r="I134" s="341"/>
      <c r="J134" s="341"/>
      <c r="K134" s="341"/>
      <c r="L134" s="341"/>
      <c r="M134" s="341"/>
    </row>
    <row r="135" spans="1:13" ht="12.75" customHeight="1">
      <c r="C135" s="214"/>
      <c r="I135" s="341"/>
      <c r="J135" s="341"/>
      <c r="K135" s="341"/>
      <c r="L135" s="341"/>
      <c r="M135" s="341"/>
    </row>
    <row r="136" spans="1:13" ht="12.75" customHeight="1">
      <c r="C136" s="214"/>
      <c r="I136" s="341"/>
      <c r="J136" s="341"/>
      <c r="K136" s="341"/>
      <c r="L136" s="341"/>
      <c r="M136" s="341"/>
    </row>
    <row r="137" spans="1:13" ht="12.75" customHeight="1">
      <c r="C137" s="214"/>
      <c r="I137" s="341"/>
      <c r="J137" s="341"/>
      <c r="K137" s="341"/>
      <c r="L137" s="341"/>
      <c r="M137" s="341"/>
    </row>
    <row r="138" spans="1:13" ht="12.75" customHeight="1">
      <c r="I138" s="341"/>
      <c r="J138" s="341"/>
      <c r="K138" s="341"/>
      <c r="L138" s="341"/>
      <c r="M138" s="341"/>
    </row>
    <row r="139" spans="1:13" ht="12.75" customHeight="1">
      <c r="I139" s="341"/>
      <c r="J139" s="341"/>
      <c r="K139" s="341"/>
      <c r="L139" s="341"/>
      <c r="M139" s="341"/>
    </row>
    <row r="140" spans="1:13" ht="12.75" customHeight="1">
      <c r="I140" s="341"/>
      <c r="J140" s="341"/>
      <c r="K140" s="341"/>
      <c r="L140" s="341"/>
      <c r="M140" s="341"/>
    </row>
    <row r="141" spans="1:13" ht="12.75" customHeight="1">
      <c r="I141" s="341"/>
      <c r="J141" s="341"/>
      <c r="K141" s="341"/>
      <c r="L141" s="341"/>
      <c r="M141" s="341"/>
    </row>
    <row r="142" spans="1:13" ht="12.75" customHeight="1">
      <c r="I142" s="341"/>
      <c r="J142" s="341"/>
      <c r="K142" s="341"/>
      <c r="L142" s="341"/>
      <c r="M142" s="341"/>
    </row>
    <row r="143" spans="1:13" ht="12.75" customHeight="1">
      <c r="I143" s="341"/>
      <c r="J143" s="341"/>
      <c r="K143" s="341"/>
      <c r="L143" s="341"/>
      <c r="M143" s="341"/>
    </row>
    <row r="144" spans="1:13" ht="12.75" customHeight="1">
      <c r="I144" s="341"/>
      <c r="J144" s="341"/>
      <c r="K144" s="341"/>
      <c r="L144" s="341"/>
      <c r="M144" s="341"/>
    </row>
    <row r="145" spans="9:13" ht="12.75" customHeight="1">
      <c r="I145" s="341"/>
      <c r="J145" s="341"/>
      <c r="K145" s="341"/>
      <c r="L145" s="341"/>
      <c r="M145" s="341"/>
    </row>
    <row r="146" spans="9:13" ht="12.75" customHeight="1">
      <c r="I146" s="341"/>
      <c r="J146" s="341"/>
      <c r="K146" s="341"/>
      <c r="L146" s="341"/>
      <c r="M146" s="341"/>
    </row>
    <row r="147" spans="9:13" ht="12.75" customHeight="1">
      <c r="I147" s="341"/>
      <c r="J147" s="341"/>
      <c r="K147" s="341"/>
      <c r="L147" s="341"/>
      <c r="M147" s="341"/>
    </row>
    <row r="148" spans="9:13" ht="12.75" customHeight="1">
      <c r="I148" s="341"/>
      <c r="J148" s="341"/>
      <c r="K148" s="341"/>
      <c r="L148" s="341"/>
      <c r="M148" s="341"/>
    </row>
    <row r="149" spans="9:13" ht="12.75" customHeight="1">
      <c r="I149" s="341"/>
      <c r="J149" s="341"/>
      <c r="K149" s="341"/>
      <c r="L149" s="341"/>
      <c r="M149" s="341"/>
    </row>
    <row r="150" spans="9:13" ht="12.75" customHeight="1">
      <c r="I150" s="341"/>
      <c r="J150" s="341"/>
      <c r="K150" s="341"/>
      <c r="L150" s="341"/>
      <c r="M150" s="341"/>
    </row>
    <row r="151" spans="9:13" ht="12.75" customHeight="1">
      <c r="I151" s="341"/>
      <c r="J151" s="341"/>
      <c r="K151" s="341"/>
      <c r="L151" s="341"/>
      <c r="M151" s="341"/>
    </row>
    <row r="152" spans="9:13" ht="12.75" customHeight="1">
      <c r="I152" s="341"/>
      <c r="J152" s="341"/>
      <c r="K152" s="341"/>
      <c r="L152" s="341"/>
      <c r="M152" s="341"/>
    </row>
    <row r="153" spans="9:13" ht="12.75" customHeight="1">
      <c r="I153" s="341"/>
      <c r="J153" s="341"/>
      <c r="K153" s="341"/>
      <c r="L153" s="341"/>
      <c r="M153" s="341"/>
    </row>
    <row r="154" spans="9:13" ht="12.75" customHeight="1">
      <c r="I154" s="341"/>
      <c r="J154" s="341"/>
      <c r="K154" s="341"/>
      <c r="L154" s="341"/>
      <c r="M154" s="341"/>
    </row>
    <row r="155" spans="9:13" ht="12.75" customHeight="1">
      <c r="I155" s="341"/>
      <c r="J155" s="341"/>
      <c r="K155" s="341"/>
      <c r="L155" s="341"/>
      <c r="M155" s="341"/>
    </row>
    <row r="156" spans="9:13" ht="12.75" customHeight="1">
      <c r="I156" s="341"/>
      <c r="J156" s="341"/>
      <c r="K156" s="341"/>
      <c r="L156" s="341"/>
      <c r="M156" s="341"/>
    </row>
    <row r="157" spans="9:13" ht="12.75" customHeight="1">
      <c r="I157" s="341"/>
      <c r="J157" s="341"/>
      <c r="K157" s="341"/>
      <c r="L157" s="341"/>
      <c r="M157" s="341"/>
    </row>
    <row r="158" spans="9:13" ht="12.75" customHeight="1">
      <c r="I158" s="341"/>
      <c r="J158" s="341"/>
      <c r="K158" s="341"/>
      <c r="L158" s="341"/>
      <c r="M158" s="341"/>
    </row>
    <row r="159" spans="9:13" ht="12.75" customHeight="1">
      <c r="I159" s="341"/>
      <c r="J159" s="341"/>
      <c r="K159" s="341"/>
      <c r="L159" s="341"/>
      <c r="M159" s="341"/>
    </row>
    <row r="160" spans="9:13" ht="12.75" customHeight="1">
      <c r="I160" s="341"/>
      <c r="J160" s="341"/>
      <c r="K160" s="341"/>
      <c r="L160" s="341"/>
      <c r="M160" s="341"/>
    </row>
    <row r="161" spans="9:13" ht="12.75" customHeight="1">
      <c r="I161" s="341"/>
      <c r="J161" s="341"/>
      <c r="K161" s="341"/>
      <c r="L161" s="341"/>
      <c r="M161" s="341"/>
    </row>
    <row r="162" spans="9:13" ht="12.75" customHeight="1">
      <c r="I162" s="341"/>
      <c r="J162" s="341"/>
      <c r="K162" s="341"/>
      <c r="L162" s="341"/>
      <c r="M162" s="341"/>
    </row>
    <row r="163" spans="9:13" ht="12.75" customHeight="1">
      <c r="I163" s="341"/>
      <c r="J163" s="341"/>
      <c r="K163" s="341"/>
      <c r="L163" s="341"/>
      <c r="M163" s="341"/>
    </row>
    <row r="164" spans="9:13" ht="12.75" customHeight="1">
      <c r="I164" s="341"/>
      <c r="J164" s="341"/>
      <c r="K164" s="341"/>
      <c r="L164" s="341"/>
      <c r="M164" s="341"/>
    </row>
    <row r="165" spans="9:13" ht="12.75" customHeight="1">
      <c r="I165" s="341"/>
      <c r="J165" s="341"/>
      <c r="K165" s="341"/>
      <c r="L165" s="341"/>
      <c r="M165" s="341"/>
    </row>
    <row r="166" spans="9:13" ht="12.75" customHeight="1">
      <c r="I166" s="341"/>
      <c r="J166" s="341"/>
      <c r="K166" s="341"/>
      <c r="L166" s="341"/>
      <c r="M166" s="341"/>
    </row>
    <row r="167" spans="9:13" ht="12.75" customHeight="1">
      <c r="I167" s="341"/>
      <c r="J167" s="341"/>
      <c r="K167" s="341"/>
      <c r="L167" s="341"/>
      <c r="M167" s="341"/>
    </row>
    <row r="168" spans="9:13" ht="12.75" customHeight="1">
      <c r="I168" s="341"/>
      <c r="J168" s="341"/>
      <c r="K168" s="341"/>
      <c r="L168" s="341"/>
      <c r="M168" s="341"/>
    </row>
    <row r="169" spans="9:13" ht="12.75" customHeight="1">
      <c r="I169" s="341"/>
      <c r="J169" s="341"/>
      <c r="K169" s="341"/>
      <c r="L169" s="341"/>
      <c r="M169" s="341"/>
    </row>
    <row r="170" spans="9:13" ht="12.75" customHeight="1">
      <c r="I170" s="341"/>
      <c r="J170" s="341"/>
      <c r="K170" s="341"/>
      <c r="L170" s="341"/>
      <c r="M170" s="341"/>
    </row>
    <row r="171" spans="9:13" ht="12.75" customHeight="1">
      <c r="I171" s="341"/>
      <c r="J171" s="341"/>
      <c r="K171" s="341"/>
      <c r="L171" s="341"/>
      <c r="M171" s="341"/>
    </row>
    <row r="172" spans="9:13" ht="12.75" customHeight="1">
      <c r="I172" s="341"/>
      <c r="J172" s="341"/>
      <c r="K172" s="341"/>
      <c r="L172" s="341"/>
      <c r="M172" s="341"/>
    </row>
    <row r="173" spans="9:13" ht="12.75" customHeight="1">
      <c r="I173" s="341"/>
      <c r="J173" s="341"/>
      <c r="K173" s="341"/>
      <c r="L173" s="341"/>
      <c r="M173" s="341"/>
    </row>
    <row r="174" spans="9:13" ht="12.75" customHeight="1">
      <c r="I174" s="341"/>
      <c r="J174" s="341"/>
      <c r="K174" s="341"/>
      <c r="L174" s="341"/>
      <c r="M174" s="341"/>
    </row>
    <row r="175" spans="9:13" ht="12.75" customHeight="1">
      <c r="I175" s="341"/>
      <c r="J175" s="341"/>
      <c r="K175" s="341"/>
      <c r="L175" s="341"/>
      <c r="M175" s="341"/>
    </row>
    <row r="176" spans="9:13" ht="12.75" customHeight="1">
      <c r="I176" s="341"/>
      <c r="J176" s="341"/>
      <c r="K176" s="341"/>
      <c r="L176" s="341"/>
      <c r="M176" s="341"/>
    </row>
    <row r="177" spans="9:13" ht="12.75" customHeight="1">
      <c r="I177" s="341"/>
      <c r="J177" s="341"/>
      <c r="K177" s="341"/>
      <c r="L177" s="341"/>
      <c r="M177" s="341"/>
    </row>
    <row r="178" spans="9:13" ht="12.75" customHeight="1">
      <c r="I178" s="341"/>
      <c r="J178" s="341"/>
      <c r="K178" s="341"/>
      <c r="L178" s="341"/>
      <c r="M178" s="341"/>
    </row>
    <row r="179" spans="9:13" ht="12.75" customHeight="1">
      <c r="I179" s="341"/>
      <c r="J179" s="341"/>
      <c r="K179" s="341"/>
      <c r="L179" s="341"/>
      <c r="M179" s="341"/>
    </row>
    <row r="180" spans="9:13" ht="12.75" customHeight="1">
      <c r="I180" s="341"/>
      <c r="J180" s="341"/>
      <c r="K180" s="341"/>
      <c r="L180" s="341"/>
      <c r="M180" s="341"/>
    </row>
    <row r="181" spans="9:13" ht="12.75" customHeight="1">
      <c r="I181" s="341"/>
      <c r="J181" s="341"/>
      <c r="K181" s="341"/>
      <c r="L181" s="341"/>
      <c r="M181" s="341"/>
    </row>
    <row r="182" spans="9:13" ht="12.75" customHeight="1">
      <c r="I182" s="341"/>
      <c r="J182" s="341"/>
      <c r="K182" s="341"/>
      <c r="L182" s="341"/>
      <c r="M182" s="341"/>
    </row>
    <row r="183" spans="9:13" ht="12.75" customHeight="1">
      <c r="I183" s="341"/>
      <c r="J183" s="341"/>
      <c r="K183" s="341"/>
      <c r="L183" s="341"/>
      <c r="M183" s="341"/>
    </row>
    <row r="184" spans="9:13" ht="12.75" customHeight="1">
      <c r="I184" s="341"/>
      <c r="J184" s="341"/>
      <c r="K184" s="341"/>
      <c r="L184" s="341"/>
      <c r="M184" s="341"/>
    </row>
    <row r="185" spans="9:13" ht="12.75" customHeight="1">
      <c r="I185" s="341"/>
      <c r="J185" s="341"/>
      <c r="K185" s="341"/>
      <c r="L185" s="341"/>
      <c r="M185" s="341"/>
    </row>
    <row r="186" spans="9:13" ht="12.75" customHeight="1">
      <c r="I186" s="341"/>
      <c r="J186" s="341"/>
      <c r="K186" s="341"/>
      <c r="L186" s="341"/>
      <c r="M186" s="341"/>
    </row>
    <row r="187" spans="9:13" ht="12.75" customHeight="1">
      <c r="I187" s="341"/>
      <c r="J187" s="341"/>
      <c r="K187" s="341"/>
      <c r="L187" s="341"/>
      <c r="M187" s="341"/>
    </row>
    <row r="188" spans="9:13" ht="12.75" customHeight="1">
      <c r="I188" s="341"/>
      <c r="J188" s="341"/>
      <c r="K188" s="341"/>
      <c r="L188" s="341"/>
      <c r="M188" s="341"/>
    </row>
    <row r="189" spans="9:13" ht="12.75" customHeight="1">
      <c r="I189" s="341"/>
      <c r="J189" s="341"/>
      <c r="K189" s="341"/>
      <c r="L189" s="341"/>
      <c r="M189" s="341"/>
    </row>
    <row r="190" spans="9:13" ht="12.75" customHeight="1">
      <c r="I190" s="341"/>
      <c r="J190" s="341"/>
      <c r="K190" s="341"/>
      <c r="L190" s="341"/>
      <c r="M190" s="341"/>
    </row>
    <row r="191" spans="9:13" ht="12.75" customHeight="1">
      <c r="I191" s="341"/>
      <c r="J191" s="341"/>
      <c r="K191" s="341"/>
      <c r="L191" s="341"/>
      <c r="M191" s="341"/>
    </row>
    <row r="192" spans="9:13" ht="12.75" customHeight="1">
      <c r="I192" s="341"/>
      <c r="J192" s="341"/>
      <c r="K192" s="341"/>
      <c r="L192" s="341"/>
      <c r="M192" s="341"/>
    </row>
    <row r="193" spans="9:13" ht="12.75" customHeight="1">
      <c r="I193" s="341"/>
      <c r="J193" s="341"/>
      <c r="K193" s="341"/>
      <c r="L193" s="341"/>
      <c r="M193" s="341"/>
    </row>
    <row r="194" spans="9:13" ht="12.75" customHeight="1">
      <c r="I194" s="341"/>
      <c r="J194" s="341"/>
      <c r="K194" s="341"/>
      <c r="L194" s="341"/>
      <c r="M194" s="341"/>
    </row>
    <row r="195" spans="9:13" ht="12.75" customHeight="1">
      <c r="I195" s="341"/>
      <c r="J195" s="341"/>
      <c r="K195" s="341"/>
      <c r="L195" s="341"/>
      <c r="M195" s="341"/>
    </row>
    <row r="196" spans="9:13" ht="12.75" customHeight="1">
      <c r="I196" s="341"/>
      <c r="J196" s="341"/>
      <c r="K196" s="341"/>
      <c r="L196" s="341"/>
      <c r="M196" s="341"/>
    </row>
    <row r="197" spans="9:13" ht="12.75" customHeight="1">
      <c r="I197" s="341"/>
      <c r="J197" s="341"/>
      <c r="K197" s="341"/>
      <c r="L197" s="341"/>
      <c r="M197" s="341"/>
    </row>
    <row r="198" spans="9:13" ht="12.75" customHeight="1">
      <c r="I198" s="341"/>
      <c r="J198" s="341"/>
      <c r="K198" s="341"/>
      <c r="L198" s="341"/>
      <c r="M198" s="341"/>
    </row>
    <row r="199" spans="9:13" ht="12.75" customHeight="1">
      <c r="I199" s="341"/>
      <c r="J199" s="341"/>
      <c r="K199" s="341"/>
      <c r="L199" s="341"/>
      <c r="M199" s="341"/>
    </row>
    <row r="200" spans="9:13" ht="12.75" customHeight="1">
      <c r="I200" s="341"/>
      <c r="J200" s="341"/>
      <c r="K200" s="341"/>
      <c r="L200" s="341"/>
      <c r="M200" s="341"/>
    </row>
    <row r="201" spans="9:13" ht="12.75" customHeight="1">
      <c r="I201" s="341"/>
      <c r="J201" s="341"/>
      <c r="K201" s="341"/>
      <c r="L201" s="341"/>
      <c r="M201" s="341"/>
    </row>
    <row r="202" spans="9:13" ht="12.75" customHeight="1">
      <c r="I202" s="341"/>
      <c r="J202" s="341"/>
      <c r="K202" s="341"/>
      <c r="L202" s="341"/>
      <c r="M202" s="341"/>
    </row>
    <row r="203" spans="9:13" ht="12.75" customHeight="1">
      <c r="I203" s="341"/>
      <c r="J203" s="341"/>
      <c r="K203" s="341"/>
      <c r="L203" s="341"/>
      <c r="M203" s="341"/>
    </row>
    <row r="204" spans="9:13" ht="12.75" customHeight="1">
      <c r="I204" s="341"/>
      <c r="J204" s="341"/>
      <c r="K204" s="341"/>
      <c r="L204" s="341"/>
      <c r="M204" s="341"/>
    </row>
    <row r="205" spans="9:13" ht="12.75" customHeight="1">
      <c r="I205" s="341"/>
      <c r="J205" s="341"/>
      <c r="K205" s="341"/>
      <c r="L205" s="341"/>
      <c r="M205" s="341"/>
    </row>
    <row r="206" spans="9:13" ht="12.75" customHeight="1">
      <c r="I206" s="341"/>
      <c r="J206" s="341"/>
      <c r="K206" s="341"/>
      <c r="L206" s="341"/>
      <c r="M206" s="341"/>
    </row>
    <row r="207" spans="9:13" ht="12.75" customHeight="1">
      <c r="I207" s="341"/>
      <c r="J207" s="341"/>
      <c r="K207" s="341"/>
      <c r="L207" s="341"/>
      <c r="M207" s="341"/>
    </row>
    <row r="208" spans="9:13" ht="12.75" customHeight="1">
      <c r="I208" s="341"/>
      <c r="J208" s="341"/>
      <c r="K208" s="341"/>
      <c r="L208" s="341"/>
      <c r="M208" s="341"/>
    </row>
    <row r="209" spans="9:13" ht="12.75" customHeight="1">
      <c r="I209" s="341"/>
      <c r="J209" s="341"/>
      <c r="K209" s="341"/>
      <c r="L209" s="341"/>
      <c r="M209" s="341"/>
    </row>
    <row r="210" spans="9:13" ht="12.75" customHeight="1">
      <c r="I210" s="341"/>
      <c r="J210" s="341"/>
      <c r="K210" s="341"/>
      <c r="L210" s="341"/>
      <c r="M210" s="341"/>
    </row>
    <row r="211" spans="9:13" ht="12.75" customHeight="1">
      <c r="I211" s="341"/>
      <c r="J211" s="341"/>
      <c r="K211" s="341"/>
      <c r="L211" s="341"/>
      <c r="M211" s="341"/>
    </row>
    <row r="212" spans="9:13" ht="12.75" customHeight="1">
      <c r="I212" s="341"/>
      <c r="J212" s="341"/>
      <c r="K212" s="341"/>
      <c r="L212" s="341"/>
      <c r="M212" s="341"/>
    </row>
    <row r="213" spans="9:13" ht="12.75" customHeight="1">
      <c r="I213" s="341"/>
      <c r="J213" s="341"/>
      <c r="K213" s="341"/>
      <c r="L213" s="341"/>
      <c r="M213" s="341"/>
    </row>
    <row r="214" spans="9:13" ht="12.75" customHeight="1">
      <c r="I214" s="341"/>
      <c r="J214" s="341"/>
      <c r="K214" s="341"/>
      <c r="L214" s="341"/>
      <c r="M214" s="341"/>
    </row>
    <row r="215" spans="9:13" ht="12.75" customHeight="1">
      <c r="I215" s="341"/>
      <c r="J215" s="341"/>
      <c r="K215" s="341"/>
      <c r="L215" s="341"/>
      <c r="M215" s="341"/>
    </row>
    <row r="216" spans="9:13" ht="12.75" customHeight="1">
      <c r="I216" s="341"/>
      <c r="J216" s="341"/>
      <c r="K216" s="341"/>
      <c r="L216" s="341"/>
      <c r="M216" s="341"/>
    </row>
    <row r="217" spans="9:13" ht="12.75" customHeight="1">
      <c r="I217" s="341"/>
      <c r="J217" s="341"/>
      <c r="K217" s="341"/>
      <c r="L217" s="341"/>
      <c r="M217" s="341"/>
    </row>
    <row r="218" spans="9:13" ht="12.75" customHeight="1">
      <c r="I218" s="341"/>
      <c r="J218" s="341"/>
      <c r="K218" s="341"/>
      <c r="L218" s="341"/>
      <c r="M218" s="341"/>
    </row>
    <row r="219" spans="9:13" ht="12.75" customHeight="1">
      <c r="I219" s="341"/>
      <c r="J219" s="341"/>
      <c r="K219" s="341"/>
      <c r="L219" s="341"/>
      <c r="M219" s="341"/>
    </row>
    <row r="220" spans="9:13" ht="12.75" customHeight="1">
      <c r="I220" s="341"/>
      <c r="J220" s="341"/>
      <c r="K220" s="341"/>
      <c r="L220" s="341"/>
      <c r="M220" s="341"/>
    </row>
    <row r="221" spans="9:13" ht="12.75" customHeight="1">
      <c r="I221" s="341"/>
      <c r="J221" s="341"/>
      <c r="K221" s="341"/>
      <c r="L221" s="341"/>
      <c r="M221" s="341"/>
    </row>
    <row r="222" spans="9:13" ht="12.75" customHeight="1">
      <c r="I222" s="341"/>
      <c r="J222" s="341"/>
      <c r="K222" s="341"/>
      <c r="L222" s="341"/>
      <c r="M222" s="341"/>
    </row>
    <row r="223" spans="9:13" ht="12.75" customHeight="1">
      <c r="I223" s="341"/>
      <c r="J223" s="341"/>
      <c r="K223" s="341"/>
      <c r="L223" s="341"/>
      <c r="M223" s="341"/>
    </row>
    <row r="224" spans="9:13" ht="12.75" customHeight="1">
      <c r="I224" s="341"/>
      <c r="J224" s="341"/>
      <c r="K224" s="341"/>
      <c r="L224" s="341"/>
      <c r="M224" s="341"/>
    </row>
    <row r="225" spans="9:13" ht="12.75" customHeight="1">
      <c r="I225" s="341"/>
      <c r="J225" s="341"/>
      <c r="K225" s="341"/>
      <c r="L225" s="341"/>
      <c r="M225" s="341"/>
    </row>
    <row r="226" spans="9:13" ht="12.75" customHeight="1">
      <c r="I226" s="341"/>
      <c r="J226" s="341"/>
      <c r="K226" s="341"/>
      <c r="L226" s="341"/>
      <c r="M226" s="341"/>
    </row>
    <row r="227" spans="9:13" ht="12.75" customHeight="1">
      <c r="I227" s="341"/>
      <c r="J227" s="341"/>
      <c r="K227" s="341"/>
      <c r="L227" s="341"/>
      <c r="M227" s="341"/>
    </row>
    <row r="228" spans="9:13" ht="12.75" customHeight="1">
      <c r="I228" s="341"/>
      <c r="J228" s="341"/>
      <c r="K228" s="341"/>
      <c r="L228" s="341"/>
      <c r="M228" s="341"/>
    </row>
    <row r="229" spans="9:13" ht="12.75" customHeight="1">
      <c r="I229" s="341"/>
      <c r="J229" s="341"/>
      <c r="K229" s="341"/>
      <c r="L229" s="341"/>
      <c r="M229" s="341"/>
    </row>
    <row r="230" spans="9:13" ht="12.75" customHeight="1">
      <c r="I230" s="341"/>
      <c r="J230" s="341"/>
      <c r="K230" s="341"/>
      <c r="L230" s="341"/>
      <c r="M230" s="341"/>
    </row>
    <row r="231" spans="9:13" ht="12.75" customHeight="1">
      <c r="I231" s="341"/>
      <c r="J231" s="341"/>
      <c r="K231" s="341"/>
      <c r="L231" s="341"/>
      <c r="M231" s="341"/>
    </row>
    <row r="232" spans="9:13" ht="12.75" customHeight="1">
      <c r="I232" s="341"/>
      <c r="J232" s="341"/>
      <c r="K232" s="341"/>
      <c r="L232" s="341"/>
      <c r="M232" s="341"/>
    </row>
    <row r="233" spans="9:13" ht="12.75" customHeight="1">
      <c r="I233" s="341"/>
      <c r="J233" s="341"/>
      <c r="K233" s="341"/>
      <c r="L233" s="341"/>
      <c r="M233" s="341"/>
    </row>
    <row r="234" spans="9:13" ht="12.75" customHeight="1">
      <c r="I234" s="341"/>
      <c r="J234" s="341"/>
      <c r="K234" s="341"/>
      <c r="L234" s="341"/>
      <c r="M234" s="341"/>
    </row>
    <row r="235" spans="9:13" ht="12.75" customHeight="1">
      <c r="I235" s="341"/>
      <c r="J235" s="341"/>
      <c r="K235" s="341"/>
      <c r="L235" s="341"/>
      <c r="M235" s="341"/>
    </row>
    <row r="236" spans="9:13" ht="12.75" customHeight="1">
      <c r="I236" s="341"/>
      <c r="J236" s="341"/>
      <c r="K236" s="341"/>
      <c r="L236" s="341"/>
      <c r="M236" s="341"/>
    </row>
    <row r="237" spans="9:13" ht="12.75" customHeight="1">
      <c r="I237" s="341"/>
      <c r="J237" s="341"/>
      <c r="K237" s="341"/>
      <c r="L237" s="341"/>
      <c r="M237" s="341"/>
    </row>
    <row r="238" spans="9:13" ht="12.75" customHeight="1">
      <c r="I238" s="341"/>
      <c r="J238" s="341"/>
      <c r="K238" s="341"/>
      <c r="L238" s="341"/>
      <c r="M238" s="341"/>
    </row>
    <row r="239" spans="9:13" ht="12.75" customHeight="1">
      <c r="I239" s="341"/>
      <c r="J239" s="341"/>
      <c r="K239" s="341"/>
      <c r="L239" s="341"/>
      <c r="M239" s="341"/>
    </row>
    <row r="240" spans="9:13" ht="12.75" customHeight="1">
      <c r="I240" s="341"/>
      <c r="J240" s="341"/>
      <c r="K240" s="341"/>
      <c r="L240" s="341"/>
      <c r="M240" s="341"/>
    </row>
    <row r="241" spans="9:13" ht="12.75" customHeight="1">
      <c r="I241" s="341"/>
      <c r="J241" s="341"/>
      <c r="K241" s="341"/>
      <c r="L241" s="341"/>
      <c r="M241" s="341"/>
    </row>
    <row r="242" spans="9:13" ht="12.75" customHeight="1">
      <c r="I242" s="341"/>
      <c r="J242" s="341"/>
      <c r="K242" s="341"/>
      <c r="L242" s="341"/>
      <c r="M242" s="341"/>
    </row>
    <row r="243" spans="9:13" ht="12.75" customHeight="1">
      <c r="I243" s="341"/>
      <c r="J243" s="341"/>
      <c r="K243" s="341"/>
      <c r="L243" s="341"/>
      <c r="M243" s="341"/>
    </row>
    <row r="244" spans="9:13" ht="12.75" customHeight="1">
      <c r="I244" s="341"/>
      <c r="J244" s="341"/>
      <c r="K244" s="341"/>
      <c r="L244" s="341"/>
      <c r="M244" s="341"/>
    </row>
    <row r="245" spans="9:13" ht="12.75" customHeight="1">
      <c r="I245" s="341"/>
      <c r="J245" s="341"/>
      <c r="K245" s="341"/>
      <c r="L245" s="341"/>
      <c r="M245" s="341"/>
    </row>
    <row r="246" spans="9:13" ht="12.75" customHeight="1">
      <c r="I246" s="341"/>
      <c r="J246" s="341"/>
      <c r="K246" s="341"/>
      <c r="L246" s="341"/>
      <c r="M246" s="341"/>
    </row>
    <row r="247" spans="9:13" ht="12.75" customHeight="1">
      <c r="I247" s="341"/>
      <c r="J247" s="341"/>
      <c r="K247" s="341"/>
      <c r="L247" s="341"/>
      <c r="M247" s="341"/>
    </row>
    <row r="248" spans="9:13" ht="12.75" customHeight="1">
      <c r="I248" s="341"/>
      <c r="J248" s="341"/>
      <c r="K248" s="341"/>
      <c r="L248" s="341"/>
      <c r="M248" s="341"/>
    </row>
    <row r="249" spans="9:13" ht="12.75" customHeight="1">
      <c r="I249" s="341"/>
      <c r="J249" s="341"/>
      <c r="K249" s="341"/>
      <c r="L249" s="341"/>
      <c r="M249" s="341"/>
    </row>
    <row r="250" spans="9:13" ht="12.75" customHeight="1">
      <c r="I250" s="341"/>
      <c r="J250" s="341"/>
      <c r="K250" s="341"/>
      <c r="L250" s="341"/>
      <c r="M250" s="341"/>
    </row>
    <row r="251" spans="9:13" ht="12.75" customHeight="1">
      <c r="I251" s="341"/>
      <c r="J251" s="341"/>
      <c r="K251" s="341"/>
      <c r="L251" s="341"/>
      <c r="M251" s="341"/>
    </row>
    <row r="252" spans="9:13" ht="12.75" customHeight="1">
      <c r="I252" s="341"/>
      <c r="J252" s="341"/>
      <c r="K252" s="341"/>
      <c r="L252" s="341"/>
      <c r="M252" s="341"/>
    </row>
    <row r="253" spans="9:13" ht="12.75" customHeight="1">
      <c r="I253" s="341"/>
      <c r="J253" s="341"/>
      <c r="K253" s="341"/>
      <c r="L253" s="341"/>
      <c r="M253" s="341"/>
    </row>
    <row r="254" spans="9:13" ht="12.75" customHeight="1">
      <c r="I254" s="341"/>
      <c r="J254" s="341"/>
      <c r="K254" s="341"/>
      <c r="L254" s="341"/>
      <c r="M254" s="341"/>
    </row>
    <row r="255" spans="9:13" ht="12.75" customHeight="1">
      <c r="I255" s="341"/>
      <c r="J255" s="341"/>
      <c r="K255" s="341"/>
      <c r="L255" s="341"/>
      <c r="M255" s="341"/>
    </row>
    <row r="256" spans="9:13" ht="12.75" customHeight="1">
      <c r="I256" s="341"/>
      <c r="J256" s="341"/>
      <c r="K256" s="341"/>
      <c r="L256" s="341"/>
      <c r="M256" s="341"/>
    </row>
    <row r="257" spans="9:13" ht="12.75" customHeight="1">
      <c r="I257" s="341"/>
      <c r="J257" s="341"/>
      <c r="K257" s="341"/>
      <c r="L257" s="341"/>
      <c r="M257" s="341"/>
    </row>
    <row r="258" spans="9:13" ht="12.75" customHeight="1">
      <c r="I258" s="341"/>
      <c r="J258" s="341"/>
      <c r="K258" s="341"/>
      <c r="L258" s="341"/>
      <c r="M258" s="341"/>
    </row>
    <row r="259" spans="9:13" ht="12.75" customHeight="1">
      <c r="I259" s="341"/>
      <c r="J259" s="341"/>
      <c r="K259" s="341"/>
      <c r="L259" s="341"/>
      <c r="M259" s="341"/>
    </row>
    <row r="260" spans="9:13" ht="12.75" customHeight="1">
      <c r="I260" s="341"/>
      <c r="J260" s="341"/>
      <c r="K260" s="341"/>
      <c r="L260" s="341"/>
      <c r="M260" s="341"/>
    </row>
    <row r="261" spans="9:13" ht="12.75" customHeight="1">
      <c r="I261" s="341"/>
      <c r="J261" s="341"/>
      <c r="K261" s="341"/>
      <c r="L261" s="341"/>
      <c r="M261" s="341"/>
    </row>
    <row r="262" spans="9:13" ht="12.75" customHeight="1">
      <c r="I262" s="341"/>
      <c r="J262" s="341"/>
      <c r="K262" s="341"/>
      <c r="L262" s="341"/>
      <c r="M262" s="341"/>
    </row>
    <row r="263" spans="9:13" ht="12.75" customHeight="1">
      <c r="I263" s="341"/>
      <c r="J263" s="341"/>
      <c r="K263" s="341"/>
      <c r="L263" s="341"/>
      <c r="M263" s="341"/>
    </row>
    <row r="264" spans="9:13" ht="12.75" customHeight="1">
      <c r="I264" s="341"/>
      <c r="J264" s="341"/>
      <c r="K264" s="341"/>
      <c r="L264" s="341"/>
      <c r="M264" s="341"/>
    </row>
    <row r="265" spans="9:13" ht="12.75" customHeight="1">
      <c r="I265" s="341"/>
      <c r="J265" s="341"/>
      <c r="K265" s="341"/>
      <c r="L265" s="341"/>
      <c r="M265" s="341"/>
    </row>
    <row r="266" spans="9:13" ht="12.75" customHeight="1">
      <c r="I266" s="341"/>
      <c r="J266" s="341"/>
      <c r="K266" s="341"/>
      <c r="L266" s="341"/>
      <c r="M266" s="341"/>
    </row>
    <row r="267" spans="9:13" ht="12.75" customHeight="1">
      <c r="I267" s="341"/>
      <c r="J267" s="341"/>
      <c r="K267" s="341"/>
      <c r="L267" s="341"/>
      <c r="M267" s="341"/>
    </row>
    <row r="268" spans="9:13" ht="12.75" customHeight="1">
      <c r="I268" s="341"/>
      <c r="J268" s="341"/>
      <c r="K268" s="341"/>
      <c r="L268" s="341"/>
      <c r="M268" s="341"/>
    </row>
    <row r="269" spans="9:13" ht="12.75" customHeight="1">
      <c r="I269" s="341"/>
      <c r="J269" s="341"/>
      <c r="K269" s="341"/>
      <c r="L269" s="341"/>
      <c r="M269" s="341"/>
    </row>
    <row r="270" spans="9:13" ht="12.75" customHeight="1">
      <c r="I270" s="341"/>
      <c r="J270" s="341"/>
      <c r="K270" s="341"/>
      <c r="L270" s="341"/>
      <c r="M270" s="341"/>
    </row>
    <row r="271" spans="9:13" ht="12.75" customHeight="1">
      <c r="I271" s="341"/>
      <c r="J271" s="341"/>
      <c r="K271" s="341"/>
      <c r="L271" s="341"/>
      <c r="M271" s="341"/>
    </row>
    <row r="272" spans="9:13" ht="12.75" customHeight="1">
      <c r="I272" s="341"/>
      <c r="J272" s="341"/>
      <c r="K272" s="341"/>
      <c r="L272" s="341"/>
      <c r="M272" s="341"/>
    </row>
    <row r="273" spans="9:13" ht="12.75" customHeight="1">
      <c r="I273" s="341"/>
      <c r="J273" s="341"/>
      <c r="K273" s="341"/>
      <c r="L273" s="341"/>
      <c r="M273" s="341"/>
    </row>
    <row r="274" spans="9:13" ht="12.75" customHeight="1">
      <c r="I274" s="341"/>
      <c r="J274" s="341"/>
      <c r="K274" s="341"/>
      <c r="L274" s="341"/>
      <c r="M274" s="341"/>
    </row>
    <row r="275" spans="9:13" ht="12.75" customHeight="1">
      <c r="I275" s="341"/>
      <c r="J275" s="341"/>
      <c r="K275" s="341"/>
      <c r="L275" s="341"/>
      <c r="M275" s="341"/>
    </row>
    <row r="276" spans="9:13" ht="12.75" customHeight="1">
      <c r="I276" s="341"/>
      <c r="J276" s="341"/>
      <c r="K276" s="341"/>
      <c r="L276" s="341"/>
      <c r="M276" s="341"/>
    </row>
    <row r="277" spans="9:13" ht="12.75" customHeight="1">
      <c r="I277" s="341"/>
      <c r="J277" s="341"/>
      <c r="K277" s="341"/>
      <c r="L277" s="341"/>
      <c r="M277" s="341"/>
    </row>
    <row r="278" spans="9:13" ht="12.75" customHeight="1">
      <c r="I278" s="341"/>
      <c r="J278" s="341"/>
      <c r="K278" s="341"/>
      <c r="L278" s="341"/>
      <c r="M278" s="341"/>
    </row>
    <row r="279" spans="9:13" ht="12.75" customHeight="1">
      <c r="I279" s="341"/>
      <c r="J279" s="341"/>
      <c r="K279" s="341"/>
      <c r="L279" s="341"/>
      <c r="M279" s="341"/>
    </row>
    <row r="280" spans="9:13" ht="12.75" customHeight="1">
      <c r="I280" s="341"/>
      <c r="J280" s="341"/>
      <c r="K280" s="341"/>
      <c r="L280" s="341"/>
      <c r="M280" s="341"/>
    </row>
    <row r="281" spans="9:13" ht="12.75" customHeight="1">
      <c r="I281" s="341"/>
      <c r="J281" s="341"/>
      <c r="K281" s="341"/>
      <c r="L281" s="341"/>
      <c r="M281" s="341"/>
    </row>
    <row r="282" spans="9:13" ht="12.75" customHeight="1">
      <c r="I282" s="341"/>
      <c r="J282" s="341"/>
      <c r="K282" s="341"/>
      <c r="L282" s="341"/>
      <c r="M282" s="341"/>
    </row>
    <row r="283" spans="9:13" ht="12.75" customHeight="1">
      <c r="I283" s="341"/>
      <c r="J283" s="341"/>
      <c r="K283" s="341"/>
      <c r="L283" s="341"/>
      <c r="M283" s="341"/>
    </row>
    <row r="284" spans="9:13" ht="12.75" customHeight="1">
      <c r="I284" s="341"/>
      <c r="J284" s="341"/>
      <c r="K284" s="341"/>
      <c r="L284" s="341"/>
      <c r="M284" s="341"/>
    </row>
    <row r="285" spans="9:13" ht="12.75" customHeight="1">
      <c r="I285" s="341"/>
      <c r="J285" s="341"/>
      <c r="K285" s="341"/>
      <c r="L285" s="341"/>
      <c r="M285" s="341"/>
    </row>
    <row r="286" spans="9:13" ht="12.75" customHeight="1">
      <c r="I286" s="341"/>
      <c r="J286" s="341"/>
      <c r="K286" s="341"/>
      <c r="L286" s="341"/>
      <c r="M286" s="341"/>
    </row>
    <row r="287" spans="9:13" ht="12.75" customHeight="1">
      <c r="I287" s="341"/>
      <c r="J287" s="341"/>
      <c r="K287" s="341"/>
      <c r="L287" s="341"/>
      <c r="M287" s="341"/>
    </row>
    <row r="288" spans="9:13" ht="12.75" customHeight="1">
      <c r="I288" s="341"/>
      <c r="J288" s="341"/>
      <c r="K288" s="341"/>
      <c r="L288" s="341"/>
      <c r="M288" s="341"/>
    </row>
    <row r="289" spans="9:13" ht="12.75" customHeight="1">
      <c r="I289" s="341"/>
      <c r="J289" s="341"/>
      <c r="K289" s="341"/>
      <c r="L289" s="341"/>
      <c r="M289" s="341"/>
    </row>
    <row r="290" spans="9:13" ht="12.75" customHeight="1">
      <c r="I290" s="341"/>
      <c r="J290" s="341"/>
      <c r="K290" s="341"/>
      <c r="L290" s="341"/>
      <c r="M290" s="341"/>
    </row>
    <row r="291" spans="9:13" ht="12.75" customHeight="1">
      <c r="I291" s="341"/>
      <c r="J291" s="341"/>
      <c r="K291" s="341"/>
      <c r="L291" s="341"/>
      <c r="M291" s="341"/>
    </row>
    <row r="292" spans="9:13" ht="12.75" customHeight="1">
      <c r="I292" s="341"/>
      <c r="J292" s="341"/>
      <c r="K292" s="341"/>
      <c r="L292" s="341"/>
      <c r="M292" s="341"/>
    </row>
    <row r="293" spans="9:13" ht="12.75" customHeight="1">
      <c r="I293" s="341"/>
      <c r="J293" s="341"/>
      <c r="K293" s="341"/>
      <c r="L293" s="341"/>
      <c r="M293" s="341"/>
    </row>
    <row r="294" spans="9:13" ht="12.75" customHeight="1">
      <c r="I294" s="341"/>
      <c r="J294" s="341"/>
      <c r="K294" s="341"/>
      <c r="L294" s="341"/>
      <c r="M294" s="341"/>
    </row>
    <row r="295" spans="9:13" ht="12.75" customHeight="1">
      <c r="I295" s="341"/>
      <c r="J295" s="341"/>
      <c r="K295" s="341"/>
      <c r="L295" s="341"/>
      <c r="M295" s="341"/>
    </row>
    <row r="296" spans="9:13" ht="12.75" customHeight="1">
      <c r="I296" s="341"/>
      <c r="J296" s="341"/>
      <c r="K296" s="341"/>
      <c r="L296" s="341"/>
      <c r="M296" s="341"/>
    </row>
    <row r="297" spans="9:13" ht="12.75" customHeight="1">
      <c r="I297" s="341"/>
      <c r="J297" s="341"/>
      <c r="K297" s="341"/>
      <c r="L297" s="341"/>
      <c r="M297" s="341"/>
    </row>
    <row r="298" spans="9:13" ht="12.75" customHeight="1">
      <c r="I298" s="341"/>
      <c r="J298" s="341"/>
      <c r="K298" s="341"/>
      <c r="L298" s="341"/>
      <c r="M298" s="341"/>
    </row>
    <row r="299" spans="9:13" ht="12.75" customHeight="1">
      <c r="I299" s="341"/>
      <c r="J299" s="341"/>
      <c r="K299" s="341"/>
      <c r="L299" s="341"/>
      <c r="M299" s="341"/>
    </row>
    <row r="300" spans="9:13" ht="12.75" customHeight="1">
      <c r="I300" s="341"/>
      <c r="J300" s="341"/>
      <c r="K300" s="341"/>
      <c r="L300" s="341"/>
      <c r="M300" s="341"/>
    </row>
    <row r="301" spans="9:13" ht="12.75" customHeight="1">
      <c r="I301" s="341"/>
      <c r="J301" s="341"/>
      <c r="K301" s="341"/>
      <c r="L301" s="341"/>
      <c r="M301" s="341"/>
    </row>
    <row r="302" spans="9:13" ht="12.75" customHeight="1">
      <c r="I302" s="341"/>
      <c r="J302" s="341"/>
      <c r="K302" s="341"/>
      <c r="L302" s="341"/>
      <c r="M302" s="341"/>
    </row>
    <row r="303" spans="9:13" ht="12.75" customHeight="1">
      <c r="I303" s="341"/>
      <c r="J303" s="341"/>
      <c r="K303" s="341"/>
      <c r="L303" s="341"/>
      <c r="M303" s="341"/>
    </row>
    <row r="304" spans="9:13" ht="12.75" customHeight="1">
      <c r="I304" s="341"/>
      <c r="J304" s="341"/>
      <c r="K304" s="341"/>
      <c r="L304" s="341"/>
      <c r="M304" s="341"/>
    </row>
    <row r="305" spans="9:13" ht="12.75" customHeight="1">
      <c r="I305" s="341"/>
      <c r="J305" s="341"/>
      <c r="K305" s="341"/>
      <c r="L305" s="341"/>
      <c r="M305" s="341"/>
    </row>
    <row r="306" spans="9:13" ht="12.75" customHeight="1">
      <c r="I306" s="341"/>
      <c r="J306" s="341"/>
      <c r="K306" s="341"/>
      <c r="L306" s="341"/>
      <c r="M306" s="341"/>
    </row>
    <row r="307" spans="9:13" ht="12.75" customHeight="1">
      <c r="I307" s="341"/>
      <c r="J307" s="341"/>
      <c r="K307" s="341"/>
      <c r="L307" s="341"/>
      <c r="M307" s="341"/>
    </row>
    <row r="308" spans="9:13" ht="12.75" customHeight="1">
      <c r="I308" s="341"/>
      <c r="J308" s="341"/>
      <c r="K308" s="341"/>
      <c r="L308" s="341"/>
      <c r="M308" s="341"/>
    </row>
    <row r="309" spans="9:13" ht="12.75" customHeight="1">
      <c r="I309" s="341"/>
      <c r="J309" s="341"/>
      <c r="K309" s="341"/>
      <c r="L309" s="341"/>
      <c r="M309" s="341"/>
    </row>
    <row r="310" spans="9:13" ht="12.75" customHeight="1">
      <c r="I310" s="341"/>
      <c r="J310" s="341"/>
      <c r="K310" s="341"/>
      <c r="L310" s="341"/>
      <c r="M310" s="341"/>
    </row>
    <row r="311" spans="9:13" ht="12.75" customHeight="1">
      <c r="I311" s="341"/>
      <c r="J311" s="341"/>
      <c r="K311" s="341"/>
      <c r="L311" s="341"/>
      <c r="M311" s="341"/>
    </row>
    <row r="312" spans="9:13" ht="12.75" customHeight="1">
      <c r="I312" s="341"/>
      <c r="J312" s="341"/>
      <c r="K312" s="341"/>
      <c r="L312" s="341"/>
      <c r="M312" s="341"/>
    </row>
    <row r="313" spans="9:13" ht="12.75" customHeight="1">
      <c r="I313" s="341"/>
      <c r="J313" s="341"/>
      <c r="K313" s="341"/>
      <c r="L313" s="341"/>
      <c r="M313" s="341"/>
    </row>
    <row r="314" spans="9:13" ht="12.75" customHeight="1">
      <c r="I314" s="341"/>
      <c r="J314" s="341"/>
      <c r="K314" s="341"/>
      <c r="L314" s="341"/>
      <c r="M314" s="341"/>
    </row>
    <row r="315" spans="9:13" ht="12.75" customHeight="1">
      <c r="I315" s="341"/>
      <c r="J315" s="341"/>
      <c r="K315" s="341"/>
      <c r="L315" s="341"/>
      <c r="M315" s="341"/>
    </row>
    <row r="316" spans="9:13" ht="12.75" customHeight="1">
      <c r="I316" s="341"/>
      <c r="J316" s="341"/>
      <c r="K316" s="341"/>
      <c r="L316" s="341"/>
      <c r="M316" s="341"/>
    </row>
    <row r="317" spans="9:13" ht="12.75" customHeight="1">
      <c r="I317" s="341"/>
      <c r="J317" s="341"/>
      <c r="K317" s="341"/>
      <c r="L317" s="341"/>
      <c r="M317" s="341"/>
    </row>
    <row r="318" spans="9:13" ht="12.75" customHeight="1">
      <c r="I318" s="341"/>
      <c r="J318" s="341"/>
      <c r="K318" s="341"/>
      <c r="L318" s="341"/>
      <c r="M318" s="341"/>
    </row>
    <row r="319" spans="9:13" ht="12.75" customHeight="1">
      <c r="I319" s="341"/>
      <c r="J319" s="341"/>
      <c r="K319" s="341"/>
      <c r="L319" s="341"/>
      <c r="M319" s="341"/>
    </row>
    <row r="320" spans="9:13" ht="12.75" customHeight="1">
      <c r="I320" s="341"/>
      <c r="J320" s="341"/>
      <c r="K320" s="341"/>
      <c r="L320" s="341"/>
      <c r="M320" s="341"/>
    </row>
    <row r="321" spans="9:13" ht="12.75" customHeight="1">
      <c r="I321" s="341"/>
      <c r="J321" s="341"/>
      <c r="K321" s="341"/>
      <c r="L321" s="341"/>
      <c r="M321" s="341"/>
    </row>
    <row r="322" spans="9:13" ht="12.75" customHeight="1">
      <c r="I322" s="341"/>
      <c r="J322" s="341"/>
      <c r="K322" s="341"/>
      <c r="L322" s="341"/>
      <c r="M322" s="341"/>
    </row>
    <row r="323" spans="9:13" ht="12.75" customHeight="1">
      <c r="I323" s="341"/>
      <c r="J323" s="341"/>
      <c r="K323" s="341"/>
      <c r="L323" s="341"/>
      <c r="M323" s="341"/>
    </row>
    <row r="324" spans="9:13" ht="12.75" customHeight="1">
      <c r="I324" s="341"/>
      <c r="J324" s="341"/>
      <c r="K324" s="341"/>
      <c r="L324" s="341"/>
      <c r="M324" s="341"/>
    </row>
    <row r="325" spans="9:13" ht="12.75" customHeight="1">
      <c r="I325" s="341"/>
      <c r="J325" s="341"/>
      <c r="K325" s="341"/>
      <c r="L325" s="341"/>
      <c r="M325" s="341"/>
    </row>
    <row r="326" spans="9:13" ht="12.75" customHeight="1">
      <c r="I326" s="341"/>
      <c r="J326" s="341"/>
      <c r="K326" s="341"/>
      <c r="L326" s="341"/>
      <c r="M326" s="341"/>
    </row>
    <row r="327" spans="9:13" ht="12.75" customHeight="1">
      <c r="I327" s="341"/>
      <c r="J327" s="341"/>
      <c r="K327" s="341"/>
      <c r="L327" s="341"/>
      <c r="M327" s="341"/>
    </row>
    <row r="328" spans="9:13" ht="12.75" customHeight="1">
      <c r="I328" s="341"/>
      <c r="J328" s="341"/>
      <c r="K328" s="341"/>
      <c r="L328" s="341"/>
      <c r="M328" s="341"/>
    </row>
    <row r="329" spans="9:13" ht="12.75" customHeight="1">
      <c r="I329" s="341"/>
      <c r="J329" s="341"/>
      <c r="K329" s="341"/>
      <c r="L329" s="341"/>
      <c r="M329" s="341"/>
    </row>
    <row r="330" spans="9:13" ht="12.75" customHeight="1">
      <c r="I330" s="341"/>
      <c r="J330" s="341"/>
      <c r="K330" s="341"/>
      <c r="L330" s="341"/>
      <c r="M330" s="341"/>
    </row>
    <row r="331" spans="9:13" ht="12.75" customHeight="1">
      <c r="I331" s="341"/>
      <c r="J331" s="341"/>
      <c r="K331" s="341"/>
      <c r="L331" s="341"/>
      <c r="M331" s="341"/>
    </row>
    <row r="332" spans="9:13" ht="12.75" customHeight="1">
      <c r="I332" s="341"/>
      <c r="J332" s="341"/>
      <c r="K332" s="341"/>
      <c r="L332" s="341"/>
      <c r="M332" s="341"/>
    </row>
    <row r="333" spans="9:13" ht="12.75" customHeight="1">
      <c r="I333" s="341"/>
      <c r="J333" s="341"/>
      <c r="K333" s="341"/>
      <c r="L333" s="341"/>
      <c r="M333" s="341"/>
    </row>
    <row r="334" spans="9:13" ht="12.75" customHeight="1">
      <c r="I334" s="341"/>
      <c r="J334" s="341"/>
      <c r="K334" s="341"/>
      <c r="L334" s="341"/>
      <c r="M334" s="341"/>
    </row>
    <row r="335" spans="9:13" ht="12.75" customHeight="1">
      <c r="I335" s="341"/>
      <c r="J335" s="341"/>
      <c r="K335" s="341"/>
      <c r="L335" s="341"/>
      <c r="M335" s="341"/>
    </row>
    <row r="336" spans="9:13" ht="12.75" customHeight="1">
      <c r="I336" s="341"/>
      <c r="J336" s="341"/>
      <c r="K336" s="341"/>
      <c r="L336" s="341"/>
      <c r="M336" s="341"/>
    </row>
    <row r="337" spans="9:13" ht="12.75" customHeight="1">
      <c r="I337" s="341"/>
      <c r="J337" s="341"/>
      <c r="K337" s="341"/>
      <c r="L337" s="341"/>
      <c r="M337" s="341"/>
    </row>
    <row r="338" spans="9:13" ht="12.75" customHeight="1">
      <c r="I338" s="341"/>
      <c r="J338" s="341"/>
      <c r="K338" s="341"/>
      <c r="L338" s="341"/>
      <c r="M338" s="341"/>
    </row>
    <row r="339" spans="9:13" ht="12.75" customHeight="1">
      <c r="I339" s="341"/>
      <c r="J339" s="341"/>
      <c r="K339" s="341"/>
      <c r="L339" s="341"/>
      <c r="M339" s="341"/>
    </row>
    <row r="340" spans="9:13" ht="12.75" customHeight="1">
      <c r="I340" s="341"/>
      <c r="J340" s="341"/>
      <c r="K340" s="341"/>
      <c r="L340" s="341"/>
      <c r="M340" s="341"/>
    </row>
    <row r="341" spans="9:13" ht="12.75" customHeight="1">
      <c r="I341" s="341"/>
      <c r="J341" s="341"/>
      <c r="K341" s="341"/>
      <c r="L341" s="341"/>
      <c r="M341" s="341"/>
    </row>
    <row r="342" spans="9:13" ht="12.75" customHeight="1">
      <c r="I342" s="341"/>
      <c r="J342" s="341"/>
      <c r="K342" s="341"/>
      <c r="L342" s="341"/>
      <c r="M342" s="341"/>
    </row>
    <row r="343" spans="9:13" ht="12.75" customHeight="1">
      <c r="I343" s="341"/>
      <c r="J343" s="341"/>
      <c r="K343" s="341"/>
      <c r="L343" s="341"/>
      <c r="M343" s="341"/>
    </row>
    <row r="344" spans="9:13" ht="12.75" customHeight="1">
      <c r="I344" s="341"/>
      <c r="J344" s="341"/>
      <c r="K344" s="341"/>
      <c r="L344" s="341"/>
      <c r="M344" s="341"/>
    </row>
    <row r="345" spans="9:13" ht="12.75" customHeight="1">
      <c r="I345" s="341"/>
      <c r="J345" s="341"/>
      <c r="K345" s="341"/>
      <c r="L345" s="341"/>
      <c r="M345" s="341"/>
    </row>
    <row r="346" spans="9:13" ht="12.75" customHeight="1">
      <c r="I346" s="341"/>
      <c r="J346" s="341"/>
      <c r="K346" s="341"/>
      <c r="L346" s="341"/>
      <c r="M346" s="341"/>
    </row>
    <row r="347" spans="9:13" ht="12.75" customHeight="1">
      <c r="I347" s="341"/>
      <c r="J347" s="341"/>
      <c r="K347" s="341"/>
      <c r="L347" s="341"/>
      <c r="M347" s="341"/>
    </row>
    <row r="348" spans="9:13" ht="12.75" customHeight="1">
      <c r="I348" s="341"/>
      <c r="J348" s="341"/>
      <c r="K348" s="341"/>
      <c r="L348" s="341"/>
      <c r="M348" s="341"/>
    </row>
    <row r="349" spans="9:13" ht="12.75" customHeight="1">
      <c r="I349" s="341"/>
      <c r="J349" s="341"/>
      <c r="K349" s="341"/>
      <c r="L349" s="341"/>
      <c r="M349" s="341"/>
    </row>
    <row r="350" spans="9:13" ht="12.75" customHeight="1">
      <c r="I350" s="341"/>
      <c r="J350" s="341"/>
      <c r="K350" s="341"/>
      <c r="L350" s="341"/>
      <c r="M350" s="341"/>
    </row>
    <row r="351" spans="9:13" ht="12.75" customHeight="1">
      <c r="I351" s="341"/>
      <c r="J351" s="341"/>
      <c r="K351" s="341"/>
      <c r="L351" s="341"/>
      <c r="M351" s="341"/>
    </row>
    <row r="352" spans="9:13" ht="12.75" customHeight="1">
      <c r="I352" s="341"/>
      <c r="J352" s="341"/>
      <c r="K352" s="341"/>
      <c r="L352" s="341"/>
      <c r="M352" s="341"/>
    </row>
    <row r="353" spans="9:13" ht="12.75" customHeight="1">
      <c r="I353" s="341"/>
      <c r="J353" s="341"/>
      <c r="K353" s="341"/>
      <c r="L353" s="341"/>
      <c r="M353" s="341"/>
    </row>
    <row r="354" spans="9:13" ht="12.75" customHeight="1">
      <c r="I354" s="341"/>
      <c r="J354" s="341"/>
      <c r="K354" s="341"/>
      <c r="L354" s="341"/>
      <c r="M354" s="341"/>
    </row>
    <row r="355" spans="9:13" ht="12.75" customHeight="1">
      <c r="I355" s="341"/>
      <c r="J355" s="341"/>
      <c r="K355" s="341"/>
      <c r="L355" s="341"/>
      <c r="M355" s="341"/>
    </row>
    <row r="356" spans="9:13" ht="12.75" customHeight="1">
      <c r="I356" s="341"/>
      <c r="J356" s="341"/>
      <c r="K356" s="341"/>
      <c r="L356" s="341"/>
      <c r="M356" s="341"/>
    </row>
    <row r="357" spans="9:13" ht="12.75" customHeight="1">
      <c r="I357" s="341"/>
      <c r="J357" s="341"/>
      <c r="K357" s="341"/>
      <c r="L357" s="341"/>
      <c r="M357" s="341"/>
    </row>
    <row r="358" spans="9:13" ht="12.75" customHeight="1">
      <c r="I358" s="341"/>
      <c r="J358" s="341"/>
      <c r="K358" s="341"/>
      <c r="L358" s="341"/>
      <c r="M358" s="341"/>
    </row>
    <row r="359" spans="9:13" ht="12.75" customHeight="1">
      <c r="I359" s="341"/>
      <c r="J359" s="341"/>
      <c r="K359" s="341"/>
      <c r="L359" s="341"/>
      <c r="M359" s="341"/>
    </row>
    <row r="360" spans="9:13" ht="12.75" customHeight="1">
      <c r="I360" s="341"/>
      <c r="J360" s="341"/>
      <c r="K360" s="341"/>
      <c r="L360" s="341"/>
      <c r="M360" s="341"/>
    </row>
    <row r="361" spans="9:13" ht="12.75" customHeight="1">
      <c r="I361" s="341"/>
      <c r="J361" s="341"/>
      <c r="K361" s="341"/>
      <c r="L361" s="341"/>
      <c r="M361" s="341"/>
    </row>
    <row r="362" spans="9:13" ht="12.75" customHeight="1">
      <c r="I362" s="341"/>
      <c r="J362" s="341"/>
      <c r="K362" s="341"/>
      <c r="L362" s="341"/>
      <c r="M362" s="341"/>
    </row>
    <row r="363" spans="9:13" ht="12.75" customHeight="1">
      <c r="I363" s="341"/>
      <c r="J363" s="341"/>
      <c r="K363" s="341"/>
      <c r="L363" s="341"/>
      <c r="M363" s="341"/>
    </row>
    <row r="364" spans="9:13" ht="12.75" customHeight="1">
      <c r="I364" s="341"/>
      <c r="J364" s="341"/>
      <c r="K364" s="341"/>
      <c r="L364" s="341"/>
      <c r="M364" s="341"/>
    </row>
    <row r="365" spans="9:13" ht="12.75" customHeight="1">
      <c r="I365" s="341"/>
      <c r="J365" s="341"/>
      <c r="K365" s="341"/>
      <c r="L365" s="341"/>
      <c r="M365" s="341"/>
    </row>
    <row r="366" spans="9:13" ht="12.75" customHeight="1">
      <c r="I366" s="341"/>
      <c r="J366" s="341"/>
      <c r="K366" s="341"/>
      <c r="L366" s="341"/>
      <c r="M366" s="341"/>
    </row>
    <row r="367" spans="9:13" ht="12.75" customHeight="1">
      <c r="I367" s="341"/>
      <c r="J367" s="341"/>
      <c r="K367" s="341"/>
      <c r="L367" s="341"/>
      <c r="M367" s="341"/>
    </row>
    <row r="368" spans="9:13" ht="12.75" customHeight="1">
      <c r="I368" s="341"/>
      <c r="J368" s="341"/>
      <c r="K368" s="341"/>
      <c r="L368" s="341"/>
      <c r="M368" s="341"/>
    </row>
    <row r="369" spans="9:13" ht="12.75" customHeight="1">
      <c r="I369" s="341"/>
      <c r="J369" s="341"/>
      <c r="K369" s="341"/>
      <c r="L369" s="341"/>
      <c r="M369" s="341"/>
    </row>
    <row r="370" spans="9:13" ht="12.75" customHeight="1">
      <c r="I370" s="341"/>
      <c r="J370" s="341"/>
      <c r="K370" s="341"/>
      <c r="L370" s="341"/>
      <c r="M370" s="341"/>
    </row>
    <row r="371" spans="9:13" ht="12.75" customHeight="1">
      <c r="I371" s="341"/>
      <c r="J371" s="341"/>
      <c r="K371" s="341"/>
      <c r="L371" s="341"/>
      <c r="M371" s="341"/>
    </row>
    <row r="372" spans="9:13" ht="12.75" customHeight="1">
      <c r="I372" s="341"/>
      <c r="J372" s="341"/>
      <c r="K372" s="341"/>
      <c r="L372" s="341"/>
      <c r="M372" s="341"/>
    </row>
    <row r="373" spans="9:13" ht="12.75" customHeight="1">
      <c r="I373" s="341"/>
      <c r="J373" s="341"/>
      <c r="K373" s="341"/>
      <c r="L373" s="341"/>
      <c r="M373" s="341"/>
    </row>
    <row r="374" spans="9:13" ht="12.75" customHeight="1">
      <c r="I374" s="341"/>
      <c r="J374" s="341"/>
      <c r="K374" s="341"/>
      <c r="L374" s="341"/>
      <c r="M374" s="341"/>
    </row>
    <row r="375" spans="9:13" ht="12.75" customHeight="1">
      <c r="I375" s="341"/>
      <c r="J375" s="341"/>
      <c r="K375" s="341"/>
      <c r="L375" s="341"/>
      <c r="M375" s="341"/>
    </row>
    <row r="376" spans="9:13" ht="12.75" customHeight="1">
      <c r="I376" s="341"/>
      <c r="J376" s="341"/>
      <c r="K376" s="341"/>
      <c r="L376" s="341"/>
      <c r="M376" s="341"/>
    </row>
    <row r="377" spans="9:13" ht="12.75" customHeight="1">
      <c r="I377" s="341"/>
      <c r="J377" s="341"/>
      <c r="K377" s="341"/>
      <c r="L377" s="341"/>
      <c r="M377" s="341"/>
    </row>
    <row r="378" spans="9:13" ht="12.75" customHeight="1">
      <c r="I378" s="341"/>
      <c r="J378" s="341"/>
      <c r="K378" s="341"/>
      <c r="L378" s="341"/>
      <c r="M378" s="341"/>
    </row>
    <row r="379" spans="9:13" ht="12.75" customHeight="1">
      <c r="I379" s="341"/>
      <c r="J379" s="341"/>
      <c r="K379" s="341"/>
      <c r="L379" s="341"/>
      <c r="M379" s="341"/>
    </row>
    <row r="380" spans="9:13" ht="12.75" customHeight="1">
      <c r="I380" s="341"/>
      <c r="J380" s="341"/>
      <c r="K380" s="341"/>
      <c r="L380" s="341"/>
      <c r="M380" s="341"/>
    </row>
    <row r="381" spans="9:13" ht="12.75" customHeight="1">
      <c r="I381" s="341"/>
      <c r="J381" s="341"/>
      <c r="K381" s="341"/>
      <c r="L381" s="341"/>
      <c r="M381" s="341"/>
    </row>
    <row r="382" spans="9:13" ht="12.75" customHeight="1">
      <c r="I382" s="341"/>
      <c r="J382" s="341"/>
      <c r="K382" s="341"/>
      <c r="L382" s="341"/>
      <c r="M382" s="341"/>
    </row>
    <row r="383" spans="9:13" ht="12.75" customHeight="1">
      <c r="I383" s="341"/>
      <c r="J383" s="341"/>
      <c r="K383" s="341"/>
      <c r="L383" s="341"/>
      <c r="M383" s="341"/>
    </row>
    <row r="384" spans="9:13" ht="12.75" customHeight="1">
      <c r="I384" s="341"/>
      <c r="J384" s="341"/>
      <c r="K384" s="341"/>
      <c r="L384" s="341"/>
      <c r="M384" s="341"/>
    </row>
    <row r="385" spans="9:13" ht="12.75" customHeight="1">
      <c r="I385" s="341"/>
      <c r="J385" s="341"/>
      <c r="K385" s="341"/>
      <c r="L385" s="341"/>
      <c r="M385" s="341"/>
    </row>
    <row r="386" spans="9:13" ht="12.75" customHeight="1">
      <c r="I386" s="341"/>
      <c r="J386" s="341"/>
      <c r="K386" s="341"/>
      <c r="L386" s="341"/>
      <c r="M386" s="341"/>
    </row>
    <row r="387" spans="9:13" ht="12.75" customHeight="1">
      <c r="I387" s="341"/>
      <c r="J387" s="341"/>
      <c r="K387" s="341"/>
      <c r="L387" s="341"/>
      <c r="M387" s="341"/>
    </row>
    <row r="388" spans="9:13" ht="12.75" customHeight="1">
      <c r="I388" s="341"/>
      <c r="J388" s="341"/>
      <c r="K388" s="341"/>
      <c r="L388" s="341"/>
      <c r="M388" s="341"/>
    </row>
    <row r="389" spans="9:13" ht="12.75" customHeight="1">
      <c r="I389" s="341"/>
      <c r="J389" s="341"/>
      <c r="K389" s="341"/>
      <c r="L389" s="341"/>
      <c r="M389" s="341"/>
    </row>
    <row r="390" spans="9:13" ht="12.75" customHeight="1">
      <c r="I390" s="341"/>
      <c r="J390" s="341"/>
      <c r="K390" s="341"/>
      <c r="L390" s="341"/>
      <c r="M390" s="341"/>
    </row>
    <row r="391" spans="9:13" ht="12.75" customHeight="1">
      <c r="I391" s="341"/>
      <c r="J391" s="341"/>
      <c r="K391" s="341"/>
      <c r="L391" s="341"/>
      <c r="M391" s="341"/>
    </row>
    <row r="392" spans="9:13" ht="12.75" customHeight="1">
      <c r="I392" s="341"/>
      <c r="J392" s="341"/>
      <c r="K392" s="341"/>
      <c r="L392" s="341"/>
      <c r="M392" s="341"/>
    </row>
    <row r="393" spans="9:13" ht="12.75" customHeight="1">
      <c r="I393" s="341"/>
      <c r="J393" s="341"/>
      <c r="K393" s="341"/>
      <c r="L393" s="341"/>
      <c r="M393" s="341"/>
    </row>
    <row r="394" spans="9:13" ht="12.75" customHeight="1">
      <c r="I394" s="341"/>
      <c r="J394" s="341"/>
      <c r="K394" s="341"/>
      <c r="L394" s="341"/>
      <c r="M394" s="341"/>
    </row>
    <row r="395" spans="9:13" ht="12.75" customHeight="1">
      <c r="I395" s="341"/>
      <c r="J395" s="341"/>
      <c r="K395" s="341"/>
      <c r="L395" s="341"/>
      <c r="M395" s="341"/>
    </row>
    <row r="396" spans="9:13" ht="12.75" customHeight="1">
      <c r="I396" s="341"/>
      <c r="J396" s="341"/>
      <c r="K396" s="341"/>
      <c r="L396" s="341"/>
      <c r="M396" s="341"/>
    </row>
    <row r="397" spans="9:13" ht="12.75" customHeight="1">
      <c r="I397" s="341"/>
      <c r="J397" s="341"/>
      <c r="K397" s="341"/>
      <c r="L397" s="341"/>
      <c r="M397" s="341"/>
    </row>
    <row r="398" spans="9:13" ht="12.75" customHeight="1">
      <c r="I398" s="341"/>
      <c r="J398" s="341"/>
      <c r="K398" s="341"/>
      <c r="L398" s="341"/>
      <c r="M398" s="341"/>
    </row>
  </sheetData>
  <mergeCells count="509">
    <mergeCell ref="F6:F7"/>
    <mergeCell ref="K8:K9"/>
    <mergeCell ref="L8:L9"/>
    <mergeCell ref="M8:M9"/>
    <mergeCell ref="M6:M7"/>
    <mergeCell ref="N7:N8"/>
    <mergeCell ref="P7:P8"/>
    <mergeCell ref="A8:A9"/>
    <mergeCell ref="B8:B9"/>
    <mergeCell ref="C8:C9"/>
    <mergeCell ref="D8:D9"/>
    <mergeCell ref="E8:E9"/>
    <mergeCell ref="F8:F9"/>
    <mergeCell ref="G8:G9"/>
    <mergeCell ref="G6:G7"/>
    <mergeCell ref="H6:H7"/>
    <mergeCell ref="I6:I7"/>
    <mergeCell ref="J6:J7"/>
    <mergeCell ref="K6:K7"/>
    <mergeCell ref="L6:L7"/>
    <mergeCell ref="A6:A7"/>
    <mergeCell ref="B6:B7"/>
    <mergeCell ref="C6:C7"/>
    <mergeCell ref="D6:D7"/>
    <mergeCell ref="E6:E7"/>
    <mergeCell ref="C10:C11"/>
    <mergeCell ref="D10:D11"/>
    <mergeCell ref="E10:E11"/>
    <mergeCell ref="F10:F11"/>
    <mergeCell ref="G10:G11"/>
    <mergeCell ref="H10:H11"/>
    <mergeCell ref="H8:H9"/>
    <mergeCell ref="I8:I9"/>
    <mergeCell ref="J8:J9"/>
    <mergeCell ref="P11:P12"/>
    <mergeCell ref="A12:A13"/>
    <mergeCell ref="B12:B13"/>
    <mergeCell ref="C12:C13"/>
    <mergeCell ref="D12:D13"/>
    <mergeCell ref="E12:E13"/>
    <mergeCell ref="F12:F13"/>
    <mergeCell ref="G12:G13"/>
    <mergeCell ref="H12:H13"/>
    <mergeCell ref="I12:I13"/>
    <mergeCell ref="I10:I11"/>
    <mergeCell ref="J10:J11"/>
    <mergeCell ref="K10:K11"/>
    <mergeCell ref="L10:L11"/>
    <mergeCell ref="M10:M11"/>
    <mergeCell ref="N11:N12"/>
    <mergeCell ref="J12:J13"/>
    <mergeCell ref="K12:K13"/>
    <mergeCell ref="L12:L13"/>
    <mergeCell ref="M12:M13"/>
    <mergeCell ref="N9:N10"/>
    <mergeCell ref="P9:P10"/>
    <mergeCell ref="A10:A11"/>
    <mergeCell ref="B10:B11"/>
    <mergeCell ref="L16:L17"/>
    <mergeCell ref="M16:M17"/>
    <mergeCell ref="N13:N14"/>
    <mergeCell ref="P13:P14"/>
    <mergeCell ref="A14:A15"/>
    <mergeCell ref="B14:B15"/>
    <mergeCell ref="C14:C15"/>
    <mergeCell ref="D14:D15"/>
    <mergeCell ref="E14:E15"/>
    <mergeCell ref="F14:F15"/>
    <mergeCell ref="G14:G15"/>
    <mergeCell ref="H14:H15"/>
    <mergeCell ref="C18:C19"/>
    <mergeCell ref="D18:D19"/>
    <mergeCell ref="E18:E19"/>
    <mergeCell ref="F18:F19"/>
    <mergeCell ref="G18:G19"/>
    <mergeCell ref="H18:H19"/>
    <mergeCell ref="P15:P16"/>
    <mergeCell ref="A16:A17"/>
    <mergeCell ref="B16:B17"/>
    <mergeCell ref="C16:C17"/>
    <mergeCell ref="D16:D17"/>
    <mergeCell ref="E16:E17"/>
    <mergeCell ref="F16:F17"/>
    <mergeCell ref="G16:G17"/>
    <mergeCell ref="H16:H17"/>
    <mergeCell ref="I16:I17"/>
    <mergeCell ref="I14:I15"/>
    <mergeCell ref="J14:J15"/>
    <mergeCell ref="K14:K15"/>
    <mergeCell ref="L14:L15"/>
    <mergeCell ref="M14:M15"/>
    <mergeCell ref="N15:N16"/>
    <mergeCell ref="J16:J17"/>
    <mergeCell ref="K16:K17"/>
    <mergeCell ref="P19:P20"/>
    <mergeCell ref="A20:A21"/>
    <mergeCell ref="B20:B21"/>
    <mergeCell ref="C20:C21"/>
    <mergeCell ref="D20:D21"/>
    <mergeCell ref="E20:E21"/>
    <mergeCell ref="F20:F21"/>
    <mergeCell ref="G20:G21"/>
    <mergeCell ref="H20:H21"/>
    <mergeCell ref="I20:I21"/>
    <mergeCell ref="I18:I19"/>
    <mergeCell ref="J18:J19"/>
    <mergeCell ref="K18:K19"/>
    <mergeCell ref="L18:L19"/>
    <mergeCell ref="M18:M19"/>
    <mergeCell ref="N19:N20"/>
    <mergeCell ref="J20:J21"/>
    <mergeCell ref="K20:K21"/>
    <mergeCell ref="L20:L21"/>
    <mergeCell ref="M20:M21"/>
    <mergeCell ref="N17:N18"/>
    <mergeCell ref="P17:P18"/>
    <mergeCell ref="A18:A19"/>
    <mergeCell ref="B18:B19"/>
    <mergeCell ref="L22:L23"/>
    <mergeCell ref="M22:M23"/>
    <mergeCell ref="N23:N24"/>
    <mergeCell ref="C24:C25"/>
    <mergeCell ref="D24:D25"/>
    <mergeCell ref="E24:E25"/>
    <mergeCell ref="F24:F25"/>
    <mergeCell ref="G24:G25"/>
    <mergeCell ref="H24:H25"/>
    <mergeCell ref="I24:I25"/>
    <mergeCell ref="N21:N22"/>
    <mergeCell ref="C22:C23"/>
    <mergeCell ref="D22:D23"/>
    <mergeCell ref="E22:E23"/>
    <mergeCell ref="F22:F23"/>
    <mergeCell ref="G22:G23"/>
    <mergeCell ref="H22:H23"/>
    <mergeCell ref="I22:I23"/>
    <mergeCell ref="J22:J23"/>
    <mergeCell ref="K22:K23"/>
    <mergeCell ref="J24:J25"/>
    <mergeCell ref="K24:K25"/>
    <mergeCell ref="L24:L25"/>
    <mergeCell ref="M24:M25"/>
    <mergeCell ref="A34:A35"/>
    <mergeCell ref="B34:B35"/>
    <mergeCell ref="C34:C35"/>
    <mergeCell ref="D34:D35"/>
    <mergeCell ref="E34:E35"/>
    <mergeCell ref="F34:F35"/>
    <mergeCell ref="K36:K37"/>
    <mergeCell ref="L36:L37"/>
    <mergeCell ref="M36:M37"/>
    <mergeCell ref="M34:M35"/>
    <mergeCell ref="N35:N36"/>
    <mergeCell ref="P35:P36"/>
    <mergeCell ref="A36:A37"/>
    <mergeCell ref="B36:B37"/>
    <mergeCell ref="C36:C37"/>
    <mergeCell ref="D36:D37"/>
    <mergeCell ref="E36:E37"/>
    <mergeCell ref="F36:F37"/>
    <mergeCell ref="G36:G37"/>
    <mergeCell ref="G34:G35"/>
    <mergeCell ref="H34:H35"/>
    <mergeCell ref="I34:I35"/>
    <mergeCell ref="J34:J35"/>
    <mergeCell ref="K34:K35"/>
    <mergeCell ref="L34:L35"/>
    <mergeCell ref="C38:C39"/>
    <mergeCell ref="D38:D39"/>
    <mergeCell ref="E38:E39"/>
    <mergeCell ref="F38:F39"/>
    <mergeCell ref="G38:G39"/>
    <mergeCell ref="H38:H39"/>
    <mergeCell ref="H36:H37"/>
    <mergeCell ref="I36:I37"/>
    <mergeCell ref="J36:J37"/>
    <mergeCell ref="P39:P40"/>
    <mergeCell ref="A40:A41"/>
    <mergeCell ref="B40:B41"/>
    <mergeCell ref="C40:C41"/>
    <mergeCell ref="D40:D41"/>
    <mergeCell ref="E40:E41"/>
    <mergeCell ref="F40:F41"/>
    <mergeCell ref="G40:G41"/>
    <mergeCell ref="H40:H41"/>
    <mergeCell ref="I40:I41"/>
    <mergeCell ref="I38:I39"/>
    <mergeCell ref="J38:J39"/>
    <mergeCell ref="K38:K39"/>
    <mergeCell ref="L38:L39"/>
    <mergeCell ref="M38:M39"/>
    <mergeCell ref="N39:N40"/>
    <mergeCell ref="J40:J41"/>
    <mergeCell ref="K40:K41"/>
    <mergeCell ref="L40:L41"/>
    <mergeCell ref="M40:M41"/>
    <mergeCell ref="N37:N38"/>
    <mergeCell ref="P37:P38"/>
    <mergeCell ref="A38:A39"/>
    <mergeCell ref="B38:B39"/>
    <mergeCell ref="L44:L45"/>
    <mergeCell ref="M44:M45"/>
    <mergeCell ref="N41:N42"/>
    <mergeCell ref="P41:P42"/>
    <mergeCell ref="A42:A43"/>
    <mergeCell ref="B42:B43"/>
    <mergeCell ref="C42:C43"/>
    <mergeCell ref="D42:D43"/>
    <mergeCell ref="E42:E43"/>
    <mergeCell ref="F42:F43"/>
    <mergeCell ref="G42:G43"/>
    <mergeCell ref="H42:H43"/>
    <mergeCell ref="C46:C47"/>
    <mergeCell ref="D46:D47"/>
    <mergeCell ref="E46:E47"/>
    <mergeCell ref="F46:F47"/>
    <mergeCell ref="G46:G47"/>
    <mergeCell ref="H46:H47"/>
    <mergeCell ref="P43:P44"/>
    <mergeCell ref="A44:A45"/>
    <mergeCell ref="B44:B45"/>
    <mergeCell ref="C44:C45"/>
    <mergeCell ref="D44:D45"/>
    <mergeCell ref="E44:E45"/>
    <mergeCell ref="F44:F45"/>
    <mergeCell ref="G44:G45"/>
    <mergeCell ref="H44:H45"/>
    <mergeCell ref="I44:I45"/>
    <mergeCell ref="I42:I43"/>
    <mergeCell ref="J42:J43"/>
    <mergeCell ref="K42:K43"/>
    <mergeCell ref="L42:L43"/>
    <mergeCell ref="M42:M43"/>
    <mergeCell ref="N43:N44"/>
    <mergeCell ref="J44:J45"/>
    <mergeCell ref="K44:K45"/>
    <mergeCell ref="P47:P48"/>
    <mergeCell ref="A48:A49"/>
    <mergeCell ref="B48:B49"/>
    <mergeCell ref="C48:C49"/>
    <mergeCell ref="D48:D49"/>
    <mergeCell ref="E48:E49"/>
    <mergeCell ref="F48:F49"/>
    <mergeCell ref="G48:G49"/>
    <mergeCell ref="H48:H49"/>
    <mergeCell ref="I48:I49"/>
    <mergeCell ref="I46:I47"/>
    <mergeCell ref="J46:J47"/>
    <mergeCell ref="K46:K47"/>
    <mergeCell ref="L46:L47"/>
    <mergeCell ref="M46:M47"/>
    <mergeCell ref="N47:N48"/>
    <mergeCell ref="J48:J49"/>
    <mergeCell ref="K48:K49"/>
    <mergeCell ref="L48:L49"/>
    <mergeCell ref="M48:M49"/>
    <mergeCell ref="N45:N46"/>
    <mergeCell ref="P45:P46"/>
    <mergeCell ref="A46:A47"/>
    <mergeCell ref="B46:B47"/>
    <mergeCell ref="L50:L51"/>
    <mergeCell ref="M50:M51"/>
    <mergeCell ref="N51:N52"/>
    <mergeCell ref="C52:C53"/>
    <mergeCell ref="D52:D53"/>
    <mergeCell ref="E52:E53"/>
    <mergeCell ref="F52:F53"/>
    <mergeCell ref="G52:G53"/>
    <mergeCell ref="H52:H53"/>
    <mergeCell ref="I52:I53"/>
    <mergeCell ref="N49:N50"/>
    <mergeCell ref="C50:C51"/>
    <mergeCell ref="D50:D51"/>
    <mergeCell ref="E50:E51"/>
    <mergeCell ref="F50:F51"/>
    <mergeCell ref="G50:G51"/>
    <mergeCell ref="H50:H51"/>
    <mergeCell ref="I50:I51"/>
    <mergeCell ref="J50:J51"/>
    <mergeCell ref="K50:K51"/>
    <mergeCell ref="J52:J53"/>
    <mergeCell ref="K52:K53"/>
    <mergeCell ref="L52:L53"/>
    <mergeCell ref="M52:M53"/>
    <mergeCell ref="A62:A63"/>
    <mergeCell ref="B62:B63"/>
    <mergeCell ref="C62:C63"/>
    <mergeCell ref="D62:D63"/>
    <mergeCell ref="E62:E63"/>
    <mergeCell ref="F62:F63"/>
    <mergeCell ref="K64:K65"/>
    <mergeCell ref="L64:L65"/>
    <mergeCell ref="M64:M65"/>
    <mergeCell ref="M62:M63"/>
    <mergeCell ref="N63:N64"/>
    <mergeCell ref="P63:P64"/>
    <mergeCell ref="A64:A65"/>
    <mergeCell ref="B64:B65"/>
    <mergeCell ref="C64:C65"/>
    <mergeCell ref="D64:D65"/>
    <mergeCell ref="E64:E65"/>
    <mergeCell ref="F64:F65"/>
    <mergeCell ref="G64:G65"/>
    <mergeCell ref="G62:G63"/>
    <mergeCell ref="H62:H63"/>
    <mergeCell ref="I62:I63"/>
    <mergeCell ref="J62:J63"/>
    <mergeCell ref="K62:K63"/>
    <mergeCell ref="L62:L63"/>
    <mergeCell ref="C66:C67"/>
    <mergeCell ref="D66:D67"/>
    <mergeCell ref="E66:E67"/>
    <mergeCell ref="F66:F67"/>
    <mergeCell ref="G66:G67"/>
    <mergeCell ref="H66:H67"/>
    <mergeCell ref="H64:H65"/>
    <mergeCell ref="I64:I65"/>
    <mergeCell ref="J64:J65"/>
    <mergeCell ref="P67:P68"/>
    <mergeCell ref="A68:A69"/>
    <mergeCell ref="B68:B69"/>
    <mergeCell ref="C68:C69"/>
    <mergeCell ref="D68:D69"/>
    <mergeCell ref="E68:E69"/>
    <mergeCell ref="F68:F69"/>
    <mergeCell ref="G68:G69"/>
    <mergeCell ref="H68:H69"/>
    <mergeCell ref="I68:I69"/>
    <mergeCell ref="I66:I67"/>
    <mergeCell ref="J66:J67"/>
    <mergeCell ref="K66:K67"/>
    <mergeCell ref="L66:L67"/>
    <mergeCell ref="M66:M67"/>
    <mergeCell ref="N67:N68"/>
    <mergeCell ref="J68:J69"/>
    <mergeCell ref="K68:K69"/>
    <mergeCell ref="L68:L69"/>
    <mergeCell ref="M68:M69"/>
    <mergeCell ref="N65:N66"/>
    <mergeCell ref="P65:P66"/>
    <mergeCell ref="A66:A67"/>
    <mergeCell ref="B66:B67"/>
    <mergeCell ref="L72:L73"/>
    <mergeCell ref="M72:M73"/>
    <mergeCell ref="N69:N70"/>
    <mergeCell ref="P69:P70"/>
    <mergeCell ref="A70:A71"/>
    <mergeCell ref="B70:B71"/>
    <mergeCell ref="C70:C71"/>
    <mergeCell ref="D70:D71"/>
    <mergeCell ref="E70:E71"/>
    <mergeCell ref="F70:F71"/>
    <mergeCell ref="G70:G71"/>
    <mergeCell ref="H70:H71"/>
    <mergeCell ref="C74:C75"/>
    <mergeCell ref="D74:D75"/>
    <mergeCell ref="E74:E75"/>
    <mergeCell ref="F74:F75"/>
    <mergeCell ref="G74:G75"/>
    <mergeCell ref="H74:H75"/>
    <mergeCell ref="P71:P72"/>
    <mergeCell ref="A72:A73"/>
    <mergeCell ref="B72:B73"/>
    <mergeCell ref="C72:C73"/>
    <mergeCell ref="D72:D73"/>
    <mergeCell ref="E72:E73"/>
    <mergeCell ref="F72:F73"/>
    <mergeCell ref="G72:G73"/>
    <mergeCell ref="H72:H73"/>
    <mergeCell ref="I72:I73"/>
    <mergeCell ref="I70:I71"/>
    <mergeCell ref="J70:J71"/>
    <mergeCell ref="K70:K71"/>
    <mergeCell ref="L70:L71"/>
    <mergeCell ref="M70:M71"/>
    <mergeCell ref="N71:N72"/>
    <mergeCell ref="J72:J73"/>
    <mergeCell ref="K72:K73"/>
    <mergeCell ref="P75:P76"/>
    <mergeCell ref="A76:A77"/>
    <mergeCell ref="B76:B77"/>
    <mergeCell ref="C76:C77"/>
    <mergeCell ref="D76:D77"/>
    <mergeCell ref="E76:E77"/>
    <mergeCell ref="F76:F77"/>
    <mergeCell ref="G76:G77"/>
    <mergeCell ref="H76:H77"/>
    <mergeCell ref="I76:I77"/>
    <mergeCell ref="I74:I75"/>
    <mergeCell ref="J74:J75"/>
    <mergeCell ref="K74:K75"/>
    <mergeCell ref="L74:L75"/>
    <mergeCell ref="M74:M75"/>
    <mergeCell ref="N75:N76"/>
    <mergeCell ref="J76:J77"/>
    <mergeCell ref="K76:K77"/>
    <mergeCell ref="L76:L77"/>
    <mergeCell ref="M76:M77"/>
    <mergeCell ref="N73:N74"/>
    <mergeCell ref="P73:P74"/>
    <mergeCell ref="A74:A75"/>
    <mergeCell ref="B74:B75"/>
    <mergeCell ref="N79:N80"/>
    <mergeCell ref="C80:C81"/>
    <mergeCell ref="D80:D81"/>
    <mergeCell ref="E80:E81"/>
    <mergeCell ref="F80:F81"/>
    <mergeCell ref="G80:G81"/>
    <mergeCell ref="H80:H81"/>
    <mergeCell ref="I80:I81"/>
    <mergeCell ref="N77:N78"/>
    <mergeCell ref="C78:C79"/>
    <mergeCell ref="D78:D79"/>
    <mergeCell ref="E78:E79"/>
    <mergeCell ref="F78:F79"/>
    <mergeCell ref="G78:G79"/>
    <mergeCell ref="H78:H79"/>
    <mergeCell ref="I78:I79"/>
    <mergeCell ref="J78:J79"/>
    <mergeCell ref="K78:K79"/>
    <mergeCell ref="L80:L81"/>
    <mergeCell ref="M80:M81"/>
    <mergeCell ref="C86:H86"/>
    <mergeCell ref="C89:C90"/>
    <mergeCell ref="D89:D90"/>
    <mergeCell ref="E89:E90"/>
    <mergeCell ref="F89:F90"/>
    <mergeCell ref="G89:G90"/>
    <mergeCell ref="L78:L79"/>
    <mergeCell ref="M78:M79"/>
    <mergeCell ref="H89:H90"/>
    <mergeCell ref="C91:C92"/>
    <mergeCell ref="D91:D92"/>
    <mergeCell ref="E91:E92"/>
    <mergeCell ref="F91:F92"/>
    <mergeCell ref="G91:G92"/>
    <mergeCell ref="H91:H92"/>
    <mergeCell ref="J80:J81"/>
    <mergeCell ref="K80:K81"/>
    <mergeCell ref="C95:C96"/>
    <mergeCell ref="D95:D96"/>
    <mergeCell ref="E95:E96"/>
    <mergeCell ref="F95:F96"/>
    <mergeCell ref="G95:G96"/>
    <mergeCell ref="H95:H96"/>
    <mergeCell ref="C93:C94"/>
    <mergeCell ref="D93:D94"/>
    <mergeCell ref="E93:E94"/>
    <mergeCell ref="F93:F94"/>
    <mergeCell ref="G93:G94"/>
    <mergeCell ref="H93:H94"/>
    <mergeCell ref="C99:C100"/>
    <mergeCell ref="D99:D100"/>
    <mergeCell ref="E99:E100"/>
    <mergeCell ref="F99:F100"/>
    <mergeCell ref="G99:G100"/>
    <mergeCell ref="H99:H100"/>
    <mergeCell ref="C97:C98"/>
    <mergeCell ref="D97:D98"/>
    <mergeCell ref="E97:E98"/>
    <mergeCell ref="F97:F98"/>
    <mergeCell ref="G97:G98"/>
    <mergeCell ref="H97:H98"/>
    <mergeCell ref="C103:C104"/>
    <mergeCell ref="D103:D104"/>
    <mergeCell ref="E103:E104"/>
    <mergeCell ref="F103:F104"/>
    <mergeCell ref="G103:G104"/>
    <mergeCell ref="H103:H104"/>
    <mergeCell ref="C101:C102"/>
    <mergeCell ref="D101:D102"/>
    <mergeCell ref="E101:E102"/>
    <mergeCell ref="F101:F102"/>
    <mergeCell ref="G101:G102"/>
    <mergeCell ref="H101:H102"/>
    <mergeCell ref="C107:C108"/>
    <mergeCell ref="D107:D108"/>
    <mergeCell ref="E107:E108"/>
    <mergeCell ref="F107:F108"/>
    <mergeCell ref="G107:G108"/>
    <mergeCell ref="H107:H108"/>
    <mergeCell ref="C105:C106"/>
    <mergeCell ref="D105:D106"/>
    <mergeCell ref="E105:E106"/>
    <mergeCell ref="F105:F106"/>
    <mergeCell ref="G105:G106"/>
    <mergeCell ref="H105:H106"/>
    <mergeCell ref="C111:C112"/>
    <mergeCell ref="D111:D112"/>
    <mergeCell ref="E111:E112"/>
    <mergeCell ref="F111:F112"/>
    <mergeCell ref="G111:G112"/>
    <mergeCell ref="H111:H112"/>
    <mergeCell ref="C109:C110"/>
    <mergeCell ref="D109:D110"/>
    <mergeCell ref="E109:E110"/>
    <mergeCell ref="F109:F110"/>
    <mergeCell ref="G109:G110"/>
    <mergeCell ref="H109:H110"/>
    <mergeCell ref="A123:B123"/>
    <mergeCell ref="A124:B124"/>
    <mergeCell ref="A125:B125"/>
    <mergeCell ref="A126:B126"/>
    <mergeCell ref="A114:H114"/>
    <mergeCell ref="A115:B115"/>
    <mergeCell ref="A116:B116"/>
    <mergeCell ref="A117:B117"/>
    <mergeCell ref="A118:B118"/>
    <mergeCell ref="A122:H122"/>
  </mergeCells>
  <pageMargins left="0.75" right="0.75" top="1" bottom="1" header="0" footer="0"/>
  <pageSetup paperSize="9" scale="40" orientation="portrait" horizontalDpi="4294967293"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I25"/>
  <sheetViews>
    <sheetView zoomScale="140" workbookViewId="0">
      <selection activeCell="C121" sqref="C121"/>
    </sheetView>
  </sheetViews>
  <sheetFormatPr defaultRowHeight="12.75"/>
  <cols>
    <col min="3" max="3" width="14.7109375" customWidth="1"/>
    <col min="4" max="4" width="13.42578125" customWidth="1"/>
    <col min="5" max="5" width="16.85546875" hidden="1" customWidth="1"/>
    <col min="6" max="6" width="16.28515625" customWidth="1"/>
    <col min="7" max="7" width="13.85546875" customWidth="1"/>
    <col min="8" max="8" width="10.85546875" bestFit="1" customWidth="1"/>
    <col min="9" max="9" width="15.140625" bestFit="1" customWidth="1"/>
    <col min="10" max="10" width="12.42578125" customWidth="1"/>
    <col min="11" max="11" width="12.140625" customWidth="1"/>
    <col min="259" max="259" width="14.7109375" customWidth="1"/>
    <col min="260" max="260" width="13.42578125" customWidth="1"/>
    <col min="261" max="261" width="0" hidden="1" customWidth="1"/>
    <col min="262" max="262" width="16.28515625" customWidth="1"/>
    <col min="263" max="263" width="13.85546875" customWidth="1"/>
    <col min="264" max="264" width="10.85546875" bestFit="1" customWidth="1"/>
    <col min="265" max="265" width="15.140625" bestFit="1" customWidth="1"/>
    <col min="266" max="266" width="12.42578125" customWidth="1"/>
    <col min="267" max="267" width="12.140625" customWidth="1"/>
    <col min="515" max="515" width="14.7109375" customWidth="1"/>
    <col min="516" max="516" width="13.42578125" customWidth="1"/>
    <col min="517" max="517" width="0" hidden="1" customWidth="1"/>
    <col min="518" max="518" width="16.28515625" customWidth="1"/>
    <col min="519" max="519" width="13.85546875" customWidth="1"/>
    <col min="520" max="520" width="10.85546875" bestFit="1" customWidth="1"/>
    <col min="521" max="521" width="15.140625" bestFit="1" customWidth="1"/>
    <col min="522" max="522" width="12.42578125" customWidth="1"/>
    <col min="523" max="523" width="12.140625" customWidth="1"/>
    <col min="771" max="771" width="14.7109375" customWidth="1"/>
    <col min="772" max="772" width="13.42578125" customWidth="1"/>
    <col min="773" max="773" width="0" hidden="1" customWidth="1"/>
    <col min="774" max="774" width="16.28515625" customWidth="1"/>
    <col min="775" max="775" width="13.85546875" customWidth="1"/>
    <col min="776" max="776" width="10.85546875" bestFit="1" customWidth="1"/>
    <col min="777" max="777" width="15.140625" bestFit="1" customWidth="1"/>
    <col min="778" max="778" width="12.42578125" customWidth="1"/>
    <col min="779" max="779" width="12.140625" customWidth="1"/>
    <col min="1027" max="1027" width="14.7109375" customWidth="1"/>
    <col min="1028" max="1028" width="13.42578125" customWidth="1"/>
    <col min="1029" max="1029" width="0" hidden="1" customWidth="1"/>
    <col min="1030" max="1030" width="16.28515625" customWidth="1"/>
    <col min="1031" max="1031" width="13.85546875" customWidth="1"/>
    <col min="1032" max="1032" width="10.85546875" bestFit="1" customWidth="1"/>
    <col min="1033" max="1033" width="15.140625" bestFit="1" customWidth="1"/>
    <col min="1034" max="1034" width="12.42578125" customWidth="1"/>
    <col min="1035" max="1035" width="12.140625" customWidth="1"/>
    <col min="1283" max="1283" width="14.7109375" customWidth="1"/>
    <col min="1284" max="1284" width="13.42578125" customWidth="1"/>
    <col min="1285" max="1285" width="0" hidden="1" customWidth="1"/>
    <col min="1286" max="1286" width="16.28515625" customWidth="1"/>
    <col min="1287" max="1287" width="13.85546875" customWidth="1"/>
    <col min="1288" max="1288" width="10.85546875" bestFit="1" customWidth="1"/>
    <col min="1289" max="1289" width="15.140625" bestFit="1" customWidth="1"/>
    <col min="1290" max="1290" width="12.42578125" customWidth="1"/>
    <col min="1291" max="1291" width="12.140625" customWidth="1"/>
    <col min="1539" max="1539" width="14.7109375" customWidth="1"/>
    <col min="1540" max="1540" width="13.42578125" customWidth="1"/>
    <col min="1541" max="1541" width="0" hidden="1" customWidth="1"/>
    <col min="1542" max="1542" width="16.28515625" customWidth="1"/>
    <col min="1543" max="1543" width="13.85546875" customWidth="1"/>
    <col min="1544" max="1544" width="10.85546875" bestFit="1" customWidth="1"/>
    <col min="1545" max="1545" width="15.140625" bestFit="1" customWidth="1"/>
    <col min="1546" max="1546" width="12.42578125" customWidth="1"/>
    <col min="1547" max="1547" width="12.140625" customWidth="1"/>
    <col min="1795" max="1795" width="14.7109375" customWidth="1"/>
    <col min="1796" max="1796" width="13.42578125" customWidth="1"/>
    <col min="1797" max="1797" width="0" hidden="1" customWidth="1"/>
    <col min="1798" max="1798" width="16.28515625" customWidth="1"/>
    <col min="1799" max="1799" width="13.85546875" customWidth="1"/>
    <col min="1800" max="1800" width="10.85546875" bestFit="1" customWidth="1"/>
    <col min="1801" max="1801" width="15.140625" bestFit="1" customWidth="1"/>
    <col min="1802" max="1802" width="12.42578125" customWidth="1"/>
    <col min="1803" max="1803" width="12.140625" customWidth="1"/>
    <col min="2051" max="2051" width="14.7109375" customWidth="1"/>
    <col min="2052" max="2052" width="13.42578125" customWidth="1"/>
    <col min="2053" max="2053" width="0" hidden="1" customWidth="1"/>
    <col min="2054" max="2054" width="16.28515625" customWidth="1"/>
    <col min="2055" max="2055" width="13.85546875" customWidth="1"/>
    <col min="2056" max="2056" width="10.85546875" bestFit="1" customWidth="1"/>
    <col min="2057" max="2057" width="15.140625" bestFit="1" customWidth="1"/>
    <col min="2058" max="2058" width="12.42578125" customWidth="1"/>
    <col min="2059" max="2059" width="12.140625" customWidth="1"/>
    <col min="2307" max="2307" width="14.7109375" customWidth="1"/>
    <col min="2308" max="2308" width="13.42578125" customWidth="1"/>
    <col min="2309" max="2309" width="0" hidden="1" customWidth="1"/>
    <col min="2310" max="2310" width="16.28515625" customWidth="1"/>
    <col min="2311" max="2311" width="13.85546875" customWidth="1"/>
    <col min="2312" max="2312" width="10.85546875" bestFit="1" customWidth="1"/>
    <col min="2313" max="2313" width="15.140625" bestFit="1" customWidth="1"/>
    <col min="2314" max="2314" width="12.42578125" customWidth="1"/>
    <col min="2315" max="2315" width="12.140625" customWidth="1"/>
    <col min="2563" max="2563" width="14.7109375" customWidth="1"/>
    <col min="2564" max="2564" width="13.42578125" customWidth="1"/>
    <col min="2565" max="2565" width="0" hidden="1" customWidth="1"/>
    <col min="2566" max="2566" width="16.28515625" customWidth="1"/>
    <col min="2567" max="2567" width="13.85546875" customWidth="1"/>
    <col min="2568" max="2568" width="10.85546875" bestFit="1" customWidth="1"/>
    <col min="2569" max="2569" width="15.140625" bestFit="1" customWidth="1"/>
    <col min="2570" max="2570" width="12.42578125" customWidth="1"/>
    <col min="2571" max="2571" width="12.140625" customWidth="1"/>
    <col min="2819" max="2819" width="14.7109375" customWidth="1"/>
    <col min="2820" max="2820" width="13.42578125" customWidth="1"/>
    <col min="2821" max="2821" width="0" hidden="1" customWidth="1"/>
    <col min="2822" max="2822" width="16.28515625" customWidth="1"/>
    <col min="2823" max="2823" width="13.85546875" customWidth="1"/>
    <col min="2824" max="2824" width="10.85546875" bestFit="1" customWidth="1"/>
    <col min="2825" max="2825" width="15.140625" bestFit="1" customWidth="1"/>
    <col min="2826" max="2826" width="12.42578125" customWidth="1"/>
    <col min="2827" max="2827" width="12.140625" customWidth="1"/>
    <col min="3075" max="3075" width="14.7109375" customWidth="1"/>
    <col min="3076" max="3076" width="13.42578125" customWidth="1"/>
    <col min="3077" max="3077" width="0" hidden="1" customWidth="1"/>
    <col min="3078" max="3078" width="16.28515625" customWidth="1"/>
    <col min="3079" max="3079" width="13.85546875" customWidth="1"/>
    <col min="3080" max="3080" width="10.85546875" bestFit="1" customWidth="1"/>
    <col min="3081" max="3081" width="15.140625" bestFit="1" customWidth="1"/>
    <col min="3082" max="3082" width="12.42578125" customWidth="1"/>
    <col min="3083" max="3083" width="12.140625" customWidth="1"/>
    <col min="3331" max="3331" width="14.7109375" customWidth="1"/>
    <col min="3332" max="3332" width="13.42578125" customWidth="1"/>
    <col min="3333" max="3333" width="0" hidden="1" customWidth="1"/>
    <col min="3334" max="3334" width="16.28515625" customWidth="1"/>
    <col min="3335" max="3335" width="13.85546875" customWidth="1"/>
    <col min="3336" max="3336" width="10.85546875" bestFit="1" customWidth="1"/>
    <col min="3337" max="3337" width="15.140625" bestFit="1" customWidth="1"/>
    <col min="3338" max="3338" width="12.42578125" customWidth="1"/>
    <col min="3339" max="3339" width="12.140625" customWidth="1"/>
    <col min="3587" max="3587" width="14.7109375" customWidth="1"/>
    <col min="3588" max="3588" width="13.42578125" customWidth="1"/>
    <col min="3589" max="3589" width="0" hidden="1" customWidth="1"/>
    <col min="3590" max="3590" width="16.28515625" customWidth="1"/>
    <col min="3591" max="3591" width="13.85546875" customWidth="1"/>
    <col min="3592" max="3592" width="10.85546875" bestFit="1" customWidth="1"/>
    <col min="3593" max="3593" width="15.140625" bestFit="1" customWidth="1"/>
    <col min="3594" max="3594" width="12.42578125" customWidth="1"/>
    <col min="3595" max="3595" width="12.140625" customWidth="1"/>
    <col min="3843" max="3843" width="14.7109375" customWidth="1"/>
    <col min="3844" max="3844" width="13.42578125" customWidth="1"/>
    <col min="3845" max="3845" width="0" hidden="1" customWidth="1"/>
    <col min="3846" max="3846" width="16.28515625" customWidth="1"/>
    <col min="3847" max="3847" width="13.85546875" customWidth="1"/>
    <col min="3848" max="3848" width="10.85546875" bestFit="1" customWidth="1"/>
    <col min="3849" max="3849" width="15.140625" bestFit="1" customWidth="1"/>
    <col min="3850" max="3850" width="12.42578125" customWidth="1"/>
    <col min="3851" max="3851" width="12.140625" customWidth="1"/>
    <col min="4099" max="4099" width="14.7109375" customWidth="1"/>
    <col min="4100" max="4100" width="13.42578125" customWidth="1"/>
    <col min="4101" max="4101" width="0" hidden="1" customWidth="1"/>
    <col min="4102" max="4102" width="16.28515625" customWidth="1"/>
    <col min="4103" max="4103" width="13.85546875" customWidth="1"/>
    <col min="4104" max="4104" width="10.85546875" bestFit="1" customWidth="1"/>
    <col min="4105" max="4105" width="15.140625" bestFit="1" customWidth="1"/>
    <col min="4106" max="4106" width="12.42578125" customWidth="1"/>
    <col min="4107" max="4107" width="12.140625" customWidth="1"/>
    <col min="4355" max="4355" width="14.7109375" customWidth="1"/>
    <col min="4356" max="4356" width="13.42578125" customWidth="1"/>
    <col min="4357" max="4357" width="0" hidden="1" customWidth="1"/>
    <col min="4358" max="4358" width="16.28515625" customWidth="1"/>
    <col min="4359" max="4359" width="13.85546875" customWidth="1"/>
    <col min="4360" max="4360" width="10.85546875" bestFit="1" customWidth="1"/>
    <col min="4361" max="4361" width="15.140625" bestFit="1" customWidth="1"/>
    <col min="4362" max="4362" width="12.42578125" customWidth="1"/>
    <col min="4363" max="4363" width="12.140625" customWidth="1"/>
    <col min="4611" max="4611" width="14.7109375" customWidth="1"/>
    <col min="4612" max="4612" width="13.42578125" customWidth="1"/>
    <col min="4613" max="4613" width="0" hidden="1" customWidth="1"/>
    <col min="4614" max="4614" width="16.28515625" customWidth="1"/>
    <col min="4615" max="4615" width="13.85546875" customWidth="1"/>
    <col min="4616" max="4616" width="10.85546875" bestFit="1" customWidth="1"/>
    <col min="4617" max="4617" width="15.140625" bestFit="1" customWidth="1"/>
    <col min="4618" max="4618" width="12.42578125" customWidth="1"/>
    <col min="4619" max="4619" width="12.140625" customWidth="1"/>
    <col min="4867" max="4867" width="14.7109375" customWidth="1"/>
    <col min="4868" max="4868" width="13.42578125" customWidth="1"/>
    <col min="4869" max="4869" width="0" hidden="1" customWidth="1"/>
    <col min="4870" max="4870" width="16.28515625" customWidth="1"/>
    <col min="4871" max="4871" width="13.85546875" customWidth="1"/>
    <col min="4872" max="4872" width="10.85546875" bestFit="1" customWidth="1"/>
    <col min="4873" max="4873" width="15.140625" bestFit="1" customWidth="1"/>
    <col min="4874" max="4874" width="12.42578125" customWidth="1"/>
    <col min="4875" max="4875" width="12.140625" customWidth="1"/>
    <col min="5123" max="5123" width="14.7109375" customWidth="1"/>
    <col min="5124" max="5124" width="13.42578125" customWidth="1"/>
    <col min="5125" max="5125" width="0" hidden="1" customWidth="1"/>
    <col min="5126" max="5126" width="16.28515625" customWidth="1"/>
    <col min="5127" max="5127" width="13.85546875" customWidth="1"/>
    <col min="5128" max="5128" width="10.85546875" bestFit="1" customWidth="1"/>
    <col min="5129" max="5129" width="15.140625" bestFit="1" customWidth="1"/>
    <col min="5130" max="5130" width="12.42578125" customWidth="1"/>
    <col min="5131" max="5131" width="12.140625" customWidth="1"/>
    <col min="5379" max="5379" width="14.7109375" customWidth="1"/>
    <col min="5380" max="5380" width="13.42578125" customWidth="1"/>
    <col min="5381" max="5381" width="0" hidden="1" customWidth="1"/>
    <col min="5382" max="5382" width="16.28515625" customWidth="1"/>
    <col min="5383" max="5383" width="13.85546875" customWidth="1"/>
    <col min="5384" max="5384" width="10.85546875" bestFit="1" customWidth="1"/>
    <col min="5385" max="5385" width="15.140625" bestFit="1" customWidth="1"/>
    <col min="5386" max="5386" width="12.42578125" customWidth="1"/>
    <col min="5387" max="5387" width="12.140625" customWidth="1"/>
    <col min="5635" max="5635" width="14.7109375" customWidth="1"/>
    <col min="5636" max="5636" width="13.42578125" customWidth="1"/>
    <col min="5637" max="5637" width="0" hidden="1" customWidth="1"/>
    <col min="5638" max="5638" width="16.28515625" customWidth="1"/>
    <col min="5639" max="5639" width="13.85546875" customWidth="1"/>
    <col min="5640" max="5640" width="10.85546875" bestFit="1" customWidth="1"/>
    <col min="5641" max="5641" width="15.140625" bestFit="1" customWidth="1"/>
    <col min="5642" max="5642" width="12.42578125" customWidth="1"/>
    <col min="5643" max="5643" width="12.140625" customWidth="1"/>
    <col min="5891" max="5891" width="14.7109375" customWidth="1"/>
    <col min="5892" max="5892" width="13.42578125" customWidth="1"/>
    <col min="5893" max="5893" width="0" hidden="1" customWidth="1"/>
    <col min="5894" max="5894" width="16.28515625" customWidth="1"/>
    <col min="5895" max="5895" width="13.85546875" customWidth="1"/>
    <col min="5896" max="5896" width="10.85546875" bestFit="1" customWidth="1"/>
    <col min="5897" max="5897" width="15.140625" bestFit="1" customWidth="1"/>
    <col min="5898" max="5898" width="12.42578125" customWidth="1"/>
    <col min="5899" max="5899" width="12.140625" customWidth="1"/>
    <col min="6147" max="6147" width="14.7109375" customWidth="1"/>
    <col min="6148" max="6148" width="13.42578125" customWidth="1"/>
    <col min="6149" max="6149" width="0" hidden="1" customWidth="1"/>
    <col min="6150" max="6150" width="16.28515625" customWidth="1"/>
    <col min="6151" max="6151" width="13.85546875" customWidth="1"/>
    <col min="6152" max="6152" width="10.85546875" bestFit="1" customWidth="1"/>
    <col min="6153" max="6153" width="15.140625" bestFit="1" customWidth="1"/>
    <col min="6154" max="6154" width="12.42578125" customWidth="1"/>
    <col min="6155" max="6155" width="12.140625" customWidth="1"/>
    <col min="6403" max="6403" width="14.7109375" customWidth="1"/>
    <col min="6404" max="6404" width="13.42578125" customWidth="1"/>
    <col min="6405" max="6405" width="0" hidden="1" customWidth="1"/>
    <col min="6406" max="6406" width="16.28515625" customWidth="1"/>
    <col min="6407" max="6407" width="13.85546875" customWidth="1"/>
    <col min="6408" max="6408" width="10.85546875" bestFit="1" customWidth="1"/>
    <col min="6409" max="6409" width="15.140625" bestFit="1" customWidth="1"/>
    <col min="6410" max="6410" width="12.42578125" customWidth="1"/>
    <col min="6411" max="6411" width="12.140625" customWidth="1"/>
    <col min="6659" max="6659" width="14.7109375" customWidth="1"/>
    <col min="6660" max="6660" width="13.42578125" customWidth="1"/>
    <col min="6661" max="6661" width="0" hidden="1" customWidth="1"/>
    <col min="6662" max="6662" width="16.28515625" customWidth="1"/>
    <col min="6663" max="6663" width="13.85546875" customWidth="1"/>
    <col min="6664" max="6664" width="10.85546875" bestFit="1" customWidth="1"/>
    <col min="6665" max="6665" width="15.140625" bestFit="1" customWidth="1"/>
    <col min="6666" max="6666" width="12.42578125" customWidth="1"/>
    <col min="6667" max="6667" width="12.140625" customWidth="1"/>
    <col min="6915" max="6915" width="14.7109375" customWidth="1"/>
    <col min="6916" max="6916" width="13.42578125" customWidth="1"/>
    <col min="6917" max="6917" width="0" hidden="1" customWidth="1"/>
    <col min="6918" max="6918" width="16.28515625" customWidth="1"/>
    <col min="6919" max="6919" width="13.85546875" customWidth="1"/>
    <col min="6920" max="6920" width="10.85546875" bestFit="1" customWidth="1"/>
    <col min="6921" max="6921" width="15.140625" bestFit="1" customWidth="1"/>
    <col min="6922" max="6922" width="12.42578125" customWidth="1"/>
    <col min="6923" max="6923" width="12.140625" customWidth="1"/>
    <col min="7171" max="7171" width="14.7109375" customWidth="1"/>
    <col min="7172" max="7172" width="13.42578125" customWidth="1"/>
    <col min="7173" max="7173" width="0" hidden="1" customWidth="1"/>
    <col min="7174" max="7174" width="16.28515625" customWidth="1"/>
    <col min="7175" max="7175" width="13.85546875" customWidth="1"/>
    <col min="7176" max="7176" width="10.85546875" bestFit="1" customWidth="1"/>
    <col min="7177" max="7177" width="15.140625" bestFit="1" customWidth="1"/>
    <col min="7178" max="7178" width="12.42578125" customWidth="1"/>
    <col min="7179" max="7179" width="12.140625" customWidth="1"/>
    <col min="7427" max="7427" width="14.7109375" customWidth="1"/>
    <col min="7428" max="7428" width="13.42578125" customWidth="1"/>
    <col min="7429" max="7429" width="0" hidden="1" customWidth="1"/>
    <col min="7430" max="7430" width="16.28515625" customWidth="1"/>
    <col min="7431" max="7431" width="13.85546875" customWidth="1"/>
    <col min="7432" max="7432" width="10.85546875" bestFit="1" customWidth="1"/>
    <col min="7433" max="7433" width="15.140625" bestFit="1" customWidth="1"/>
    <col min="7434" max="7434" width="12.42578125" customWidth="1"/>
    <col min="7435" max="7435" width="12.140625" customWidth="1"/>
    <col min="7683" max="7683" width="14.7109375" customWidth="1"/>
    <col min="7684" max="7684" width="13.42578125" customWidth="1"/>
    <col min="7685" max="7685" width="0" hidden="1" customWidth="1"/>
    <col min="7686" max="7686" width="16.28515625" customWidth="1"/>
    <col min="7687" max="7687" width="13.85546875" customWidth="1"/>
    <col min="7688" max="7688" width="10.85546875" bestFit="1" customWidth="1"/>
    <col min="7689" max="7689" width="15.140625" bestFit="1" customWidth="1"/>
    <col min="7690" max="7690" width="12.42578125" customWidth="1"/>
    <col min="7691" max="7691" width="12.140625" customWidth="1"/>
    <col min="7939" max="7939" width="14.7109375" customWidth="1"/>
    <col min="7940" max="7940" width="13.42578125" customWidth="1"/>
    <col min="7941" max="7941" width="0" hidden="1" customWidth="1"/>
    <col min="7942" max="7942" width="16.28515625" customWidth="1"/>
    <col min="7943" max="7943" width="13.85546875" customWidth="1"/>
    <col min="7944" max="7944" width="10.85546875" bestFit="1" customWidth="1"/>
    <col min="7945" max="7945" width="15.140625" bestFit="1" customWidth="1"/>
    <col min="7946" max="7946" width="12.42578125" customWidth="1"/>
    <col min="7947" max="7947" width="12.140625" customWidth="1"/>
    <col min="8195" max="8195" width="14.7109375" customWidth="1"/>
    <col min="8196" max="8196" width="13.42578125" customWidth="1"/>
    <col min="8197" max="8197" width="0" hidden="1" customWidth="1"/>
    <col min="8198" max="8198" width="16.28515625" customWidth="1"/>
    <col min="8199" max="8199" width="13.85546875" customWidth="1"/>
    <col min="8200" max="8200" width="10.85546875" bestFit="1" customWidth="1"/>
    <col min="8201" max="8201" width="15.140625" bestFit="1" customWidth="1"/>
    <col min="8202" max="8202" width="12.42578125" customWidth="1"/>
    <col min="8203" max="8203" width="12.140625" customWidth="1"/>
    <col min="8451" max="8451" width="14.7109375" customWidth="1"/>
    <col min="8452" max="8452" width="13.42578125" customWidth="1"/>
    <col min="8453" max="8453" width="0" hidden="1" customWidth="1"/>
    <col min="8454" max="8454" width="16.28515625" customWidth="1"/>
    <col min="8455" max="8455" width="13.85546875" customWidth="1"/>
    <col min="8456" max="8456" width="10.85546875" bestFit="1" customWidth="1"/>
    <col min="8457" max="8457" width="15.140625" bestFit="1" customWidth="1"/>
    <col min="8458" max="8458" width="12.42578125" customWidth="1"/>
    <col min="8459" max="8459" width="12.140625" customWidth="1"/>
    <col min="8707" max="8707" width="14.7109375" customWidth="1"/>
    <col min="8708" max="8708" width="13.42578125" customWidth="1"/>
    <col min="8709" max="8709" width="0" hidden="1" customWidth="1"/>
    <col min="8710" max="8710" width="16.28515625" customWidth="1"/>
    <col min="8711" max="8711" width="13.85546875" customWidth="1"/>
    <col min="8712" max="8712" width="10.85546875" bestFit="1" customWidth="1"/>
    <col min="8713" max="8713" width="15.140625" bestFit="1" customWidth="1"/>
    <col min="8714" max="8714" width="12.42578125" customWidth="1"/>
    <col min="8715" max="8715" width="12.140625" customWidth="1"/>
    <col min="8963" max="8963" width="14.7109375" customWidth="1"/>
    <col min="8964" max="8964" width="13.42578125" customWidth="1"/>
    <col min="8965" max="8965" width="0" hidden="1" customWidth="1"/>
    <col min="8966" max="8966" width="16.28515625" customWidth="1"/>
    <col min="8967" max="8967" width="13.85546875" customWidth="1"/>
    <col min="8968" max="8968" width="10.85546875" bestFit="1" customWidth="1"/>
    <col min="8969" max="8969" width="15.140625" bestFit="1" customWidth="1"/>
    <col min="8970" max="8970" width="12.42578125" customWidth="1"/>
    <col min="8971" max="8971" width="12.140625" customWidth="1"/>
    <col min="9219" max="9219" width="14.7109375" customWidth="1"/>
    <col min="9220" max="9220" width="13.42578125" customWidth="1"/>
    <col min="9221" max="9221" width="0" hidden="1" customWidth="1"/>
    <col min="9222" max="9222" width="16.28515625" customWidth="1"/>
    <col min="9223" max="9223" width="13.85546875" customWidth="1"/>
    <col min="9224" max="9224" width="10.85546875" bestFit="1" customWidth="1"/>
    <col min="9225" max="9225" width="15.140625" bestFit="1" customWidth="1"/>
    <col min="9226" max="9226" width="12.42578125" customWidth="1"/>
    <col min="9227" max="9227" width="12.140625" customWidth="1"/>
    <col min="9475" max="9475" width="14.7109375" customWidth="1"/>
    <col min="9476" max="9476" width="13.42578125" customWidth="1"/>
    <col min="9477" max="9477" width="0" hidden="1" customWidth="1"/>
    <col min="9478" max="9478" width="16.28515625" customWidth="1"/>
    <col min="9479" max="9479" width="13.85546875" customWidth="1"/>
    <col min="9480" max="9480" width="10.85546875" bestFit="1" customWidth="1"/>
    <col min="9481" max="9481" width="15.140625" bestFit="1" customWidth="1"/>
    <col min="9482" max="9482" width="12.42578125" customWidth="1"/>
    <col min="9483" max="9483" width="12.140625" customWidth="1"/>
    <col min="9731" max="9731" width="14.7109375" customWidth="1"/>
    <col min="9732" max="9732" width="13.42578125" customWidth="1"/>
    <col min="9733" max="9733" width="0" hidden="1" customWidth="1"/>
    <col min="9734" max="9734" width="16.28515625" customWidth="1"/>
    <col min="9735" max="9735" width="13.85546875" customWidth="1"/>
    <col min="9736" max="9736" width="10.85546875" bestFit="1" customWidth="1"/>
    <col min="9737" max="9737" width="15.140625" bestFit="1" customWidth="1"/>
    <col min="9738" max="9738" width="12.42578125" customWidth="1"/>
    <col min="9739" max="9739" width="12.140625" customWidth="1"/>
    <col min="9987" max="9987" width="14.7109375" customWidth="1"/>
    <col min="9988" max="9988" width="13.42578125" customWidth="1"/>
    <col min="9989" max="9989" width="0" hidden="1" customWidth="1"/>
    <col min="9990" max="9990" width="16.28515625" customWidth="1"/>
    <col min="9991" max="9991" width="13.85546875" customWidth="1"/>
    <col min="9992" max="9992" width="10.85546875" bestFit="1" customWidth="1"/>
    <col min="9993" max="9993" width="15.140625" bestFit="1" customWidth="1"/>
    <col min="9994" max="9994" width="12.42578125" customWidth="1"/>
    <col min="9995" max="9995" width="12.140625" customWidth="1"/>
    <col min="10243" max="10243" width="14.7109375" customWidth="1"/>
    <col min="10244" max="10244" width="13.42578125" customWidth="1"/>
    <col min="10245" max="10245" width="0" hidden="1" customWidth="1"/>
    <col min="10246" max="10246" width="16.28515625" customWidth="1"/>
    <col min="10247" max="10247" width="13.85546875" customWidth="1"/>
    <col min="10248" max="10248" width="10.85546875" bestFit="1" customWidth="1"/>
    <col min="10249" max="10249" width="15.140625" bestFit="1" customWidth="1"/>
    <col min="10250" max="10250" width="12.42578125" customWidth="1"/>
    <col min="10251" max="10251" width="12.140625" customWidth="1"/>
    <col min="10499" max="10499" width="14.7109375" customWidth="1"/>
    <col min="10500" max="10500" width="13.42578125" customWidth="1"/>
    <col min="10501" max="10501" width="0" hidden="1" customWidth="1"/>
    <col min="10502" max="10502" width="16.28515625" customWidth="1"/>
    <col min="10503" max="10503" width="13.85546875" customWidth="1"/>
    <col min="10504" max="10504" width="10.85546875" bestFit="1" customWidth="1"/>
    <col min="10505" max="10505" width="15.140625" bestFit="1" customWidth="1"/>
    <col min="10506" max="10506" width="12.42578125" customWidth="1"/>
    <col min="10507" max="10507" width="12.140625" customWidth="1"/>
    <col min="10755" max="10755" width="14.7109375" customWidth="1"/>
    <col min="10756" max="10756" width="13.42578125" customWidth="1"/>
    <col min="10757" max="10757" width="0" hidden="1" customWidth="1"/>
    <col min="10758" max="10758" width="16.28515625" customWidth="1"/>
    <col min="10759" max="10759" width="13.85546875" customWidth="1"/>
    <col min="10760" max="10760" width="10.85546875" bestFit="1" customWidth="1"/>
    <col min="10761" max="10761" width="15.140625" bestFit="1" customWidth="1"/>
    <col min="10762" max="10762" width="12.42578125" customWidth="1"/>
    <col min="10763" max="10763" width="12.140625" customWidth="1"/>
    <col min="11011" max="11011" width="14.7109375" customWidth="1"/>
    <col min="11012" max="11012" width="13.42578125" customWidth="1"/>
    <col min="11013" max="11013" width="0" hidden="1" customWidth="1"/>
    <col min="11014" max="11014" width="16.28515625" customWidth="1"/>
    <col min="11015" max="11015" width="13.85546875" customWidth="1"/>
    <col min="11016" max="11016" width="10.85546875" bestFit="1" customWidth="1"/>
    <col min="11017" max="11017" width="15.140625" bestFit="1" customWidth="1"/>
    <col min="11018" max="11018" width="12.42578125" customWidth="1"/>
    <col min="11019" max="11019" width="12.140625" customWidth="1"/>
    <col min="11267" max="11267" width="14.7109375" customWidth="1"/>
    <col min="11268" max="11268" width="13.42578125" customWidth="1"/>
    <col min="11269" max="11269" width="0" hidden="1" customWidth="1"/>
    <col min="11270" max="11270" width="16.28515625" customWidth="1"/>
    <col min="11271" max="11271" width="13.85546875" customWidth="1"/>
    <col min="11272" max="11272" width="10.85546875" bestFit="1" customWidth="1"/>
    <col min="11273" max="11273" width="15.140625" bestFit="1" customWidth="1"/>
    <col min="11274" max="11274" width="12.42578125" customWidth="1"/>
    <col min="11275" max="11275" width="12.140625" customWidth="1"/>
    <col min="11523" max="11523" width="14.7109375" customWidth="1"/>
    <col min="11524" max="11524" width="13.42578125" customWidth="1"/>
    <col min="11525" max="11525" width="0" hidden="1" customWidth="1"/>
    <col min="11526" max="11526" width="16.28515625" customWidth="1"/>
    <col min="11527" max="11527" width="13.85546875" customWidth="1"/>
    <col min="11528" max="11528" width="10.85546875" bestFit="1" customWidth="1"/>
    <col min="11529" max="11529" width="15.140625" bestFit="1" customWidth="1"/>
    <col min="11530" max="11530" width="12.42578125" customWidth="1"/>
    <col min="11531" max="11531" width="12.140625" customWidth="1"/>
    <col min="11779" max="11779" width="14.7109375" customWidth="1"/>
    <col min="11780" max="11780" width="13.42578125" customWidth="1"/>
    <col min="11781" max="11781" width="0" hidden="1" customWidth="1"/>
    <col min="11782" max="11782" width="16.28515625" customWidth="1"/>
    <col min="11783" max="11783" width="13.85546875" customWidth="1"/>
    <col min="11784" max="11784" width="10.85546875" bestFit="1" customWidth="1"/>
    <col min="11785" max="11785" width="15.140625" bestFit="1" customWidth="1"/>
    <col min="11786" max="11786" width="12.42578125" customWidth="1"/>
    <col min="11787" max="11787" width="12.140625" customWidth="1"/>
    <col min="12035" max="12035" width="14.7109375" customWidth="1"/>
    <col min="12036" max="12036" width="13.42578125" customWidth="1"/>
    <col min="12037" max="12037" width="0" hidden="1" customWidth="1"/>
    <col min="12038" max="12038" width="16.28515625" customWidth="1"/>
    <col min="12039" max="12039" width="13.85546875" customWidth="1"/>
    <col min="12040" max="12040" width="10.85546875" bestFit="1" customWidth="1"/>
    <col min="12041" max="12041" width="15.140625" bestFit="1" customWidth="1"/>
    <col min="12042" max="12042" width="12.42578125" customWidth="1"/>
    <col min="12043" max="12043" width="12.140625" customWidth="1"/>
    <col min="12291" max="12291" width="14.7109375" customWidth="1"/>
    <col min="12292" max="12292" width="13.42578125" customWidth="1"/>
    <col min="12293" max="12293" width="0" hidden="1" customWidth="1"/>
    <col min="12294" max="12294" width="16.28515625" customWidth="1"/>
    <col min="12295" max="12295" width="13.85546875" customWidth="1"/>
    <col min="12296" max="12296" width="10.85546875" bestFit="1" customWidth="1"/>
    <col min="12297" max="12297" width="15.140625" bestFit="1" customWidth="1"/>
    <col min="12298" max="12298" width="12.42578125" customWidth="1"/>
    <col min="12299" max="12299" width="12.140625" customWidth="1"/>
    <col min="12547" max="12547" width="14.7109375" customWidth="1"/>
    <col min="12548" max="12548" width="13.42578125" customWidth="1"/>
    <col min="12549" max="12549" width="0" hidden="1" customWidth="1"/>
    <col min="12550" max="12550" width="16.28515625" customWidth="1"/>
    <col min="12551" max="12551" width="13.85546875" customWidth="1"/>
    <col min="12552" max="12552" width="10.85546875" bestFit="1" customWidth="1"/>
    <col min="12553" max="12553" width="15.140625" bestFit="1" customWidth="1"/>
    <col min="12554" max="12554" width="12.42578125" customWidth="1"/>
    <col min="12555" max="12555" width="12.140625" customWidth="1"/>
    <col min="12803" max="12803" width="14.7109375" customWidth="1"/>
    <col min="12804" max="12804" width="13.42578125" customWidth="1"/>
    <col min="12805" max="12805" width="0" hidden="1" customWidth="1"/>
    <col min="12806" max="12806" width="16.28515625" customWidth="1"/>
    <col min="12807" max="12807" width="13.85546875" customWidth="1"/>
    <col min="12808" max="12808" width="10.85546875" bestFit="1" customWidth="1"/>
    <col min="12809" max="12809" width="15.140625" bestFit="1" customWidth="1"/>
    <col min="12810" max="12810" width="12.42578125" customWidth="1"/>
    <col min="12811" max="12811" width="12.140625" customWidth="1"/>
    <col min="13059" max="13059" width="14.7109375" customWidth="1"/>
    <col min="13060" max="13060" width="13.42578125" customWidth="1"/>
    <col min="13061" max="13061" width="0" hidden="1" customWidth="1"/>
    <col min="13062" max="13062" width="16.28515625" customWidth="1"/>
    <col min="13063" max="13063" width="13.85546875" customWidth="1"/>
    <col min="13064" max="13064" width="10.85546875" bestFit="1" customWidth="1"/>
    <col min="13065" max="13065" width="15.140625" bestFit="1" customWidth="1"/>
    <col min="13066" max="13066" width="12.42578125" customWidth="1"/>
    <col min="13067" max="13067" width="12.140625" customWidth="1"/>
    <col min="13315" max="13315" width="14.7109375" customWidth="1"/>
    <col min="13316" max="13316" width="13.42578125" customWidth="1"/>
    <col min="13317" max="13317" width="0" hidden="1" customWidth="1"/>
    <col min="13318" max="13318" width="16.28515625" customWidth="1"/>
    <col min="13319" max="13319" width="13.85546875" customWidth="1"/>
    <col min="13320" max="13320" width="10.85546875" bestFit="1" customWidth="1"/>
    <col min="13321" max="13321" width="15.140625" bestFit="1" customWidth="1"/>
    <col min="13322" max="13322" width="12.42578125" customWidth="1"/>
    <col min="13323" max="13323" width="12.140625" customWidth="1"/>
    <col min="13571" max="13571" width="14.7109375" customWidth="1"/>
    <col min="13572" max="13572" width="13.42578125" customWidth="1"/>
    <col min="13573" max="13573" width="0" hidden="1" customWidth="1"/>
    <col min="13574" max="13574" width="16.28515625" customWidth="1"/>
    <col min="13575" max="13575" width="13.85546875" customWidth="1"/>
    <col min="13576" max="13576" width="10.85546875" bestFit="1" customWidth="1"/>
    <col min="13577" max="13577" width="15.140625" bestFit="1" customWidth="1"/>
    <col min="13578" max="13578" width="12.42578125" customWidth="1"/>
    <col min="13579" max="13579" width="12.140625" customWidth="1"/>
    <col min="13827" max="13827" width="14.7109375" customWidth="1"/>
    <col min="13828" max="13828" width="13.42578125" customWidth="1"/>
    <col min="13829" max="13829" width="0" hidden="1" customWidth="1"/>
    <col min="13830" max="13830" width="16.28515625" customWidth="1"/>
    <col min="13831" max="13831" width="13.85546875" customWidth="1"/>
    <col min="13832" max="13832" width="10.85546875" bestFit="1" customWidth="1"/>
    <col min="13833" max="13833" width="15.140625" bestFit="1" customWidth="1"/>
    <col min="13834" max="13834" width="12.42578125" customWidth="1"/>
    <col min="13835" max="13835" width="12.140625" customWidth="1"/>
    <col min="14083" max="14083" width="14.7109375" customWidth="1"/>
    <col min="14084" max="14084" width="13.42578125" customWidth="1"/>
    <col min="14085" max="14085" width="0" hidden="1" customWidth="1"/>
    <col min="14086" max="14086" width="16.28515625" customWidth="1"/>
    <col min="14087" max="14087" width="13.85546875" customWidth="1"/>
    <col min="14088" max="14088" width="10.85546875" bestFit="1" customWidth="1"/>
    <col min="14089" max="14089" width="15.140625" bestFit="1" customWidth="1"/>
    <col min="14090" max="14090" width="12.42578125" customWidth="1"/>
    <col min="14091" max="14091" width="12.140625" customWidth="1"/>
    <col min="14339" max="14339" width="14.7109375" customWidth="1"/>
    <col min="14340" max="14340" width="13.42578125" customWidth="1"/>
    <col min="14341" max="14341" width="0" hidden="1" customWidth="1"/>
    <col min="14342" max="14342" width="16.28515625" customWidth="1"/>
    <col min="14343" max="14343" width="13.85546875" customWidth="1"/>
    <col min="14344" max="14344" width="10.85546875" bestFit="1" customWidth="1"/>
    <col min="14345" max="14345" width="15.140625" bestFit="1" customWidth="1"/>
    <col min="14346" max="14346" width="12.42578125" customWidth="1"/>
    <col min="14347" max="14347" width="12.140625" customWidth="1"/>
    <col min="14595" max="14595" width="14.7109375" customWidth="1"/>
    <col min="14596" max="14596" width="13.42578125" customWidth="1"/>
    <col min="14597" max="14597" width="0" hidden="1" customWidth="1"/>
    <col min="14598" max="14598" width="16.28515625" customWidth="1"/>
    <col min="14599" max="14599" width="13.85546875" customWidth="1"/>
    <col min="14600" max="14600" width="10.85546875" bestFit="1" customWidth="1"/>
    <col min="14601" max="14601" width="15.140625" bestFit="1" customWidth="1"/>
    <col min="14602" max="14602" width="12.42578125" customWidth="1"/>
    <col min="14603" max="14603" width="12.140625" customWidth="1"/>
    <col min="14851" max="14851" width="14.7109375" customWidth="1"/>
    <col min="14852" max="14852" width="13.42578125" customWidth="1"/>
    <col min="14853" max="14853" width="0" hidden="1" customWidth="1"/>
    <col min="14854" max="14854" width="16.28515625" customWidth="1"/>
    <col min="14855" max="14855" width="13.85546875" customWidth="1"/>
    <col min="14856" max="14856" width="10.85546875" bestFit="1" customWidth="1"/>
    <col min="14857" max="14857" width="15.140625" bestFit="1" customWidth="1"/>
    <col min="14858" max="14858" width="12.42578125" customWidth="1"/>
    <col min="14859" max="14859" width="12.140625" customWidth="1"/>
    <col min="15107" max="15107" width="14.7109375" customWidth="1"/>
    <col min="15108" max="15108" width="13.42578125" customWidth="1"/>
    <col min="15109" max="15109" width="0" hidden="1" customWidth="1"/>
    <col min="15110" max="15110" width="16.28515625" customWidth="1"/>
    <col min="15111" max="15111" width="13.85546875" customWidth="1"/>
    <col min="15112" max="15112" width="10.85546875" bestFit="1" customWidth="1"/>
    <col min="15113" max="15113" width="15.140625" bestFit="1" customWidth="1"/>
    <col min="15114" max="15114" width="12.42578125" customWidth="1"/>
    <col min="15115" max="15115" width="12.140625" customWidth="1"/>
    <col min="15363" max="15363" width="14.7109375" customWidth="1"/>
    <col min="15364" max="15364" width="13.42578125" customWidth="1"/>
    <col min="15365" max="15365" width="0" hidden="1" customWidth="1"/>
    <col min="15366" max="15366" width="16.28515625" customWidth="1"/>
    <col min="15367" max="15367" width="13.85546875" customWidth="1"/>
    <col min="15368" max="15368" width="10.85546875" bestFit="1" customWidth="1"/>
    <col min="15369" max="15369" width="15.140625" bestFit="1" customWidth="1"/>
    <col min="15370" max="15370" width="12.42578125" customWidth="1"/>
    <col min="15371" max="15371" width="12.140625" customWidth="1"/>
    <col min="15619" max="15619" width="14.7109375" customWidth="1"/>
    <col min="15620" max="15620" width="13.42578125" customWidth="1"/>
    <col min="15621" max="15621" width="0" hidden="1" customWidth="1"/>
    <col min="15622" max="15622" width="16.28515625" customWidth="1"/>
    <col min="15623" max="15623" width="13.85546875" customWidth="1"/>
    <col min="15624" max="15624" width="10.85546875" bestFit="1" customWidth="1"/>
    <col min="15625" max="15625" width="15.140625" bestFit="1" customWidth="1"/>
    <col min="15626" max="15626" width="12.42578125" customWidth="1"/>
    <col min="15627" max="15627" width="12.140625" customWidth="1"/>
    <col min="15875" max="15875" width="14.7109375" customWidth="1"/>
    <col min="15876" max="15876" width="13.42578125" customWidth="1"/>
    <col min="15877" max="15877" width="0" hidden="1" customWidth="1"/>
    <col min="15878" max="15878" width="16.28515625" customWidth="1"/>
    <col min="15879" max="15879" width="13.85546875" customWidth="1"/>
    <col min="15880" max="15880" width="10.85546875" bestFit="1" customWidth="1"/>
    <col min="15881" max="15881" width="15.140625" bestFit="1" customWidth="1"/>
    <col min="15882" max="15882" width="12.42578125" customWidth="1"/>
    <col min="15883" max="15883" width="12.140625" customWidth="1"/>
    <col min="16131" max="16131" width="14.7109375" customWidth="1"/>
    <col min="16132" max="16132" width="13.42578125" customWidth="1"/>
    <col min="16133" max="16133" width="0" hidden="1" customWidth="1"/>
    <col min="16134" max="16134" width="16.28515625" customWidth="1"/>
    <col min="16135" max="16135" width="13.85546875" customWidth="1"/>
    <col min="16136" max="16136" width="10.85546875" bestFit="1" customWidth="1"/>
    <col min="16137" max="16137" width="15.140625" bestFit="1" customWidth="1"/>
    <col min="16138" max="16138" width="12.42578125" customWidth="1"/>
    <col min="16139" max="16139" width="12.140625" customWidth="1"/>
  </cols>
  <sheetData>
    <row r="1" spans="1:9" ht="26.25" thickBot="1">
      <c r="A1" s="350"/>
      <c r="B1" s="350" t="s">
        <v>253</v>
      </c>
      <c r="C1" s="351" t="str">
        <f>Prisoptimering!N5</f>
        <v>Differensbidrag pr. time</v>
      </c>
      <c r="D1" s="351" t="s">
        <v>254</v>
      </c>
      <c r="E1" s="352" t="s">
        <v>273</v>
      </c>
      <c r="F1" s="350" t="s">
        <v>274</v>
      </c>
      <c r="G1" s="350" t="s">
        <v>253</v>
      </c>
      <c r="H1" s="353" t="str">
        <f>D1</f>
        <v>Ekstra timeforbrug</v>
      </c>
      <c r="I1" s="354" t="s">
        <v>275</v>
      </c>
    </row>
    <row r="2" spans="1:9">
      <c r="A2" s="355">
        <v>1</v>
      </c>
      <c r="B2" s="356" t="str">
        <f>CONCATENATE(1," ",Prisoptimering!$D$3)</f>
        <v>1 Q</v>
      </c>
      <c r="C2" s="357">
        <f>Prisoptimering!N6</f>
        <v>430</v>
      </c>
      <c r="D2" s="358">
        <f>Prisoptimering!P6</f>
        <v>600</v>
      </c>
      <c r="E2" s="359">
        <f t="shared" ref="E2:E25" si="0">SMALL($C$2:$C$25,A2)</f>
        <v>-390</v>
      </c>
      <c r="F2" s="360">
        <f t="shared" ref="F2:F25" si="1">LARGE($E$2:$E$25,A2)</f>
        <v>430</v>
      </c>
      <c r="G2" s="355" t="str">
        <f>IF(F2=C2,B2,IF(F2=C10,B10,IF(F2=C18,B18)))</f>
        <v>1 Q</v>
      </c>
      <c r="H2" s="361">
        <f>IF(G2=$B$2,$D$2,IF(G2=$B$10,$D$10,IF(G2=$B$18,$D$18)))</f>
        <v>600</v>
      </c>
      <c r="I2" s="362">
        <f>H2</f>
        <v>600</v>
      </c>
    </row>
    <row r="3" spans="1:9">
      <c r="A3" s="363">
        <f t="shared" ref="A3:A25" si="2">A2+1</f>
        <v>2</v>
      </c>
      <c r="B3" s="2" t="str">
        <f>CONCATENATE(2," ",Prisoptimering!$D$3)</f>
        <v>2 Q</v>
      </c>
      <c r="C3" s="364">
        <f>Prisoptimering!N7</f>
        <v>310</v>
      </c>
      <c r="D3" s="365">
        <f>Prisoptimering!P7</f>
        <v>200</v>
      </c>
      <c r="E3" s="366">
        <f t="shared" si="0"/>
        <v>0</v>
      </c>
      <c r="F3" s="367">
        <f t="shared" si="1"/>
        <v>340</v>
      </c>
      <c r="G3" s="363" t="str">
        <f>IF(F3=$C$2,$B$2,IF(F3=$C$3,$B$3,IF(F3=$C$10,$B$10,IF(F3=$C$11,$B$11,IF(F3=$C$18,$B$18,IF(F3=$C$19,$B$19,IF(F3=C4,B4)))))))</f>
        <v>1 Z</v>
      </c>
      <c r="H3" s="368">
        <f>IF(G3=$B$2,$D$2,IF(G3=$B$10,$D$10,IF(G3=$B$18,$D$18,IF(G3=$B$3,$D$3,IF(G3=$B$11,$D$11,IF(G3=$B$19,$D$19,IF(G3=$B$4,$D$4,IF(G3=$B$12,$D$12))))))))</f>
        <v>1000</v>
      </c>
      <c r="I3" s="362">
        <f>H3+I2</f>
        <v>1600</v>
      </c>
    </row>
    <row r="4" spans="1:9">
      <c r="A4" s="363">
        <f t="shared" si="2"/>
        <v>3</v>
      </c>
      <c r="B4" s="2" t="str">
        <f>CONCATENATE(3," ",Prisoptimering!$D$3)</f>
        <v>3 Q</v>
      </c>
      <c r="C4" s="364">
        <f>Prisoptimering!N9</f>
        <v>210</v>
      </c>
      <c r="D4" s="365">
        <f>Prisoptimering!P9</f>
        <v>150</v>
      </c>
      <c r="E4" s="366">
        <f t="shared" si="0"/>
        <v>0</v>
      </c>
      <c r="F4" s="367">
        <f t="shared" si="1"/>
        <v>310</v>
      </c>
      <c r="G4" s="363" t="str">
        <f>IF(F4=$C$2,$B$2,IF(F4=$C$3,$B$3,IF(F4=$C$10,$B$10,IF(F4=$C$11,$B$11,IF(F4=$C$18,$B$18,IF(F4=$C$19,$B$19,IF(F4=$C$4,$B$4,IF(F4=$C$12,$B$12,))))))))</f>
        <v>2 Q</v>
      </c>
      <c r="H4" s="368">
        <f>IF(G4=$B$2,$D$2,IF(G4=$B$10,$D$10,IF(G4=$B$18,$D$18,IF(G4=$B$3,$D$3,IF(G4=$B$11,$D$11,IF(G4=$B$19,$D$19,IF(G4=$B$4,$D$4,IF(G4=$B$12,$D$12))))))))</f>
        <v>200</v>
      </c>
      <c r="I4" s="362">
        <f t="shared" ref="I4:I13" si="3">H4+I3</f>
        <v>1800</v>
      </c>
    </row>
    <row r="5" spans="1:9">
      <c r="A5" s="363">
        <f t="shared" si="2"/>
        <v>4</v>
      </c>
      <c r="B5" s="2" t="str">
        <f>CONCATENATE(4," ",Prisoptimering!$D$3)</f>
        <v>4 Q</v>
      </c>
      <c r="C5" s="364">
        <f>Prisoptimering!N11</f>
        <v>140</v>
      </c>
      <c r="D5" s="365">
        <f>Prisoptimering!P11</f>
        <v>200</v>
      </c>
      <c r="E5" s="366">
        <f t="shared" si="0"/>
        <v>0</v>
      </c>
      <c r="F5" s="367">
        <f t="shared" si="1"/>
        <v>210</v>
      </c>
      <c r="G5" s="363" t="str">
        <f>IF(F5=$C$2,$B$2,IF(F5=$C$3,$B$3,IF(F5=$C$10,$B$10,IF(F5=$C$11,$B$11,IF(F5=$C$18,$B$18,IF(F5=$C$19,$B$19,IF(F5=$C$4,$B$4,IF(F5=$C$12,$B$12,))))))))</f>
        <v>3 Q</v>
      </c>
      <c r="H5" s="368">
        <f>IF(G5=$B$2,$D$2,IF(G5=$B$10,$D$10,IF(G5=$B$18,$D$18,IF(G5=$B$3,$D$3,IF(G5=$B$11,$D$11,IF(G5=$B$19,$D$19,IF(G5=$B$4,$D$4,IF(G5=$B$12,$D$12))))))))</f>
        <v>150</v>
      </c>
      <c r="I5" s="362">
        <f t="shared" si="3"/>
        <v>1950</v>
      </c>
    </row>
    <row r="6" spans="1:9">
      <c r="A6" s="363">
        <f t="shared" si="2"/>
        <v>5</v>
      </c>
      <c r="B6" s="2" t="str">
        <f>CONCATENATE(5," ",Prisoptimering!$D$3)</f>
        <v>5 Q</v>
      </c>
      <c r="C6" s="364">
        <f>Prisoptimering!N13</f>
        <v>-390</v>
      </c>
      <c r="D6" s="365">
        <f>Prisoptimering!P13</f>
        <v>50</v>
      </c>
      <c r="E6" s="366">
        <f t="shared" si="0"/>
        <v>0</v>
      </c>
      <c r="F6" s="367">
        <f t="shared" si="1"/>
        <v>180</v>
      </c>
      <c r="G6" s="363" t="str">
        <f>IF(F6=$C$2,$B$2,IF(F6=$C$3,$B$3,IF(F6=$C$10,$B$10,IF(F6=$C$11,$B$11,IF(F6=$C$18,$B$18,IF(F6=$C$19,$B$19,IF(F6=$C$4,$B$4,IF(F6=$C$12,$B$12,))))))))</f>
        <v>1 Udland</v>
      </c>
      <c r="H6" s="368">
        <f>IF(G6=$B$2,$D$2,IF(G6=$B$10,$D$10,IF(G6=$B$18,$D$18,IF(G6=$B$3,$D$3,IF(G6=$B$11,$D$11,IF(G6=$B$19,$D$19,IF(G6=$B$4,$D$4,IF(G6=$B$12,$D$12))))))))</f>
        <v>900</v>
      </c>
      <c r="I6" s="362">
        <f t="shared" si="3"/>
        <v>2850</v>
      </c>
    </row>
    <row r="7" spans="1:9">
      <c r="A7" s="363">
        <f t="shared" si="2"/>
        <v>6</v>
      </c>
      <c r="B7" s="2" t="str">
        <f>CONCATENATE(6," ",Prisoptimering!$D$3)</f>
        <v>6 Q</v>
      </c>
      <c r="C7" s="364">
        <f>Prisoptimering!N15</f>
        <v>0</v>
      </c>
      <c r="D7" s="365">
        <f>Prisoptimering!P15</f>
        <v>0</v>
      </c>
      <c r="E7" s="366">
        <f t="shared" si="0"/>
        <v>0</v>
      </c>
      <c r="F7" s="367">
        <f>LARGE($E$2:$E$25,A7)</f>
        <v>165</v>
      </c>
      <c r="G7" s="363" t="str">
        <f>IF(F7=$C$2,$B$2,IF(F7=$C$3,$B$3,IF(F7=$C$10,$B$10,IF(F7=$C$11,$B$11,IF(F7=$C$18,$B$18,IF(F7=$C$19,$B$19,IF(F7=$C$4,$B$4,IF(F7=$C$12,$B$12,))))))))</f>
        <v>2 Z</v>
      </c>
      <c r="H7" s="368">
        <f>IF(G7=$B$2,$D$2,IF(G7=$B$10,$D$10,IF(G7=$B$18,$D$18,IF(G7=$B$3,$D$3,IF(G7=$B$11,$D$11,IF(G7=$B$19,$D$19,IF(G7=$B$4,$D$4,IF(G7=$B$12,$D$12))))))))</f>
        <v>400</v>
      </c>
      <c r="I7" s="362">
        <f t="shared" si="3"/>
        <v>3250</v>
      </c>
    </row>
    <row r="8" spans="1:9">
      <c r="A8" s="363">
        <f t="shared" si="2"/>
        <v>7</v>
      </c>
      <c r="B8" s="2" t="str">
        <f>CONCATENATE(7," ",Prisoptimering!$D$3)</f>
        <v>7 Q</v>
      </c>
      <c r="C8" s="364">
        <f>Prisoptimering!N17</f>
        <v>0</v>
      </c>
      <c r="D8" s="365">
        <f>Prisoptimering!P17</f>
        <v>0</v>
      </c>
      <c r="E8" s="366">
        <f t="shared" si="0"/>
        <v>0</v>
      </c>
      <c r="F8" s="367">
        <f t="shared" si="1"/>
        <v>140</v>
      </c>
      <c r="G8" s="363">
        <f>IF(F8=$C$2,$B$2,IF(F8=$C$3,$B$3,IF(F8=$C$13,$B$13,IF(F8=$C$11,$B$11,IF(F8=$C$18,$B$18,IF(F8=$C$19,$B$19,IF(F8=$C$4,$B$4,IF(F8=$C$12,$B$12,))))))))</f>
        <v>0</v>
      </c>
      <c r="H8" s="368" t="b">
        <f>IF(G8=$B$2,$D$2,IF(G8=$B$13,$D$13,IF(G8=$B$18,$D$18,IF(G8=$B$3,$D$3,IF(G8=$B$11,$D$11,IF(G8=$B$19,$D$19,IF(G8=$B$4,$D$4,IF(G8=$B$12,$D$12))))))))</f>
        <v>0</v>
      </c>
      <c r="I8" s="362">
        <f t="shared" si="3"/>
        <v>3250</v>
      </c>
    </row>
    <row r="9" spans="1:9" ht="13.5" thickBot="1">
      <c r="A9" s="363">
        <f t="shared" si="2"/>
        <v>8</v>
      </c>
      <c r="B9" s="2" t="str">
        <f>CONCATENATE(7," ",Prisoptimering!$D$3)</f>
        <v>7 Q</v>
      </c>
      <c r="C9" s="364">
        <f>Prisoptimering!N19</f>
        <v>0</v>
      </c>
      <c r="D9" s="365">
        <f>Prisoptimering!P19</f>
        <v>0</v>
      </c>
      <c r="E9" s="366">
        <f t="shared" si="0"/>
        <v>0</v>
      </c>
      <c r="F9" s="367">
        <f t="shared" si="1"/>
        <v>65</v>
      </c>
      <c r="G9" s="363" t="str">
        <f>IF(F9=$C$5,$B$5,IF(F9=$C$3,$B$3,IF(F9=$C$13,$B$13,IF(F9=$C$11,$B$11,IF(F9=$C$19,$B$19,IF(F9=$C$20,$B$20,IF(F9=$C$4,$B$4,IF(F9=$C$12,$B$12,))))))))</f>
        <v>3 Z</v>
      </c>
      <c r="H9" s="368">
        <f>IF(G9=$B$5,$D$5,IF(G9=$B$13,$D$13,IF(G9=$B$20,$D$20,IF(G9=$B$3,$D$3,IF(G9=$B$11,$D$11,IF(G9=$B$19,$D$19,IF(G9=$B$4,$D$4,IF(G9=$B$12,$D$12))))))))</f>
        <v>400</v>
      </c>
      <c r="I9" s="362">
        <f t="shared" si="3"/>
        <v>3650</v>
      </c>
    </row>
    <row r="10" spans="1:9">
      <c r="A10" s="355">
        <f t="shared" si="2"/>
        <v>9</v>
      </c>
      <c r="B10" s="356" t="str">
        <f>CONCATENATE(1," ",Prisoptimering!$D$31)</f>
        <v>1 Z</v>
      </c>
      <c r="C10" s="357">
        <f>Prisoptimering!N34</f>
        <v>340</v>
      </c>
      <c r="D10" s="358">
        <f>Prisoptimering!P34</f>
        <v>1000</v>
      </c>
      <c r="E10" s="359">
        <f t="shared" si="0"/>
        <v>0</v>
      </c>
      <c r="F10" s="360">
        <f t="shared" si="1"/>
        <v>40</v>
      </c>
      <c r="G10" s="2" t="str">
        <f>IF(F10=$C$5,$B$5,IF(F10=$C$3,$B$3,IF(F10=$C$13,$B$13,IF(F10=$C$11,$B$11,IF(F10=$C$19,$B$19,IF(F10=$C$20,$B$20,IF(F10=$C$4,$B$4,IF(F10=$C$12,$B$12,))))))))</f>
        <v>4 Z</v>
      </c>
      <c r="H10" s="368">
        <f>IF(G10=$B$5,$D$5,IF(G10=$B$13,$D$13,IF(G10=$B$20,$D$20,IF(G10=$B$3,$D$3,IF(G10=$B$11,$D$11,IF(G10=$B$19,$D$19,IF(G10=$B$4,$D$4,IF(G10=$B$12,$D$12,"-"))))))))</f>
        <v>600</v>
      </c>
      <c r="I10" s="362">
        <f t="shared" si="3"/>
        <v>4250</v>
      </c>
    </row>
    <row r="11" spans="1:9">
      <c r="A11" s="363">
        <f t="shared" si="2"/>
        <v>10</v>
      </c>
      <c r="B11" s="2" t="str">
        <f>CONCATENATE(2," ",Prisoptimering!$D$31)</f>
        <v>2 Z</v>
      </c>
      <c r="C11" s="364">
        <f>Prisoptimering!N35</f>
        <v>165</v>
      </c>
      <c r="D11" s="365">
        <f>Prisoptimering!P35</f>
        <v>400</v>
      </c>
      <c r="E11" s="366">
        <f t="shared" si="0"/>
        <v>0</v>
      </c>
      <c r="F11" s="367">
        <f t="shared" si="1"/>
        <v>0</v>
      </c>
      <c r="G11" s="2" t="str">
        <f>IF(F11=$C$5,$B$5,IF(F11=$C$3,$B$3,IF(F11=$C$13,$B$13,IF(F11=$C$11,$B$11,IF(F11=$C$19,$B$19,IF(F11=$C$20,$B$20,IF(F11=$C$4,$B$4,IF(F11=$C$12,$B$12,))))))))</f>
        <v>2 Udland</v>
      </c>
      <c r="H11" s="368">
        <f>IF(G11=$B$5,$D$5,IF(G11=$B$13,$D$13,IF(G11=$B$20,$D$20,IF(G11=$B$3,$D$3,IF(G11=$B$11,$D$11,IF(G11=$B$19,$D$19,IF(G11=$B$4,$D$4,IF(G11=$B$12,$D$12,"-"))))))))</f>
        <v>0</v>
      </c>
      <c r="I11" s="362">
        <f t="shared" si="3"/>
        <v>4250</v>
      </c>
    </row>
    <row r="12" spans="1:9">
      <c r="A12" s="363">
        <f t="shared" si="2"/>
        <v>11</v>
      </c>
      <c r="B12" s="2" t="str">
        <f>CONCATENATE(3," ",Prisoptimering!$D$31)</f>
        <v>3 Z</v>
      </c>
      <c r="C12" s="364">
        <f>Prisoptimering!N37</f>
        <v>65</v>
      </c>
      <c r="D12" s="365">
        <f>Prisoptimering!P37</f>
        <v>400</v>
      </c>
      <c r="E12" s="366">
        <f t="shared" si="0"/>
        <v>0</v>
      </c>
      <c r="F12" s="367">
        <f t="shared" si="1"/>
        <v>0</v>
      </c>
      <c r="G12" s="2" t="str">
        <f>IF(F12=$C$5,$B$5,IF(F12=$C$6,$B$6,IF(F12=$C$13,$B$13,IF(F12=$C$14,$B$14,IF(F12=$C$21,$B$21,IF(F12=$C$20,$B$20,IF(F12=$C$4,$B$4,IF(F12=$C$12,$B$12,"-"))))))))</f>
        <v>5 Z</v>
      </c>
      <c r="H12" s="368" t="str">
        <f>IF(G12=$B$5,$D$5,IF(G12=$B$13,$D$13,IF(G12=$B$20,$D$20,IF(G12=$B$3,$D$3,IF(G12=$B$11,$D$11,IF(G12=$B$19,$D$19,IF(G12=$B$4,$D$4,IF(G12=$B$12,$D$12,"-"))))))))</f>
        <v>-</v>
      </c>
      <c r="I12" s="362" t="e">
        <f t="shared" si="3"/>
        <v>#VALUE!</v>
      </c>
    </row>
    <row r="13" spans="1:9" ht="13.5" thickBot="1">
      <c r="A13" s="363">
        <f t="shared" si="2"/>
        <v>12</v>
      </c>
      <c r="B13" s="2" t="str">
        <f>CONCATENATE(4," ",Prisoptimering!$D$31)</f>
        <v>4 Z</v>
      </c>
      <c r="C13" s="364">
        <f>Prisoptimering!N39</f>
        <v>40</v>
      </c>
      <c r="D13" s="365">
        <f>Prisoptimering!P39</f>
        <v>600</v>
      </c>
      <c r="E13" s="366">
        <f t="shared" si="0"/>
        <v>0</v>
      </c>
      <c r="F13" s="327">
        <f t="shared" si="1"/>
        <v>0</v>
      </c>
      <c r="G13" s="369" t="str">
        <f>IF(F13=$C$5,$B$5,IF(F13=$C$6,$B$6,IF(F13=$C$13,$B$13,IF(F13=$C$14,$B$14,IF(F13=$C$21,$B$21,IF(F13=$C$20,$B$20,IF(F13=$C$4,$B$4,IF(F13=$C$12,$B$12,"-"))))))))</f>
        <v>5 Z</v>
      </c>
      <c r="H13" s="370" t="str">
        <f>IF(G13=$B$5,$D$5,IF(G13=$B$13,$D$13,IF(G13=$B$20,$D$20,IF(G13=$B$3,$D$3,IF(G13=$B$11,$D$11,IF(G13=$B$19,$D$19,IF(G13=$B$4,$D$4,IF(G13=$B$12,$D$12,"-"))))))))</f>
        <v>-</v>
      </c>
      <c r="I13" s="371" t="e">
        <f t="shared" si="3"/>
        <v>#VALUE!</v>
      </c>
    </row>
    <row r="14" spans="1:9">
      <c r="A14" s="363">
        <f t="shared" si="2"/>
        <v>13</v>
      </c>
      <c r="B14" s="2" t="str">
        <f>CONCATENATE(5," ",Prisoptimering!$D$31)</f>
        <v>5 Z</v>
      </c>
      <c r="C14" s="364">
        <f>Prisoptimering!N41</f>
        <v>0</v>
      </c>
      <c r="D14" s="365">
        <f>Prisoptimering!P41</f>
        <v>0</v>
      </c>
      <c r="E14" s="366">
        <f t="shared" si="0"/>
        <v>0</v>
      </c>
      <c r="F14" s="367">
        <f t="shared" si="1"/>
        <v>0</v>
      </c>
    </row>
    <row r="15" spans="1:9">
      <c r="A15" s="363">
        <f t="shared" si="2"/>
        <v>14</v>
      </c>
      <c r="B15" s="2" t="str">
        <f>CONCATENATE(6," ",Prisoptimering!$D$31)</f>
        <v>6 Z</v>
      </c>
      <c r="C15" s="364">
        <f>Prisoptimering!N43</f>
        <v>0</v>
      </c>
      <c r="D15" s="365">
        <f>Prisoptimering!P43</f>
        <v>0</v>
      </c>
      <c r="E15" s="366">
        <f t="shared" si="0"/>
        <v>0</v>
      </c>
      <c r="F15" s="367">
        <f t="shared" si="1"/>
        <v>0</v>
      </c>
    </row>
    <row r="16" spans="1:9">
      <c r="A16" s="363">
        <f t="shared" si="2"/>
        <v>15</v>
      </c>
      <c r="B16" s="2" t="str">
        <f>CONCATENATE(7," ",Prisoptimering!$D$31)</f>
        <v>7 Z</v>
      </c>
      <c r="C16" s="364">
        <f>Prisoptimering!N45</f>
        <v>0</v>
      </c>
      <c r="D16" s="365">
        <f>Prisoptimering!P45</f>
        <v>0</v>
      </c>
      <c r="E16" s="366">
        <f t="shared" si="0"/>
        <v>0</v>
      </c>
      <c r="F16" s="367">
        <f t="shared" si="1"/>
        <v>0</v>
      </c>
    </row>
    <row r="17" spans="1:6" ht="13.5" thickBot="1">
      <c r="A17" s="363">
        <f t="shared" si="2"/>
        <v>16</v>
      </c>
      <c r="B17" s="2" t="str">
        <f>CONCATENATE(8," ",Prisoptimering!$D$31)</f>
        <v>8 Z</v>
      </c>
      <c r="C17" s="364">
        <f>Prisoptimering!N47</f>
        <v>0</v>
      </c>
      <c r="D17" s="365">
        <f>Prisoptimering!P47</f>
        <v>0</v>
      </c>
      <c r="E17" s="366">
        <f t="shared" si="0"/>
        <v>40</v>
      </c>
      <c r="F17" s="327">
        <f t="shared" si="1"/>
        <v>0</v>
      </c>
    </row>
    <row r="18" spans="1:6">
      <c r="A18" s="355">
        <f t="shared" si="2"/>
        <v>17</v>
      </c>
      <c r="B18" s="356" t="str">
        <f>CONCATENATE(1," ",Prisoptimering!$D$59)</f>
        <v>1 Udland</v>
      </c>
      <c r="C18" s="357">
        <f>Prisoptimering!N62</f>
        <v>180</v>
      </c>
      <c r="D18" s="358">
        <f>Prisoptimering!P62</f>
        <v>900</v>
      </c>
      <c r="E18" s="359">
        <f t="shared" si="0"/>
        <v>65</v>
      </c>
      <c r="F18" s="368">
        <f t="shared" si="1"/>
        <v>0</v>
      </c>
    </row>
    <row r="19" spans="1:6">
      <c r="A19" s="363">
        <f t="shared" si="2"/>
        <v>18</v>
      </c>
      <c r="B19" s="2" t="str">
        <f>CONCATENATE(2," ",Prisoptimering!$D$59)</f>
        <v>2 Udland</v>
      </c>
      <c r="C19" s="364">
        <f>Prisoptimering!N63</f>
        <v>0</v>
      </c>
      <c r="D19" s="365">
        <f>Prisoptimering!P63</f>
        <v>0</v>
      </c>
      <c r="E19" s="366">
        <f t="shared" si="0"/>
        <v>140</v>
      </c>
      <c r="F19" s="368">
        <f t="shared" si="1"/>
        <v>0</v>
      </c>
    </row>
    <row r="20" spans="1:6">
      <c r="A20" s="363">
        <f t="shared" si="2"/>
        <v>19</v>
      </c>
      <c r="B20" s="2" t="str">
        <f>CONCATENATE(3," ",Prisoptimering!$D$59)</f>
        <v>3 Udland</v>
      </c>
      <c r="C20" s="364">
        <f>Prisoptimering!N65</f>
        <v>0</v>
      </c>
      <c r="D20" s="365">
        <f>Prisoptimering!P65</f>
        <v>0</v>
      </c>
      <c r="E20" s="366">
        <f t="shared" si="0"/>
        <v>165</v>
      </c>
      <c r="F20" s="368">
        <f t="shared" si="1"/>
        <v>0</v>
      </c>
    </row>
    <row r="21" spans="1:6">
      <c r="A21" s="363">
        <f t="shared" si="2"/>
        <v>20</v>
      </c>
      <c r="B21" s="2" t="str">
        <f>CONCATENATE(4," ",Prisoptimering!$D$59)</f>
        <v>4 Udland</v>
      </c>
      <c r="C21" s="364">
        <f>Prisoptimering!N67</f>
        <v>0</v>
      </c>
      <c r="D21" s="365">
        <f>Prisoptimering!P67</f>
        <v>0</v>
      </c>
      <c r="E21" s="366">
        <f t="shared" si="0"/>
        <v>180</v>
      </c>
      <c r="F21" s="368">
        <f t="shared" si="1"/>
        <v>0</v>
      </c>
    </row>
    <row r="22" spans="1:6">
      <c r="A22" s="363">
        <f t="shared" si="2"/>
        <v>21</v>
      </c>
      <c r="B22" s="2" t="str">
        <f>CONCATENATE(5," ",Prisoptimering!$D$59)</f>
        <v>5 Udland</v>
      </c>
      <c r="C22" s="364">
        <f>Prisoptimering!N69</f>
        <v>0</v>
      </c>
      <c r="D22" s="365">
        <f>Prisoptimering!P69</f>
        <v>0</v>
      </c>
      <c r="E22" s="366">
        <f t="shared" si="0"/>
        <v>210</v>
      </c>
      <c r="F22" s="368">
        <f t="shared" si="1"/>
        <v>0</v>
      </c>
    </row>
    <row r="23" spans="1:6">
      <c r="A23" s="363">
        <f t="shared" si="2"/>
        <v>22</v>
      </c>
      <c r="B23" s="2" t="str">
        <f>CONCATENATE(6," ",Prisoptimering!$D$59)</f>
        <v>6 Udland</v>
      </c>
      <c r="C23" s="364">
        <f>Prisoptimering!N71</f>
        <v>0</v>
      </c>
      <c r="D23" s="365">
        <f>Prisoptimering!P71</f>
        <v>0</v>
      </c>
      <c r="E23" s="366">
        <f t="shared" si="0"/>
        <v>310</v>
      </c>
      <c r="F23" s="368">
        <f t="shared" si="1"/>
        <v>0</v>
      </c>
    </row>
    <row r="24" spans="1:6">
      <c r="A24" s="363">
        <f t="shared" si="2"/>
        <v>23</v>
      </c>
      <c r="B24" s="2" t="str">
        <f>CONCATENATE(7," ",Prisoptimering!$D$59)</f>
        <v>7 Udland</v>
      </c>
      <c r="C24" s="364">
        <f>Prisoptimering!N73</f>
        <v>0</v>
      </c>
      <c r="D24" s="365">
        <f>Prisoptimering!P73</f>
        <v>0</v>
      </c>
      <c r="E24" s="366">
        <f t="shared" si="0"/>
        <v>340</v>
      </c>
      <c r="F24" s="368">
        <f t="shared" si="1"/>
        <v>0</v>
      </c>
    </row>
    <row r="25" spans="1:6" ht="13.5" thickBot="1">
      <c r="A25" s="372">
        <f t="shared" si="2"/>
        <v>24</v>
      </c>
      <c r="B25" s="369" t="str">
        <f>CONCATENATE(8," ",Prisoptimering!$D$59)</f>
        <v>8 Udland</v>
      </c>
      <c r="C25" s="373">
        <f>Prisoptimering!N75</f>
        <v>0</v>
      </c>
      <c r="D25" s="374">
        <f>Prisoptimering!P75</f>
        <v>0</v>
      </c>
      <c r="E25" s="375">
        <f t="shared" si="0"/>
        <v>430</v>
      </c>
      <c r="F25" s="370">
        <f t="shared" si="1"/>
        <v>-390</v>
      </c>
    </row>
  </sheetData>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67"/>
  <sheetViews>
    <sheetView zoomScale="90" zoomScaleNormal="90" workbookViewId="0">
      <selection activeCell="A2" sqref="A2"/>
    </sheetView>
  </sheetViews>
  <sheetFormatPr defaultRowHeight="12.75"/>
  <cols>
    <col min="1" max="1" width="9.28515625" customWidth="1"/>
    <col min="2" max="2" width="16.140625" customWidth="1"/>
    <col min="3" max="3" width="20.7109375" customWidth="1"/>
    <col min="4" max="4" width="28.28515625" customWidth="1"/>
    <col min="5" max="5" width="27.7109375" customWidth="1"/>
    <col min="6" max="6" width="28.28515625" customWidth="1"/>
    <col min="7" max="7" width="24.7109375" hidden="1" customWidth="1"/>
    <col min="8" max="8" width="24.85546875" customWidth="1"/>
    <col min="9" max="9" width="24.140625" customWidth="1"/>
  </cols>
  <sheetData>
    <row r="1" spans="1:11" ht="18">
      <c r="A1" s="392" t="s">
        <v>30</v>
      </c>
      <c r="B1" s="393"/>
      <c r="C1" s="393"/>
    </row>
    <row r="2" spans="1:11" ht="18">
      <c r="A2" s="50"/>
    </row>
    <row r="3" spans="1:11" ht="15.75">
      <c r="A3" s="17" t="s">
        <v>18</v>
      </c>
      <c r="B3" s="18">
        <v>6</v>
      </c>
    </row>
    <row r="4" spans="1:11" ht="16.5" thickBot="1">
      <c r="A4" s="17" t="s">
        <v>19</v>
      </c>
      <c r="B4" s="19">
        <v>0.06</v>
      </c>
    </row>
    <row r="5" spans="1:11" ht="64.5" customHeight="1" thickBot="1">
      <c r="A5" s="20" t="s">
        <v>20</v>
      </c>
      <c r="B5" s="21" t="s">
        <v>21</v>
      </c>
      <c r="C5" s="22" t="s">
        <v>22</v>
      </c>
      <c r="D5" s="20" t="s">
        <v>15</v>
      </c>
      <c r="E5" s="23" t="s">
        <v>24</v>
      </c>
      <c r="F5" s="20" t="s">
        <v>27</v>
      </c>
      <c r="G5" s="20" t="s">
        <v>25</v>
      </c>
      <c r="H5" s="23" t="str">
        <f>CONCATENATE("Nutidsværdien ved den interne rente (IRR) ",(ROUND(F59,4)*100)," %")</f>
        <v>Nutidsværdien ved den interne rente (IRR) 6.7 %</v>
      </c>
      <c r="I5" s="23" t="s">
        <v>23</v>
      </c>
    </row>
    <row r="6" spans="1:11" ht="18">
      <c r="A6" s="28">
        <v>0</v>
      </c>
      <c r="B6" s="46">
        <v>0</v>
      </c>
      <c r="C6" s="26">
        <v>4850000</v>
      </c>
      <c r="D6" s="51">
        <f t="shared" ref="D6:D37" si="0">B6-C6</f>
        <v>-4850000</v>
      </c>
      <c r="E6" s="56">
        <f t="shared" ref="E6:E37" si="1">IF(A6&lt;=$B$3,POWER((1+$B$4),(A6*-1)),"-")</f>
        <v>1</v>
      </c>
      <c r="F6" s="27">
        <f>D6</f>
        <v>-4850000</v>
      </c>
      <c r="G6" s="56">
        <f>IF(A6&lt;=$B$3,POWER((1+$F$59),(A6*-1)),"-")</f>
        <v>1</v>
      </c>
      <c r="H6" s="27">
        <f>F6</f>
        <v>-4850000</v>
      </c>
      <c r="I6" s="28"/>
    </row>
    <row r="7" spans="1:11" ht="18">
      <c r="A7" s="24">
        <f t="shared" ref="A7:A38" si="2">A6+1</f>
        <v>1</v>
      </c>
      <c r="B7" s="25">
        <v>970000</v>
      </c>
      <c r="C7" s="29">
        <v>0</v>
      </c>
      <c r="D7" s="52">
        <f t="shared" si="0"/>
        <v>970000</v>
      </c>
      <c r="E7" s="54">
        <f t="shared" si="1"/>
        <v>0.94339622641509424</v>
      </c>
      <c r="F7" s="30">
        <f t="shared" ref="F7:F38" si="3">PV($B$4,A7,0,D7)*-1</f>
        <v>915094.33962264145</v>
      </c>
      <c r="G7" s="54">
        <f>IF(A7&lt;=$B$3,POWER((1+$F$59),(A7*-1)),"-")</f>
        <v>0.9372271987355022</v>
      </c>
      <c r="H7" s="30">
        <f t="shared" ref="H7:H38" si="4">PV($F$59,A7,0,D7)*-1</f>
        <v>909110.38277343707</v>
      </c>
      <c r="I7" s="30">
        <f>PMT($B$4,$B$3,$F$57)*-1</f>
        <v>22399.161584978487</v>
      </c>
    </row>
    <row r="8" spans="1:11" ht="18">
      <c r="A8" s="24">
        <f t="shared" si="2"/>
        <v>2</v>
      </c>
      <c r="B8" s="25">
        <v>970000</v>
      </c>
      <c r="C8" s="29">
        <v>0</v>
      </c>
      <c r="D8" s="52">
        <f t="shared" si="0"/>
        <v>970000</v>
      </c>
      <c r="E8" s="54">
        <f t="shared" si="1"/>
        <v>0.88999644001423983</v>
      </c>
      <c r="F8" s="30">
        <f t="shared" si="3"/>
        <v>863296.54681381257</v>
      </c>
      <c r="G8" s="54">
        <f t="shared" ref="G8:G56" si="5">IF(A8&lt;=$B$3,POWER((1+$F$59),(A8*-1)),"-")</f>
        <v>0.87839482204959651</v>
      </c>
      <c r="H8" s="30">
        <f t="shared" si="4"/>
        <v>852042.97738810861</v>
      </c>
      <c r="I8" s="30">
        <f t="shared" ref="I8:I13" si="6">IF(A8&lt;=$B$3,$I$7,0)</f>
        <v>22399.161584978487</v>
      </c>
    </row>
    <row r="9" spans="1:11" ht="18">
      <c r="A9" s="24">
        <f t="shared" si="2"/>
        <v>3</v>
      </c>
      <c r="B9" s="25">
        <v>970000</v>
      </c>
      <c r="C9" s="29">
        <v>0</v>
      </c>
      <c r="D9" s="52">
        <f t="shared" si="0"/>
        <v>970000</v>
      </c>
      <c r="E9" s="54">
        <f t="shared" si="1"/>
        <v>0.8396192830323016</v>
      </c>
      <c r="F9" s="30">
        <f t="shared" si="3"/>
        <v>814430.70454133255</v>
      </c>
      <c r="G9" s="54">
        <f t="shared" si="5"/>
        <v>0.82325551845331324</v>
      </c>
      <c r="H9" s="30">
        <f t="shared" si="4"/>
        <v>798557.85289971391</v>
      </c>
      <c r="I9" s="30">
        <f t="shared" si="6"/>
        <v>22399.161584978487</v>
      </c>
    </row>
    <row r="10" spans="1:11" ht="18">
      <c r="A10" s="24">
        <f t="shared" si="2"/>
        <v>4</v>
      </c>
      <c r="B10" s="25">
        <v>970000</v>
      </c>
      <c r="C10" s="29">
        <v>0</v>
      </c>
      <c r="D10" s="52">
        <f t="shared" si="0"/>
        <v>970000</v>
      </c>
      <c r="E10" s="54">
        <f t="shared" si="1"/>
        <v>0.79209366323802044</v>
      </c>
      <c r="F10" s="30">
        <f t="shared" si="3"/>
        <v>768330.85334087978</v>
      </c>
      <c r="G10" s="54">
        <f t="shared" si="5"/>
        <v>0.77157746340354239</v>
      </c>
      <c r="H10" s="30">
        <f t="shared" si="4"/>
        <v>748430.13950143603</v>
      </c>
      <c r="I10" s="30">
        <f t="shared" si="6"/>
        <v>22399.161584978487</v>
      </c>
    </row>
    <row r="11" spans="1:11" ht="18">
      <c r="A11" s="24">
        <f t="shared" si="2"/>
        <v>5</v>
      </c>
      <c r="B11" s="25">
        <v>970000</v>
      </c>
      <c r="C11" s="29">
        <v>0</v>
      </c>
      <c r="D11" s="52">
        <f>(B11-C11)</f>
        <v>970000</v>
      </c>
      <c r="E11" s="54">
        <f t="shared" si="1"/>
        <v>0.74725817286605689</v>
      </c>
      <c r="F11" s="30">
        <f t="shared" si="3"/>
        <v>724840.42768007517</v>
      </c>
      <c r="G11" s="54">
        <f t="shared" si="5"/>
        <v>0.72314338463314654</v>
      </c>
      <c r="H11" s="30">
        <f t="shared" si="4"/>
        <v>701449.08309415216</v>
      </c>
      <c r="I11" s="30">
        <f t="shared" si="6"/>
        <v>22399.161584978487</v>
      </c>
    </row>
    <row r="12" spans="1:11" ht="18.75" thickBot="1">
      <c r="A12" s="31">
        <f t="shared" si="2"/>
        <v>6</v>
      </c>
      <c r="B12" s="32">
        <f>970000+270000</f>
        <v>1240000</v>
      </c>
      <c r="C12" s="33">
        <v>0</v>
      </c>
      <c r="D12" s="53">
        <f t="shared" si="0"/>
        <v>1240000</v>
      </c>
      <c r="E12" s="57">
        <f t="shared" si="1"/>
        <v>0.70496054043967626</v>
      </c>
      <c r="F12" s="34">
        <f t="shared" si="3"/>
        <v>874151.07014519861</v>
      </c>
      <c r="G12" s="57">
        <f t="shared" si="5"/>
        <v>0.67774964866383358</v>
      </c>
      <c r="H12" s="34">
        <f t="shared" si="4"/>
        <v>840409.56434315373</v>
      </c>
      <c r="I12" s="34">
        <f t="shared" si="6"/>
        <v>22399.161584978487</v>
      </c>
    </row>
    <row r="13" spans="1:11" ht="18" hidden="1">
      <c r="A13" s="24">
        <f t="shared" si="2"/>
        <v>7</v>
      </c>
      <c r="B13" s="25">
        <v>0</v>
      </c>
      <c r="C13" s="29">
        <v>0</v>
      </c>
      <c r="D13" s="52">
        <f t="shared" si="0"/>
        <v>0</v>
      </c>
      <c r="E13" s="54" t="str">
        <f t="shared" si="1"/>
        <v>-</v>
      </c>
      <c r="F13" s="30">
        <f t="shared" si="3"/>
        <v>0</v>
      </c>
      <c r="G13" s="54" t="str">
        <f t="shared" si="5"/>
        <v>-</v>
      </c>
      <c r="H13" s="30">
        <f t="shared" si="4"/>
        <v>0</v>
      </c>
      <c r="I13" s="30">
        <f t="shared" si="6"/>
        <v>0</v>
      </c>
    </row>
    <row r="14" spans="1:11" ht="18" hidden="1">
      <c r="A14" s="24">
        <f t="shared" si="2"/>
        <v>8</v>
      </c>
      <c r="B14" s="25">
        <v>0</v>
      </c>
      <c r="C14" s="29">
        <v>0</v>
      </c>
      <c r="D14" s="52">
        <f t="shared" si="0"/>
        <v>0</v>
      </c>
      <c r="E14" s="54" t="str">
        <f t="shared" si="1"/>
        <v>-</v>
      </c>
      <c r="F14" s="30">
        <f t="shared" si="3"/>
        <v>0</v>
      </c>
      <c r="G14" s="54" t="str">
        <f t="shared" si="5"/>
        <v>-</v>
      </c>
      <c r="H14" s="30">
        <f t="shared" si="4"/>
        <v>0</v>
      </c>
      <c r="I14" s="30">
        <f t="shared" ref="I14:I19" si="7">IF(A13&lt;=$B$3,$I$7,0)</f>
        <v>0</v>
      </c>
      <c r="K14" s="3"/>
    </row>
    <row r="15" spans="1:11" ht="18" hidden="1">
      <c r="A15" s="24">
        <f t="shared" si="2"/>
        <v>9</v>
      </c>
      <c r="B15" s="25">
        <v>0</v>
      </c>
      <c r="C15" s="29">
        <v>0</v>
      </c>
      <c r="D15" s="52">
        <f t="shared" si="0"/>
        <v>0</v>
      </c>
      <c r="E15" s="54" t="str">
        <f t="shared" si="1"/>
        <v>-</v>
      </c>
      <c r="F15" s="30">
        <f t="shared" si="3"/>
        <v>0</v>
      </c>
      <c r="G15" s="54" t="str">
        <f t="shared" si="5"/>
        <v>-</v>
      </c>
      <c r="H15" s="30">
        <f t="shared" si="4"/>
        <v>0</v>
      </c>
      <c r="I15" s="30">
        <f t="shared" si="7"/>
        <v>0</v>
      </c>
    </row>
    <row r="16" spans="1:11" ht="18" hidden="1">
      <c r="A16" s="24">
        <f t="shared" si="2"/>
        <v>10</v>
      </c>
      <c r="B16" s="25">
        <v>0</v>
      </c>
      <c r="C16" s="29">
        <v>0</v>
      </c>
      <c r="D16" s="52">
        <f t="shared" si="0"/>
        <v>0</v>
      </c>
      <c r="E16" s="54" t="str">
        <f t="shared" si="1"/>
        <v>-</v>
      </c>
      <c r="F16" s="30">
        <f t="shared" si="3"/>
        <v>0</v>
      </c>
      <c r="G16" s="54" t="str">
        <f t="shared" si="5"/>
        <v>-</v>
      </c>
      <c r="H16" s="30">
        <f t="shared" si="4"/>
        <v>0</v>
      </c>
      <c r="I16" s="30">
        <f t="shared" si="7"/>
        <v>0</v>
      </c>
    </row>
    <row r="17" spans="1:11" ht="18" hidden="1">
      <c r="A17" s="24">
        <f t="shared" si="2"/>
        <v>11</v>
      </c>
      <c r="B17" s="25">
        <v>0</v>
      </c>
      <c r="C17" s="29">
        <v>0</v>
      </c>
      <c r="D17" s="52">
        <f t="shared" si="0"/>
        <v>0</v>
      </c>
      <c r="E17" s="54" t="str">
        <f t="shared" si="1"/>
        <v>-</v>
      </c>
      <c r="F17" s="30">
        <f t="shared" si="3"/>
        <v>0</v>
      </c>
      <c r="G17" s="54" t="str">
        <f t="shared" si="5"/>
        <v>-</v>
      </c>
      <c r="H17" s="30">
        <f t="shared" si="4"/>
        <v>0</v>
      </c>
      <c r="I17" s="30">
        <f t="shared" si="7"/>
        <v>0</v>
      </c>
    </row>
    <row r="18" spans="1:11" ht="18" hidden="1">
      <c r="A18" s="24">
        <f t="shared" si="2"/>
        <v>12</v>
      </c>
      <c r="B18" s="25">
        <v>0</v>
      </c>
      <c r="C18" s="29">
        <v>0</v>
      </c>
      <c r="D18" s="52">
        <f t="shared" si="0"/>
        <v>0</v>
      </c>
      <c r="E18" s="54" t="str">
        <f t="shared" si="1"/>
        <v>-</v>
      </c>
      <c r="F18" s="30">
        <f t="shared" si="3"/>
        <v>0</v>
      </c>
      <c r="G18" s="54" t="str">
        <f t="shared" si="5"/>
        <v>-</v>
      </c>
      <c r="H18" s="30">
        <f t="shared" si="4"/>
        <v>0</v>
      </c>
      <c r="I18" s="30">
        <f t="shared" si="7"/>
        <v>0</v>
      </c>
    </row>
    <row r="19" spans="1:11" ht="18" hidden="1">
      <c r="A19" s="24">
        <f t="shared" si="2"/>
        <v>13</v>
      </c>
      <c r="B19" s="25">
        <v>0</v>
      </c>
      <c r="C19" s="29">
        <v>0</v>
      </c>
      <c r="D19" s="52">
        <f t="shared" si="0"/>
        <v>0</v>
      </c>
      <c r="E19" s="54" t="str">
        <f t="shared" si="1"/>
        <v>-</v>
      </c>
      <c r="F19" s="30">
        <f t="shared" si="3"/>
        <v>0</v>
      </c>
      <c r="G19" s="54" t="str">
        <f t="shared" si="5"/>
        <v>-</v>
      </c>
      <c r="H19" s="30">
        <f t="shared" si="4"/>
        <v>0</v>
      </c>
      <c r="I19" s="30">
        <f t="shared" si="7"/>
        <v>0</v>
      </c>
      <c r="K19" s="3"/>
    </row>
    <row r="20" spans="1:11" ht="18" hidden="1">
      <c r="A20" s="24">
        <f t="shared" si="2"/>
        <v>14</v>
      </c>
      <c r="B20" s="25">
        <v>0</v>
      </c>
      <c r="C20" s="29">
        <v>0</v>
      </c>
      <c r="D20" s="52">
        <f t="shared" si="0"/>
        <v>0</v>
      </c>
      <c r="E20" s="54" t="str">
        <f t="shared" si="1"/>
        <v>-</v>
      </c>
      <c r="F20" s="30">
        <f t="shared" si="3"/>
        <v>0</v>
      </c>
      <c r="G20" s="54" t="str">
        <f t="shared" si="5"/>
        <v>-</v>
      </c>
      <c r="H20" s="30">
        <f t="shared" si="4"/>
        <v>0</v>
      </c>
      <c r="I20" s="30">
        <f t="shared" ref="I20:I56" si="8">IF(A19&lt;=$B$3,$I$7,0)</f>
        <v>0</v>
      </c>
    </row>
    <row r="21" spans="1:11" ht="18.75" hidden="1" thickBot="1">
      <c r="A21" s="31">
        <f t="shared" si="2"/>
        <v>15</v>
      </c>
      <c r="B21" s="32">
        <v>0</v>
      </c>
      <c r="C21" s="33">
        <v>0</v>
      </c>
      <c r="D21" s="53">
        <f t="shared" si="0"/>
        <v>0</v>
      </c>
      <c r="E21" s="57" t="str">
        <f t="shared" si="1"/>
        <v>-</v>
      </c>
      <c r="F21" s="34">
        <f t="shared" si="3"/>
        <v>0</v>
      </c>
      <c r="G21" s="57" t="str">
        <f t="shared" si="5"/>
        <v>-</v>
      </c>
      <c r="H21" s="34">
        <f t="shared" si="4"/>
        <v>0</v>
      </c>
      <c r="I21" s="34">
        <f t="shared" si="8"/>
        <v>0</v>
      </c>
    </row>
    <row r="22" spans="1:11" ht="18" hidden="1">
      <c r="A22" s="24">
        <f t="shared" si="2"/>
        <v>16</v>
      </c>
      <c r="B22" s="25">
        <v>0</v>
      </c>
      <c r="C22" s="29">
        <v>0</v>
      </c>
      <c r="D22" s="52">
        <f t="shared" si="0"/>
        <v>0</v>
      </c>
      <c r="E22" s="54" t="str">
        <f t="shared" si="1"/>
        <v>-</v>
      </c>
      <c r="F22" s="30">
        <f t="shared" si="3"/>
        <v>0</v>
      </c>
      <c r="G22" s="54" t="str">
        <f t="shared" si="5"/>
        <v>-</v>
      </c>
      <c r="H22" s="30">
        <f t="shared" si="4"/>
        <v>0</v>
      </c>
      <c r="I22" s="30">
        <f t="shared" si="8"/>
        <v>0</v>
      </c>
    </row>
    <row r="23" spans="1:11" ht="18" hidden="1">
      <c r="A23" s="24">
        <f t="shared" si="2"/>
        <v>17</v>
      </c>
      <c r="B23" s="25">
        <v>0</v>
      </c>
      <c r="C23" s="29">
        <v>0</v>
      </c>
      <c r="D23" s="52">
        <f t="shared" si="0"/>
        <v>0</v>
      </c>
      <c r="E23" s="54" t="str">
        <f t="shared" si="1"/>
        <v>-</v>
      </c>
      <c r="F23" s="30">
        <f t="shared" si="3"/>
        <v>0</v>
      </c>
      <c r="G23" s="54" t="str">
        <f t="shared" si="5"/>
        <v>-</v>
      </c>
      <c r="H23" s="30">
        <f t="shared" si="4"/>
        <v>0</v>
      </c>
      <c r="I23" s="30">
        <f t="shared" si="8"/>
        <v>0</v>
      </c>
    </row>
    <row r="24" spans="1:11" ht="18" hidden="1">
      <c r="A24" s="24">
        <f t="shared" si="2"/>
        <v>18</v>
      </c>
      <c r="B24" s="25">
        <v>0</v>
      </c>
      <c r="C24" s="29">
        <v>0</v>
      </c>
      <c r="D24" s="52">
        <f t="shared" si="0"/>
        <v>0</v>
      </c>
      <c r="E24" s="54" t="str">
        <f t="shared" si="1"/>
        <v>-</v>
      </c>
      <c r="F24" s="30">
        <f t="shared" si="3"/>
        <v>0</v>
      </c>
      <c r="G24" s="54" t="str">
        <f t="shared" si="5"/>
        <v>-</v>
      </c>
      <c r="H24" s="30">
        <f t="shared" si="4"/>
        <v>0</v>
      </c>
      <c r="I24" s="30">
        <f t="shared" si="8"/>
        <v>0</v>
      </c>
    </row>
    <row r="25" spans="1:11" ht="18" hidden="1">
      <c r="A25" s="24">
        <f t="shared" si="2"/>
        <v>19</v>
      </c>
      <c r="B25" s="25">
        <v>0</v>
      </c>
      <c r="C25" s="29">
        <v>0</v>
      </c>
      <c r="D25" s="52">
        <f t="shared" si="0"/>
        <v>0</v>
      </c>
      <c r="E25" s="54" t="str">
        <f t="shared" si="1"/>
        <v>-</v>
      </c>
      <c r="F25" s="30">
        <f t="shared" si="3"/>
        <v>0</v>
      </c>
      <c r="G25" s="54" t="str">
        <f t="shared" si="5"/>
        <v>-</v>
      </c>
      <c r="H25" s="30">
        <f t="shared" si="4"/>
        <v>0</v>
      </c>
      <c r="I25" s="30">
        <f t="shared" si="8"/>
        <v>0</v>
      </c>
    </row>
    <row r="26" spans="1:11" ht="18" hidden="1">
      <c r="A26" s="24">
        <f t="shared" si="2"/>
        <v>20</v>
      </c>
      <c r="B26" s="25">
        <v>0</v>
      </c>
      <c r="C26" s="29">
        <v>0</v>
      </c>
      <c r="D26" s="52">
        <f t="shared" si="0"/>
        <v>0</v>
      </c>
      <c r="E26" s="54" t="str">
        <f t="shared" si="1"/>
        <v>-</v>
      </c>
      <c r="F26" s="30">
        <f t="shared" si="3"/>
        <v>0</v>
      </c>
      <c r="G26" s="54" t="str">
        <f t="shared" si="5"/>
        <v>-</v>
      </c>
      <c r="H26" s="30">
        <f t="shared" si="4"/>
        <v>0</v>
      </c>
      <c r="I26" s="30">
        <f t="shared" si="8"/>
        <v>0</v>
      </c>
    </row>
    <row r="27" spans="1:11" ht="18" hidden="1">
      <c r="A27" s="24">
        <f t="shared" si="2"/>
        <v>21</v>
      </c>
      <c r="B27" s="25">
        <v>0</v>
      </c>
      <c r="C27" s="29">
        <v>0</v>
      </c>
      <c r="D27" s="52">
        <f t="shared" si="0"/>
        <v>0</v>
      </c>
      <c r="E27" s="54" t="str">
        <f t="shared" si="1"/>
        <v>-</v>
      </c>
      <c r="F27" s="30">
        <f t="shared" si="3"/>
        <v>0</v>
      </c>
      <c r="G27" s="54" t="str">
        <f t="shared" si="5"/>
        <v>-</v>
      </c>
      <c r="H27" s="30">
        <f t="shared" si="4"/>
        <v>0</v>
      </c>
      <c r="I27" s="30">
        <f t="shared" si="8"/>
        <v>0</v>
      </c>
    </row>
    <row r="28" spans="1:11" ht="18" hidden="1">
      <c r="A28" s="24">
        <f t="shared" si="2"/>
        <v>22</v>
      </c>
      <c r="B28" s="25">
        <v>0</v>
      </c>
      <c r="C28" s="29">
        <v>0</v>
      </c>
      <c r="D28" s="52">
        <f t="shared" si="0"/>
        <v>0</v>
      </c>
      <c r="E28" s="54" t="str">
        <f t="shared" si="1"/>
        <v>-</v>
      </c>
      <c r="F28" s="30">
        <f t="shared" si="3"/>
        <v>0</v>
      </c>
      <c r="G28" s="54" t="str">
        <f t="shared" si="5"/>
        <v>-</v>
      </c>
      <c r="H28" s="30">
        <f t="shared" si="4"/>
        <v>0</v>
      </c>
      <c r="I28" s="30">
        <f t="shared" si="8"/>
        <v>0</v>
      </c>
    </row>
    <row r="29" spans="1:11" ht="18" hidden="1">
      <c r="A29" s="24">
        <f t="shared" si="2"/>
        <v>23</v>
      </c>
      <c r="B29" s="25">
        <v>0</v>
      </c>
      <c r="C29" s="29">
        <v>0</v>
      </c>
      <c r="D29" s="52">
        <f t="shared" si="0"/>
        <v>0</v>
      </c>
      <c r="E29" s="54" t="str">
        <f t="shared" si="1"/>
        <v>-</v>
      </c>
      <c r="F29" s="30">
        <f t="shared" si="3"/>
        <v>0</v>
      </c>
      <c r="G29" s="54" t="str">
        <f t="shared" si="5"/>
        <v>-</v>
      </c>
      <c r="H29" s="30">
        <f t="shared" si="4"/>
        <v>0</v>
      </c>
      <c r="I29" s="30">
        <f t="shared" si="8"/>
        <v>0</v>
      </c>
    </row>
    <row r="30" spans="1:11" ht="18" hidden="1">
      <c r="A30" s="24">
        <f t="shared" si="2"/>
        <v>24</v>
      </c>
      <c r="B30" s="25">
        <v>0</v>
      </c>
      <c r="C30" s="29">
        <v>0</v>
      </c>
      <c r="D30" s="52">
        <f t="shared" si="0"/>
        <v>0</v>
      </c>
      <c r="E30" s="54" t="str">
        <f t="shared" si="1"/>
        <v>-</v>
      </c>
      <c r="F30" s="30">
        <f t="shared" si="3"/>
        <v>0</v>
      </c>
      <c r="G30" s="54" t="str">
        <f t="shared" si="5"/>
        <v>-</v>
      </c>
      <c r="H30" s="30">
        <f t="shared" si="4"/>
        <v>0</v>
      </c>
      <c r="I30" s="30">
        <f t="shared" si="8"/>
        <v>0</v>
      </c>
    </row>
    <row r="31" spans="1:11" ht="18" hidden="1">
      <c r="A31" s="24">
        <f t="shared" si="2"/>
        <v>25</v>
      </c>
      <c r="B31" s="25">
        <v>0</v>
      </c>
      <c r="C31" s="29">
        <v>0</v>
      </c>
      <c r="D31" s="52">
        <f t="shared" si="0"/>
        <v>0</v>
      </c>
      <c r="E31" s="54" t="str">
        <f t="shared" si="1"/>
        <v>-</v>
      </c>
      <c r="F31" s="30">
        <f t="shared" si="3"/>
        <v>0</v>
      </c>
      <c r="G31" s="54" t="str">
        <f t="shared" si="5"/>
        <v>-</v>
      </c>
      <c r="H31" s="30">
        <f t="shared" si="4"/>
        <v>0</v>
      </c>
      <c r="I31" s="30">
        <f t="shared" si="8"/>
        <v>0</v>
      </c>
    </row>
    <row r="32" spans="1:11" ht="18" hidden="1">
      <c r="A32" s="24">
        <f t="shared" si="2"/>
        <v>26</v>
      </c>
      <c r="B32" s="25">
        <v>0</v>
      </c>
      <c r="C32" s="29">
        <v>0</v>
      </c>
      <c r="D32" s="52">
        <f t="shared" si="0"/>
        <v>0</v>
      </c>
      <c r="E32" s="54" t="str">
        <f t="shared" si="1"/>
        <v>-</v>
      </c>
      <c r="F32" s="30">
        <f t="shared" si="3"/>
        <v>0</v>
      </c>
      <c r="G32" s="54" t="str">
        <f t="shared" si="5"/>
        <v>-</v>
      </c>
      <c r="H32" s="30">
        <f t="shared" si="4"/>
        <v>0</v>
      </c>
      <c r="I32" s="30">
        <f t="shared" si="8"/>
        <v>0</v>
      </c>
    </row>
    <row r="33" spans="1:9" ht="18" hidden="1">
      <c r="A33" s="24">
        <f t="shared" si="2"/>
        <v>27</v>
      </c>
      <c r="B33" s="25">
        <v>0</v>
      </c>
      <c r="C33" s="29">
        <v>0</v>
      </c>
      <c r="D33" s="52">
        <f t="shared" si="0"/>
        <v>0</v>
      </c>
      <c r="E33" s="54" t="str">
        <f t="shared" si="1"/>
        <v>-</v>
      </c>
      <c r="F33" s="30">
        <f t="shared" si="3"/>
        <v>0</v>
      </c>
      <c r="G33" s="54" t="str">
        <f t="shared" si="5"/>
        <v>-</v>
      </c>
      <c r="H33" s="30">
        <f t="shared" si="4"/>
        <v>0</v>
      </c>
      <c r="I33" s="30">
        <f t="shared" si="8"/>
        <v>0</v>
      </c>
    </row>
    <row r="34" spans="1:9" ht="18" hidden="1">
      <c r="A34" s="24">
        <f t="shared" si="2"/>
        <v>28</v>
      </c>
      <c r="B34" s="25">
        <v>0</v>
      </c>
      <c r="C34" s="29">
        <v>0</v>
      </c>
      <c r="D34" s="52">
        <f t="shared" si="0"/>
        <v>0</v>
      </c>
      <c r="E34" s="54" t="str">
        <f t="shared" si="1"/>
        <v>-</v>
      </c>
      <c r="F34" s="30">
        <f t="shared" si="3"/>
        <v>0</v>
      </c>
      <c r="G34" s="54" t="str">
        <f t="shared" si="5"/>
        <v>-</v>
      </c>
      <c r="H34" s="30">
        <f t="shared" si="4"/>
        <v>0</v>
      </c>
      <c r="I34" s="30">
        <f t="shared" si="8"/>
        <v>0</v>
      </c>
    </row>
    <row r="35" spans="1:9" ht="18" hidden="1">
      <c r="A35" s="24">
        <f t="shared" si="2"/>
        <v>29</v>
      </c>
      <c r="B35" s="25">
        <v>0</v>
      </c>
      <c r="C35" s="29">
        <v>0</v>
      </c>
      <c r="D35" s="52">
        <f t="shared" si="0"/>
        <v>0</v>
      </c>
      <c r="E35" s="54" t="str">
        <f t="shared" si="1"/>
        <v>-</v>
      </c>
      <c r="F35" s="30">
        <f t="shared" si="3"/>
        <v>0</v>
      </c>
      <c r="G35" s="54" t="str">
        <f t="shared" si="5"/>
        <v>-</v>
      </c>
      <c r="H35" s="30">
        <f t="shared" si="4"/>
        <v>0</v>
      </c>
      <c r="I35" s="30">
        <f t="shared" si="8"/>
        <v>0</v>
      </c>
    </row>
    <row r="36" spans="1:9" ht="18" hidden="1">
      <c r="A36" s="24">
        <f t="shared" si="2"/>
        <v>30</v>
      </c>
      <c r="B36" s="25">
        <v>0</v>
      </c>
      <c r="C36" s="29">
        <v>0</v>
      </c>
      <c r="D36" s="52">
        <f t="shared" si="0"/>
        <v>0</v>
      </c>
      <c r="E36" s="54" t="str">
        <f t="shared" si="1"/>
        <v>-</v>
      </c>
      <c r="F36" s="30">
        <f t="shared" si="3"/>
        <v>0</v>
      </c>
      <c r="G36" s="54" t="str">
        <f t="shared" si="5"/>
        <v>-</v>
      </c>
      <c r="H36" s="30">
        <f t="shared" si="4"/>
        <v>0</v>
      </c>
      <c r="I36" s="30">
        <f t="shared" si="8"/>
        <v>0</v>
      </c>
    </row>
    <row r="37" spans="1:9" ht="18" hidden="1">
      <c r="A37" s="24">
        <f t="shared" si="2"/>
        <v>31</v>
      </c>
      <c r="B37" s="25">
        <v>0</v>
      </c>
      <c r="C37" s="29">
        <v>0</v>
      </c>
      <c r="D37" s="52">
        <f t="shared" si="0"/>
        <v>0</v>
      </c>
      <c r="E37" s="54" t="str">
        <f t="shared" si="1"/>
        <v>-</v>
      </c>
      <c r="F37" s="30">
        <f t="shared" si="3"/>
        <v>0</v>
      </c>
      <c r="G37" s="54" t="str">
        <f t="shared" si="5"/>
        <v>-</v>
      </c>
      <c r="H37" s="30">
        <f t="shared" si="4"/>
        <v>0</v>
      </c>
      <c r="I37" s="30">
        <f t="shared" si="8"/>
        <v>0</v>
      </c>
    </row>
    <row r="38" spans="1:9" ht="18" hidden="1">
      <c r="A38" s="24">
        <f t="shared" si="2"/>
        <v>32</v>
      </c>
      <c r="B38" s="25">
        <v>0</v>
      </c>
      <c r="C38" s="29">
        <v>0</v>
      </c>
      <c r="D38" s="52">
        <f t="shared" ref="D38:D56" si="9">B38-C38</f>
        <v>0</v>
      </c>
      <c r="E38" s="54" t="str">
        <f t="shared" ref="E38:E56" si="10">IF(A38&lt;=$B$3,POWER((1+$B$4),(A38*-1)),"-")</f>
        <v>-</v>
      </c>
      <c r="F38" s="30">
        <f t="shared" si="3"/>
        <v>0</v>
      </c>
      <c r="G38" s="54" t="str">
        <f t="shared" si="5"/>
        <v>-</v>
      </c>
      <c r="H38" s="30">
        <f t="shared" si="4"/>
        <v>0</v>
      </c>
      <c r="I38" s="30">
        <f t="shared" si="8"/>
        <v>0</v>
      </c>
    </row>
    <row r="39" spans="1:9" ht="18" hidden="1">
      <c r="A39" s="24">
        <f t="shared" ref="A39:A56" si="11">A38+1</f>
        <v>33</v>
      </c>
      <c r="B39" s="25">
        <v>0</v>
      </c>
      <c r="C39" s="29">
        <v>0</v>
      </c>
      <c r="D39" s="52">
        <f t="shared" si="9"/>
        <v>0</v>
      </c>
      <c r="E39" s="54" t="str">
        <f t="shared" si="10"/>
        <v>-</v>
      </c>
      <c r="F39" s="30">
        <f t="shared" ref="F39:F56" si="12">PV($B$4,A39,0,D39)*-1</f>
        <v>0</v>
      </c>
      <c r="G39" s="54" t="str">
        <f t="shared" si="5"/>
        <v>-</v>
      </c>
      <c r="H39" s="30">
        <f t="shared" ref="H39:H56" si="13">PV($F$59,A39,0,D39)*-1</f>
        <v>0</v>
      </c>
      <c r="I39" s="30">
        <f t="shared" si="8"/>
        <v>0</v>
      </c>
    </row>
    <row r="40" spans="1:9" ht="18" hidden="1">
      <c r="A40" s="24">
        <f t="shared" si="11"/>
        <v>34</v>
      </c>
      <c r="B40" s="25">
        <v>0</v>
      </c>
      <c r="C40" s="29">
        <v>0</v>
      </c>
      <c r="D40" s="52">
        <f t="shared" si="9"/>
        <v>0</v>
      </c>
      <c r="E40" s="54" t="str">
        <f t="shared" si="10"/>
        <v>-</v>
      </c>
      <c r="F40" s="30">
        <f t="shared" si="12"/>
        <v>0</v>
      </c>
      <c r="G40" s="54" t="str">
        <f t="shared" si="5"/>
        <v>-</v>
      </c>
      <c r="H40" s="30">
        <f t="shared" si="13"/>
        <v>0</v>
      </c>
      <c r="I40" s="30">
        <f t="shared" si="8"/>
        <v>0</v>
      </c>
    </row>
    <row r="41" spans="1:9" ht="18" hidden="1">
      <c r="A41" s="24">
        <f t="shared" si="11"/>
        <v>35</v>
      </c>
      <c r="B41" s="25">
        <v>0</v>
      </c>
      <c r="C41" s="29">
        <v>0</v>
      </c>
      <c r="D41" s="52">
        <f t="shared" si="9"/>
        <v>0</v>
      </c>
      <c r="E41" s="54" t="str">
        <f t="shared" si="10"/>
        <v>-</v>
      </c>
      <c r="F41" s="30">
        <f t="shared" si="12"/>
        <v>0</v>
      </c>
      <c r="G41" s="54" t="str">
        <f t="shared" si="5"/>
        <v>-</v>
      </c>
      <c r="H41" s="30">
        <f t="shared" si="13"/>
        <v>0</v>
      </c>
      <c r="I41" s="30">
        <f t="shared" si="8"/>
        <v>0</v>
      </c>
    </row>
    <row r="42" spans="1:9" ht="18" hidden="1">
      <c r="A42" s="24">
        <f t="shared" si="11"/>
        <v>36</v>
      </c>
      <c r="B42" s="25">
        <v>0</v>
      </c>
      <c r="C42" s="29">
        <v>0</v>
      </c>
      <c r="D42" s="52">
        <f t="shared" si="9"/>
        <v>0</v>
      </c>
      <c r="E42" s="54" t="str">
        <f t="shared" si="10"/>
        <v>-</v>
      </c>
      <c r="F42" s="30">
        <f t="shared" si="12"/>
        <v>0</v>
      </c>
      <c r="G42" s="54" t="str">
        <f t="shared" si="5"/>
        <v>-</v>
      </c>
      <c r="H42" s="30">
        <f t="shared" si="13"/>
        <v>0</v>
      </c>
      <c r="I42" s="30">
        <f t="shared" si="8"/>
        <v>0</v>
      </c>
    </row>
    <row r="43" spans="1:9" ht="18" hidden="1">
      <c r="A43" s="24">
        <f t="shared" si="11"/>
        <v>37</v>
      </c>
      <c r="B43" s="25">
        <v>0</v>
      </c>
      <c r="C43" s="29">
        <v>0</v>
      </c>
      <c r="D43" s="52">
        <f t="shared" si="9"/>
        <v>0</v>
      </c>
      <c r="E43" s="54" t="str">
        <f t="shared" si="10"/>
        <v>-</v>
      </c>
      <c r="F43" s="30">
        <f t="shared" si="12"/>
        <v>0</v>
      </c>
      <c r="G43" s="54" t="str">
        <f t="shared" si="5"/>
        <v>-</v>
      </c>
      <c r="H43" s="30">
        <f t="shared" si="13"/>
        <v>0</v>
      </c>
      <c r="I43" s="30">
        <f t="shared" si="8"/>
        <v>0</v>
      </c>
    </row>
    <row r="44" spans="1:9" ht="18" hidden="1">
      <c r="A44" s="24">
        <f t="shared" si="11"/>
        <v>38</v>
      </c>
      <c r="B44" s="25">
        <v>0</v>
      </c>
      <c r="C44" s="29">
        <v>0</v>
      </c>
      <c r="D44" s="52">
        <f t="shared" si="9"/>
        <v>0</v>
      </c>
      <c r="E44" s="54" t="str">
        <f t="shared" si="10"/>
        <v>-</v>
      </c>
      <c r="F44" s="30">
        <f t="shared" si="12"/>
        <v>0</v>
      </c>
      <c r="G44" s="54" t="str">
        <f t="shared" si="5"/>
        <v>-</v>
      </c>
      <c r="H44" s="30">
        <f t="shared" si="13"/>
        <v>0</v>
      </c>
      <c r="I44" s="30">
        <f t="shared" si="8"/>
        <v>0</v>
      </c>
    </row>
    <row r="45" spans="1:9" ht="18" hidden="1">
      <c r="A45" s="24">
        <f t="shared" si="11"/>
        <v>39</v>
      </c>
      <c r="B45" s="25">
        <v>0</v>
      </c>
      <c r="C45" s="29">
        <v>0</v>
      </c>
      <c r="D45" s="52">
        <f t="shared" si="9"/>
        <v>0</v>
      </c>
      <c r="E45" s="54" t="str">
        <f t="shared" si="10"/>
        <v>-</v>
      </c>
      <c r="F45" s="30">
        <f t="shared" si="12"/>
        <v>0</v>
      </c>
      <c r="G45" s="54" t="str">
        <f t="shared" si="5"/>
        <v>-</v>
      </c>
      <c r="H45" s="30">
        <f t="shared" si="13"/>
        <v>0</v>
      </c>
      <c r="I45" s="30">
        <f t="shared" si="8"/>
        <v>0</v>
      </c>
    </row>
    <row r="46" spans="1:9" ht="18" hidden="1">
      <c r="A46" s="24">
        <f t="shared" si="11"/>
        <v>40</v>
      </c>
      <c r="B46" s="25">
        <v>0</v>
      </c>
      <c r="C46" s="29">
        <v>0</v>
      </c>
      <c r="D46" s="52">
        <f t="shared" si="9"/>
        <v>0</v>
      </c>
      <c r="E46" s="54" t="str">
        <f t="shared" si="10"/>
        <v>-</v>
      </c>
      <c r="F46" s="30">
        <f t="shared" si="12"/>
        <v>0</v>
      </c>
      <c r="G46" s="54" t="str">
        <f t="shared" si="5"/>
        <v>-</v>
      </c>
      <c r="H46" s="30">
        <f t="shared" si="13"/>
        <v>0</v>
      </c>
      <c r="I46" s="30">
        <f t="shared" si="8"/>
        <v>0</v>
      </c>
    </row>
    <row r="47" spans="1:9" ht="18" hidden="1">
      <c r="A47" s="24">
        <f t="shared" si="11"/>
        <v>41</v>
      </c>
      <c r="B47" s="25">
        <v>0</v>
      </c>
      <c r="C47" s="29">
        <v>0</v>
      </c>
      <c r="D47" s="52">
        <f t="shared" si="9"/>
        <v>0</v>
      </c>
      <c r="E47" s="54" t="str">
        <f t="shared" si="10"/>
        <v>-</v>
      </c>
      <c r="F47" s="30">
        <f t="shared" si="12"/>
        <v>0</v>
      </c>
      <c r="G47" s="54" t="str">
        <f t="shared" si="5"/>
        <v>-</v>
      </c>
      <c r="H47" s="30">
        <f t="shared" si="13"/>
        <v>0</v>
      </c>
      <c r="I47" s="30">
        <f t="shared" si="8"/>
        <v>0</v>
      </c>
    </row>
    <row r="48" spans="1:9" ht="18" hidden="1">
      <c r="A48" s="24">
        <f t="shared" si="11"/>
        <v>42</v>
      </c>
      <c r="B48" s="25">
        <v>0</v>
      </c>
      <c r="C48" s="29">
        <v>0</v>
      </c>
      <c r="D48" s="52">
        <f t="shared" si="9"/>
        <v>0</v>
      </c>
      <c r="E48" s="54" t="str">
        <f t="shared" si="10"/>
        <v>-</v>
      </c>
      <c r="F48" s="30">
        <f t="shared" si="12"/>
        <v>0</v>
      </c>
      <c r="G48" s="54" t="str">
        <f t="shared" si="5"/>
        <v>-</v>
      </c>
      <c r="H48" s="30">
        <f t="shared" si="13"/>
        <v>0</v>
      </c>
      <c r="I48" s="30">
        <f t="shared" si="8"/>
        <v>0</v>
      </c>
    </row>
    <row r="49" spans="1:9" ht="18" hidden="1">
      <c r="A49" s="24">
        <f t="shared" si="11"/>
        <v>43</v>
      </c>
      <c r="B49" s="25">
        <v>0</v>
      </c>
      <c r="C49" s="29">
        <v>0</v>
      </c>
      <c r="D49" s="52">
        <f t="shared" si="9"/>
        <v>0</v>
      </c>
      <c r="E49" s="54" t="str">
        <f t="shared" si="10"/>
        <v>-</v>
      </c>
      <c r="F49" s="30">
        <f t="shared" si="12"/>
        <v>0</v>
      </c>
      <c r="G49" s="54" t="str">
        <f t="shared" si="5"/>
        <v>-</v>
      </c>
      <c r="H49" s="30">
        <f t="shared" si="13"/>
        <v>0</v>
      </c>
      <c r="I49" s="30">
        <f t="shared" si="8"/>
        <v>0</v>
      </c>
    </row>
    <row r="50" spans="1:9" ht="18" hidden="1">
      <c r="A50" s="24">
        <f t="shared" si="11"/>
        <v>44</v>
      </c>
      <c r="B50" s="25">
        <v>0</v>
      </c>
      <c r="C50" s="29">
        <v>0</v>
      </c>
      <c r="D50" s="52">
        <f t="shared" si="9"/>
        <v>0</v>
      </c>
      <c r="E50" s="54" t="str">
        <f t="shared" si="10"/>
        <v>-</v>
      </c>
      <c r="F50" s="30">
        <f t="shared" si="12"/>
        <v>0</v>
      </c>
      <c r="G50" s="54" t="str">
        <f t="shared" si="5"/>
        <v>-</v>
      </c>
      <c r="H50" s="30">
        <f t="shared" si="13"/>
        <v>0</v>
      </c>
      <c r="I50" s="30">
        <f t="shared" si="8"/>
        <v>0</v>
      </c>
    </row>
    <row r="51" spans="1:9" ht="18" hidden="1">
      <c r="A51" s="24">
        <f t="shared" si="11"/>
        <v>45</v>
      </c>
      <c r="B51" s="25">
        <v>0</v>
      </c>
      <c r="C51" s="29">
        <v>0</v>
      </c>
      <c r="D51" s="52">
        <f t="shared" si="9"/>
        <v>0</v>
      </c>
      <c r="E51" s="54" t="str">
        <f t="shared" si="10"/>
        <v>-</v>
      </c>
      <c r="F51" s="30">
        <f t="shared" si="12"/>
        <v>0</v>
      </c>
      <c r="G51" s="54" t="str">
        <f t="shared" si="5"/>
        <v>-</v>
      </c>
      <c r="H51" s="30">
        <f t="shared" si="13"/>
        <v>0</v>
      </c>
      <c r="I51" s="30">
        <f t="shared" si="8"/>
        <v>0</v>
      </c>
    </row>
    <row r="52" spans="1:9" ht="18" hidden="1">
      <c r="A52" s="24">
        <f t="shared" si="11"/>
        <v>46</v>
      </c>
      <c r="B52" s="25">
        <v>0</v>
      </c>
      <c r="C52" s="29">
        <v>0</v>
      </c>
      <c r="D52" s="52">
        <f t="shared" si="9"/>
        <v>0</v>
      </c>
      <c r="E52" s="54" t="str">
        <f t="shared" si="10"/>
        <v>-</v>
      </c>
      <c r="F52" s="30">
        <f t="shared" si="12"/>
        <v>0</v>
      </c>
      <c r="G52" s="54" t="str">
        <f t="shared" si="5"/>
        <v>-</v>
      </c>
      <c r="H52" s="30">
        <f t="shared" si="13"/>
        <v>0</v>
      </c>
      <c r="I52" s="30">
        <f t="shared" si="8"/>
        <v>0</v>
      </c>
    </row>
    <row r="53" spans="1:9" ht="18" hidden="1">
      <c r="A53" s="24">
        <f t="shared" si="11"/>
        <v>47</v>
      </c>
      <c r="B53" s="25">
        <v>0</v>
      </c>
      <c r="C53" s="29">
        <v>0</v>
      </c>
      <c r="D53" s="52">
        <f t="shared" si="9"/>
        <v>0</v>
      </c>
      <c r="E53" s="54" t="str">
        <f t="shared" si="10"/>
        <v>-</v>
      </c>
      <c r="F53" s="30">
        <f t="shared" si="12"/>
        <v>0</v>
      </c>
      <c r="G53" s="54" t="str">
        <f t="shared" si="5"/>
        <v>-</v>
      </c>
      <c r="H53" s="30">
        <f t="shared" si="13"/>
        <v>0</v>
      </c>
      <c r="I53" s="30">
        <f t="shared" si="8"/>
        <v>0</v>
      </c>
    </row>
    <row r="54" spans="1:9" ht="18" hidden="1">
      <c r="A54" s="24">
        <f t="shared" si="11"/>
        <v>48</v>
      </c>
      <c r="B54" s="25">
        <v>0</v>
      </c>
      <c r="C54" s="29">
        <v>0</v>
      </c>
      <c r="D54" s="52">
        <f t="shared" si="9"/>
        <v>0</v>
      </c>
      <c r="E54" s="54" t="str">
        <f t="shared" si="10"/>
        <v>-</v>
      </c>
      <c r="F54" s="30">
        <f t="shared" si="12"/>
        <v>0</v>
      </c>
      <c r="G54" s="54" t="str">
        <f t="shared" si="5"/>
        <v>-</v>
      </c>
      <c r="H54" s="30">
        <f t="shared" si="13"/>
        <v>0</v>
      </c>
      <c r="I54" s="30">
        <f t="shared" si="8"/>
        <v>0</v>
      </c>
    </row>
    <row r="55" spans="1:9" ht="18" hidden="1">
      <c r="A55" s="24">
        <f t="shared" si="11"/>
        <v>49</v>
      </c>
      <c r="B55" s="25">
        <v>0</v>
      </c>
      <c r="C55" s="29">
        <v>0</v>
      </c>
      <c r="D55" s="52">
        <f t="shared" si="9"/>
        <v>0</v>
      </c>
      <c r="E55" s="54" t="str">
        <f t="shared" si="10"/>
        <v>-</v>
      </c>
      <c r="F55" s="30">
        <f t="shared" si="12"/>
        <v>0</v>
      </c>
      <c r="G55" s="54" t="str">
        <f t="shared" si="5"/>
        <v>-</v>
      </c>
      <c r="H55" s="30">
        <f t="shared" si="13"/>
        <v>0</v>
      </c>
      <c r="I55" s="30">
        <f t="shared" si="8"/>
        <v>0</v>
      </c>
    </row>
    <row r="56" spans="1:9" ht="18.75" hidden="1" thickBot="1">
      <c r="A56" s="31">
        <f t="shared" si="11"/>
        <v>50</v>
      </c>
      <c r="B56" s="32">
        <v>0</v>
      </c>
      <c r="C56" s="33">
        <v>0</v>
      </c>
      <c r="D56" s="53">
        <f t="shared" si="9"/>
        <v>0</v>
      </c>
      <c r="E56" s="57" t="str">
        <f t="shared" si="10"/>
        <v>-</v>
      </c>
      <c r="F56" s="34">
        <f t="shared" si="12"/>
        <v>0</v>
      </c>
      <c r="G56" s="57" t="str">
        <f t="shared" si="5"/>
        <v>-</v>
      </c>
      <c r="H56" s="34">
        <f t="shared" si="13"/>
        <v>0</v>
      </c>
      <c r="I56" s="34">
        <f t="shared" si="8"/>
        <v>0</v>
      </c>
    </row>
    <row r="57" spans="1:9" ht="18.75" thickBot="1">
      <c r="A57" s="40" t="s">
        <v>0</v>
      </c>
      <c r="B57" s="44"/>
      <c r="C57" s="44"/>
      <c r="D57" s="44"/>
      <c r="E57" s="44"/>
      <c r="F57" s="59">
        <f>SUM(F6:F56)</f>
        <v>110143.94214394013</v>
      </c>
      <c r="G57" s="55"/>
      <c r="H57" s="60">
        <f>SUM(H6:H56)</f>
        <v>1.6298145055770874E-9</v>
      </c>
      <c r="I57" s="4"/>
    </row>
    <row r="58" spans="1:9" ht="18.75" thickBot="1">
      <c r="A58" s="39" t="s">
        <v>28</v>
      </c>
      <c r="B58" s="42"/>
      <c r="C58" s="42"/>
      <c r="D58" s="42"/>
      <c r="E58" s="42"/>
      <c r="F58" s="43">
        <f>I7</f>
        <v>22399.161584978487</v>
      </c>
      <c r="G58" s="47"/>
      <c r="H58" s="47"/>
      <c r="I58" s="4"/>
    </row>
    <row r="59" spans="1:9" ht="18.75" thickBot="1">
      <c r="A59" s="41" t="s">
        <v>1</v>
      </c>
      <c r="B59" s="35"/>
      <c r="C59" s="35"/>
      <c r="D59" s="35"/>
      <c r="E59" s="35"/>
      <c r="F59" s="36">
        <f>IRR(D6:D56)</f>
        <v>6.69771442284115E-2</v>
      </c>
      <c r="G59" s="48"/>
      <c r="H59" s="48"/>
      <c r="I59" s="4"/>
    </row>
    <row r="60" spans="1:9" ht="18.75" thickBot="1">
      <c r="A60" s="40" t="s">
        <v>2</v>
      </c>
      <c r="B60" s="44"/>
      <c r="C60" s="44"/>
      <c r="D60" s="44"/>
      <c r="E60" s="44"/>
      <c r="F60" s="45">
        <f>NPER(B4,F62,F6,0)</f>
        <v>5.8412424257949827</v>
      </c>
      <c r="G60" s="49"/>
      <c r="H60" s="49"/>
      <c r="I60" s="4"/>
    </row>
    <row r="61" spans="1:9" hidden="1">
      <c r="A61" s="37" t="s">
        <v>16</v>
      </c>
      <c r="F61" s="38">
        <f>SUM(F7:F56)</f>
        <v>4960143.9421439394</v>
      </c>
      <c r="G61" s="38"/>
      <c r="H61" s="38"/>
    </row>
    <row r="62" spans="1:9" hidden="1">
      <c r="A62" s="37" t="s">
        <v>17</v>
      </c>
      <c r="F62" s="1">
        <f>PMT(B4,B3,F61,0)*-1</f>
        <v>1008707.9096882215</v>
      </c>
      <c r="G62" s="1"/>
      <c r="H62" s="1"/>
    </row>
    <row r="64" spans="1:9" ht="18">
      <c r="A64" s="58" t="s">
        <v>26</v>
      </c>
    </row>
    <row r="65" spans="1:6" ht="78.599999999999994" customHeight="1">
      <c r="A65" s="394" t="str">
        <f>CONCATENATE("Da nutidsværdien er ",IF(F57&gt;=0,"positiv med ","negativ med "),"kr. ",ROUND(F57,0)," er investeringen ",IF(F57&gt;=0,"rentabel ","ikke rentabel "),"og bør ",IF(F57&gt;=0,"foretages. ","ikke foretages. "),"Den interne rente er på ",ROUND(F59,4)*100," hvilket er ",IF(ROUND((F59-B4),4)*100&gt;0,ROUND((F59-B4),4)*100,ROUND((F59-B4),4)*-100)," %-point ",IF(B4&lt;=F59,"over ","under "),"kalkulationsrenten på ",ROUND(B4,2)*100," %. ","Hvis man omregner nutidsværdien til en annuitet bliver det årlige ",IF(F57&gt;=0,"overskud ","underskud "),"på kr. ",ROUND(F58,0),". ","Både den ",IF(F57&gt;=0,"postive ","negative "),"nutidsværdi og det at den interne rente er ",IF(F57&gt;=0,"over ","under "),"kalkulationsrenten bekræfter os i at investeringen ",IF(F57&gt;=0,"bør foretages.","ikke bør foretages."))</f>
        <v>Da nutidsværdien er positiv med kr. 110144 er investeringen rentabel og bør foretages. Den interne rente er på 6.7 hvilket er 0.7 %-point over kalkulationsrenten på 6 %. Hvis man omregner nutidsværdien til en annuitet bliver det årlige overskud på kr. 22399. Både den postive nutidsværdi og det at den interne rente er over kalkulationsrenten bekræfter os i at investeringen bør foretages.</v>
      </c>
      <c r="B65" s="394"/>
      <c r="C65" s="394"/>
      <c r="D65" s="394"/>
      <c r="E65" s="394"/>
      <c r="F65" s="394"/>
    </row>
    <row r="66" spans="1:6">
      <c r="A66" s="2"/>
      <c r="B66" s="2"/>
    </row>
    <row r="67" spans="1:6">
      <c r="A67" s="2"/>
      <c r="B67" s="2"/>
    </row>
  </sheetData>
  <mergeCells count="2">
    <mergeCell ref="A1:C1"/>
    <mergeCell ref="A65:F65"/>
  </mergeCells>
  <phoneticPr fontId="0" type="noConversion"/>
  <pageMargins left="0.78740157480314965" right="0.39370078740157483" top="0.98425196850393704" bottom="0.98425196850393704" header="0" footer="0"/>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D28"/>
  <sheetViews>
    <sheetView zoomScale="120" workbookViewId="0"/>
  </sheetViews>
  <sheetFormatPr defaultRowHeight="12.75"/>
  <cols>
    <col min="1" max="1" width="14.7109375" customWidth="1"/>
    <col min="2" max="2" width="47.28515625" customWidth="1"/>
    <col min="3" max="3" width="33.85546875" customWidth="1"/>
    <col min="4" max="4" width="34.140625" customWidth="1"/>
  </cols>
  <sheetData>
    <row r="1" spans="1:4" ht="13.5" thickBot="1">
      <c r="A1" t="s">
        <v>282</v>
      </c>
    </row>
    <row r="2" spans="1:4" ht="17.25" customHeight="1" thickBot="1">
      <c r="A2" s="5" t="s">
        <v>217</v>
      </c>
      <c r="B2" s="6"/>
      <c r="C2" s="61" t="s">
        <v>3</v>
      </c>
      <c r="D2" s="61" t="s">
        <v>4</v>
      </c>
    </row>
    <row r="3" spans="1:4" ht="20.25">
      <c r="A3" s="7" t="s">
        <v>5</v>
      </c>
      <c r="B3" s="8" t="s">
        <v>6</v>
      </c>
      <c r="C3" s="69">
        <v>6</v>
      </c>
      <c r="D3" s="70"/>
    </row>
    <row r="4" spans="1:4" ht="20.25">
      <c r="A4" s="7" t="s">
        <v>7</v>
      </c>
      <c r="B4" s="8" t="s">
        <v>8</v>
      </c>
      <c r="C4" s="73">
        <f>'Opgave 1.1'!F59</f>
        <v>6.9083001709953296E-2</v>
      </c>
      <c r="D4" s="66"/>
    </row>
    <row r="5" spans="1:4" ht="20.25">
      <c r="A5" s="7" t="s">
        <v>9</v>
      </c>
      <c r="B5" s="8" t="s">
        <v>10</v>
      </c>
      <c r="C5" s="64">
        <v>-4850000</v>
      </c>
      <c r="D5" s="67"/>
    </row>
    <row r="6" spans="1:4" ht="20.25">
      <c r="A6" s="7" t="s">
        <v>11</v>
      </c>
      <c r="B6" s="8" t="s">
        <v>12</v>
      </c>
      <c r="C6" s="74" t="s">
        <v>32</v>
      </c>
      <c r="D6" s="67">
        <f>PMT(C4,C3,C5,C7)</f>
        <v>976798.74291098164</v>
      </c>
    </row>
    <row r="7" spans="1:4" ht="21" thickBot="1">
      <c r="A7" s="12" t="s">
        <v>13</v>
      </c>
      <c r="B7" s="13" t="s">
        <v>14</v>
      </c>
      <c r="C7" s="65">
        <v>270000</v>
      </c>
      <c r="D7" s="68"/>
    </row>
    <row r="8" spans="1:4" ht="21" thickBot="1">
      <c r="A8" s="384" t="s">
        <v>218</v>
      </c>
      <c r="B8" s="385"/>
      <c r="C8" s="386"/>
      <c r="D8" s="387">
        <v>970000</v>
      </c>
    </row>
    <row r="9" spans="1:4" ht="21" thickBot="1">
      <c r="A9" s="384" t="s">
        <v>33</v>
      </c>
      <c r="B9" s="385"/>
      <c r="C9" s="386"/>
      <c r="D9" s="387">
        <f>D6-D8</f>
        <v>6798.7429109816439</v>
      </c>
    </row>
    <row r="10" spans="1:4" ht="18" customHeight="1" thickBot="1">
      <c r="A10" s="388" t="s">
        <v>219</v>
      </c>
      <c r="B10" s="8"/>
      <c r="C10" s="382" t="s">
        <v>3</v>
      </c>
      <c r="D10" s="383" t="s">
        <v>4</v>
      </c>
    </row>
    <row r="11" spans="1:4" ht="20.25">
      <c r="A11" s="7" t="s">
        <v>5</v>
      </c>
      <c r="B11" s="8" t="str">
        <f>B3</f>
        <v>antal terminer, f.eks år</v>
      </c>
      <c r="C11" s="62">
        <v>6</v>
      </c>
      <c r="D11" s="9"/>
    </row>
    <row r="12" spans="1:4" ht="20.25">
      <c r="A12" s="7" t="s">
        <v>7</v>
      </c>
      <c r="B12" s="8" t="str">
        <f>B4</f>
        <v>renten</v>
      </c>
      <c r="C12" s="63">
        <v>0.06</v>
      </c>
      <c r="D12" s="11"/>
    </row>
    <row r="13" spans="1:4" ht="20.25">
      <c r="A13" s="7" t="s">
        <v>9</v>
      </c>
      <c r="B13" s="8" t="str">
        <f>B5</f>
        <v>Present value, nutidsværdi</v>
      </c>
      <c r="C13" s="64">
        <v>-500000</v>
      </c>
      <c r="D13" s="10"/>
    </row>
    <row r="14" spans="1:4" ht="20.25">
      <c r="A14" s="7" t="s">
        <v>11</v>
      </c>
      <c r="B14" s="8" t="str">
        <f>B6</f>
        <v>Betaling pr. termin, ydelsen</v>
      </c>
      <c r="C14" s="64">
        <v>14000</v>
      </c>
      <c r="D14" s="10">
        <f>PMT(C12,C11,C13,C15)</f>
        <v>98814.061667949849</v>
      </c>
    </row>
    <row r="15" spans="1:4" ht="21" thickBot="1">
      <c r="A15" s="12" t="s">
        <v>13</v>
      </c>
      <c r="B15" s="13" t="str">
        <f>B7</f>
        <v>Future value</v>
      </c>
      <c r="C15" s="65">
        <v>20000</v>
      </c>
      <c r="D15" s="14"/>
    </row>
    <row r="16" spans="1:4" ht="18.75" hidden="1" customHeight="1" thickBot="1">
      <c r="A16" s="5" t="s">
        <v>29</v>
      </c>
      <c r="B16" s="6"/>
      <c r="C16" s="72" t="s">
        <v>3</v>
      </c>
      <c r="D16" s="71" t="s">
        <v>4</v>
      </c>
    </row>
    <row r="17" spans="1:4" ht="20.25" hidden="1">
      <c r="A17" s="7" t="s">
        <v>5</v>
      </c>
      <c r="B17" s="8" t="str">
        <f>B11</f>
        <v>antal terminer, f.eks år</v>
      </c>
      <c r="C17" s="62">
        <v>6</v>
      </c>
      <c r="D17" s="9">
        <f>NPER(C18,C20,C19,C21)</f>
        <v>4.6357351668639906</v>
      </c>
    </row>
    <row r="18" spans="1:4" ht="20.25" hidden="1">
      <c r="A18" s="7" t="s">
        <v>7</v>
      </c>
      <c r="B18" s="8" t="str">
        <f>B12</f>
        <v>renten</v>
      </c>
      <c r="C18" s="63">
        <v>0.1</v>
      </c>
      <c r="D18" s="11">
        <f>RATE(C17,C20,C19,C21)</f>
        <v>0.17190612459200996</v>
      </c>
    </row>
    <row r="19" spans="1:4" ht="20.25" hidden="1">
      <c r="A19" s="7" t="s">
        <v>9</v>
      </c>
      <c r="B19" s="8" t="str">
        <f>B13</f>
        <v>Present value, nutidsværdi</v>
      </c>
      <c r="C19" s="64">
        <v>-50000</v>
      </c>
      <c r="D19" s="10">
        <f>PV(C18,C17,C20,C21)</f>
        <v>-60973.649792471195</v>
      </c>
    </row>
    <row r="20" spans="1:4" ht="20.25" hidden="1">
      <c r="A20" s="7" t="s">
        <v>11</v>
      </c>
      <c r="B20" s="8" t="str">
        <f>B14</f>
        <v>Betaling pr. termin, ydelsen</v>
      </c>
      <c r="C20" s="64">
        <v>14000</v>
      </c>
      <c r="D20" s="10">
        <f>PMT(C18,C17,C19,C21)</f>
        <v>11480.369018133371</v>
      </c>
    </row>
    <row r="21" spans="1:4" ht="21" hidden="1" thickBot="1">
      <c r="A21" s="12" t="s">
        <v>13</v>
      </c>
      <c r="B21" s="13" t="str">
        <f>B15</f>
        <v>Future value</v>
      </c>
      <c r="C21" s="65">
        <v>0</v>
      </c>
      <c r="D21" s="14">
        <f>FV(C18,C17,C20,C19)</f>
        <v>-19440.490000000063</v>
      </c>
    </row>
    <row r="22" spans="1:4" hidden="1"/>
    <row r="23" spans="1:4" ht="21" thickBot="1">
      <c r="A23" s="389" t="s">
        <v>220</v>
      </c>
      <c r="B23" s="390"/>
      <c r="C23" s="390"/>
      <c r="D23" s="391">
        <v>95000</v>
      </c>
    </row>
    <row r="24" spans="1:4" ht="21" thickBot="1">
      <c r="A24" s="389" t="s">
        <v>33</v>
      </c>
      <c r="B24" s="390"/>
      <c r="C24" s="390"/>
      <c r="D24" s="391">
        <f>D14-D23</f>
        <v>3814.0616679498489</v>
      </c>
    </row>
    <row r="25" spans="1:4" ht="18">
      <c r="A25" s="15"/>
      <c r="B25" s="4"/>
      <c r="C25" s="4"/>
      <c r="D25" s="16"/>
    </row>
    <row r="26" spans="1:4" ht="18">
      <c r="A26" s="4"/>
      <c r="B26" s="4"/>
      <c r="C26" s="4"/>
      <c r="D26" s="4"/>
    </row>
    <row r="27" spans="1:4" ht="18">
      <c r="A27" s="4"/>
      <c r="B27" s="4"/>
      <c r="C27" s="4"/>
      <c r="D27" s="4"/>
    </row>
    <row r="28" spans="1:4" ht="18">
      <c r="A28" s="4"/>
      <c r="B28" s="4"/>
      <c r="C28" s="4"/>
      <c r="D28" s="4"/>
    </row>
  </sheetData>
  <phoneticPr fontId="0" type="noConversion"/>
  <pageMargins left="0.75" right="0.75" top="1" bottom="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67"/>
  <sheetViews>
    <sheetView zoomScale="90" zoomScaleNormal="90" workbookViewId="0">
      <selection activeCell="A64" sqref="A64:XFD65"/>
    </sheetView>
  </sheetViews>
  <sheetFormatPr defaultRowHeight="12.75"/>
  <cols>
    <col min="1" max="1" width="9.28515625" customWidth="1"/>
    <col min="2" max="2" width="16.140625" customWidth="1"/>
    <col min="3" max="3" width="20.7109375" customWidth="1"/>
    <col min="4" max="4" width="28.28515625" customWidth="1"/>
    <col min="5" max="5" width="27.7109375" customWidth="1"/>
    <col min="6" max="6" width="28.28515625" customWidth="1"/>
    <col min="7" max="7" width="24.7109375" hidden="1" customWidth="1"/>
    <col min="8" max="8" width="24.85546875" customWidth="1"/>
    <col min="9" max="9" width="24.140625" customWidth="1"/>
  </cols>
  <sheetData>
    <row r="1" spans="1:11" ht="18">
      <c r="A1" s="314" t="s">
        <v>283</v>
      </c>
      <c r="B1" s="315"/>
      <c r="C1" s="315"/>
    </row>
    <row r="2" spans="1:11" ht="18">
      <c r="A2" s="50"/>
    </row>
    <row r="3" spans="1:11" ht="15.75">
      <c r="A3" s="17" t="s">
        <v>18</v>
      </c>
      <c r="B3" s="18">
        <v>6</v>
      </c>
    </row>
    <row r="4" spans="1:11" ht="16.5" thickBot="1">
      <c r="A4" s="17" t="s">
        <v>19</v>
      </c>
      <c r="B4" s="19">
        <v>0.06</v>
      </c>
    </row>
    <row r="5" spans="1:11" ht="64.5" customHeight="1" thickBot="1">
      <c r="A5" s="20" t="s">
        <v>20</v>
      </c>
      <c r="B5" s="21" t="s">
        <v>21</v>
      </c>
      <c r="C5" s="22" t="s">
        <v>22</v>
      </c>
      <c r="D5" s="20" t="s">
        <v>15</v>
      </c>
      <c r="E5" s="23" t="s">
        <v>24</v>
      </c>
      <c r="F5" s="20" t="s">
        <v>27</v>
      </c>
      <c r="G5" s="20" t="s">
        <v>25</v>
      </c>
      <c r="H5" s="23" t="str">
        <f>CONCATENATE("Nutidsværdien ved den interne rente (IRR) ",(ROUND(F59,4)*100)," %")</f>
        <v>Nutidsværdien ved den interne rente (IRR) 6.91 %</v>
      </c>
      <c r="I5" s="23" t="s">
        <v>23</v>
      </c>
    </row>
    <row r="6" spans="1:11" ht="18">
      <c r="A6" s="28">
        <v>0</v>
      </c>
      <c r="B6" s="46">
        <v>0</v>
      </c>
      <c r="C6" s="26">
        <v>4850000</v>
      </c>
      <c r="D6" s="51">
        <f t="shared" ref="D6:D56" si="0">B6-C6</f>
        <v>-4850000</v>
      </c>
      <c r="E6" s="56">
        <f t="shared" ref="E6:E56" si="1">IF(A6&lt;=$B$3,POWER((1+$B$4),(A6*-1)),"-")</f>
        <v>1</v>
      </c>
      <c r="F6" s="27">
        <f>D6</f>
        <v>-4850000</v>
      </c>
      <c r="G6" s="56">
        <f>IF(A6&lt;=$B$3,POWER((1+$F$59),(A6*-1)),"-")</f>
        <v>1</v>
      </c>
      <c r="H6" s="27">
        <f>F6</f>
        <v>-4850000</v>
      </c>
      <c r="I6" s="28"/>
    </row>
    <row r="7" spans="1:11" ht="18">
      <c r="A7" s="24">
        <f t="shared" ref="A7:A56" si="2">A6+1</f>
        <v>1</v>
      </c>
      <c r="B7" s="25">
        <f>'1.3 Lommeregneren TI-83'!$D$6</f>
        <v>976798.74291098164</v>
      </c>
      <c r="C7" s="29">
        <v>0</v>
      </c>
      <c r="D7" s="52">
        <f t="shared" si="0"/>
        <v>976798.74291098164</v>
      </c>
      <c r="E7" s="54">
        <f t="shared" si="1"/>
        <v>0.94339622641509424</v>
      </c>
      <c r="F7" s="30">
        <f t="shared" ref="F7:F56" si="3">PV($B$4,A7,0,D7)*-1</f>
        <v>921508.24802922795</v>
      </c>
      <c r="G7" s="54">
        <f>IF(A7&lt;=$B$3,POWER((1+$F$59),(A7*-1)),"-")</f>
        <v>0.93538106807473376</v>
      </c>
      <c r="H7" s="30">
        <f t="shared" ref="H7:H56" si="4">PV($F$59,A7,0,D7)*-1</f>
        <v>913679.05143813125</v>
      </c>
      <c r="I7" s="30">
        <f>PMT($B$4,$B$3,$F$57)*-1</f>
        <v>29197.904495960109</v>
      </c>
    </row>
    <row r="8" spans="1:11" ht="18">
      <c r="A8" s="24">
        <f t="shared" si="2"/>
        <v>2</v>
      </c>
      <c r="B8" s="25">
        <f>'1.3 Lommeregneren TI-83'!$D$6</f>
        <v>976798.74291098164</v>
      </c>
      <c r="C8" s="29">
        <v>0</v>
      </c>
      <c r="D8" s="52">
        <f t="shared" si="0"/>
        <v>976798.74291098164</v>
      </c>
      <c r="E8" s="54">
        <f t="shared" si="1"/>
        <v>0.88999644001423983</v>
      </c>
      <c r="F8" s="30">
        <f t="shared" si="3"/>
        <v>869347.4038011583</v>
      </c>
      <c r="G8" s="54">
        <f t="shared" ref="G8:G56" si="5">IF(A8&lt;=$B$3,POWER((1+$F$59),(A8*-1)),"-")</f>
        <v>0.87493774251262979</v>
      </c>
      <c r="H8" s="30">
        <f t="shared" si="4"/>
        <v>854638.08701170899</v>
      </c>
      <c r="I8" s="30">
        <f t="shared" ref="I8:I13" si="6">IF(A8&lt;=$B$3,$I$7,0)</f>
        <v>29197.904495960109</v>
      </c>
    </row>
    <row r="9" spans="1:11" ht="18">
      <c r="A9" s="24">
        <f t="shared" si="2"/>
        <v>3</v>
      </c>
      <c r="B9" s="25">
        <f>'1.3 Lommeregneren TI-83'!$D$6</f>
        <v>976798.74291098164</v>
      </c>
      <c r="C9" s="29">
        <v>0</v>
      </c>
      <c r="D9" s="52">
        <f t="shared" si="0"/>
        <v>976798.74291098164</v>
      </c>
      <c r="E9" s="54">
        <f t="shared" si="1"/>
        <v>0.8396192830323016</v>
      </c>
      <c r="F9" s="30">
        <f t="shared" si="3"/>
        <v>820139.06018977193</v>
      </c>
      <c r="G9" s="54">
        <f t="shared" si="5"/>
        <v>0.81840020009035996</v>
      </c>
      <c r="H9" s="30">
        <f t="shared" si="4"/>
        <v>799412.28664635948</v>
      </c>
      <c r="I9" s="30">
        <f t="shared" si="6"/>
        <v>29197.904495960109</v>
      </c>
    </row>
    <row r="10" spans="1:11" ht="18">
      <c r="A10" s="24">
        <f t="shared" si="2"/>
        <v>4</v>
      </c>
      <c r="B10" s="25">
        <f>'1.3 Lommeregneren TI-83'!$D$6</f>
        <v>976798.74291098164</v>
      </c>
      <c r="C10" s="29">
        <v>0</v>
      </c>
      <c r="D10" s="52">
        <f t="shared" si="0"/>
        <v>976798.74291098164</v>
      </c>
      <c r="E10" s="54">
        <f t="shared" si="1"/>
        <v>0.79209366323802044</v>
      </c>
      <c r="F10" s="30">
        <f t="shared" si="3"/>
        <v>773716.09451865277</v>
      </c>
      <c r="G10" s="54">
        <f t="shared" si="5"/>
        <v>0.76551605327309691</v>
      </c>
      <c r="H10" s="30">
        <f t="shared" si="4"/>
        <v>747755.11851533712</v>
      </c>
      <c r="I10" s="30">
        <f t="shared" si="6"/>
        <v>29197.904495960109</v>
      </c>
    </row>
    <row r="11" spans="1:11" ht="18">
      <c r="A11" s="24">
        <f t="shared" si="2"/>
        <v>5</v>
      </c>
      <c r="B11" s="25">
        <f>'1.3 Lommeregneren TI-83'!$D$6</f>
        <v>976798.74291098164</v>
      </c>
      <c r="C11" s="29">
        <v>0</v>
      </c>
      <c r="D11" s="52">
        <f>(B11-C11)</f>
        <v>976798.74291098164</v>
      </c>
      <c r="E11" s="54">
        <f t="shared" si="1"/>
        <v>0.74725817286605689</v>
      </c>
      <c r="F11" s="30">
        <f t="shared" si="3"/>
        <v>729920.8438855214</v>
      </c>
      <c r="G11" s="54">
        <f t="shared" si="5"/>
        <v>0.71604922353894418</v>
      </c>
      <c r="H11" s="30">
        <f t="shared" si="4"/>
        <v>699435.98141522519</v>
      </c>
      <c r="I11" s="30">
        <f t="shared" si="6"/>
        <v>29197.904495960109</v>
      </c>
    </row>
    <row r="12" spans="1:11" ht="18.75" thickBot="1">
      <c r="A12" s="31">
        <f t="shared" si="2"/>
        <v>6</v>
      </c>
      <c r="B12" s="32">
        <f>B11+270000</f>
        <v>1246798.7429109816</v>
      </c>
      <c r="C12" s="33">
        <v>0</v>
      </c>
      <c r="D12" s="53">
        <f t="shared" si="0"/>
        <v>1246798.7429109816</v>
      </c>
      <c r="E12" s="57">
        <f t="shared" si="1"/>
        <v>0.70496054043967626</v>
      </c>
      <c r="F12" s="34">
        <f t="shared" si="3"/>
        <v>878943.91562203458</v>
      </c>
      <c r="G12" s="57">
        <f t="shared" si="5"/>
        <v>0.66977888750794157</v>
      </c>
      <c r="H12" s="34">
        <f t="shared" si="4"/>
        <v>835079.47497321735</v>
      </c>
      <c r="I12" s="34">
        <f t="shared" si="6"/>
        <v>29197.904495960109</v>
      </c>
    </row>
    <row r="13" spans="1:11" ht="18" hidden="1">
      <c r="A13" s="24">
        <f t="shared" si="2"/>
        <v>7</v>
      </c>
      <c r="B13" s="25">
        <v>0</v>
      </c>
      <c r="C13" s="29">
        <v>0</v>
      </c>
      <c r="D13" s="52">
        <f t="shared" si="0"/>
        <v>0</v>
      </c>
      <c r="E13" s="54" t="str">
        <f t="shared" si="1"/>
        <v>-</v>
      </c>
      <c r="F13" s="30">
        <f t="shared" si="3"/>
        <v>0</v>
      </c>
      <c r="G13" s="54" t="str">
        <f t="shared" si="5"/>
        <v>-</v>
      </c>
      <c r="H13" s="30">
        <f t="shared" si="4"/>
        <v>0</v>
      </c>
      <c r="I13" s="30">
        <f t="shared" si="6"/>
        <v>0</v>
      </c>
    </row>
    <row r="14" spans="1:11" ht="18" hidden="1">
      <c r="A14" s="24">
        <f t="shared" si="2"/>
        <v>8</v>
      </c>
      <c r="B14" s="25">
        <v>0</v>
      </c>
      <c r="C14" s="29">
        <v>0</v>
      </c>
      <c r="D14" s="52">
        <f t="shared" si="0"/>
        <v>0</v>
      </c>
      <c r="E14" s="54" t="str">
        <f t="shared" si="1"/>
        <v>-</v>
      </c>
      <c r="F14" s="30">
        <f t="shared" si="3"/>
        <v>0</v>
      </c>
      <c r="G14" s="54" t="str">
        <f t="shared" si="5"/>
        <v>-</v>
      </c>
      <c r="H14" s="30">
        <f t="shared" si="4"/>
        <v>0</v>
      </c>
      <c r="I14" s="30">
        <f t="shared" ref="I14:I56" si="7">IF(A13&lt;=$B$3,$I$7,0)</f>
        <v>0</v>
      </c>
      <c r="K14" s="3"/>
    </row>
    <row r="15" spans="1:11" ht="18" hidden="1">
      <c r="A15" s="24">
        <f t="shared" si="2"/>
        <v>9</v>
      </c>
      <c r="B15" s="25">
        <v>0</v>
      </c>
      <c r="C15" s="29">
        <v>0</v>
      </c>
      <c r="D15" s="52">
        <f t="shared" si="0"/>
        <v>0</v>
      </c>
      <c r="E15" s="54" t="str">
        <f t="shared" si="1"/>
        <v>-</v>
      </c>
      <c r="F15" s="30">
        <f t="shared" si="3"/>
        <v>0</v>
      </c>
      <c r="G15" s="54" t="str">
        <f t="shared" si="5"/>
        <v>-</v>
      </c>
      <c r="H15" s="30">
        <f t="shared" si="4"/>
        <v>0</v>
      </c>
      <c r="I15" s="30">
        <f t="shared" si="7"/>
        <v>0</v>
      </c>
    </row>
    <row r="16" spans="1:11" ht="18" hidden="1">
      <c r="A16" s="24">
        <f t="shared" si="2"/>
        <v>10</v>
      </c>
      <c r="B16" s="25">
        <v>0</v>
      </c>
      <c r="C16" s="29">
        <v>0</v>
      </c>
      <c r="D16" s="52">
        <f t="shared" si="0"/>
        <v>0</v>
      </c>
      <c r="E16" s="54" t="str">
        <f t="shared" si="1"/>
        <v>-</v>
      </c>
      <c r="F16" s="30">
        <f t="shared" si="3"/>
        <v>0</v>
      </c>
      <c r="G16" s="54" t="str">
        <f t="shared" si="5"/>
        <v>-</v>
      </c>
      <c r="H16" s="30">
        <f t="shared" si="4"/>
        <v>0</v>
      </c>
      <c r="I16" s="30">
        <f t="shared" si="7"/>
        <v>0</v>
      </c>
    </row>
    <row r="17" spans="1:11" ht="18" hidden="1">
      <c r="A17" s="24">
        <f t="shared" si="2"/>
        <v>11</v>
      </c>
      <c r="B17" s="25">
        <v>0</v>
      </c>
      <c r="C17" s="29">
        <v>0</v>
      </c>
      <c r="D17" s="52">
        <f t="shared" si="0"/>
        <v>0</v>
      </c>
      <c r="E17" s="54" t="str">
        <f t="shared" si="1"/>
        <v>-</v>
      </c>
      <c r="F17" s="30">
        <f t="shared" si="3"/>
        <v>0</v>
      </c>
      <c r="G17" s="54" t="str">
        <f t="shared" si="5"/>
        <v>-</v>
      </c>
      <c r="H17" s="30">
        <f t="shared" si="4"/>
        <v>0</v>
      </c>
      <c r="I17" s="30">
        <f t="shared" si="7"/>
        <v>0</v>
      </c>
    </row>
    <row r="18" spans="1:11" ht="18" hidden="1">
      <c r="A18" s="24">
        <f t="shared" si="2"/>
        <v>12</v>
      </c>
      <c r="B18" s="25">
        <v>0</v>
      </c>
      <c r="C18" s="29">
        <v>0</v>
      </c>
      <c r="D18" s="52">
        <f t="shared" si="0"/>
        <v>0</v>
      </c>
      <c r="E18" s="54" t="str">
        <f t="shared" si="1"/>
        <v>-</v>
      </c>
      <c r="F18" s="30">
        <f t="shared" si="3"/>
        <v>0</v>
      </c>
      <c r="G18" s="54" t="str">
        <f t="shared" si="5"/>
        <v>-</v>
      </c>
      <c r="H18" s="30">
        <f t="shared" si="4"/>
        <v>0</v>
      </c>
      <c r="I18" s="30">
        <f t="shared" si="7"/>
        <v>0</v>
      </c>
    </row>
    <row r="19" spans="1:11" ht="18" hidden="1">
      <c r="A19" s="24">
        <f t="shared" si="2"/>
        <v>13</v>
      </c>
      <c r="B19" s="25">
        <v>0</v>
      </c>
      <c r="C19" s="29">
        <v>0</v>
      </c>
      <c r="D19" s="52">
        <f t="shared" si="0"/>
        <v>0</v>
      </c>
      <c r="E19" s="54" t="str">
        <f t="shared" si="1"/>
        <v>-</v>
      </c>
      <c r="F19" s="30">
        <f t="shared" si="3"/>
        <v>0</v>
      </c>
      <c r="G19" s="54" t="str">
        <f t="shared" si="5"/>
        <v>-</v>
      </c>
      <c r="H19" s="30">
        <f t="shared" si="4"/>
        <v>0</v>
      </c>
      <c r="I19" s="30">
        <f t="shared" si="7"/>
        <v>0</v>
      </c>
      <c r="K19" s="3"/>
    </row>
    <row r="20" spans="1:11" ht="18" hidden="1">
      <c r="A20" s="24">
        <f t="shared" si="2"/>
        <v>14</v>
      </c>
      <c r="B20" s="25">
        <v>0</v>
      </c>
      <c r="C20" s="29">
        <v>0</v>
      </c>
      <c r="D20" s="52">
        <f t="shared" si="0"/>
        <v>0</v>
      </c>
      <c r="E20" s="54" t="str">
        <f t="shared" si="1"/>
        <v>-</v>
      </c>
      <c r="F20" s="30">
        <f t="shared" si="3"/>
        <v>0</v>
      </c>
      <c r="G20" s="54" t="str">
        <f t="shared" si="5"/>
        <v>-</v>
      </c>
      <c r="H20" s="30">
        <f t="shared" si="4"/>
        <v>0</v>
      </c>
      <c r="I20" s="30">
        <f t="shared" si="7"/>
        <v>0</v>
      </c>
    </row>
    <row r="21" spans="1:11" ht="18.75" hidden="1" thickBot="1">
      <c r="A21" s="31">
        <f t="shared" si="2"/>
        <v>15</v>
      </c>
      <c r="B21" s="32">
        <v>0</v>
      </c>
      <c r="C21" s="33">
        <v>0</v>
      </c>
      <c r="D21" s="53">
        <f t="shared" si="0"/>
        <v>0</v>
      </c>
      <c r="E21" s="57" t="str">
        <f t="shared" si="1"/>
        <v>-</v>
      </c>
      <c r="F21" s="34">
        <f t="shared" si="3"/>
        <v>0</v>
      </c>
      <c r="G21" s="57" t="str">
        <f t="shared" si="5"/>
        <v>-</v>
      </c>
      <c r="H21" s="34">
        <f t="shared" si="4"/>
        <v>0</v>
      </c>
      <c r="I21" s="34">
        <f t="shared" si="7"/>
        <v>0</v>
      </c>
    </row>
    <row r="22" spans="1:11" ht="18" hidden="1">
      <c r="A22" s="24">
        <f t="shared" si="2"/>
        <v>16</v>
      </c>
      <c r="B22" s="25">
        <v>0</v>
      </c>
      <c r="C22" s="29">
        <v>0</v>
      </c>
      <c r="D22" s="52">
        <f t="shared" si="0"/>
        <v>0</v>
      </c>
      <c r="E22" s="54" t="str">
        <f t="shared" si="1"/>
        <v>-</v>
      </c>
      <c r="F22" s="30">
        <f t="shared" si="3"/>
        <v>0</v>
      </c>
      <c r="G22" s="54" t="str">
        <f t="shared" si="5"/>
        <v>-</v>
      </c>
      <c r="H22" s="30">
        <f t="shared" si="4"/>
        <v>0</v>
      </c>
      <c r="I22" s="30">
        <f t="shared" si="7"/>
        <v>0</v>
      </c>
    </row>
    <row r="23" spans="1:11" ht="18" hidden="1">
      <c r="A23" s="24">
        <f t="shared" si="2"/>
        <v>17</v>
      </c>
      <c r="B23" s="25">
        <v>0</v>
      </c>
      <c r="C23" s="29">
        <v>0</v>
      </c>
      <c r="D23" s="52">
        <f t="shared" si="0"/>
        <v>0</v>
      </c>
      <c r="E23" s="54" t="str">
        <f t="shared" si="1"/>
        <v>-</v>
      </c>
      <c r="F23" s="30">
        <f t="shared" si="3"/>
        <v>0</v>
      </c>
      <c r="G23" s="54" t="str">
        <f t="shared" si="5"/>
        <v>-</v>
      </c>
      <c r="H23" s="30">
        <f t="shared" si="4"/>
        <v>0</v>
      </c>
      <c r="I23" s="30">
        <f t="shared" si="7"/>
        <v>0</v>
      </c>
    </row>
    <row r="24" spans="1:11" ht="18" hidden="1">
      <c r="A24" s="24">
        <f t="shared" si="2"/>
        <v>18</v>
      </c>
      <c r="B24" s="25">
        <v>0</v>
      </c>
      <c r="C24" s="29">
        <v>0</v>
      </c>
      <c r="D24" s="52">
        <f t="shared" si="0"/>
        <v>0</v>
      </c>
      <c r="E24" s="54" t="str">
        <f t="shared" si="1"/>
        <v>-</v>
      </c>
      <c r="F24" s="30">
        <f t="shared" si="3"/>
        <v>0</v>
      </c>
      <c r="G24" s="54" t="str">
        <f t="shared" si="5"/>
        <v>-</v>
      </c>
      <c r="H24" s="30">
        <f t="shared" si="4"/>
        <v>0</v>
      </c>
      <c r="I24" s="30">
        <f t="shared" si="7"/>
        <v>0</v>
      </c>
    </row>
    <row r="25" spans="1:11" ht="18" hidden="1">
      <c r="A25" s="24">
        <f t="shared" si="2"/>
        <v>19</v>
      </c>
      <c r="B25" s="25">
        <v>0</v>
      </c>
      <c r="C25" s="29">
        <v>0</v>
      </c>
      <c r="D25" s="52">
        <f t="shared" si="0"/>
        <v>0</v>
      </c>
      <c r="E25" s="54" t="str">
        <f t="shared" si="1"/>
        <v>-</v>
      </c>
      <c r="F25" s="30">
        <f t="shared" si="3"/>
        <v>0</v>
      </c>
      <c r="G25" s="54" t="str">
        <f t="shared" si="5"/>
        <v>-</v>
      </c>
      <c r="H25" s="30">
        <f t="shared" si="4"/>
        <v>0</v>
      </c>
      <c r="I25" s="30">
        <f t="shared" si="7"/>
        <v>0</v>
      </c>
    </row>
    <row r="26" spans="1:11" ht="18" hidden="1">
      <c r="A26" s="24">
        <f t="shared" si="2"/>
        <v>20</v>
      </c>
      <c r="B26" s="25">
        <v>0</v>
      </c>
      <c r="C26" s="29">
        <v>0</v>
      </c>
      <c r="D26" s="52">
        <f t="shared" si="0"/>
        <v>0</v>
      </c>
      <c r="E26" s="54" t="str">
        <f t="shared" si="1"/>
        <v>-</v>
      </c>
      <c r="F26" s="30">
        <f t="shared" si="3"/>
        <v>0</v>
      </c>
      <c r="G26" s="54" t="str">
        <f t="shared" si="5"/>
        <v>-</v>
      </c>
      <c r="H26" s="30">
        <f t="shared" si="4"/>
        <v>0</v>
      </c>
      <c r="I26" s="30">
        <f t="shared" si="7"/>
        <v>0</v>
      </c>
    </row>
    <row r="27" spans="1:11" ht="18" hidden="1">
      <c r="A27" s="24">
        <f t="shared" si="2"/>
        <v>21</v>
      </c>
      <c r="B27" s="25">
        <v>0</v>
      </c>
      <c r="C27" s="29">
        <v>0</v>
      </c>
      <c r="D27" s="52">
        <f t="shared" si="0"/>
        <v>0</v>
      </c>
      <c r="E27" s="54" t="str">
        <f t="shared" si="1"/>
        <v>-</v>
      </c>
      <c r="F27" s="30">
        <f t="shared" si="3"/>
        <v>0</v>
      </c>
      <c r="G27" s="54" t="str">
        <f t="shared" si="5"/>
        <v>-</v>
      </c>
      <c r="H27" s="30">
        <f t="shared" si="4"/>
        <v>0</v>
      </c>
      <c r="I27" s="30">
        <f t="shared" si="7"/>
        <v>0</v>
      </c>
    </row>
    <row r="28" spans="1:11" ht="18" hidden="1">
      <c r="A28" s="24">
        <f t="shared" si="2"/>
        <v>22</v>
      </c>
      <c r="B28" s="25">
        <v>0</v>
      </c>
      <c r="C28" s="29">
        <v>0</v>
      </c>
      <c r="D28" s="52">
        <f t="shared" si="0"/>
        <v>0</v>
      </c>
      <c r="E28" s="54" t="str">
        <f t="shared" si="1"/>
        <v>-</v>
      </c>
      <c r="F28" s="30">
        <f t="shared" si="3"/>
        <v>0</v>
      </c>
      <c r="G28" s="54" t="str">
        <f t="shared" si="5"/>
        <v>-</v>
      </c>
      <c r="H28" s="30">
        <f t="shared" si="4"/>
        <v>0</v>
      </c>
      <c r="I28" s="30">
        <f t="shared" si="7"/>
        <v>0</v>
      </c>
    </row>
    <row r="29" spans="1:11" ht="18" hidden="1">
      <c r="A29" s="24">
        <f t="shared" si="2"/>
        <v>23</v>
      </c>
      <c r="B29" s="25">
        <v>0</v>
      </c>
      <c r="C29" s="29">
        <v>0</v>
      </c>
      <c r="D29" s="52">
        <f t="shared" si="0"/>
        <v>0</v>
      </c>
      <c r="E29" s="54" t="str">
        <f t="shared" si="1"/>
        <v>-</v>
      </c>
      <c r="F29" s="30">
        <f t="shared" si="3"/>
        <v>0</v>
      </c>
      <c r="G29" s="54" t="str">
        <f t="shared" si="5"/>
        <v>-</v>
      </c>
      <c r="H29" s="30">
        <f t="shared" si="4"/>
        <v>0</v>
      </c>
      <c r="I29" s="30">
        <f t="shared" si="7"/>
        <v>0</v>
      </c>
    </row>
    <row r="30" spans="1:11" ht="18" hidden="1">
      <c r="A30" s="24">
        <f t="shared" si="2"/>
        <v>24</v>
      </c>
      <c r="B30" s="25">
        <v>0</v>
      </c>
      <c r="C30" s="29">
        <v>0</v>
      </c>
      <c r="D30" s="52">
        <f t="shared" si="0"/>
        <v>0</v>
      </c>
      <c r="E30" s="54" t="str">
        <f t="shared" si="1"/>
        <v>-</v>
      </c>
      <c r="F30" s="30">
        <f t="shared" si="3"/>
        <v>0</v>
      </c>
      <c r="G30" s="54" t="str">
        <f t="shared" si="5"/>
        <v>-</v>
      </c>
      <c r="H30" s="30">
        <f t="shared" si="4"/>
        <v>0</v>
      </c>
      <c r="I30" s="30">
        <f t="shared" si="7"/>
        <v>0</v>
      </c>
    </row>
    <row r="31" spans="1:11" ht="18" hidden="1">
      <c r="A31" s="24">
        <f t="shared" si="2"/>
        <v>25</v>
      </c>
      <c r="B31" s="25">
        <v>0</v>
      </c>
      <c r="C31" s="29">
        <v>0</v>
      </c>
      <c r="D31" s="52">
        <f t="shared" si="0"/>
        <v>0</v>
      </c>
      <c r="E31" s="54" t="str">
        <f t="shared" si="1"/>
        <v>-</v>
      </c>
      <c r="F31" s="30">
        <f t="shared" si="3"/>
        <v>0</v>
      </c>
      <c r="G31" s="54" t="str">
        <f t="shared" si="5"/>
        <v>-</v>
      </c>
      <c r="H31" s="30">
        <f t="shared" si="4"/>
        <v>0</v>
      </c>
      <c r="I31" s="30">
        <f t="shared" si="7"/>
        <v>0</v>
      </c>
    </row>
    <row r="32" spans="1:11" ht="18" hidden="1">
      <c r="A32" s="24">
        <f t="shared" si="2"/>
        <v>26</v>
      </c>
      <c r="B32" s="25">
        <v>0</v>
      </c>
      <c r="C32" s="29">
        <v>0</v>
      </c>
      <c r="D32" s="52">
        <f t="shared" si="0"/>
        <v>0</v>
      </c>
      <c r="E32" s="54" t="str">
        <f t="shared" si="1"/>
        <v>-</v>
      </c>
      <c r="F32" s="30">
        <f t="shared" si="3"/>
        <v>0</v>
      </c>
      <c r="G32" s="54" t="str">
        <f t="shared" si="5"/>
        <v>-</v>
      </c>
      <c r="H32" s="30">
        <f t="shared" si="4"/>
        <v>0</v>
      </c>
      <c r="I32" s="30">
        <f t="shared" si="7"/>
        <v>0</v>
      </c>
    </row>
    <row r="33" spans="1:9" ht="18" hidden="1">
      <c r="A33" s="24">
        <f t="shared" si="2"/>
        <v>27</v>
      </c>
      <c r="B33" s="25">
        <v>0</v>
      </c>
      <c r="C33" s="29">
        <v>0</v>
      </c>
      <c r="D33" s="52">
        <f t="shared" si="0"/>
        <v>0</v>
      </c>
      <c r="E33" s="54" t="str">
        <f t="shared" si="1"/>
        <v>-</v>
      </c>
      <c r="F33" s="30">
        <f t="shared" si="3"/>
        <v>0</v>
      </c>
      <c r="G33" s="54" t="str">
        <f t="shared" si="5"/>
        <v>-</v>
      </c>
      <c r="H33" s="30">
        <f t="shared" si="4"/>
        <v>0</v>
      </c>
      <c r="I33" s="30">
        <f t="shared" si="7"/>
        <v>0</v>
      </c>
    </row>
    <row r="34" spans="1:9" ht="18" hidden="1">
      <c r="A34" s="24">
        <f t="shared" si="2"/>
        <v>28</v>
      </c>
      <c r="B34" s="25">
        <v>0</v>
      </c>
      <c r="C34" s="29">
        <v>0</v>
      </c>
      <c r="D34" s="52">
        <f t="shared" si="0"/>
        <v>0</v>
      </c>
      <c r="E34" s="54" t="str">
        <f t="shared" si="1"/>
        <v>-</v>
      </c>
      <c r="F34" s="30">
        <f t="shared" si="3"/>
        <v>0</v>
      </c>
      <c r="G34" s="54" t="str">
        <f t="shared" si="5"/>
        <v>-</v>
      </c>
      <c r="H34" s="30">
        <f t="shared" si="4"/>
        <v>0</v>
      </c>
      <c r="I34" s="30">
        <f t="shared" si="7"/>
        <v>0</v>
      </c>
    </row>
    <row r="35" spans="1:9" ht="18" hidden="1">
      <c r="A35" s="24">
        <f t="shared" si="2"/>
        <v>29</v>
      </c>
      <c r="B35" s="25">
        <v>0</v>
      </c>
      <c r="C35" s="29">
        <v>0</v>
      </c>
      <c r="D35" s="52">
        <f t="shared" si="0"/>
        <v>0</v>
      </c>
      <c r="E35" s="54" t="str">
        <f t="shared" si="1"/>
        <v>-</v>
      </c>
      <c r="F35" s="30">
        <f t="shared" si="3"/>
        <v>0</v>
      </c>
      <c r="G35" s="54" t="str">
        <f t="shared" si="5"/>
        <v>-</v>
      </c>
      <c r="H35" s="30">
        <f t="shared" si="4"/>
        <v>0</v>
      </c>
      <c r="I35" s="30">
        <f t="shared" si="7"/>
        <v>0</v>
      </c>
    </row>
    <row r="36" spans="1:9" ht="18" hidden="1">
      <c r="A36" s="24">
        <f t="shared" si="2"/>
        <v>30</v>
      </c>
      <c r="B36" s="25">
        <v>0</v>
      </c>
      <c r="C36" s="29">
        <v>0</v>
      </c>
      <c r="D36" s="52">
        <f t="shared" si="0"/>
        <v>0</v>
      </c>
      <c r="E36" s="54" t="str">
        <f t="shared" si="1"/>
        <v>-</v>
      </c>
      <c r="F36" s="30">
        <f t="shared" si="3"/>
        <v>0</v>
      </c>
      <c r="G36" s="54" t="str">
        <f t="shared" si="5"/>
        <v>-</v>
      </c>
      <c r="H36" s="30">
        <f t="shared" si="4"/>
        <v>0</v>
      </c>
      <c r="I36" s="30">
        <f t="shared" si="7"/>
        <v>0</v>
      </c>
    </row>
    <row r="37" spans="1:9" ht="18" hidden="1">
      <c r="A37" s="24">
        <f t="shared" si="2"/>
        <v>31</v>
      </c>
      <c r="B37" s="25">
        <v>0</v>
      </c>
      <c r="C37" s="29">
        <v>0</v>
      </c>
      <c r="D37" s="52">
        <f t="shared" si="0"/>
        <v>0</v>
      </c>
      <c r="E37" s="54" t="str">
        <f t="shared" si="1"/>
        <v>-</v>
      </c>
      <c r="F37" s="30">
        <f t="shared" si="3"/>
        <v>0</v>
      </c>
      <c r="G37" s="54" t="str">
        <f t="shared" si="5"/>
        <v>-</v>
      </c>
      <c r="H37" s="30">
        <f t="shared" si="4"/>
        <v>0</v>
      </c>
      <c r="I37" s="30">
        <f t="shared" si="7"/>
        <v>0</v>
      </c>
    </row>
    <row r="38" spans="1:9" ht="18" hidden="1">
      <c r="A38" s="24">
        <f t="shared" si="2"/>
        <v>32</v>
      </c>
      <c r="B38" s="25">
        <v>0</v>
      </c>
      <c r="C38" s="29">
        <v>0</v>
      </c>
      <c r="D38" s="52">
        <f t="shared" si="0"/>
        <v>0</v>
      </c>
      <c r="E38" s="54" t="str">
        <f t="shared" si="1"/>
        <v>-</v>
      </c>
      <c r="F38" s="30">
        <f t="shared" si="3"/>
        <v>0</v>
      </c>
      <c r="G38" s="54" t="str">
        <f t="shared" si="5"/>
        <v>-</v>
      </c>
      <c r="H38" s="30">
        <f t="shared" si="4"/>
        <v>0</v>
      </c>
      <c r="I38" s="30">
        <f t="shared" si="7"/>
        <v>0</v>
      </c>
    </row>
    <row r="39" spans="1:9" ht="18" hidden="1">
      <c r="A39" s="24">
        <f t="shared" si="2"/>
        <v>33</v>
      </c>
      <c r="B39" s="25">
        <v>0</v>
      </c>
      <c r="C39" s="29">
        <v>0</v>
      </c>
      <c r="D39" s="52">
        <f t="shared" si="0"/>
        <v>0</v>
      </c>
      <c r="E39" s="54" t="str">
        <f t="shared" si="1"/>
        <v>-</v>
      </c>
      <c r="F39" s="30">
        <f t="shared" si="3"/>
        <v>0</v>
      </c>
      <c r="G39" s="54" t="str">
        <f t="shared" si="5"/>
        <v>-</v>
      </c>
      <c r="H39" s="30">
        <f t="shared" si="4"/>
        <v>0</v>
      </c>
      <c r="I39" s="30">
        <f t="shared" si="7"/>
        <v>0</v>
      </c>
    </row>
    <row r="40" spans="1:9" ht="18" hidden="1">
      <c r="A40" s="24">
        <f t="shared" si="2"/>
        <v>34</v>
      </c>
      <c r="B40" s="25">
        <v>0</v>
      </c>
      <c r="C40" s="29">
        <v>0</v>
      </c>
      <c r="D40" s="52">
        <f t="shared" si="0"/>
        <v>0</v>
      </c>
      <c r="E40" s="54" t="str">
        <f t="shared" si="1"/>
        <v>-</v>
      </c>
      <c r="F40" s="30">
        <f t="shared" si="3"/>
        <v>0</v>
      </c>
      <c r="G40" s="54" t="str">
        <f t="shared" si="5"/>
        <v>-</v>
      </c>
      <c r="H40" s="30">
        <f t="shared" si="4"/>
        <v>0</v>
      </c>
      <c r="I40" s="30">
        <f t="shared" si="7"/>
        <v>0</v>
      </c>
    </row>
    <row r="41" spans="1:9" ht="18" hidden="1">
      <c r="A41" s="24">
        <f t="shared" si="2"/>
        <v>35</v>
      </c>
      <c r="B41" s="25">
        <v>0</v>
      </c>
      <c r="C41" s="29">
        <v>0</v>
      </c>
      <c r="D41" s="52">
        <f t="shared" si="0"/>
        <v>0</v>
      </c>
      <c r="E41" s="54" t="str">
        <f t="shared" si="1"/>
        <v>-</v>
      </c>
      <c r="F41" s="30">
        <f t="shared" si="3"/>
        <v>0</v>
      </c>
      <c r="G41" s="54" t="str">
        <f t="shared" si="5"/>
        <v>-</v>
      </c>
      <c r="H41" s="30">
        <f t="shared" si="4"/>
        <v>0</v>
      </c>
      <c r="I41" s="30">
        <f t="shared" si="7"/>
        <v>0</v>
      </c>
    </row>
    <row r="42" spans="1:9" ht="18" hidden="1">
      <c r="A42" s="24">
        <f t="shared" si="2"/>
        <v>36</v>
      </c>
      <c r="B42" s="25">
        <v>0</v>
      </c>
      <c r="C42" s="29">
        <v>0</v>
      </c>
      <c r="D42" s="52">
        <f t="shared" si="0"/>
        <v>0</v>
      </c>
      <c r="E42" s="54" t="str">
        <f t="shared" si="1"/>
        <v>-</v>
      </c>
      <c r="F42" s="30">
        <f t="shared" si="3"/>
        <v>0</v>
      </c>
      <c r="G42" s="54" t="str">
        <f t="shared" si="5"/>
        <v>-</v>
      </c>
      <c r="H42" s="30">
        <f t="shared" si="4"/>
        <v>0</v>
      </c>
      <c r="I42" s="30">
        <f t="shared" si="7"/>
        <v>0</v>
      </c>
    </row>
    <row r="43" spans="1:9" ht="18" hidden="1">
      <c r="A43" s="24">
        <f t="shared" si="2"/>
        <v>37</v>
      </c>
      <c r="B43" s="25">
        <v>0</v>
      </c>
      <c r="C43" s="29">
        <v>0</v>
      </c>
      <c r="D43" s="52">
        <f t="shared" si="0"/>
        <v>0</v>
      </c>
      <c r="E43" s="54" t="str">
        <f t="shared" si="1"/>
        <v>-</v>
      </c>
      <c r="F43" s="30">
        <f t="shared" si="3"/>
        <v>0</v>
      </c>
      <c r="G43" s="54" t="str">
        <f t="shared" si="5"/>
        <v>-</v>
      </c>
      <c r="H43" s="30">
        <f t="shared" si="4"/>
        <v>0</v>
      </c>
      <c r="I43" s="30">
        <f t="shared" si="7"/>
        <v>0</v>
      </c>
    </row>
    <row r="44" spans="1:9" ht="18" hidden="1">
      <c r="A44" s="24">
        <f t="shared" si="2"/>
        <v>38</v>
      </c>
      <c r="B44" s="25">
        <v>0</v>
      </c>
      <c r="C44" s="29">
        <v>0</v>
      </c>
      <c r="D44" s="52">
        <f t="shared" si="0"/>
        <v>0</v>
      </c>
      <c r="E44" s="54" t="str">
        <f t="shared" si="1"/>
        <v>-</v>
      </c>
      <c r="F44" s="30">
        <f t="shared" si="3"/>
        <v>0</v>
      </c>
      <c r="G44" s="54" t="str">
        <f t="shared" si="5"/>
        <v>-</v>
      </c>
      <c r="H44" s="30">
        <f t="shared" si="4"/>
        <v>0</v>
      </c>
      <c r="I44" s="30">
        <f t="shared" si="7"/>
        <v>0</v>
      </c>
    </row>
    <row r="45" spans="1:9" ht="18" hidden="1">
      <c r="A45" s="24">
        <f t="shared" si="2"/>
        <v>39</v>
      </c>
      <c r="B45" s="25">
        <v>0</v>
      </c>
      <c r="C45" s="29">
        <v>0</v>
      </c>
      <c r="D45" s="52">
        <f t="shared" si="0"/>
        <v>0</v>
      </c>
      <c r="E45" s="54" t="str">
        <f t="shared" si="1"/>
        <v>-</v>
      </c>
      <c r="F45" s="30">
        <f t="shared" si="3"/>
        <v>0</v>
      </c>
      <c r="G45" s="54" t="str">
        <f t="shared" si="5"/>
        <v>-</v>
      </c>
      <c r="H45" s="30">
        <f t="shared" si="4"/>
        <v>0</v>
      </c>
      <c r="I45" s="30">
        <f t="shared" si="7"/>
        <v>0</v>
      </c>
    </row>
    <row r="46" spans="1:9" ht="18" hidden="1">
      <c r="A46" s="24">
        <f t="shared" si="2"/>
        <v>40</v>
      </c>
      <c r="B46" s="25">
        <v>0</v>
      </c>
      <c r="C46" s="29">
        <v>0</v>
      </c>
      <c r="D46" s="52">
        <f t="shared" si="0"/>
        <v>0</v>
      </c>
      <c r="E46" s="54" t="str">
        <f t="shared" si="1"/>
        <v>-</v>
      </c>
      <c r="F46" s="30">
        <f t="shared" si="3"/>
        <v>0</v>
      </c>
      <c r="G46" s="54" t="str">
        <f t="shared" si="5"/>
        <v>-</v>
      </c>
      <c r="H46" s="30">
        <f t="shared" si="4"/>
        <v>0</v>
      </c>
      <c r="I46" s="30">
        <f t="shared" si="7"/>
        <v>0</v>
      </c>
    </row>
    <row r="47" spans="1:9" ht="18" hidden="1">
      <c r="A47" s="24">
        <f t="shared" si="2"/>
        <v>41</v>
      </c>
      <c r="B47" s="25">
        <v>0</v>
      </c>
      <c r="C47" s="29">
        <v>0</v>
      </c>
      <c r="D47" s="52">
        <f t="shared" si="0"/>
        <v>0</v>
      </c>
      <c r="E47" s="54" t="str">
        <f t="shared" si="1"/>
        <v>-</v>
      </c>
      <c r="F47" s="30">
        <f t="shared" si="3"/>
        <v>0</v>
      </c>
      <c r="G47" s="54" t="str">
        <f t="shared" si="5"/>
        <v>-</v>
      </c>
      <c r="H47" s="30">
        <f t="shared" si="4"/>
        <v>0</v>
      </c>
      <c r="I47" s="30">
        <f t="shared" si="7"/>
        <v>0</v>
      </c>
    </row>
    <row r="48" spans="1:9" ht="18" hidden="1">
      <c r="A48" s="24">
        <f t="shared" si="2"/>
        <v>42</v>
      </c>
      <c r="B48" s="25">
        <v>0</v>
      </c>
      <c r="C48" s="29">
        <v>0</v>
      </c>
      <c r="D48" s="52">
        <f t="shared" si="0"/>
        <v>0</v>
      </c>
      <c r="E48" s="54" t="str">
        <f t="shared" si="1"/>
        <v>-</v>
      </c>
      <c r="F48" s="30">
        <f t="shared" si="3"/>
        <v>0</v>
      </c>
      <c r="G48" s="54" t="str">
        <f t="shared" si="5"/>
        <v>-</v>
      </c>
      <c r="H48" s="30">
        <f t="shared" si="4"/>
        <v>0</v>
      </c>
      <c r="I48" s="30">
        <f t="shared" si="7"/>
        <v>0</v>
      </c>
    </row>
    <row r="49" spans="1:9" ht="18" hidden="1">
      <c r="A49" s="24">
        <f t="shared" si="2"/>
        <v>43</v>
      </c>
      <c r="B49" s="25">
        <v>0</v>
      </c>
      <c r="C49" s="29">
        <v>0</v>
      </c>
      <c r="D49" s="52">
        <f t="shared" si="0"/>
        <v>0</v>
      </c>
      <c r="E49" s="54" t="str">
        <f t="shared" si="1"/>
        <v>-</v>
      </c>
      <c r="F49" s="30">
        <f t="shared" si="3"/>
        <v>0</v>
      </c>
      <c r="G49" s="54" t="str">
        <f t="shared" si="5"/>
        <v>-</v>
      </c>
      <c r="H49" s="30">
        <f t="shared" si="4"/>
        <v>0</v>
      </c>
      <c r="I49" s="30">
        <f t="shared" si="7"/>
        <v>0</v>
      </c>
    </row>
    <row r="50" spans="1:9" ht="18" hidden="1">
      <c r="A50" s="24">
        <f t="shared" si="2"/>
        <v>44</v>
      </c>
      <c r="B50" s="25">
        <v>0</v>
      </c>
      <c r="C50" s="29">
        <v>0</v>
      </c>
      <c r="D50" s="52">
        <f t="shared" si="0"/>
        <v>0</v>
      </c>
      <c r="E50" s="54" t="str">
        <f t="shared" si="1"/>
        <v>-</v>
      </c>
      <c r="F50" s="30">
        <f t="shared" si="3"/>
        <v>0</v>
      </c>
      <c r="G50" s="54" t="str">
        <f t="shared" si="5"/>
        <v>-</v>
      </c>
      <c r="H50" s="30">
        <f t="shared" si="4"/>
        <v>0</v>
      </c>
      <c r="I50" s="30">
        <f t="shared" si="7"/>
        <v>0</v>
      </c>
    </row>
    <row r="51" spans="1:9" ht="18" hidden="1">
      <c r="A51" s="24">
        <f t="shared" si="2"/>
        <v>45</v>
      </c>
      <c r="B51" s="25">
        <v>0</v>
      </c>
      <c r="C51" s="29">
        <v>0</v>
      </c>
      <c r="D51" s="52">
        <f t="shared" si="0"/>
        <v>0</v>
      </c>
      <c r="E51" s="54" t="str">
        <f t="shared" si="1"/>
        <v>-</v>
      </c>
      <c r="F51" s="30">
        <f t="shared" si="3"/>
        <v>0</v>
      </c>
      <c r="G51" s="54" t="str">
        <f t="shared" si="5"/>
        <v>-</v>
      </c>
      <c r="H51" s="30">
        <f t="shared" si="4"/>
        <v>0</v>
      </c>
      <c r="I51" s="30">
        <f t="shared" si="7"/>
        <v>0</v>
      </c>
    </row>
    <row r="52" spans="1:9" ht="18" hidden="1">
      <c r="A52" s="24">
        <f t="shared" si="2"/>
        <v>46</v>
      </c>
      <c r="B52" s="25">
        <v>0</v>
      </c>
      <c r="C52" s="29">
        <v>0</v>
      </c>
      <c r="D52" s="52">
        <f t="shared" si="0"/>
        <v>0</v>
      </c>
      <c r="E52" s="54" t="str">
        <f t="shared" si="1"/>
        <v>-</v>
      </c>
      <c r="F52" s="30">
        <f t="shared" si="3"/>
        <v>0</v>
      </c>
      <c r="G52" s="54" t="str">
        <f t="shared" si="5"/>
        <v>-</v>
      </c>
      <c r="H52" s="30">
        <f t="shared" si="4"/>
        <v>0</v>
      </c>
      <c r="I52" s="30">
        <f t="shared" si="7"/>
        <v>0</v>
      </c>
    </row>
    <row r="53" spans="1:9" ht="18" hidden="1">
      <c r="A53" s="24">
        <f t="shared" si="2"/>
        <v>47</v>
      </c>
      <c r="B53" s="25">
        <v>0</v>
      </c>
      <c r="C53" s="29">
        <v>0</v>
      </c>
      <c r="D53" s="52">
        <f t="shared" si="0"/>
        <v>0</v>
      </c>
      <c r="E53" s="54" t="str">
        <f t="shared" si="1"/>
        <v>-</v>
      </c>
      <c r="F53" s="30">
        <f t="shared" si="3"/>
        <v>0</v>
      </c>
      <c r="G53" s="54" t="str">
        <f t="shared" si="5"/>
        <v>-</v>
      </c>
      <c r="H53" s="30">
        <f t="shared" si="4"/>
        <v>0</v>
      </c>
      <c r="I53" s="30">
        <f t="shared" si="7"/>
        <v>0</v>
      </c>
    </row>
    <row r="54" spans="1:9" ht="18" hidden="1">
      <c r="A54" s="24">
        <f t="shared" si="2"/>
        <v>48</v>
      </c>
      <c r="B54" s="25">
        <v>0</v>
      </c>
      <c r="C54" s="29">
        <v>0</v>
      </c>
      <c r="D54" s="52">
        <f t="shared" si="0"/>
        <v>0</v>
      </c>
      <c r="E54" s="54" t="str">
        <f t="shared" si="1"/>
        <v>-</v>
      </c>
      <c r="F54" s="30">
        <f t="shared" si="3"/>
        <v>0</v>
      </c>
      <c r="G54" s="54" t="str">
        <f t="shared" si="5"/>
        <v>-</v>
      </c>
      <c r="H54" s="30">
        <f t="shared" si="4"/>
        <v>0</v>
      </c>
      <c r="I54" s="30">
        <f t="shared" si="7"/>
        <v>0</v>
      </c>
    </row>
    <row r="55" spans="1:9" ht="18" hidden="1">
      <c r="A55" s="24">
        <f t="shared" si="2"/>
        <v>49</v>
      </c>
      <c r="B55" s="25">
        <v>0</v>
      </c>
      <c r="C55" s="29">
        <v>0</v>
      </c>
      <c r="D55" s="52">
        <f t="shared" si="0"/>
        <v>0</v>
      </c>
      <c r="E55" s="54" t="str">
        <f t="shared" si="1"/>
        <v>-</v>
      </c>
      <c r="F55" s="30">
        <f t="shared" si="3"/>
        <v>0</v>
      </c>
      <c r="G55" s="54" t="str">
        <f t="shared" si="5"/>
        <v>-</v>
      </c>
      <c r="H55" s="30">
        <f t="shared" si="4"/>
        <v>0</v>
      </c>
      <c r="I55" s="30">
        <f t="shared" si="7"/>
        <v>0</v>
      </c>
    </row>
    <row r="56" spans="1:9" ht="18.75" hidden="1" thickBot="1">
      <c r="A56" s="31">
        <f t="shared" si="2"/>
        <v>50</v>
      </c>
      <c r="B56" s="32">
        <v>0</v>
      </c>
      <c r="C56" s="33">
        <v>0</v>
      </c>
      <c r="D56" s="53">
        <f t="shared" si="0"/>
        <v>0</v>
      </c>
      <c r="E56" s="57" t="str">
        <f t="shared" si="1"/>
        <v>-</v>
      </c>
      <c r="F56" s="34">
        <f t="shared" si="3"/>
        <v>0</v>
      </c>
      <c r="G56" s="57" t="str">
        <f t="shared" si="5"/>
        <v>-</v>
      </c>
      <c r="H56" s="34">
        <f t="shared" si="4"/>
        <v>0</v>
      </c>
      <c r="I56" s="34">
        <f t="shared" si="7"/>
        <v>0</v>
      </c>
    </row>
    <row r="57" spans="1:9" ht="18.75" thickBot="1">
      <c r="A57" s="40" t="s">
        <v>0</v>
      </c>
      <c r="B57" s="44"/>
      <c r="C57" s="44"/>
      <c r="D57" s="44"/>
      <c r="E57" s="44"/>
      <c r="F57" s="59">
        <f>SUM(F6:F56)</f>
        <v>143575.56604636693</v>
      </c>
      <c r="G57" s="55"/>
      <c r="H57" s="60">
        <f>SUM(H6:H56)</f>
        <v>-2.0489096641540527E-8</v>
      </c>
      <c r="I57" s="4"/>
    </row>
    <row r="58" spans="1:9" ht="18.75" thickBot="1">
      <c r="A58" s="39" t="s">
        <v>28</v>
      </c>
      <c r="B58" s="42"/>
      <c r="C58" s="42"/>
      <c r="D58" s="42"/>
      <c r="E58" s="42"/>
      <c r="F58" s="43">
        <f>I7</f>
        <v>29197.904495960109</v>
      </c>
      <c r="G58" s="47"/>
      <c r="H58" s="47"/>
      <c r="I58" s="4"/>
    </row>
    <row r="59" spans="1:9" ht="18.75" thickBot="1">
      <c r="A59" s="41" t="s">
        <v>1</v>
      </c>
      <c r="B59" s="35"/>
      <c r="C59" s="35"/>
      <c r="D59" s="35"/>
      <c r="E59" s="35"/>
      <c r="F59" s="36">
        <f>IRR(D6:D56)</f>
        <v>6.9083001709954739E-2</v>
      </c>
      <c r="G59" s="48"/>
      <c r="H59" s="48"/>
      <c r="I59" s="4"/>
    </row>
    <row r="60" spans="1:9" ht="18.75" hidden="1" thickBot="1">
      <c r="A60" s="40" t="s">
        <v>2</v>
      </c>
      <c r="B60" s="44"/>
      <c r="C60" s="44"/>
      <c r="D60" s="44"/>
      <c r="E60" s="44"/>
      <c r="F60" s="45">
        <f>NPER(B4,F62,F6,0)</f>
        <v>5.7947196691631948</v>
      </c>
      <c r="G60" s="49"/>
      <c r="H60" s="49"/>
      <c r="I60" s="4"/>
    </row>
    <row r="61" spans="1:9" hidden="1">
      <c r="A61" s="37" t="s">
        <v>16</v>
      </c>
      <c r="F61" s="38">
        <f>SUM(F7:F56)</f>
        <v>4993575.5660463665</v>
      </c>
      <c r="G61" s="38"/>
      <c r="H61" s="38"/>
    </row>
    <row r="62" spans="1:9" hidden="1">
      <c r="A62" s="37" t="s">
        <v>17</v>
      </c>
      <c r="F62" s="1">
        <f>PMT(B4,B3,F61,0)*-1</f>
        <v>1015506.6525992021</v>
      </c>
      <c r="G62" s="1"/>
      <c r="H62" s="1"/>
    </row>
    <row r="64" spans="1:9" ht="18" hidden="1">
      <c r="A64" s="58"/>
    </row>
    <row r="65" spans="1:6" ht="78.599999999999994" hidden="1" customHeight="1">
      <c r="A65" s="395"/>
      <c r="B65" s="394"/>
      <c r="C65" s="394"/>
      <c r="D65" s="394"/>
      <c r="E65" s="394"/>
      <c r="F65" s="394"/>
    </row>
    <row r="66" spans="1:6">
      <c r="A66" s="2"/>
      <c r="B66" s="2"/>
    </row>
    <row r="67" spans="1:6">
      <c r="A67" s="2"/>
      <c r="B67" s="2"/>
    </row>
  </sheetData>
  <mergeCells count="1">
    <mergeCell ref="A65:F65"/>
  </mergeCells>
  <pageMargins left="0.78740157480314965" right="0.39370078740157483" top="0.98425196850393704" bottom="0.98425196850393704" header="0" footer="0"/>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67"/>
  <sheetViews>
    <sheetView zoomScale="90" zoomScaleNormal="90" workbookViewId="0">
      <selection sqref="A1:C1"/>
    </sheetView>
  </sheetViews>
  <sheetFormatPr defaultRowHeight="12.75"/>
  <cols>
    <col min="1" max="1" width="9.28515625" customWidth="1"/>
    <col min="2" max="2" width="16.140625" customWidth="1"/>
    <col min="3" max="3" width="20.7109375" customWidth="1"/>
    <col min="4" max="4" width="28.28515625" customWidth="1"/>
    <col min="5" max="5" width="27.7109375" customWidth="1"/>
    <col min="6" max="6" width="28.28515625" customWidth="1"/>
    <col min="7" max="7" width="24.7109375" hidden="1" customWidth="1"/>
    <col min="8" max="8" width="24.85546875" customWidth="1"/>
    <col min="9" max="9" width="24.140625" customWidth="1"/>
  </cols>
  <sheetData>
    <row r="1" spans="1:11" ht="18">
      <c r="A1" s="392" t="s">
        <v>34</v>
      </c>
      <c r="B1" s="393"/>
      <c r="C1" s="393"/>
    </row>
    <row r="2" spans="1:11" ht="18">
      <c r="A2" s="50"/>
    </row>
    <row r="3" spans="1:11" ht="15.75">
      <c r="A3" s="17" t="s">
        <v>18</v>
      </c>
      <c r="B3" s="18">
        <v>6</v>
      </c>
    </row>
    <row r="4" spans="1:11" ht="16.5" thickBot="1">
      <c r="A4" s="17" t="s">
        <v>19</v>
      </c>
      <c r="B4" s="19">
        <v>0.06</v>
      </c>
    </row>
    <row r="5" spans="1:11" ht="64.5" customHeight="1" thickBot="1">
      <c r="A5" s="20" t="s">
        <v>20</v>
      </c>
      <c r="B5" s="21" t="s">
        <v>21</v>
      </c>
      <c r="C5" s="22" t="s">
        <v>22</v>
      </c>
      <c r="D5" s="20" t="s">
        <v>15</v>
      </c>
      <c r="E5" s="23" t="s">
        <v>24</v>
      </c>
      <c r="F5" s="20" t="s">
        <v>27</v>
      </c>
      <c r="G5" s="20" t="s">
        <v>25</v>
      </c>
      <c r="H5" s="23" t="str">
        <f>CONCATENATE("Nutidsværdien ved den interne rente (IRR) ",(ROUND(F59,4)*100)," %")</f>
        <v>Nutidsværdien ved den interne rente (IRR) 6.91 %</v>
      </c>
      <c r="I5" s="23" t="s">
        <v>23</v>
      </c>
    </row>
    <row r="6" spans="1:11" ht="18">
      <c r="A6" s="28">
        <v>0</v>
      </c>
      <c r="B6" s="46">
        <v>0</v>
      </c>
      <c r="C6" s="26">
        <f>'Opgave 1.2'!C6-'Opgave 1.1'!C6</f>
        <v>500000</v>
      </c>
      <c r="D6" s="51">
        <f t="shared" ref="D6:D56" si="0">B6-C6</f>
        <v>-500000</v>
      </c>
      <c r="E6" s="56">
        <f t="shared" ref="E6:E56" si="1">IF(A6&lt;=$B$3,POWER((1+$B$4),(A6*-1)),"-")</f>
        <v>1</v>
      </c>
      <c r="F6" s="27">
        <f>D6</f>
        <v>-500000</v>
      </c>
      <c r="G6" s="56">
        <f>IF(A6&lt;=$B$3,POWER((1+$F$59),(A6*-1)),"-")</f>
        <v>1</v>
      </c>
      <c r="H6" s="27">
        <f>F6</f>
        <v>-500000</v>
      </c>
      <c r="I6" s="28"/>
    </row>
    <row r="7" spans="1:11" ht="18">
      <c r="A7" s="24">
        <f t="shared" ref="A7:A56" si="2">A6+1</f>
        <v>1</v>
      </c>
      <c r="B7" s="25">
        <f>'Opgave 1.2'!B7-'Opgave 1.1'!B7+'1.3 Lommeregneren TI-83'!$D$9</f>
        <v>101798.74291098164</v>
      </c>
      <c r="C7" s="29">
        <v>0</v>
      </c>
      <c r="D7" s="52">
        <f t="shared" si="0"/>
        <v>101798.74291098164</v>
      </c>
      <c r="E7" s="54">
        <f t="shared" si="1"/>
        <v>0.94339622641509424</v>
      </c>
      <c r="F7" s="30">
        <f t="shared" ref="F7:F56" si="3">PV($B$4,A7,0,D7)*-1</f>
        <v>96036.54991602042</v>
      </c>
      <c r="G7" s="54">
        <f>IF(A7&lt;=$B$3,POWER((1+$F$59),(A7*-1)),"-")</f>
        <v>0.9353810680747322</v>
      </c>
      <c r="H7" s="30">
        <f t="shared" ref="H7:H56" si="4">PV($F$59,A7,0,D7)*-1</f>
        <v>95220.61687273909</v>
      </c>
      <c r="I7" s="30">
        <f>PMT($B$4,$B$3,$F$57)*-1</f>
        <v>2984.6812430317914</v>
      </c>
    </row>
    <row r="8" spans="1:11" ht="18">
      <c r="A8" s="24">
        <f t="shared" si="2"/>
        <v>2</v>
      </c>
      <c r="B8" s="25">
        <f>B7</f>
        <v>101798.74291098164</v>
      </c>
      <c r="C8" s="29">
        <v>0</v>
      </c>
      <c r="D8" s="52">
        <f t="shared" si="0"/>
        <v>101798.74291098164</v>
      </c>
      <c r="E8" s="54">
        <f t="shared" si="1"/>
        <v>0.88999644001423983</v>
      </c>
      <c r="F8" s="30">
        <f t="shared" si="3"/>
        <v>90600.518788698493</v>
      </c>
      <c r="G8" s="54">
        <f t="shared" ref="G8:G56" si="5">IF(A8&lt;=$B$3,POWER((1+$F$59),(A8*-1)),"-")</f>
        <v>0.87493774251262679</v>
      </c>
      <c r="H8" s="30">
        <f t="shared" si="4"/>
        <v>89067.562313157541</v>
      </c>
      <c r="I8" s="30">
        <f t="shared" ref="I8:I13" si="6">IF(A8&lt;=$B$3,$I$7,0)</f>
        <v>2984.6812430317914</v>
      </c>
    </row>
    <row r="9" spans="1:11" ht="18">
      <c r="A9" s="24">
        <f t="shared" si="2"/>
        <v>3</v>
      </c>
      <c r="B9" s="25">
        <f>B8</f>
        <v>101798.74291098164</v>
      </c>
      <c r="C9" s="29">
        <v>0</v>
      </c>
      <c r="D9" s="52">
        <f t="shared" si="0"/>
        <v>101798.74291098164</v>
      </c>
      <c r="E9" s="54">
        <f t="shared" si="1"/>
        <v>0.8396192830323016</v>
      </c>
      <c r="F9" s="30">
        <f t="shared" si="3"/>
        <v>85472.187536508005</v>
      </c>
      <c r="G9" s="54">
        <f t="shared" si="5"/>
        <v>0.81840020009035586</v>
      </c>
      <c r="H9" s="30">
        <f t="shared" si="4"/>
        <v>83312.111567294065</v>
      </c>
      <c r="I9" s="30">
        <f t="shared" si="6"/>
        <v>2984.6812430317914</v>
      </c>
    </row>
    <row r="10" spans="1:11" ht="18">
      <c r="A10" s="24">
        <f t="shared" si="2"/>
        <v>4</v>
      </c>
      <c r="B10" s="25">
        <f>B9</f>
        <v>101798.74291098164</v>
      </c>
      <c r="C10" s="29">
        <v>0</v>
      </c>
      <c r="D10" s="52">
        <f t="shared" si="0"/>
        <v>101798.74291098164</v>
      </c>
      <c r="E10" s="54">
        <f t="shared" si="1"/>
        <v>0.79209366323802044</v>
      </c>
      <c r="F10" s="30">
        <f t="shared" si="3"/>
        <v>80634.139185384905</v>
      </c>
      <c r="G10" s="54">
        <f t="shared" si="5"/>
        <v>0.76551605327309147</v>
      </c>
      <c r="H10" s="30">
        <f t="shared" si="4"/>
        <v>77928.571901376767</v>
      </c>
      <c r="I10" s="30">
        <f t="shared" si="6"/>
        <v>2984.6812430317914</v>
      </c>
    </row>
    <row r="11" spans="1:11" ht="18">
      <c r="A11" s="24">
        <f t="shared" si="2"/>
        <v>5</v>
      </c>
      <c r="B11" s="25">
        <f>B10</f>
        <v>101798.74291098164</v>
      </c>
      <c r="C11" s="29">
        <v>0</v>
      </c>
      <c r="D11" s="52">
        <f>(B11-C11)</f>
        <v>101798.74291098164</v>
      </c>
      <c r="E11" s="54">
        <f t="shared" si="1"/>
        <v>0.74725817286605689</v>
      </c>
      <c r="F11" s="30">
        <f t="shared" si="3"/>
        <v>76069.942627721612</v>
      </c>
      <c r="G11" s="54">
        <f t="shared" si="5"/>
        <v>0.71604922353893796</v>
      </c>
      <c r="H11" s="30">
        <f t="shared" si="4"/>
        <v>72892.910818648365</v>
      </c>
      <c r="I11" s="30">
        <f t="shared" si="6"/>
        <v>2984.6812430317914</v>
      </c>
    </row>
    <row r="12" spans="1:11" ht="18.75" thickBot="1">
      <c r="A12" s="31">
        <f t="shared" si="2"/>
        <v>6</v>
      </c>
      <c r="B12" s="32">
        <f>B11+20000</f>
        <v>121798.74291098164</v>
      </c>
      <c r="C12" s="33">
        <v>0</v>
      </c>
      <c r="D12" s="53">
        <f t="shared" si="0"/>
        <v>121798.74291098164</v>
      </c>
      <c r="E12" s="57">
        <f t="shared" si="1"/>
        <v>0.70496054043967626</v>
      </c>
      <c r="F12" s="34">
        <f t="shared" si="3"/>
        <v>85863.307627398812</v>
      </c>
      <c r="G12" s="57">
        <f t="shared" si="5"/>
        <v>0.66977888750793435</v>
      </c>
      <c r="H12" s="34">
        <f t="shared" si="4"/>
        <v>81578.226526782193</v>
      </c>
      <c r="I12" s="34">
        <f t="shared" si="6"/>
        <v>2984.6812430317914</v>
      </c>
    </row>
    <row r="13" spans="1:11" ht="18.75" hidden="1" thickBot="1">
      <c r="A13" s="24">
        <f t="shared" si="2"/>
        <v>7</v>
      </c>
      <c r="B13" s="25">
        <v>0</v>
      </c>
      <c r="C13" s="29">
        <v>0</v>
      </c>
      <c r="D13" s="52">
        <f t="shared" si="0"/>
        <v>0</v>
      </c>
      <c r="E13" s="54" t="str">
        <f t="shared" si="1"/>
        <v>-</v>
      </c>
      <c r="F13" s="30">
        <f t="shared" si="3"/>
        <v>0</v>
      </c>
      <c r="G13" s="54" t="str">
        <f t="shared" si="5"/>
        <v>-</v>
      </c>
      <c r="H13" s="30">
        <f t="shared" si="4"/>
        <v>0</v>
      </c>
      <c r="I13" s="30">
        <f t="shared" si="6"/>
        <v>0</v>
      </c>
    </row>
    <row r="14" spans="1:11" ht="18.75" hidden="1" thickBot="1">
      <c r="A14" s="24">
        <f t="shared" si="2"/>
        <v>8</v>
      </c>
      <c r="B14" s="25">
        <v>0</v>
      </c>
      <c r="C14" s="29">
        <v>0</v>
      </c>
      <c r="D14" s="52">
        <f t="shared" si="0"/>
        <v>0</v>
      </c>
      <c r="E14" s="54" t="str">
        <f t="shared" si="1"/>
        <v>-</v>
      </c>
      <c r="F14" s="30">
        <f t="shared" si="3"/>
        <v>0</v>
      </c>
      <c r="G14" s="54" t="str">
        <f t="shared" si="5"/>
        <v>-</v>
      </c>
      <c r="H14" s="30">
        <f t="shared" si="4"/>
        <v>0</v>
      </c>
      <c r="I14" s="30">
        <f t="shared" ref="I14:I56" si="7">IF(A13&lt;=$B$3,$I$7,0)</f>
        <v>0</v>
      </c>
      <c r="K14" s="3"/>
    </row>
    <row r="15" spans="1:11" ht="18.75" hidden="1" thickBot="1">
      <c r="A15" s="24">
        <f t="shared" si="2"/>
        <v>9</v>
      </c>
      <c r="B15" s="25">
        <v>0</v>
      </c>
      <c r="C15" s="29">
        <v>0</v>
      </c>
      <c r="D15" s="52">
        <f t="shared" si="0"/>
        <v>0</v>
      </c>
      <c r="E15" s="54" t="str">
        <f t="shared" si="1"/>
        <v>-</v>
      </c>
      <c r="F15" s="30">
        <f t="shared" si="3"/>
        <v>0</v>
      </c>
      <c r="G15" s="54" t="str">
        <f t="shared" si="5"/>
        <v>-</v>
      </c>
      <c r="H15" s="30">
        <f t="shared" si="4"/>
        <v>0</v>
      </c>
      <c r="I15" s="30">
        <f t="shared" si="7"/>
        <v>0</v>
      </c>
    </row>
    <row r="16" spans="1:11" ht="18.75" hidden="1" thickBot="1">
      <c r="A16" s="24">
        <f t="shared" si="2"/>
        <v>10</v>
      </c>
      <c r="B16" s="25">
        <v>0</v>
      </c>
      <c r="C16" s="29">
        <v>0</v>
      </c>
      <c r="D16" s="52">
        <f t="shared" si="0"/>
        <v>0</v>
      </c>
      <c r="E16" s="54" t="str">
        <f t="shared" si="1"/>
        <v>-</v>
      </c>
      <c r="F16" s="30">
        <f t="shared" si="3"/>
        <v>0</v>
      </c>
      <c r="G16" s="54" t="str">
        <f t="shared" si="5"/>
        <v>-</v>
      </c>
      <c r="H16" s="30">
        <f t="shared" si="4"/>
        <v>0</v>
      </c>
      <c r="I16" s="30">
        <f t="shared" si="7"/>
        <v>0</v>
      </c>
    </row>
    <row r="17" spans="1:11" ht="18.75" hidden="1" thickBot="1">
      <c r="A17" s="24">
        <f t="shared" si="2"/>
        <v>11</v>
      </c>
      <c r="B17" s="25">
        <v>0</v>
      </c>
      <c r="C17" s="29">
        <v>0</v>
      </c>
      <c r="D17" s="52">
        <f t="shared" si="0"/>
        <v>0</v>
      </c>
      <c r="E17" s="54" t="str">
        <f t="shared" si="1"/>
        <v>-</v>
      </c>
      <c r="F17" s="30">
        <f t="shared" si="3"/>
        <v>0</v>
      </c>
      <c r="G17" s="54" t="str">
        <f t="shared" si="5"/>
        <v>-</v>
      </c>
      <c r="H17" s="30">
        <f t="shared" si="4"/>
        <v>0</v>
      </c>
      <c r="I17" s="30">
        <f t="shared" si="7"/>
        <v>0</v>
      </c>
    </row>
    <row r="18" spans="1:11" ht="18.75" hidden="1" thickBot="1">
      <c r="A18" s="24">
        <f t="shared" si="2"/>
        <v>12</v>
      </c>
      <c r="B18" s="25">
        <v>0</v>
      </c>
      <c r="C18" s="29">
        <v>0</v>
      </c>
      <c r="D18" s="52">
        <f t="shared" si="0"/>
        <v>0</v>
      </c>
      <c r="E18" s="54" t="str">
        <f t="shared" si="1"/>
        <v>-</v>
      </c>
      <c r="F18" s="30">
        <f t="shared" si="3"/>
        <v>0</v>
      </c>
      <c r="G18" s="54" t="str">
        <f t="shared" si="5"/>
        <v>-</v>
      </c>
      <c r="H18" s="30">
        <f t="shared" si="4"/>
        <v>0</v>
      </c>
      <c r="I18" s="30">
        <f t="shared" si="7"/>
        <v>0</v>
      </c>
    </row>
    <row r="19" spans="1:11" ht="18.75" hidden="1" thickBot="1">
      <c r="A19" s="24">
        <f t="shared" si="2"/>
        <v>13</v>
      </c>
      <c r="B19" s="25">
        <v>0</v>
      </c>
      <c r="C19" s="29">
        <v>0</v>
      </c>
      <c r="D19" s="52">
        <f t="shared" si="0"/>
        <v>0</v>
      </c>
      <c r="E19" s="54" t="str">
        <f t="shared" si="1"/>
        <v>-</v>
      </c>
      <c r="F19" s="30">
        <f t="shared" si="3"/>
        <v>0</v>
      </c>
      <c r="G19" s="54" t="str">
        <f t="shared" si="5"/>
        <v>-</v>
      </c>
      <c r="H19" s="30">
        <f t="shared" si="4"/>
        <v>0</v>
      </c>
      <c r="I19" s="30">
        <f t="shared" si="7"/>
        <v>0</v>
      </c>
      <c r="K19" s="3"/>
    </row>
    <row r="20" spans="1:11" ht="18.75" hidden="1" thickBot="1">
      <c r="A20" s="24">
        <f t="shared" si="2"/>
        <v>14</v>
      </c>
      <c r="B20" s="25">
        <v>0</v>
      </c>
      <c r="C20" s="29">
        <v>0</v>
      </c>
      <c r="D20" s="52">
        <f t="shared" si="0"/>
        <v>0</v>
      </c>
      <c r="E20" s="54" t="str">
        <f t="shared" si="1"/>
        <v>-</v>
      </c>
      <c r="F20" s="30">
        <f t="shared" si="3"/>
        <v>0</v>
      </c>
      <c r="G20" s="54" t="str">
        <f t="shared" si="5"/>
        <v>-</v>
      </c>
      <c r="H20" s="30">
        <f t="shared" si="4"/>
        <v>0</v>
      </c>
      <c r="I20" s="30">
        <f t="shared" si="7"/>
        <v>0</v>
      </c>
    </row>
    <row r="21" spans="1:11" ht="18.75" hidden="1" thickBot="1">
      <c r="A21" s="31">
        <f t="shared" si="2"/>
        <v>15</v>
      </c>
      <c r="B21" s="32">
        <v>0</v>
      </c>
      <c r="C21" s="33">
        <v>0</v>
      </c>
      <c r="D21" s="53">
        <f t="shared" si="0"/>
        <v>0</v>
      </c>
      <c r="E21" s="57" t="str">
        <f t="shared" si="1"/>
        <v>-</v>
      </c>
      <c r="F21" s="34">
        <f t="shared" si="3"/>
        <v>0</v>
      </c>
      <c r="G21" s="57" t="str">
        <f t="shared" si="5"/>
        <v>-</v>
      </c>
      <c r="H21" s="34">
        <f t="shared" si="4"/>
        <v>0</v>
      </c>
      <c r="I21" s="34">
        <f t="shared" si="7"/>
        <v>0</v>
      </c>
    </row>
    <row r="22" spans="1:11" ht="18.75" hidden="1" thickBot="1">
      <c r="A22" s="24">
        <f t="shared" si="2"/>
        <v>16</v>
      </c>
      <c r="B22" s="25">
        <v>0</v>
      </c>
      <c r="C22" s="29">
        <v>0</v>
      </c>
      <c r="D22" s="52">
        <f t="shared" si="0"/>
        <v>0</v>
      </c>
      <c r="E22" s="54" t="str">
        <f t="shared" si="1"/>
        <v>-</v>
      </c>
      <c r="F22" s="30">
        <f t="shared" si="3"/>
        <v>0</v>
      </c>
      <c r="G22" s="54" t="str">
        <f t="shared" si="5"/>
        <v>-</v>
      </c>
      <c r="H22" s="30">
        <f t="shared" si="4"/>
        <v>0</v>
      </c>
      <c r="I22" s="30">
        <f t="shared" si="7"/>
        <v>0</v>
      </c>
    </row>
    <row r="23" spans="1:11" ht="18.75" hidden="1" thickBot="1">
      <c r="A23" s="24">
        <f t="shared" si="2"/>
        <v>17</v>
      </c>
      <c r="B23" s="25">
        <v>0</v>
      </c>
      <c r="C23" s="29">
        <v>0</v>
      </c>
      <c r="D23" s="52">
        <f t="shared" si="0"/>
        <v>0</v>
      </c>
      <c r="E23" s="54" t="str">
        <f t="shared" si="1"/>
        <v>-</v>
      </c>
      <c r="F23" s="30">
        <f t="shared" si="3"/>
        <v>0</v>
      </c>
      <c r="G23" s="54" t="str">
        <f t="shared" si="5"/>
        <v>-</v>
      </c>
      <c r="H23" s="30">
        <f t="shared" si="4"/>
        <v>0</v>
      </c>
      <c r="I23" s="30">
        <f t="shared" si="7"/>
        <v>0</v>
      </c>
    </row>
    <row r="24" spans="1:11" ht="18.75" hidden="1" thickBot="1">
      <c r="A24" s="24">
        <f t="shared" si="2"/>
        <v>18</v>
      </c>
      <c r="B24" s="25">
        <v>0</v>
      </c>
      <c r="C24" s="29">
        <v>0</v>
      </c>
      <c r="D24" s="52">
        <f t="shared" si="0"/>
        <v>0</v>
      </c>
      <c r="E24" s="54" t="str">
        <f t="shared" si="1"/>
        <v>-</v>
      </c>
      <c r="F24" s="30">
        <f t="shared" si="3"/>
        <v>0</v>
      </c>
      <c r="G24" s="54" t="str">
        <f t="shared" si="5"/>
        <v>-</v>
      </c>
      <c r="H24" s="30">
        <f t="shared" si="4"/>
        <v>0</v>
      </c>
      <c r="I24" s="30">
        <f t="shared" si="7"/>
        <v>0</v>
      </c>
    </row>
    <row r="25" spans="1:11" ht="18.75" hidden="1" thickBot="1">
      <c r="A25" s="24">
        <f t="shared" si="2"/>
        <v>19</v>
      </c>
      <c r="B25" s="25">
        <v>0</v>
      </c>
      <c r="C25" s="29">
        <v>0</v>
      </c>
      <c r="D25" s="52">
        <f t="shared" si="0"/>
        <v>0</v>
      </c>
      <c r="E25" s="54" t="str">
        <f t="shared" si="1"/>
        <v>-</v>
      </c>
      <c r="F25" s="30">
        <f t="shared" si="3"/>
        <v>0</v>
      </c>
      <c r="G25" s="54" t="str">
        <f t="shared" si="5"/>
        <v>-</v>
      </c>
      <c r="H25" s="30">
        <f t="shared" si="4"/>
        <v>0</v>
      </c>
      <c r="I25" s="30">
        <f t="shared" si="7"/>
        <v>0</v>
      </c>
    </row>
    <row r="26" spans="1:11" ht="18.75" hidden="1" thickBot="1">
      <c r="A26" s="24">
        <f t="shared" si="2"/>
        <v>20</v>
      </c>
      <c r="B26" s="25">
        <v>0</v>
      </c>
      <c r="C26" s="29">
        <v>0</v>
      </c>
      <c r="D26" s="52">
        <f t="shared" si="0"/>
        <v>0</v>
      </c>
      <c r="E26" s="54" t="str">
        <f t="shared" si="1"/>
        <v>-</v>
      </c>
      <c r="F26" s="30">
        <f t="shared" si="3"/>
        <v>0</v>
      </c>
      <c r="G26" s="54" t="str">
        <f t="shared" si="5"/>
        <v>-</v>
      </c>
      <c r="H26" s="30">
        <f t="shared" si="4"/>
        <v>0</v>
      </c>
      <c r="I26" s="30">
        <f t="shared" si="7"/>
        <v>0</v>
      </c>
    </row>
    <row r="27" spans="1:11" ht="18.75" hidden="1" thickBot="1">
      <c r="A27" s="24">
        <f t="shared" si="2"/>
        <v>21</v>
      </c>
      <c r="B27" s="25">
        <v>0</v>
      </c>
      <c r="C27" s="29">
        <v>0</v>
      </c>
      <c r="D27" s="52">
        <f t="shared" si="0"/>
        <v>0</v>
      </c>
      <c r="E27" s="54" t="str">
        <f t="shared" si="1"/>
        <v>-</v>
      </c>
      <c r="F27" s="30">
        <f t="shared" si="3"/>
        <v>0</v>
      </c>
      <c r="G27" s="54" t="str">
        <f t="shared" si="5"/>
        <v>-</v>
      </c>
      <c r="H27" s="30">
        <f t="shared" si="4"/>
        <v>0</v>
      </c>
      <c r="I27" s="30">
        <f t="shared" si="7"/>
        <v>0</v>
      </c>
    </row>
    <row r="28" spans="1:11" ht="18.75" hidden="1" thickBot="1">
      <c r="A28" s="24">
        <f t="shared" si="2"/>
        <v>22</v>
      </c>
      <c r="B28" s="25">
        <v>0</v>
      </c>
      <c r="C28" s="29">
        <v>0</v>
      </c>
      <c r="D28" s="52">
        <f t="shared" si="0"/>
        <v>0</v>
      </c>
      <c r="E28" s="54" t="str">
        <f t="shared" si="1"/>
        <v>-</v>
      </c>
      <c r="F28" s="30">
        <f t="shared" si="3"/>
        <v>0</v>
      </c>
      <c r="G28" s="54" t="str">
        <f t="shared" si="5"/>
        <v>-</v>
      </c>
      <c r="H28" s="30">
        <f t="shared" si="4"/>
        <v>0</v>
      </c>
      <c r="I28" s="30">
        <f t="shared" si="7"/>
        <v>0</v>
      </c>
    </row>
    <row r="29" spans="1:11" ht="18.75" hidden="1" thickBot="1">
      <c r="A29" s="24">
        <f t="shared" si="2"/>
        <v>23</v>
      </c>
      <c r="B29" s="25">
        <v>0</v>
      </c>
      <c r="C29" s="29">
        <v>0</v>
      </c>
      <c r="D29" s="52">
        <f t="shared" si="0"/>
        <v>0</v>
      </c>
      <c r="E29" s="54" t="str">
        <f t="shared" si="1"/>
        <v>-</v>
      </c>
      <c r="F29" s="30">
        <f t="shared" si="3"/>
        <v>0</v>
      </c>
      <c r="G29" s="54" t="str">
        <f t="shared" si="5"/>
        <v>-</v>
      </c>
      <c r="H29" s="30">
        <f t="shared" si="4"/>
        <v>0</v>
      </c>
      <c r="I29" s="30">
        <f t="shared" si="7"/>
        <v>0</v>
      </c>
    </row>
    <row r="30" spans="1:11" ht="18.75" hidden="1" thickBot="1">
      <c r="A30" s="24">
        <f t="shared" si="2"/>
        <v>24</v>
      </c>
      <c r="B30" s="25">
        <v>0</v>
      </c>
      <c r="C30" s="29">
        <v>0</v>
      </c>
      <c r="D30" s="52">
        <f t="shared" si="0"/>
        <v>0</v>
      </c>
      <c r="E30" s="54" t="str">
        <f t="shared" si="1"/>
        <v>-</v>
      </c>
      <c r="F30" s="30">
        <f t="shared" si="3"/>
        <v>0</v>
      </c>
      <c r="G30" s="54" t="str">
        <f t="shared" si="5"/>
        <v>-</v>
      </c>
      <c r="H30" s="30">
        <f t="shared" si="4"/>
        <v>0</v>
      </c>
      <c r="I30" s="30">
        <f t="shared" si="7"/>
        <v>0</v>
      </c>
    </row>
    <row r="31" spans="1:11" ht="18.75" hidden="1" thickBot="1">
      <c r="A31" s="24">
        <f t="shared" si="2"/>
        <v>25</v>
      </c>
      <c r="B31" s="25">
        <v>0</v>
      </c>
      <c r="C31" s="29">
        <v>0</v>
      </c>
      <c r="D31" s="52">
        <f t="shared" si="0"/>
        <v>0</v>
      </c>
      <c r="E31" s="54" t="str">
        <f t="shared" si="1"/>
        <v>-</v>
      </c>
      <c r="F31" s="30">
        <f t="shared" si="3"/>
        <v>0</v>
      </c>
      <c r="G31" s="54" t="str">
        <f t="shared" si="5"/>
        <v>-</v>
      </c>
      <c r="H31" s="30">
        <f t="shared" si="4"/>
        <v>0</v>
      </c>
      <c r="I31" s="30">
        <f t="shared" si="7"/>
        <v>0</v>
      </c>
    </row>
    <row r="32" spans="1:11" ht="18.75" hidden="1" thickBot="1">
      <c r="A32" s="24">
        <f t="shared" si="2"/>
        <v>26</v>
      </c>
      <c r="B32" s="25">
        <v>0</v>
      </c>
      <c r="C32" s="29">
        <v>0</v>
      </c>
      <c r="D32" s="52">
        <f t="shared" si="0"/>
        <v>0</v>
      </c>
      <c r="E32" s="54" t="str">
        <f t="shared" si="1"/>
        <v>-</v>
      </c>
      <c r="F32" s="30">
        <f t="shared" si="3"/>
        <v>0</v>
      </c>
      <c r="G32" s="54" t="str">
        <f t="shared" si="5"/>
        <v>-</v>
      </c>
      <c r="H32" s="30">
        <f t="shared" si="4"/>
        <v>0</v>
      </c>
      <c r="I32" s="30">
        <f t="shared" si="7"/>
        <v>0</v>
      </c>
    </row>
    <row r="33" spans="1:9" ht="18.75" hidden="1" thickBot="1">
      <c r="A33" s="24">
        <f t="shared" si="2"/>
        <v>27</v>
      </c>
      <c r="B33" s="25">
        <v>0</v>
      </c>
      <c r="C33" s="29">
        <v>0</v>
      </c>
      <c r="D33" s="52">
        <f t="shared" si="0"/>
        <v>0</v>
      </c>
      <c r="E33" s="54" t="str">
        <f t="shared" si="1"/>
        <v>-</v>
      </c>
      <c r="F33" s="30">
        <f t="shared" si="3"/>
        <v>0</v>
      </c>
      <c r="G33" s="54" t="str">
        <f t="shared" si="5"/>
        <v>-</v>
      </c>
      <c r="H33" s="30">
        <f t="shared" si="4"/>
        <v>0</v>
      </c>
      <c r="I33" s="30">
        <f t="shared" si="7"/>
        <v>0</v>
      </c>
    </row>
    <row r="34" spans="1:9" ht="18.75" hidden="1" thickBot="1">
      <c r="A34" s="24">
        <f t="shared" si="2"/>
        <v>28</v>
      </c>
      <c r="B34" s="25">
        <v>0</v>
      </c>
      <c r="C34" s="29">
        <v>0</v>
      </c>
      <c r="D34" s="52">
        <f t="shared" si="0"/>
        <v>0</v>
      </c>
      <c r="E34" s="54" t="str">
        <f t="shared" si="1"/>
        <v>-</v>
      </c>
      <c r="F34" s="30">
        <f t="shared" si="3"/>
        <v>0</v>
      </c>
      <c r="G34" s="54" t="str">
        <f t="shared" si="5"/>
        <v>-</v>
      </c>
      <c r="H34" s="30">
        <f t="shared" si="4"/>
        <v>0</v>
      </c>
      <c r="I34" s="30">
        <f t="shared" si="7"/>
        <v>0</v>
      </c>
    </row>
    <row r="35" spans="1:9" ht="18.75" hidden="1" thickBot="1">
      <c r="A35" s="24">
        <f t="shared" si="2"/>
        <v>29</v>
      </c>
      <c r="B35" s="25">
        <v>0</v>
      </c>
      <c r="C35" s="29">
        <v>0</v>
      </c>
      <c r="D35" s="52">
        <f t="shared" si="0"/>
        <v>0</v>
      </c>
      <c r="E35" s="54" t="str">
        <f t="shared" si="1"/>
        <v>-</v>
      </c>
      <c r="F35" s="30">
        <f t="shared" si="3"/>
        <v>0</v>
      </c>
      <c r="G35" s="54" t="str">
        <f t="shared" si="5"/>
        <v>-</v>
      </c>
      <c r="H35" s="30">
        <f t="shared" si="4"/>
        <v>0</v>
      </c>
      <c r="I35" s="30">
        <f t="shared" si="7"/>
        <v>0</v>
      </c>
    </row>
    <row r="36" spans="1:9" ht="18.75" hidden="1" thickBot="1">
      <c r="A36" s="24">
        <f t="shared" si="2"/>
        <v>30</v>
      </c>
      <c r="B36" s="25">
        <v>0</v>
      </c>
      <c r="C36" s="29">
        <v>0</v>
      </c>
      <c r="D36" s="52">
        <f t="shared" si="0"/>
        <v>0</v>
      </c>
      <c r="E36" s="54" t="str">
        <f t="shared" si="1"/>
        <v>-</v>
      </c>
      <c r="F36" s="30">
        <f t="shared" si="3"/>
        <v>0</v>
      </c>
      <c r="G36" s="54" t="str">
        <f t="shared" si="5"/>
        <v>-</v>
      </c>
      <c r="H36" s="30">
        <f t="shared" si="4"/>
        <v>0</v>
      </c>
      <c r="I36" s="30">
        <f t="shared" si="7"/>
        <v>0</v>
      </c>
    </row>
    <row r="37" spans="1:9" ht="18.75" hidden="1" thickBot="1">
      <c r="A37" s="24">
        <f t="shared" si="2"/>
        <v>31</v>
      </c>
      <c r="B37" s="25">
        <v>0</v>
      </c>
      <c r="C37" s="29">
        <v>0</v>
      </c>
      <c r="D37" s="52">
        <f t="shared" si="0"/>
        <v>0</v>
      </c>
      <c r="E37" s="54" t="str">
        <f t="shared" si="1"/>
        <v>-</v>
      </c>
      <c r="F37" s="30">
        <f t="shared" si="3"/>
        <v>0</v>
      </c>
      <c r="G37" s="54" t="str">
        <f t="shared" si="5"/>
        <v>-</v>
      </c>
      <c r="H37" s="30">
        <f t="shared" si="4"/>
        <v>0</v>
      </c>
      <c r="I37" s="30">
        <f t="shared" si="7"/>
        <v>0</v>
      </c>
    </row>
    <row r="38" spans="1:9" ht="18.75" hidden="1" thickBot="1">
      <c r="A38" s="24">
        <f t="shared" si="2"/>
        <v>32</v>
      </c>
      <c r="B38" s="25">
        <v>0</v>
      </c>
      <c r="C38" s="29">
        <v>0</v>
      </c>
      <c r="D38" s="52">
        <f t="shared" si="0"/>
        <v>0</v>
      </c>
      <c r="E38" s="54" t="str">
        <f t="shared" si="1"/>
        <v>-</v>
      </c>
      <c r="F38" s="30">
        <f t="shared" si="3"/>
        <v>0</v>
      </c>
      <c r="G38" s="54" t="str">
        <f t="shared" si="5"/>
        <v>-</v>
      </c>
      <c r="H38" s="30">
        <f t="shared" si="4"/>
        <v>0</v>
      </c>
      <c r="I38" s="30">
        <f t="shared" si="7"/>
        <v>0</v>
      </c>
    </row>
    <row r="39" spans="1:9" ht="18.75" hidden="1" thickBot="1">
      <c r="A39" s="24">
        <f t="shared" si="2"/>
        <v>33</v>
      </c>
      <c r="B39" s="25">
        <v>0</v>
      </c>
      <c r="C39" s="29">
        <v>0</v>
      </c>
      <c r="D39" s="52">
        <f t="shared" si="0"/>
        <v>0</v>
      </c>
      <c r="E39" s="54" t="str">
        <f t="shared" si="1"/>
        <v>-</v>
      </c>
      <c r="F39" s="30">
        <f t="shared" si="3"/>
        <v>0</v>
      </c>
      <c r="G39" s="54" t="str">
        <f t="shared" si="5"/>
        <v>-</v>
      </c>
      <c r="H39" s="30">
        <f t="shared" si="4"/>
        <v>0</v>
      </c>
      <c r="I39" s="30">
        <f t="shared" si="7"/>
        <v>0</v>
      </c>
    </row>
    <row r="40" spans="1:9" ht="18.75" hidden="1" thickBot="1">
      <c r="A40" s="24">
        <f t="shared" si="2"/>
        <v>34</v>
      </c>
      <c r="B40" s="25">
        <v>0</v>
      </c>
      <c r="C40" s="29">
        <v>0</v>
      </c>
      <c r="D40" s="52">
        <f t="shared" si="0"/>
        <v>0</v>
      </c>
      <c r="E40" s="54" t="str">
        <f t="shared" si="1"/>
        <v>-</v>
      </c>
      <c r="F40" s="30">
        <f t="shared" si="3"/>
        <v>0</v>
      </c>
      <c r="G40" s="54" t="str">
        <f t="shared" si="5"/>
        <v>-</v>
      </c>
      <c r="H40" s="30">
        <f t="shared" si="4"/>
        <v>0</v>
      </c>
      <c r="I40" s="30">
        <f t="shared" si="7"/>
        <v>0</v>
      </c>
    </row>
    <row r="41" spans="1:9" ht="18.75" hidden="1" thickBot="1">
      <c r="A41" s="24">
        <f t="shared" si="2"/>
        <v>35</v>
      </c>
      <c r="B41" s="25">
        <v>0</v>
      </c>
      <c r="C41" s="29">
        <v>0</v>
      </c>
      <c r="D41" s="52">
        <f t="shared" si="0"/>
        <v>0</v>
      </c>
      <c r="E41" s="54" t="str">
        <f t="shared" si="1"/>
        <v>-</v>
      </c>
      <c r="F41" s="30">
        <f t="shared" si="3"/>
        <v>0</v>
      </c>
      <c r="G41" s="54" t="str">
        <f t="shared" si="5"/>
        <v>-</v>
      </c>
      <c r="H41" s="30">
        <f t="shared" si="4"/>
        <v>0</v>
      </c>
      <c r="I41" s="30">
        <f t="shared" si="7"/>
        <v>0</v>
      </c>
    </row>
    <row r="42" spans="1:9" ht="18.75" hidden="1" thickBot="1">
      <c r="A42" s="24">
        <f t="shared" si="2"/>
        <v>36</v>
      </c>
      <c r="B42" s="25">
        <v>0</v>
      </c>
      <c r="C42" s="29">
        <v>0</v>
      </c>
      <c r="D42" s="52">
        <f t="shared" si="0"/>
        <v>0</v>
      </c>
      <c r="E42" s="54" t="str">
        <f t="shared" si="1"/>
        <v>-</v>
      </c>
      <c r="F42" s="30">
        <f t="shared" si="3"/>
        <v>0</v>
      </c>
      <c r="G42" s="54" t="str">
        <f t="shared" si="5"/>
        <v>-</v>
      </c>
      <c r="H42" s="30">
        <f t="shared" si="4"/>
        <v>0</v>
      </c>
      <c r="I42" s="30">
        <f t="shared" si="7"/>
        <v>0</v>
      </c>
    </row>
    <row r="43" spans="1:9" ht="18.75" hidden="1" thickBot="1">
      <c r="A43" s="24">
        <f t="shared" si="2"/>
        <v>37</v>
      </c>
      <c r="B43" s="25">
        <v>0</v>
      </c>
      <c r="C43" s="29">
        <v>0</v>
      </c>
      <c r="D43" s="52">
        <f t="shared" si="0"/>
        <v>0</v>
      </c>
      <c r="E43" s="54" t="str">
        <f t="shared" si="1"/>
        <v>-</v>
      </c>
      <c r="F43" s="30">
        <f t="shared" si="3"/>
        <v>0</v>
      </c>
      <c r="G43" s="54" t="str">
        <f t="shared" si="5"/>
        <v>-</v>
      </c>
      <c r="H43" s="30">
        <f t="shared" si="4"/>
        <v>0</v>
      </c>
      <c r="I43" s="30">
        <f t="shared" si="7"/>
        <v>0</v>
      </c>
    </row>
    <row r="44" spans="1:9" ht="18.75" hidden="1" thickBot="1">
      <c r="A44" s="24">
        <f t="shared" si="2"/>
        <v>38</v>
      </c>
      <c r="B44" s="25">
        <v>0</v>
      </c>
      <c r="C44" s="29">
        <v>0</v>
      </c>
      <c r="D44" s="52">
        <f t="shared" si="0"/>
        <v>0</v>
      </c>
      <c r="E44" s="54" t="str">
        <f t="shared" si="1"/>
        <v>-</v>
      </c>
      <c r="F44" s="30">
        <f t="shared" si="3"/>
        <v>0</v>
      </c>
      <c r="G44" s="54" t="str">
        <f t="shared" si="5"/>
        <v>-</v>
      </c>
      <c r="H44" s="30">
        <f t="shared" si="4"/>
        <v>0</v>
      </c>
      <c r="I44" s="30">
        <f t="shared" si="7"/>
        <v>0</v>
      </c>
    </row>
    <row r="45" spans="1:9" ht="18.75" hidden="1" thickBot="1">
      <c r="A45" s="24">
        <f t="shared" si="2"/>
        <v>39</v>
      </c>
      <c r="B45" s="25">
        <v>0</v>
      </c>
      <c r="C45" s="29">
        <v>0</v>
      </c>
      <c r="D45" s="52">
        <f t="shared" si="0"/>
        <v>0</v>
      </c>
      <c r="E45" s="54" t="str">
        <f t="shared" si="1"/>
        <v>-</v>
      </c>
      <c r="F45" s="30">
        <f t="shared" si="3"/>
        <v>0</v>
      </c>
      <c r="G45" s="54" t="str">
        <f t="shared" si="5"/>
        <v>-</v>
      </c>
      <c r="H45" s="30">
        <f t="shared" si="4"/>
        <v>0</v>
      </c>
      <c r="I45" s="30">
        <f t="shared" si="7"/>
        <v>0</v>
      </c>
    </row>
    <row r="46" spans="1:9" ht="18.75" hidden="1" thickBot="1">
      <c r="A46" s="24">
        <f t="shared" si="2"/>
        <v>40</v>
      </c>
      <c r="B46" s="25">
        <v>0</v>
      </c>
      <c r="C46" s="29">
        <v>0</v>
      </c>
      <c r="D46" s="52">
        <f t="shared" si="0"/>
        <v>0</v>
      </c>
      <c r="E46" s="54" t="str">
        <f t="shared" si="1"/>
        <v>-</v>
      </c>
      <c r="F46" s="30">
        <f t="shared" si="3"/>
        <v>0</v>
      </c>
      <c r="G46" s="54" t="str">
        <f t="shared" si="5"/>
        <v>-</v>
      </c>
      <c r="H46" s="30">
        <f t="shared" si="4"/>
        <v>0</v>
      </c>
      <c r="I46" s="30">
        <f t="shared" si="7"/>
        <v>0</v>
      </c>
    </row>
    <row r="47" spans="1:9" ht="18.75" hidden="1" thickBot="1">
      <c r="A47" s="24">
        <f t="shared" si="2"/>
        <v>41</v>
      </c>
      <c r="B47" s="25">
        <v>0</v>
      </c>
      <c r="C47" s="29">
        <v>0</v>
      </c>
      <c r="D47" s="52">
        <f t="shared" si="0"/>
        <v>0</v>
      </c>
      <c r="E47" s="54" t="str">
        <f t="shared" si="1"/>
        <v>-</v>
      </c>
      <c r="F47" s="30">
        <f t="shared" si="3"/>
        <v>0</v>
      </c>
      <c r="G47" s="54" t="str">
        <f t="shared" si="5"/>
        <v>-</v>
      </c>
      <c r="H47" s="30">
        <f t="shared" si="4"/>
        <v>0</v>
      </c>
      <c r="I47" s="30">
        <f t="shared" si="7"/>
        <v>0</v>
      </c>
    </row>
    <row r="48" spans="1:9" ht="18.75" hidden="1" thickBot="1">
      <c r="A48" s="24">
        <f t="shared" si="2"/>
        <v>42</v>
      </c>
      <c r="B48" s="25">
        <v>0</v>
      </c>
      <c r="C48" s="29">
        <v>0</v>
      </c>
      <c r="D48" s="52">
        <f t="shared" si="0"/>
        <v>0</v>
      </c>
      <c r="E48" s="54" t="str">
        <f t="shared" si="1"/>
        <v>-</v>
      </c>
      <c r="F48" s="30">
        <f t="shared" si="3"/>
        <v>0</v>
      </c>
      <c r="G48" s="54" t="str">
        <f t="shared" si="5"/>
        <v>-</v>
      </c>
      <c r="H48" s="30">
        <f t="shared" si="4"/>
        <v>0</v>
      </c>
      <c r="I48" s="30">
        <f t="shared" si="7"/>
        <v>0</v>
      </c>
    </row>
    <row r="49" spans="1:9" ht="18.75" hidden="1" thickBot="1">
      <c r="A49" s="24">
        <f t="shared" si="2"/>
        <v>43</v>
      </c>
      <c r="B49" s="25">
        <v>0</v>
      </c>
      <c r="C49" s="29">
        <v>0</v>
      </c>
      <c r="D49" s="52">
        <f t="shared" si="0"/>
        <v>0</v>
      </c>
      <c r="E49" s="54" t="str">
        <f t="shared" si="1"/>
        <v>-</v>
      </c>
      <c r="F49" s="30">
        <f t="shared" si="3"/>
        <v>0</v>
      </c>
      <c r="G49" s="54" t="str">
        <f t="shared" si="5"/>
        <v>-</v>
      </c>
      <c r="H49" s="30">
        <f t="shared" si="4"/>
        <v>0</v>
      </c>
      <c r="I49" s="30">
        <f t="shared" si="7"/>
        <v>0</v>
      </c>
    </row>
    <row r="50" spans="1:9" ht="18.75" hidden="1" thickBot="1">
      <c r="A50" s="24">
        <f t="shared" si="2"/>
        <v>44</v>
      </c>
      <c r="B50" s="25">
        <v>0</v>
      </c>
      <c r="C50" s="29">
        <v>0</v>
      </c>
      <c r="D50" s="52">
        <f t="shared" si="0"/>
        <v>0</v>
      </c>
      <c r="E50" s="54" t="str">
        <f t="shared" si="1"/>
        <v>-</v>
      </c>
      <c r="F50" s="30">
        <f t="shared" si="3"/>
        <v>0</v>
      </c>
      <c r="G50" s="54" t="str">
        <f t="shared" si="5"/>
        <v>-</v>
      </c>
      <c r="H50" s="30">
        <f t="shared" si="4"/>
        <v>0</v>
      </c>
      <c r="I50" s="30">
        <f t="shared" si="7"/>
        <v>0</v>
      </c>
    </row>
    <row r="51" spans="1:9" ht="18.75" hidden="1" thickBot="1">
      <c r="A51" s="24">
        <f t="shared" si="2"/>
        <v>45</v>
      </c>
      <c r="B51" s="25">
        <v>0</v>
      </c>
      <c r="C51" s="29">
        <v>0</v>
      </c>
      <c r="D51" s="52">
        <f t="shared" si="0"/>
        <v>0</v>
      </c>
      <c r="E51" s="54" t="str">
        <f t="shared" si="1"/>
        <v>-</v>
      </c>
      <c r="F51" s="30">
        <f t="shared" si="3"/>
        <v>0</v>
      </c>
      <c r="G51" s="54" t="str">
        <f t="shared" si="5"/>
        <v>-</v>
      </c>
      <c r="H51" s="30">
        <f t="shared" si="4"/>
        <v>0</v>
      </c>
      <c r="I51" s="30">
        <f t="shared" si="7"/>
        <v>0</v>
      </c>
    </row>
    <row r="52" spans="1:9" ht="18.75" hidden="1" thickBot="1">
      <c r="A52" s="24">
        <f t="shared" si="2"/>
        <v>46</v>
      </c>
      <c r="B52" s="25">
        <v>0</v>
      </c>
      <c r="C52" s="29">
        <v>0</v>
      </c>
      <c r="D52" s="52">
        <f t="shared" si="0"/>
        <v>0</v>
      </c>
      <c r="E52" s="54" t="str">
        <f t="shared" si="1"/>
        <v>-</v>
      </c>
      <c r="F52" s="30">
        <f t="shared" si="3"/>
        <v>0</v>
      </c>
      <c r="G52" s="54" t="str">
        <f t="shared" si="5"/>
        <v>-</v>
      </c>
      <c r="H52" s="30">
        <f t="shared" si="4"/>
        <v>0</v>
      </c>
      <c r="I52" s="30">
        <f t="shared" si="7"/>
        <v>0</v>
      </c>
    </row>
    <row r="53" spans="1:9" ht="18.75" hidden="1" thickBot="1">
      <c r="A53" s="24">
        <f t="shared" si="2"/>
        <v>47</v>
      </c>
      <c r="B53" s="25">
        <v>0</v>
      </c>
      <c r="C53" s="29">
        <v>0</v>
      </c>
      <c r="D53" s="52">
        <f t="shared" si="0"/>
        <v>0</v>
      </c>
      <c r="E53" s="54" t="str">
        <f t="shared" si="1"/>
        <v>-</v>
      </c>
      <c r="F53" s="30">
        <f t="shared" si="3"/>
        <v>0</v>
      </c>
      <c r="G53" s="54" t="str">
        <f t="shared" si="5"/>
        <v>-</v>
      </c>
      <c r="H53" s="30">
        <f t="shared" si="4"/>
        <v>0</v>
      </c>
      <c r="I53" s="30">
        <f t="shared" si="7"/>
        <v>0</v>
      </c>
    </row>
    <row r="54" spans="1:9" ht="18.75" hidden="1" thickBot="1">
      <c r="A54" s="24">
        <f t="shared" si="2"/>
        <v>48</v>
      </c>
      <c r="B54" s="25">
        <v>0</v>
      </c>
      <c r="C54" s="29">
        <v>0</v>
      </c>
      <c r="D54" s="52">
        <f t="shared" si="0"/>
        <v>0</v>
      </c>
      <c r="E54" s="54" t="str">
        <f t="shared" si="1"/>
        <v>-</v>
      </c>
      <c r="F54" s="30">
        <f t="shared" si="3"/>
        <v>0</v>
      </c>
      <c r="G54" s="54" t="str">
        <f t="shared" si="5"/>
        <v>-</v>
      </c>
      <c r="H54" s="30">
        <f t="shared" si="4"/>
        <v>0</v>
      </c>
      <c r="I54" s="30">
        <f t="shared" si="7"/>
        <v>0</v>
      </c>
    </row>
    <row r="55" spans="1:9" ht="18.75" hidden="1" thickBot="1">
      <c r="A55" s="24">
        <f t="shared" si="2"/>
        <v>49</v>
      </c>
      <c r="B55" s="25">
        <v>0</v>
      </c>
      <c r="C55" s="29">
        <v>0</v>
      </c>
      <c r="D55" s="52">
        <f t="shared" si="0"/>
        <v>0</v>
      </c>
      <c r="E55" s="54" t="str">
        <f t="shared" si="1"/>
        <v>-</v>
      </c>
      <c r="F55" s="30">
        <f t="shared" si="3"/>
        <v>0</v>
      </c>
      <c r="G55" s="54" t="str">
        <f t="shared" si="5"/>
        <v>-</v>
      </c>
      <c r="H55" s="30">
        <f t="shared" si="4"/>
        <v>0</v>
      </c>
      <c r="I55" s="30">
        <f t="shared" si="7"/>
        <v>0</v>
      </c>
    </row>
    <row r="56" spans="1:9" ht="18.75" hidden="1" thickBot="1">
      <c r="A56" s="31">
        <f t="shared" si="2"/>
        <v>50</v>
      </c>
      <c r="B56" s="32">
        <v>0</v>
      </c>
      <c r="C56" s="33">
        <v>0</v>
      </c>
      <c r="D56" s="53">
        <f t="shared" si="0"/>
        <v>0</v>
      </c>
      <c r="E56" s="57" t="str">
        <f t="shared" si="1"/>
        <v>-</v>
      </c>
      <c r="F56" s="34">
        <f t="shared" si="3"/>
        <v>0</v>
      </c>
      <c r="G56" s="57" t="str">
        <f t="shared" si="5"/>
        <v>-</v>
      </c>
      <c r="H56" s="34">
        <f t="shared" si="4"/>
        <v>0</v>
      </c>
      <c r="I56" s="34">
        <f t="shared" si="7"/>
        <v>0</v>
      </c>
    </row>
    <row r="57" spans="1:9" ht="18.75" hidden="1" thickBot="1">
      <c r="A57" s="40" t="s">
        <v>0</v>
      </c>
      <c r="B57" s="44"/>
      <c r="C57" s="44"/>
      <c r="D57" s="44"/>
      <c r="E57" s="44"/>
      <c r="F57" s="59">
        <f>SUM(F6:F56)</f>
        <v>14676.645681732247</v>
      </c>
      <c r="G57" s="55"/>
      <c r="H57" s="60">
        <f>SUM(H6:H56)</f>
        <v>-1.9790604710578918E-9</v>
      </c>
      <c r="I57" s="4"/>
    </row>
    <row r="58" spans="1:9" ht="18.75" hidden="1" thickBot="1">
      <c r="A58" s="39" t="s">
        <v>28</v>
      </c>
      <c r="B58" s="42"/>
      <c r="C58" s="42"/>
      <c r="D58" s="42"/>
      <c r="E58" s="42"/>
      <c r="F58" s="43">
        <f>I7</f>
        <v>2984.6812430317914</v>
      </c>
      <c r="G58" s="47"/>
      <c r="H58" s="47"/>
      <c r="I58" s="4"/>
    </row>
    <row r="59" spans="1:9" ht="18.75" thickBot="1">
      <c r="A59" s="41" t="s">
        <v>1</v>
      </c>
      <c r="B59" s="35"/>
      <c r="C59" s="35"/>
      <c r="D59" s="35"/>
      <c r="E59" s="35"/>
      <c r="F59" s="36">
        <f>IRR(D6:D56)</f>
        <v>6.9083001709956557E-2</v>
      </c>
      <c r="G59" s="48"/>
      <c r="H59" s="48"/>
      <c r="I59" s="4"/>
    </row>
    <row r="60" spans="1:9" ht="18.75" hidden="1" thickBot="1">
      <c r="A60" s="40" t="s">
        <v>2</v>
      </c>
      <c r="B60" s="44"/>
      <c r="C60" s="44"/>
      <c r="D60" s="44"/>
      <c r="E60" s="44"/>
      <c r="F60" s="45">
        <f>NPER(B4,F62,F6,0)</f>
        <v>5.7963933329294548</v>
      </c>
      <c r="G60" s="49"/>
      <c r="H60" s="49"/>
      <c r="I60" s="4"/>
    </row>
    <row r="61" spans="1:9" hidden="1">
      <c r="A61" s="37" t="s">
        <v>16</v>
      </c>
      <c r="F61" s="38">
        <f>SUM(F7:F56)</f>
        <v>514676.64568173228</v>
      </c>
      <c r="G61" s="38"/>
      <c r="H61" s="38"/>
    </row>
    <row r="62" spans="1:9" hidden="1">
      <c r="A62" s="37" t="s">
        <v>17</v>
      </c>
      <c r="F62" s="1">
        <f>PMT(B4,B3,F61,0)*-1</f>
        <v>104665.99548047944</v>
      </c>
      <c r="G62" s="1"/>
      <c r="H62" s="1"/>
    </row>
    <row r="64" spans="1:9" ht="18" hidden="1">
      <c r="A64" s="58"/>
    </row>
    <row r="65" spans="1:6" ht="78.599999999999994" hidden="1" customHeight="1">
      <c r="A65" s="394"/>
      <c r="B65" s="394"/>
      <c r="C65" s="394"/>
      <c r="D65" s="394"/>
      <c r="E65" s="394"/>
      <c r="F65" s="394"/>
    </row>
    <row r="66" spans="1:6">
      <c r="A66" s="2"/>
      <c r="B66" s="2"/>
    </row>
    <row r="67" spans="1:6">
      <c r="A67" s="2"/>
      <c r="B67" s="2"/>
    </row>
  </sheetData>
  <mergeCells count="2">
    <mergeCell ref="A1:C1"/>
    <mergeCell ref="A65:F65"/>
  </mergeCells>
  <pageMargins left="0.78740157480314965" right="0.39370078740157483" top="0.98425196850393704" bottom="0.98425196850393704" header="0" footer="0"/>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67"/>
  <sheetViews>
    <sheetView zoomScale="90" zoomScaleNormal="90" workbookViewId="0">
      <selection sqref="A1:C1"/>
    </sheetView>
  </sheetViews>
  <sheetFormatPr defaultRowHeight="12.75"/>
  <cols>
    <col min="1" max="1" width="9.28515625" customWidth="1"/>
    <col min="2" max="2" width="16.140625" customWidth="1"/>
    <col min="3" max="3" width="20.7109375" customWidth="1"/>
    <col min="4" max="4" width="28.28515625" customWidth="1"/>
    <col min="5" max="5" width="27.7109375" customWidth="1"/>
    <col min="6" max="6" width="28.28515625" customWidth="1"/>
    <col min="7" max="7" width="24.7109375" hidden="1" customWidth="1"/>
    <col min="8" max="8" width="24.85546875" customWidth="1"/>
    <col min="9" max="9" width="24.140625" customWidth="1"/>
  </cols>
  <sheetData>
    <row r="1" spans="1:11" ht="18">
      <c r="A1" s="392" t="s">
        <v>34</v>
      </c>
      <c r="B1" s="393"/>
      <c r="C1" s="393"/>
    </row>
    <row r="2" spans="1:11" ht="18">
      <c r="A2" s="50"/>
    </row>
    <row r="3" spans="1:11" ht="15.75">
      <c r="A3" s="17" t="s">
        <v>18</v>
      </c>
      <c r="B3" s="18">
        <v>6</v>
      </c>
    </row>
    <row r="4" spans="1:11" ht="16.5" thickBot="1">
      <c r="A4" s="17" t="s">
        <v>19</v>
      </c>
      <c r="B4" s="19">
        <v>0.06</v>
      </c>
    </row>
    <row r="5" spans="1:11" ht="64.5" customHeight="1" thickBot="1">
      <c r="A5" s="20" t="s">
        <v>20</v>
      </c>
      <c r="B5" s="21" t="s">
        <v>21</v>
      </c>
      <c r="C5" s="22" t="s">
        <v>22</v>
      </c>
      <c r="D5" s="20" t="s">
        <v>15</v>
      </c>
      <c r="E5" s="23" t="s">
        <v>24</v>
      </c>
      <c r="F5" s="20" t="s">
        <v>27</v>
      </c>
      <c r="G5" s="20" t="s">
        <v>25</v>
      </c>
      <c r="H5" s="23" t="str">
        <f>CONCATENATE("Nutidsværdien ved den interne rente (IRR) ",(ROUND(F59,4)*100)," %")</f>
        <v>Nutidsværdien ved den interne rente (IRR) 6 %</v>
      </c>
      <c r="I5" s="23" t="s">
        <v>23</v>
      </c>
    </row>
    <row r="6" spans="1:11" ht="18">
      <c r="A6" s="28">
        <v>0</v>
      </c>
      <c r="B6" s="46">
        <v>0</v>
      </c>
      <c r="C6" s="26">
        <f>'Opgave 1.2'!C6-'Opgave 1.1'!C6</f>
        <v>500000</v>
      </c>
      <c r="D6" s="51">
        <f t="shared" ref="D6:D56" si="0">B6-C6</f>
        <v>-500000</v>
      </c>
      <c r="E6" s="56">
        <f t="shared" ref="E6:E56" si="1">IF(A6&lt;=$B$3,POWER((1+$B$4),(A6*-1)),"-")</f>
        <v>1</v>
      </c>
      <c r="F6" s="27">
        <f>D6</f>
        <v>-500000</v>
      </c>
      <c r="G6" s="56">
        <f>IF(A6&lt;=$B$3,POWER((1+$F$59),(A6*-1)),"-")</f>
        <v>1</v>
      </c>
      <c r="H6" s="27">
        <f>F6</f>
        <v>-500000</v>
      </c>
      <c r="I6" s="28"/>
    </row>
    <row r="7" spans="1:11" ht="18">
      <c r="A7" s="24">
        <f t="shared" ref="A7:A56" si="2">A6+1</f>
        <v>1</v>
      </c>
      <c r="B7" s="25">
        <f>'Opgave 1.2'!B7-'Opgave 1.1'!B7+'1.3 Lommeregneren TI-83'!$D$24</f>
        <v>98814.061667949849</v>
      </c>
      <c r="C7" s="29">
        <v>0</v>
      </c>
      <c r="D7" s="52">
        <f t="shared" si="0"/>
        <v>98814.061667949849</v>
      </c>
      <c r="E7" s="54">
        <f t="shared" si="1"/>
        <v>0.94339622641509424</v>
      </c>
      <c r="F7" s="30">
        <f t="shared" ref="F7:F56" si="3">PV($B$4,A7,0,D7)*-1</f>
        <v>93220.812894292307</v>
      </c>
      <c r="G7" s="54">
        <f>IF(A7&lt;=$B$3,POWER((1+$F$59),(A7*-1)),"-")</f>
        <v>0.94339622641506027</v>
      </c>
      <c r="H7" s="30">
        <f t="shared" ref="H7:H56" si="4">PV($F$59,A7,0,D7)*-1</f>
        <v>93220.812894288945</v>
      </c>
      <c r="I7" s="30">
        <f>PMT($B$4,$B$3,$F$57)*-1</f>
        <v>-2.959315730184539E-12</v>
      </c>
    </row>
    <row r="8" spans="1:11" ht="18">
      <c r="A8" s="24">
        <f t="shared" si="2"/>
        <v>2</v>
      </c>
      <c r="B8" s="25">
        <f>B7</f>
        <v>98814.061667949849</v>
      </c>
      <c r="C8" s="29">
        <v>0</v>
      </c>
      <c r="D8" s="52">
        <f t="shared" si="0"/>
        <v>98814.061667949849</v>
      </c>
      <c r="E8" s="54">
        <f t="shared" si="1"/>
        <v>0.88999644001423983</v>
      </c>
      <c r="F8" s="30">
        <f t="shared" si="3"/>
        <v>87944.163107822926</v>
      </c>
      <c r="G8" s="54">
        <f t="shared" ref="G8:G56" si="5">IF(A8&lt;=$B$3,POWER((1+$F$59),(A8*-1)),"-")</f>
        <v>0.88999644001417577</v>
      </c>
      <c r="H8" s="30">
        <f t="shared" si="4"/>
        <v>87944.163107816596</v>
      </c>
      <c r="I8" s="30">
        <f t="shared" ref="I8:I13" si="6">IF(A8&lt;=$B$3,$I$7,0)</f>
        <v>-2.959315730184539E-12</v>
      </c>
    </row>
    <row r="9" spans="1:11" ht="18">
      <c r="A9" s="24">
        <f t="shared" si="2"/>
        <v>3</v>
      </c>
      <c r="B9" s="25">
        <f>B8</f>
        <v>98814.061667949849</v>
      </c>
      <c r="C9" s="29">
        <v>0</v>
      </c>
      <c r="D9" s="52">
        <f t="shared" si="0"/>
        <v>98814.061667949849</v>
      </c>
      <c r="E9" s="54">
        <f t="shared" si="1"/>
        <v>0.8396192830323016</v>
      </c>
      <c r="F9" s="30">
        <f t="shared" si="3"/>
        <v>82966.191611153685</v>
      </c>
      <c r="G9" s="54">
        <f t="shared" si="5"/>
        <v>0.83961928303221101</v>
      </c>
      <c r="H9" s="30">
        <f t="shared" si="4"/>
        <v>82966.191611144735</v>
      </c>
      <c r="I9" s="30">
        <f t="shared" si="6"/>
        <v>-2.959315730184539E-12</v>
      </c>
    </row>
    <row r="10" spans="1:11" ht="18">
      <c r="A10" s="24">
        <f t="shared" si="2"/>
        <v>4</v>
      </c>
      <c r="B10" s="25">
        <f>B9</f>
        <v>98814.061667949849</v>
      </c>
      <c r="C10" s="29">
        <v>0</v>
      </c>
      <c r="D10" s="52">
        <f t="shared" si="0"/>
        <v>98814.061667949849</v>
      </c>
      <c r="E10" s="54">
        <f t="shared" si="1"/>
        <v>0.79209366323802044</v>
      </c>
      <c r="F10" s="30">
        <f t="shared" si="3"/>
        <v>78269.992085994047</v>
      </c>
      <c r="G10" s="54">
        <f t="shared" si="5"/>
        <v>0.79209366323790642</v>
      </c>
      <c r="H10" s="30">
        <f t="shared" si="4"/>
        <v>78269.992085982783</v>
      </c>
      <c r="I10" s="30">
        <f t="shared" si="6"/>
        <v>-2.959315730184539E-12</v>
      </c>
    </row>
    <row r="11" spans="1:11" ht="18">
      <c r="A11" s="24">
        <f t="shared" si="2"/>
        <v>5</v>
      </c>
      <c r="B11" s="25">
        <f>B10</f>
        <v>98814.061667949849</v>
      </c>
      <c r="C11" s="29">
        <v>0</v>
      </c>
      <c r="D11" s="52">
        <f>(B11-C11)</f>
        <v>98814.061667949849</v>
      </c>
      <c r="E11" s="54">
        <f t="shared" si="1"/>
        <v>0.74725817286605689</v>
      </c>
      <c r="F11" s="30">
        <f t="shared" si="3"/>
        <v>73839.615175466068</v>
      </c>
      <c r="G11" s="54">
        <f t="shared" si="5"/>
        <v>0.74725817286592244</v>
      </c>
      <c r="H11" s="30">
        <f t="shared" si="4"/>
        <v>73839.615175452796</v>
      </c>
      <c r="I11" s="30">
        <f t="shared" si="6"/>
        <v>-2.959315730184539E-12</v>
      </c>
    </row>
    <row r="12" spans="1:11" ht="18.75" thickBot="1">
      <c r="A12" s="31">
        <f t="shared" si="2"/>
        <v>6</v>
      </c>
      <c r="B12" s="32">
        <f>B11+20000</f>
        <v>118814.06166794985</v>
      </c>
      <c r="C12" s="33">
        <v>0</v>
      </c>
      <c r="D12" s="53">
        <f t="shared" si="0"/>
        <v>118814.06166794985</v>
      </c>
      <c r="E12" s="57">
        <f t="shared" si="1"/>
        <v>0.70496054043967626</v>
      </c>
      <c r="F12" s="34">
        <f t="shared" si="3"/>
        <v>83759.225125270954</v>
      </c>
      <c r="G12" s="57">
        <f t="shared" si="5"/>
        <v>0.70496054043952416</v>
      </c>
      <c r="H12" s="34">
        <f t="shared" si="4"/>
        <v>83759.225125252866</v>
      </c>
      <c r="I12" s="34">
        <f t="shared" si="6"/>
        <v>-2.959315730184539E-12</v>
      </c>
    </row>
    <row r="13" spans="1:11" ht="18" hidden="1">
      <c r="A13" s="24">
        <f t="shared" si="2"/>
        <v>7</v>
      </c>
      <c r="B13" s="25">
        <v>0</v>
      </c>
      <c r="C13" s="29">
        <v>0</v>
      </c>
      <c r="D13" s="52">
        <f t="shared" si="0"/>
        <v>0</v>
      </c>
      <c r="E13" s="54" t="str">
        <f t="shared" si="1"/>
        <v>-</v>
      </c>
      <c r="F13" s="30">
        <f t="shared" si="3"/>
        <v>0</v>
      </c>
      <c r="G13" s="54" t="str">
        <f t="shared" si="5"/>
        <v>-</v>
      </c>
      <c r="H13" s="30">
        <f t="shared" si="4"/>
        <v>0</v>
      </c>
      <c r="I13" s="30">
        <f t="shared" si="6"/>
        <v>0</v>
      </c>
    </row>
    <row r="14" spans="1:11" ht="18" hidden="1">
      <c r="A14" s="24">
        <f t="shared" si="2"/>
        <v>8</v>
      </c>
      <c r="B14" s="25">
        <v>0</v>
      </c>
      <c r="C14" s="29">
        <v>0</v>
      </c>
      <c r="D14" s="52">
        <f t="shared" si="0"/>
        <v>0</v>
      </c>
      <c r="E14" s="54" t="str">
        <f t="shared" si="1"/>
        <v>-</v>
      </c>
      <c r="F14" s="30">
        <f t="shared" si="3"/>
        <v>0</v>
      </c>
      <c r="G14" s="54" t="str">
        <f t="shared" si="5"/>
        <v>-</v>
      </c>
      <c r="H14" s="30">
        <f t="shared" si="4"/>
        <v>0</v>
      </c>
      <c r="I14" s="30">
        <f t="shared" ref="I14:I56" si="7">IF(A13&lt;=$B$3,$I$7,0)</f>
        <v>0</v>
      </c>
      <c r="K14" s="3"/>
    </row>
    <row r="15" spans="1:11" ht="18" hidden="1">
      <c r="A15" s="24">
        <f t="shared" si="2"/>
        <v>9</v>
      </c>
      <c r="B15" s="25">
        <v>0</v>
      </c>
      <c r="C15" s="29">
        <v>0</v>
      </c>
      <c r="D15" s="52">
        <f t="shared" si="0"/>
        <v>0</v>
      </c>
      <c r="E15" s="54" t="str">
        <f t="shared" si="1"/>
        <v>-</v>
      </c>
      <c r="F15" s="30">
        <f t="shared" si="3"/>
        <v>0</v>
      </c>
      <c r="G15" s="54" t="str">
        <f t="shared" si="5"/>
        <v>-</v>
      </c>
      <c r="H15" s="30">
        <f t="shared" si="4"/>
        <v>0</v>
      </c>
      <c r="I15" s="30">
        <f t="shared" si="7"/>
        <v>0</v>
      </c>
    </row>
    <row r="16" spans="1:11" ht="18" hidden="1">
      <c r="A16" s="24">
        <f t="shared" si="2"/>
        <v>10</v>
      </c>
      <c r="B16" s="25">
        <v>0</v>
      </c>
      <c r="C16" s="29">
        <v>0</v>
      </c>
      <c r="D16" s="52">
        <f t="shared" si="0"/>
        <v>0</v>
      </c>
      <c r="E16" s="54" t="str">
        <f t="shared" si="1"/>
        <v>-</v>
      </c>
      <c r="F16" s="30">
        <f t="shared" si="3"/>
        <v>0</v>
      </c>
      <c r="G16" s="54" t="str">
        <f t="shared" si="5"/>
        <v>-</v>
      </c>
      <c r="H16" s="30">
        <f t="shared" si="4"/>
        <v>0</v>
      </c>
      <c r="I16" s="30">
        <f t="shared" si="7"/>
        <v>0</v>
      </c>
    </row>
    <row r="17" spans="1:11" ht="18" hidden="1">
      <c r="A17" s="24">
        <f t="shared" si="2"/>
        <v>11</v>
      </c>
      <c r="B17" s="25">
        <v>0</v>
      </c>
      <c r="C17" s="29">
        <v>0</v>
      </c>
      <c r="D17" s="52">
        <f t="shared" si="0"/>
        <v>0</v>
      </c>
      <c r="E17" s="54" t="str">
        <f t="shared" si="1"/>
        <v>-</v>
      </c>
      <c r="F17" s="30">
        <f t="shared" si="3"/>
        <v>0</v>
      </c>
      <c r="G17" s="54" t="str">
        <f t="shared" si="5"/>
        <v>-</v>
      </c>
      <c r="H17" s="30">
        <f t="shared" si="4"/>
        <v>0</v>
      </c>
      <c r="I17" s="30">
        <f t="shared" si="7"/>
        <v>0</v>
      </c>
    </row>
    <row r="18" spans="1:11" ht="18" hidden="1">
      <c r="A18" s="24">
        <f t="shared" si="2"/>
        <v>12</v>
      </c>
      <c r="B18" s="25">
        <v>0</v>
      </c>
      <c r="C18" s="29">
        <v>0</v>
      </c>
      <c r="D18" s="52">
        <f t="shared" si="0"/>
        <v>0</v>
      </c>
      <c r="E18" s="54" t="str">
        <f t="shared" si="1"/>
        <v>-</v>
      </c>
      <c r="F18" s="30">
        <f t="shared" si="3"/>
        <v>0</v>
      </c>
      <c r="G18" s="54" t="str">
        <f t="shared" si="5"/>
        <v>-</v>
      </c>
      <c r="H18" s="30">
        <f t="shared" si="4"/>
        <v>0</v>
      </c>
      <c r="I18" s="30">
        <f t="shared" si="7"/>
        <v>0</v>
      </c>
    </row>
    <row r="19" spans="1:11" ht="18" hidden="1">
      <c r="A19" s="24">
        <f t="shared" si="2"/>
        <v>13</v>
      </c>
      <c r="B19" s="25">
        <v>0</v>
      </c>
      <c r="C19" s="29">
        <v>0</v>
      </c>
      <c r="D19" s="52">
        <f t="shared" si="0"/>
        <v>0</v>
      </c>
      <c r="E19" s="54" t="str">
        <f t="shared" si="1"/>
        <v>-</v>
      </c>
      <c r="F19" s="30">
        <f t="shared" si="3"/>
        <v>0</v>
      </c>
      <c r="G19" s="54" t="str">
        <f t="shared" si="5"/>
        <v>-</v>
      </c>
      <c r="H19" s="30">
        <f t="shared" si="4"/>
        <v>0</v>
      </c>
      <c r="I19" s="30">
        <f t="shared" si="7"/>
        <v>0</v>
      </c>
      <c r="K19" s="3"/>
    </row>
    <row r="20" spans="1:11" ht="18" hidden="1">
      <c r="A20" s="24">
        <f t="shared" si="2"/>
        <v>14</v>
      </c>
      <c r="B20" s="25">
        <v>0</v>
      </c>
      <c r="C20" s="29">
        <v>0</v>
      </c>
      <c r="D20" s="52">
        <f t="shared" si="0"/>
        <v>0</v>
      </c>
      <c r="E20" s="54" t="str">
        <f t="shared" si="1"/>
        <v>-</v>
      </c>
      <c r="F20" s="30">
        <f t="shared" si="3"/>
        <v>0</v>
      </c>
      <c r="G20" s="54" t="str">
        <f t="shared" si="5"/>
        <v>-</v>
      </c>
      <c r="H20" s="30">
        <f t="shared" si="4"/>
        <v>0</v>
      </c>
      <c r="I20" s="30">
        <f t="shared" si="7"/>
        <v>0</v>
      </c>
    </row>
    <row r="21" spans="1:11" ht="18.75" hidden="1" thickBot="1">
      <c r="A21" s="31">
        <f t="shared" si="2"/>
        <v>15</v>
      </c>
      <c r="B21" s="32">
        <v>0</v>
      </c>
      <c r="C21" s="33">
        <v>0</v>
      </c>
      <c r="D21" s="53">
        <f t="shared" si="0"/>
        <v>0</v>
      </c>
      <c r="E21" s="57" t="str">
        <f t="shared" si="1"/>
        <v>-</v>
      </c>
      <c r="F21" s="34">
        <f t="shared" si="3"/>
        <v>0</v>
      </c>
      <c r="G21" s="57" t="str">
        <f t="shared" si="5"/>
        <v>-</v>
      </c>
      <c r="H21" s="34">
        <f t="shared" si="4"/>
        <v>0</v>
      </c>
      <c r="I21" s="34">
        <f t="shared" si="7"/>
        <v>0</v>
      </c>
    </row>
    <row r="22" spans="1:11" ht="18" hidden="1">
      <c r="A22" s="24">
        <f t="shared" si="2"/>
        <v>16</v>
      </c>
      <c r="B22" s="25">
        <v>0</v>
      </c>
      <c r="C22" s="29">
        <v>0</v>
      </c>
      <c r="D22" s="52">
        <f t="shared" si="0"/>
        <v>0</v>
      </c>
      <c r="E22" s="54" t="str">
        <f t="shared" si="1"/>
        <v>-</v>
      </c>
      <c r="F22" s="30">
        <f t="shared" si="3"/>
        <v>0</v>
      </c>
      <c r="G22" s="54" t="str">
        <f t="shared" si="5"/>
        <v>-</v>
      </c>
      <c r="H22" s="30">
        <f t="shared" si="4"/>
        <v>0</v>
      </c>
      <c r="I22" s="30">
        <f t="shared" si="7"/>
        <v>0</v>
      </c>
    </row>
    <row r="23" spans="1:11" ht="18" hidden="1">
      <c r="A23" s="24">
        <f t="shared" si="2"/>
        <v>17</v>
      </c>
      <c r="B23" s="25">
        <v>0</v>
      </c>
      <c r="C23" s="29">
        <v>0</v>
      </c>
      <c r="D23" s="52">
        <f t="shared" si="0"/>
        <v>0</v>
      </c>
      <c r="E23" s="54" t="str">
        <f t="shared" si="1"/>
        <v>-</v>
      </c>
      <c r="F23" s="30">
        <f t="shared" si="3"/>
        <v>0</v>
      </c>
      <c r="G23" s="54" t="str">
        <f t="shared" si="5"/>
        <v>-</v>
      </c>
      <c r="H23" s="30">
        <f t="shared" si="4"/>
        <v>0</v>
      </c>
      <c r="I23" s="30">
        <f t="shared" si="7"/>
        <v>0</v>
      </c>
    </row>
    <row r="24" spans="1:11" ht="18" hidden="1">
      <c r="A24" s="24">
        <f t="shared" si="2"/>
        <v>18</v>
      </c>
      <c r="B24" s="25">
        <v>0</v>
      </c>
      <c r="C24" s="29">
        <v>0</v>
      </c>
      <c r="D24" s="52">
        <f t="shared" si="0"/>
        <v>0</v>
      </c>
      <c r="E24" s="54" t="str">
        <f t="shared" si="1"/>
        <v>-</v>
      </c>
      <c r="F24" s="30">
        <f t="shared" si="3"/>
        <v>0</v>
      </c>
      <c r="G24" s="54" t="str">
        <f t="shared" si="5"/>
        <v>-</v>
      </c>
      <c r="H24" s="30">
        <f t="shared" si="4"/>
        <v>0</v>
      </c>
      <c r="I24" s="30">
        <f t="shared" si="7"/>
        <v>0</v>
      </c>
    </row>
    <row r="25" spans="1:11" ht="18" hidden="1">
      <c r="A25" s="24">
        <f t="shared" si="2"/>
        <v>19</v>
      </c>
      <c r="B25" s="25">
        <v>0</v>
      </c>
      <c r="C25" s="29">
        <v>0</v>
      </c>
      <c r="D25" s="52">
        <f t="shared" si="0"/>
        <v>0</v>
      </c>
      <c r="E25" s="54" t="str">
        <f t="shared" si="1"/>
        <v>-</v>
      </c>
      <c r="F25" s="30">
        <f t="shared" si="3"/>
        <v>0</v>
      </c>
      <c r="G25" s="54" t="str">
        <f t="shared" si="5"/>
        <v>-</v>
      </c>
      <c r="H25" s="30">
        <f t="shared" si="4"/>
        <v>0</v>
      </c>
      <c r="I25" s="30">
        <f t="shared" si="7"/>
        <v>0</v>
      </c>
    </row>
    <row r="26" spans="1:11" ht="18" hidden="1">
      <c r="A26" s="24">
        <f t="shared" si="2"/>
        <v>20</v>
      </c>
      <c r="B26" s="25">
        <v>0</v>
      </c>
      <c r="C26" s="29">
        <v>0</v>
      </c>
      <c r="D26" s="52">
        <f t="shared" si="0"/>
        <v>0</v>
      </c>
      <c r="E26" s="54" t="str">
        <f t="shared" si="1"/>
        <v>-</v>
      </c>
      <c r="F26" s="30">
        <f t="shared" si="3"/>
        <v>0</v>
      </c>
      <c r="G26" s="54" t="str">
        <f t="shared" si="5"/>
        <v>-</v>
      </c>
      <c r="H26" s="30">
        <f t="shared" si="4"/>
        <v>0</v>
      </c>
      <c r="I26" s="30">
        <f t="shared" si="7"/>
        <v>0</v>
      </c>
    </row>
    <row r="27" spans="1:11" ht="18" hidden="1">
      <c r="A27" s="24">
        <f t="shared" si="2"/>
        <v>21</v>
      </c>
      <c r="B27" s="25">
        <v>0</v>
      </c>
      <c r="C27" s="29">
        <v>0</v>
      </c>
      <c r="D27" s="52">
        <f t="shared" si="0"/>
        <v>0</v>
      </c>
      <c r="E27" s="54" t="str">
        <f t="shared" si="1"/>
        <v>-</v>
      </c>
      <c r="F27" s="30">
        <f t="shared" si="3"/>
        <v>0</v>
      </c>
      <c r="G27" s="54" t="str">
        <f t="shared" si="5"/>
        <v>-</v>
      </c>
      <c r="H27" s="30">
        <f t="shared" si="4"/>
        <v>0</v>
      </c>
      <c r="I27" s="30">
        <f t="shared" si="7"/>
        <v>0</v>
      </c>
    </row>
    <row r="28" spans="1:11" ht="18" hidden="1">
      <c r="A28" s="24">
        <f t="shared" si="2"/>
        <v>22</v>
      </c>
      <c r="B28" s="25">
        <v>0</v>
      </c>
      <c r="C28" s="29">
        <v>0</v>
      </c>
      <c r="D28" s="52">
        <f t="shared" si="0"/>
        <v>0</v>
      </c>
      <c r="E28" s="54" t="str">
        <f t="shared" si="1"/>
        <v>-</v>
      </c>
      <c r="F28" s="30">
        <f t="shared" si="3"/>
        <v>0</v>
      </c>
      <c r="G28" s="54" t="str">
        <f t="shared" si="5"/>
        <v>-</v>
      </c>
      <c r="H28" s="30">
        <f t="shared" si="4"/>
        <v>0</v>
      </c>
      <c r="I28" s="30">
        <f t="shared" si="7"/>
        <v>0</v>
      </c>
    </row>
    <row r="29" spans="1:11" ht="18" hidden="1">
      <c r="A29" s="24">
        <f t="shared" si="2"/>
        <v>23</v>
      </c>
      <c r="B29" s="25">
        <v>0</v>
      </c>
      <c r="C29" s="29">
        <v>0</v>
      </c>
      <c r="D29" s="52">
        <f t="shared" si="0"/>
        <v>0</v>
      </c>
      <c r="E29" s="54" t="str">
        <f t="shared" si="1"/>
        <v>-</v>
      </c>
      <c r="F29" s="30">
        <f t="shared" si="3"/>
        <v>0</v>
      </c>
      <c r="G29" s="54" t="str">
        <f t="shared" si="5"/>
        <v>-</v>
      </c>
      <c r="H29" s="30">
        <f t="shared" si="4"/>
        <v>0</v>
      </c>
      <c r="I29" s="30">
        <f t="shared" si="7"/>
        <v>0</v>
      </c>
    </row>
    <row r="30" spans="1:11" ht="18" hidden="1">
      <c r="A30" s="24">
        <f t="shared" si="2"/>
        <v>24</v>
      </c>
      <c r="B30" s="25">
        <v>0</v>
      </c>
      <c r="C30" s="29">
        <v>0</v>
      </c>
      <c r="D30" s="52">
        <f t="shared" si="0"/>
        <v>0</v>
      </c>
      <c r="E30" s="54" t="str">
        <f t="shared" si="1"/>
        <v>-</v>
      </c>
      <c r="F30" s="30">
        <f t="shared" si="3"/>
        <v>0</v>
      </c>
      <c r="G30" s="54" t="str">
        <f t="shared" si="5"/>
        <v>-</v>
      </c>
      <c r="H30" s="30">
        <f t="shared" si="4"/>
        <v>0</v>
      </c>
      <c r="I30" s="30">
        <f t="shared" si="7"/>
        <v>0</v>
      </c>
    </row>
    <row r="31" spans="1:11" ht="18" hidden="1">
      <c r="A31" s="24">
        <f t="shared" si="2"/>
        <v>25</v>
      </c>
      <c r="B31" s="25">
        <v>0</v>
      </c>
      <c r="C31" s="29">
        <v>0</v>
      </c>
      <c r="D31" s="52">
        <f t="shared" si="0"/>
        <v>0</v>
      </c>
      <c r="E31" s="54" t="str">
        <f t="shared" si="1"/>
        <v>-</v>
      </c>
      <c r="F31" s="30">
        <f t="shared" si="3"/>
        <v>0</v>
      </c>
      <c r="G31" s="54" t="str">
        <f t="shared" si="5"/>
        <v>-</v>
      </c>
      <c r="H31" s="30">
        <f t="shared" si="4"/>
        <v>0</v>
      </c>
      <c r="I31" s="30">
        <f t="shared" si="7"/>
        <v>0</v>
      </c>
    </row>
    <row r="32" spans="1:11" ht="18" hidden="1">
      <c r="A32" s="24">
        <f t="shared" si="2"/>
        <v>26</v>
      </c>
      <c r="B32" s="25">
        <v>0</v>
      </c>
      <c r="C32" s="29">
        <v>0</v>
      </c>
      <c r="D32" s="52">
        <f t="shared" si="0"/>
        <v>0</v>
      </c>
      <c r="E32" s="54" t="str">
        <f t="shared" si="1"/>
        <v>-</v>
      </c>
      <c r="F32" s="30">
        <f t="shared" si="3"/>
        <v>0</v>
      </c>
      <c r="G32" s="54" t="str">
        <f t="shared" si="5"/>
        <v>-</v>
      </c>
      <c r="H32" s="30">
        <f t="shared" si="4"/>
        <v>0</v>
      </c>
      <c r="I32" s="30">
        <f t="shared" si="7"/>
        <v>0</v>
      </c>
    </row>
    <row r="33" spans="1:9" ht="18" hidden="1">
      <c r="A33" s="24">
        <f t="shared" si="2"/>
        <v>27</v>
      </c>
      <c r="B33" s="25">
        <v>0</v>
      </c>
      <c r="C33" s="29">
        <v>0</v>
      </c>
      <c r="D33" s="52">
        <f t="shared" si="0"/>
        <v>0</v>
      </c>
      <c r="E33" s="54" t="str">
        <f t="shared" si="1"/>
        <v>-</v>
      </c>
      <c r="F33" s="30">
        <f t="shared" si="3"/>
        <v>0</v>
      </c>
      <c r="G33" s="54" t="str">
        <f t="shared" si="5"/>
        <v>-</v>
      </c>
      <c r="H33" s="30">
        <f t="shared" si="4"/>
        <v>0</v>
      </c>
      <c r="I33" s="30">
        <f t="shared" si="7"/>
        <v>0</v>
      </c>
    </row>
    <row r="34" spans="1:9" ht="18" hidden="1">
      <c r="A34" s="24">
        <f t="shared" si="2"/>
        <v>28</v>
      </c>
      <c r="B34" s="25">
        <v>0</v>
      </c>
      <c r="C34" s="29">
        <v>0</v>
      </c>
      <c r="D34" s="52">
        <f t="shared" si="0"/>
        <v>0</v>
      </c>
      <c r="E34" s="54" t="str">
        <f t="shared" si="1"/>
        <v>-</v>
      </c>
      <c r="F34" s="30">
        <f t="shared" si="3"/>
        <v>0</v>
      </c>
      <c r="G34" s="54" t="str">
        <f t="shared" si="5"/>
        <v>-</v>
      </c>
      <c r="H34" s="30">
        <f t="shared" si="4"/>
        <v>0</v>
      </c>
      <c r="I34" s="30">
        <f t="shared" si="7"/>
        <v>0</v>
      </c>
    </row>
    <row r="35" spans="1:9" ht="18" hidden="1">
      <c r="A35" s="24">
        <f t="shared" si="2"/>
        <v>29</v>
      </c>
      <c r="B35" s="25">
        <v>0</v>
      </c>
      <c r="C35" s="29">
        <v>0</v>
      </c>
      <c r="D35" s="52">
        <f t="shared" si="0"/>
        <v>0</v>
      </c>
      <c r="E35" s="54" t="str">
        <f t="shared" si="1"/>
        <v>-</v>
      </c>
      <c r="F35" s="30">
        <f t="shared" si="3"/>
        <v>0</v>
      </c>
      <c r="G35" s="54" t="str">
        <f t="shared" si="5"/>
        <v>-</v>
      </c>
      <c r="H35" s="30">
        <f t="shared" si="4"/>
        <v>0</v>
      </c>
      <c r="I35" s="30">
        <f t="shared" si="7"/>
        <v>0</v>
      </c>
    </row>
    <row r="36" spans="1:9" ht="18" hidden="1">
      <c r="A36" s="24">
        <f t="shared" si="2"/>
        <v>30</v>
      </c>
      <c r="B36" s="25">
        <v>0</v>
      </c>
      <c r="C36" s="29">
        <v>0</v>
      </c>
      <c r="D36" s="52">
        <f t="shared" si="0"/>
        <v>0</v>
      </c>
      <c r="E36" s="54" t="str">
        <f t="shared" si="1"/>
        <v>-</v>
      </c>
      <c r="F36" s="30">
        <f t="shared" si="3"/>
        <v>0</v>
      </c>
      <c r="G36" s="54" t="str">
        <f t="shared" si="5"/>
        <v>-</v>
      </c>
      <c r="H36" s="30">
        <f t="shared" si="4"/>
        <v>0</v>
      </c>
      <c r="I36" s="30">
        <f t="shared" si="7"/>
        <v>0</v>
      </c>
    </row>
    <row r="37" spans="1:9" ht="18" hidden="1">
      <c r="A37" s="24">
        <f t="shared" si="2"/>
        <v>31</v>
      </c>
      <c r="B37" s="25">
        <v>0</v>
      </c>
      <c r="C37" s="29">
        <v>0</v>
      </c>
      <c r="D37" s="52">
        <f t="shared" si="0"/>
        <v>0</v>
      </c>
      <c r="E37" s="54" t="str">
        <f t="shared" si="1"/>
        <v>-</v>
      </c>
      <c r="F37" s="30">
        <f t="shared" si="3"/>
        <v>0</v>
      </c>
      <c r="G37" s="54" t="str">
        <f t="shared" si="5"/>
        <v>-</v>
      </c>
      <c r="H37" s="30">
        <f t="shared" si="4"/>
        <v>0</v>
      </c>
      <c r="I37" s="30">
        <f t="shared" si="7"/>
        <v>0</v>
      </c>
    </row>
    <row r="38" spans="1:9" ht="18" hidden="1">
      <c r="A38" s="24">
        <f t="shared" si="2"/>
        <v>32</v>
      </c>
      <c r="B38" s="25">
        <v>0</v>
      </c>
      <c r="C38" s="29">
        <v>0</v>
      </c>
      <c r="D38" s="52">
        <f t="shared" si="0"/>
        <v>0</v>
      </c>
      <c r="E38" s="54" t="str">
        <f t="shared" si="1"/>
        <v>-</v>
      </c>
      <c r="F38" s="30">
        <f t="shared" si="3"/>
        <v>0</v>
      </c>
      <c r="G38" s="54" t="str">
        <f t="shared" si="5"/>
        <v>-</v>
      </c>
      <c r="H38" s="30">
        <f t="shared" si="4"/>
        <v>0</v>
      </c>
      <c r="I38" s="30">
        <f t="shared" si="7"/>
        <v>0</v>
      </c>
    </row>
    <row r="39" spans="1:9" ht="18" hidden="1">
      <c r="A39" s="24">
        <f t="shared" si="2"/>
        <v>33</v>
      </c>
      <c r="B39" s="25">
        <v>0</v>
      </c>
      <c r="C39" s="29">
        <v>0</v>
      </c>
      <c r="D39" s="52">
        <f t="shared" si="0"/>
        <v>0</v>
      </c>
      <c r="E39" s="54" t="str">
        <f t="shared" si="1"/>
        <v>-</v>
      </c>
      <c r="F39" s="30">
        <f t="shared" si="3"/>
        <v>0</v>
      </c>
      <c r="G39" s="54" t="str">
        <f t="shared" si="5"/>
        <v>-</v>
      </c>
      <c r="H39" s="30">
        <f t="shared" si="4"/>
        <v>0</v>
      </c>
      <c r="I39" s="30">
        <f t="shared" si="7"/>
        <v>0</v>
      </c>
    </row>
    <row r="40" spans="1:9" ht="18" hidden="1">
      <c r="A40" s="24">
        <f t="shared" si="2"/>
        <v>34</v>
      </c>
      <c r="B40" s="25">
        <v>0</v>
      </c>
      <c r="C40" s="29">
        <v>0</v>
      </c>
      <c r="D40" s="52">
        <f t="shared" si="0"/>
        <v>0</v>
      </c>
      <c r="E40" s="54" t="str">
        <f t="shared" si="1"/>
        <v>-</v>
      </c>
      <c r="F40" s="30">
        <f t="shared" si="3"/>
        <v>0</v>
      </c>
      <c r="G40" s="54" t="str">
        <f t="shared" si="5"/>
        <v>-</v>
      </c>
      <c r="H40" s="30">
        <f t="shared" si="4"/>
        <v>0</v>
      </c>
      <c r="I40" s="30">
        <f t="shared" si="7"/>
        <v>0</v>
      </c>
    </row>
    <row r="41" spans="1:9" ht="18" hidden="1">
      <c r="A41" s="24">
        <f t="shared" si="2"/>
        <v>35</v>
      </c>
      <c r="B41" s="25">
        <v>0</v>
      </c>
      <c r="C41" s="29">
        <v>0</v>
      </c>
      <c r="D41" s="52">
        <f t="shared" si="0"/>
        <v>0</v>
      </c>
      <c r="E41" s="54" t="str">
        <f t="shared" si="1"/>
        <v>-</v>
      </c>
      <c r="F41" s="30">
        <f t="shared" si="3"/>
        <v>0</v>
      </c>
      <c r="G41" s="54" t="str">
        <f t="shared" si="5"/>
        <v>-</v>
      </c>
      <c r="H41" s="30">
        <f t="shared" si="4"/>
        <v>0</v>
      </c>
      <c r="I41" s="30">
        <f t="shared" si="7"/>
        <v>0</v>
      </c>
    </row>
    <row r="42" spans="1:9" ht="18" hidden="1">
      <c r="A42" s="24">
        <f t="shared" si="2"/>
        <v>36</v>
      </c>
      <c r="B42" s="25">
        <v>0</v>
      </c>
      <c r="C42" s="29">
        <v>0</v>
      </c>
      <c r="D42" s="52">
        <f t="shared" si="0"/>
        <v>0</v>
      </c>
      <c r="E42" s="54" t="str">
        <f t="shared" si="1"/>
        <v>-</v>
      </c>
      <c r="F42" s="30">
        <f t="shared" si="3"/>
        <v>0</v>
      </c>
      <c r="G42" s="54" t="str">
        <f t="shared" si="5"/>
        <v>-</v>
      </c>
      <c r="H42" s="30">
        <f t="shared" si="4"/>
        <v>0</v>
      </c>
      <c r="I42" s="30">
        <f t="shared" si="7"/>
        <v>0</v>
      </c>
    </row>
    <row r="43" spans="1:9" ht="18" hidden="1">
      <c r="A43" s="24">
        <f t="shared" si="2"/>
        <v>37</v>
      </c>
      <c r="B43" s="25">
        <v>0</v>
      </c>
      <c r="C43" s="29">
        <v>0</v>
      </c>
      <c r="D43" s="52">
        <f t="shared" si="0"/>
        <v>0</v>
      </c>
      <c r="E43" s="54" t="str">
        <f t="shared" si="1"/>
        <v>-</v>
      </c>
      <c r="F43" s="30">
        <f t="shared" si="3"/>
        <v>0</v>
      </c>
      <c r="G43" s="54" t="str">
        <f t="shared" si="5"/>
        <v>-</v>
      </c>
      <c r="H43" s="30">
        <f t="shared" si="4"/>
        <v>0</v>
      </c>
      <c r="I43" s="30">
        <f t="shared" si="7"/>
        <v>0</v>
      </c>
    </row>
    <row r="44" spans="1:9" ht="18" hidden="1">
      <c r="A44" s="24">
        <f t="shared" si="2"/>
        <v>38</v>
      </c>
      <c r="B44" s="25">
        <v>0</v>
      </c>
      <c r="C44" s="29">
        <v>0</v>
      </c>
      <c r="D44" s="52">
        <f t="shared" si="0"/>
        <v>0</v>
      </c>
      <c r="E44" s="54" t="str">
        <f t="shared" si="1"/>
        <v>-</v>
      </c>
      <c r="F44" s="30">
        <f t="shared" si="3"/>
        <v>0</v>
      </c>
      <c r="G44" s="54" t="str">
        <f t="shared" si="5"/>
        <v>-</v>
      </c>
      <c r="H44" s="30">
        <f t="shared" si="4"/>
        <v>0</v>
      </c>
      <c r="I44" s="30">
        <f t="shared" si="7"/>
        <v>0</v>
      </c>
    </row>
    <row r="45" spans="1:9" ht="18" hidden="1">
      <c r="A45" s="24">
        <f t="shared" si="2"/>
        <v>39</v>
      </c>
      <c r="B45" s="25">
        <v>0</v>
      </c>
      <c r="C45" s="29">
        <v>0</v>
      </c>
      <c r="D45" s="52">
        <f t="shared" si="0"/>
        <v>0</v>
      </c>
      <c r="E45" s="54" t="str">
        <f t="shared" si="1"/>
        <v>-</v>
      </c>
      <c r="F45" s="30">
        <f t="shared" si="3"/>
        <v>0</v>
      </c>
      <c r="G45" s="54" t="str">
        <f t="shared" si="5"/>
        <v>-</v>
      </c>
      <c r="H45" s="30">
        <f t="shared" si="4"/>
        <v>0</v>
      </c>
      <c r="I45" s="30">
        <f t="shared" si="7"/>
        <v>0</v>
      </c>
    </row>
    <row r="46" spans="1:9" ht="18" hidden="1">
      <c r="A46" s="24">
        <f t="shared" si="2"/>
        <v>40</v>
      </c>
      <c r="B46" s="25">
        <v>0</v>
      </c>
      <c r="C46" s="29">
        <v>0</v>
      </c>
      <c r="D46" s="52">
        <f t="shared" si="0"/>
        <v>0</v>
      </c>
      <c r="E46" s="54" t="str">
        <f t="shared" si="1"/>
        <v>-</v>
      </c>
      <c r="F46" s="30">
        <f t="shared" si="3"/>
        <v>0</v>
      </c>
      <c r="G46" s="54" t="str">
        <f t="shared" si="5"/>
        <v>-</v>
      </c>
      <c r="H46" s="30">
        <f t="shared" si="4"/>
        <v>0</v>
      </c>
      <c r="I46" s="30">
        <f t="shared" si="7"/>
        <v>0</v>
      </c>
    </row>
    <row r="47" spans="1:9" ht="18" hidden="1">
      <c r="A47" s="24">
        <f t="shared" si="2"/>
        <v>41</v>
      </c>
      <c r="B47" s="25">
        <v>0</v>
      </c>
      <c r="C47" s="29">
        <v>0</v>
      </c>
      <c r="D47" s="52">
        <f t="shared" si="0"/>
        <v>0</v>
      </c>
      <c r="E47" s="54" t="str">
        <f t="shared" si="1"/>
        <v>-</v>
      </c>
      <c r="F47" s="30">
        <f t="shared" si="3"/>
        <v>0</v>
      </c>
      <c r="G47" s="54" t="str">
        <f t="shared" si="5"/>
        <v>-</v>
      </c>
      <c r="H47" s="30">
        <f t="shared" si="4"/>
        <v>0</v>
      </c>
      <c r="I47" s="30">
        <f t="shared" si="7"/>
        <v>0</v>
      </c>
    </row>
    <row r="48" spans="1:9" ht="18" hidden="1">
      <c r="A48" s="24">
        <f t="shared" si="2"/>
        <v>42</v>
      </c>
      <c r="B48" s="25">
        <v>0</v>
      </c>
      <c r="C48" s="29">
        <v>0</v>
      </c>
      <c r="D48" s="52">
        <f t="shared" si="0"/>
        <v>0</v>
      </c>
      <c r="E48" s="54" t="str">
        <f t="shared" si="1"/>
        <v>-</v>
      </c>
      <c r="F48" s="30">
        <f t="shared" si="3"/>
        <v>0</v>
      </c>
      <c r="G48" s="54" t="str">
        <f t="shared" si="5"/>
        <v>-</v>
      </c>
      <c r="H48" s="30">
        <f t="shared" si="4"/>
        <v>0</v>
      </c>
      <c r="I48" s="30">
        <f t="shared" si="7"/>
        <v>0</v>
      </c>
    </row>
    <row r="49" spans="1:9" ht="18" hidden="1">
      <c r="A49" s="24">
        <f t="shared" si="2"/>
        <v>43</v>
      </c>
      <c r="B49" s="25">
        <v>0</v>
      </c>
      <c r="C49" s="29">
        <v>0</v>
      </c>
      <c r="D49" s="52">
        <f t="shared" si="0"/>
        <v>0</v>
      </c>
      <c r="E49" s="54" t="str">
        <f t="shared" si="1"/>
        <v>-</v>
      </c>
      <c r="F49" s="30">
        <f t="shared" si="3"/>
        <v>0</v>
      </c>
      <c r="G49" s="54" t="str">
        <f t="shared" si="5"/>
        <v>-</v>
      </c>
      <c r="H49" s="30">
        <f t="shared" si="4"/>
        <v>0</v>
      </c>
      <c r="I49" s="30">
        <f t="shared" si="7"/>
        <v>0</v>
      </c>
    </row>
    <row r="50" spans="1:9" ht="18" hidden="1">
      <c r="A50" s="24">
        <f t="shared" si="2"/>
        <v>44</v>
      </c>
      <c r="B50" s="25">
        <v>0</v>
      </c>
      <c r="C50" s="29">
        <v>0</v>
      </c>
      <c r="D50" s="52">
        <f t="shared" si="0"/>
        <v>0</v>
      </c>
      <c r="E50" s="54" t="str">
        <f t="shared" si="1"/>
        <v>-</v>
      </c>
      <c r="F50" s="30">
        <f t="shared" si="3"/>
        <v>0</v>
      </c>
      <c r="G50" s="54" t="str">
        <f t="shared" si="5"/>
        <v>-</v>
      </c>
      <c r="H50" s="30">
        <f t="shared" si="4"/>
        <v>0</v>
      </c>
      <c r="I50" s="30">
        <f t="shared" si="7"/>
        <v>0</v>
      </c>
    </row>
    <row r="51" spans="1:9" ht="18" hidden="1">
      <c r="A51" s="24">
        <f t="shared" si="2"/>
        <v>45</v>
      </c>
      <c r="B51" s="25">
        <v>0</v>
      </c>
      <c r="C51" s="29">
        <v>0</v>
      </c>
      <c r="D51" s="52">
        <f t="shared" si="0"/>
        <v>0</v>
      </c>
      <c r="E51" s="54" t="str">
        <f t="shared" si="1"/>
        <v>-</v>
      </c>
      <c r="F51" s="30">
        <f t="shared" si="3"/>
        <v>0</v>
      </c>
      <c r="G51" s="54" t="str">
        <f t="shared" si="5"/>
        <v>-</v>
      </c>
      <c r="H51" s="30">
        <f t="shared" si="4"/>
        <v>0</v>
      </c>
      <c r="I51" s="30">
        <f t="shared" si="7"/>
        <v>0</v>
      </c>
    </row>
    <row r="52" spans="1:9" ht="18" hidden="1">
      <c r="A52" s="24">
        <f t="shared" si="2"/>
        <v>46</v>
      </c>
      <c r="B52" s="25">
        <v>0</v>
      </c>
      <c r="C52" s="29">
        <v>0</v>
      </c>
      <c r="D52" s="52">
        <f t="shared" si="0"/>
        <v>0</v>
      </c>
      <c r="E52" s="54" t="str">
        <f t="shared" si="1"/>
        <v>-</v>
      </c>
      <c r="F52" s="30">
        <f t="shared" si="3"/>
        <v>0</v>
      </c>
      <c r="G52" s="54" t="str">
        <f t="shared" si="5"/>
        <v>-</v>
      </c>
      <c r="H52" s="30">
        <f t="shared" si="4"/>
        <v>0</v>
      </c>
      <c r="I52" s="30">
        <f t="shared" si="7"/>
        <v>0</v>
      </c>
    </row>
    <row r="53" spans="1:9" ht="18" hidden="1">
      <c r="A53" s="24">
        <f t="shared" si="2"/>
        <v>47</v>
      </c>
      <c r="B53" s="25">
        <v>0</v>
      </c>
      <c r="C53" s="29">
        <v>0</v>
      </c>
      <c r="D53" s="52">
        <f t="shared" si="0"/>
        <v>0</v>
      </c>
      <c r="E53" s="54" t="str">
        <f t="shared" si="1"/>
        <v>-</v>
      </c>
      <c r="F53" s="30">
        <f t="shared" si="3"/>
        <v>0</v>
      </c>
      <c r="G53" s="54" t="str">
        <f t="shared" si="5"/>
        <v>-</v>
      </c>
      <c r="H53" s="30">
        <f t="shared" si="4"/>
        <v>0</v>
      </c>
      <c r="I53" s="30">
        <f t="shared" si="7"/>
        <v>0</v>
      </c>
    </row>
    <row r="54" spans="1:9" ht="18" hidden="1">
      <c r="A54" s="24">
        <f t="shared" si="2"/>
        <v>48</v>
      </c>
      <c r="B54" s="25">
        <v>0</v>
      </c>
      <c r="C54" s="29">
        <v>0</v>
      </c>
      <c r="D54" s="52">
        <f t="shared" si="0"/>
        <v>0</v>
      </c>
      <c r="E54" s="54" t="str">
        <f t="shared" si="1"/>
        <v>-</v>
      </c>
      <c r="F54" s="30">
        <f t="shared" si="3"/>
        <v>0</v>
      </c>
      <c r="G54" s="54" t="str">
        <f t="shared" si="5"/>
        <v>-</v>
      </c>
      <c r="H54" s="30">
        <f t="shared" si="4"/>
        <v>0</v>
      </c>
      <c r="I54" s="30">
        <f t="shared" si="7"/>
        <v>0</v>
      </c>
    </row>
    <row r="55" spans="1:9" ht="18" hidden="1">
      <c r="A55" s="24">
        <f t="shared" si="2"/>
        <v>49</v>
      </c>
      <c r="B55" s="25">
        <v>0</v>
      </c>
      <c r="C55" s="29">
        <v>0</v>
      </c>
      <c r="D55" s="52">
        <f t="shared" si="0"/>
        <v>0</v>
      </c>
      <c r="E55" s="54" t="str">
        <f t="shared" si="1"/>
        <v>-</v>
      </c>
      <c r="F55" s="30">
        <f t="shared" si="3"/>
        <v>0</v>
      </c>
      <c r="G55" s="54" t="str">
        <f t="shared" si="5"/>
        <v>-</v>
      </c>
      <c r="H55" s="30">
        <f t="shared" si="4"/>
        <v>0</v>
      </c>
      <c r="I55" s="30">
        <f t="shared" si="7"/>
        <v>0</v>
      </c>
    </row>
    <row r="56" spans="1:9" ht="18.75" hidden="1" thickBot="1">
      <c r="A56" s="31">
        <f t="shared" si="2"/>
        <v>50</v>
      </c>
      <c r="B56" s="32">
        <v>0</v>
      </c>
      <c r="C56" s="33">
        <v>0</v>
      </c>
      <c r="D56" s="53">
        <f t="shared" si="0"/>
        <v>0</v>
      </c>
      <c r="E56" s="57" t="str">
        <f t="shared" si="1"/>
        <v>-</v>
      </c>
      <c r="F56" s="34">
        <f t="shared" si="3"/>
        <v>0</v>
      </c>
      <c r="G56" s="57" t="str">
        <f t="shared" si="5"/>
        <v>-</v>
      </c>
      <c r="H56" s="34">
        <f t="shared" si="4"/>
        <v>0</v>
      </c>
      <c r="I56" s="34">
        <f t="shared" si="7"/>
        <v>0</v>
      </c>
    </row>
    <row r="57" spans="1:9" ht="18.75" hidden="1" thickBot="1">
      <c r="A57" s="40" t="s">
        <v>0</v>
      </c>
      <c r="B57" s="44"/>
      <c r="C57" s="44"/>
      <c r="D57" s="44"/>
      <c r="E57" s="44"/>
      <c r="F57" s="59">
        <f>SUM(F6:F56)</f>
        <v>-1.4551915228366852E-11</v>
      </c>
      <c r="G57" s="55"/>
      <c r="H57" s="60">
        <f>SUM(H6:H56)</f>
        <v>-6.129266694188118E-8</v>
      </c>
      <c r="I57" s="4"/>
    </row>
    <row r="58" spans="1:9" ht="18.75" hidden="1" thickBot="1">
      <c r="A58" s="39" t="s">
        <v>28</v>
      </c>
      <c r="B58" s="42"/>
      <c r="C58" s="42"/>
      <c r="D58" s="42"/>
      <c r="E58" s="42"/>
      <c r="F58" s="43">
        <f>I7</f>
        <v>-2.959315730184539E-12</v>
      </c>
      <c r="G58" s="47"/>
      <c r="H58" s="47"/>
      <c r="I58" s="4"/>
    </row>
    <row r="59" spans="1:9" ht="18.75" thickBot="1">
      <c r="A59" s="41" t="s">
        <v>1</v>
      </c>
      <c r="B59" s="35"/>
      <c r="C59" s="35"/>
      <c r="D59" s="35"/>
      <c r="E59" s="35"/>
      <c r="F59" s="36">
        <f>IRR(D6:D56)</f>
        <v>6.0000000000038245E-2</v>
      </c>
      <c r="G59" s="48"/>
      <c r="H59" s="48"/>
      <c r="I59" s="4"/>
    </row>
    <row r="60" spans="1:9" ht="18.75" hidden="1" thickBot="1">
      <c r="A60" s="40" t="s">
        <v>2</v>
      </c>
      <c r="B60" s="44"/>
      <c r="C60" s="44"/>
      <c r="D60" s="44"/>
      <c r="E60" s="44"/>
      <c r="F60" s="45">
        <f>NPER(B4,F62,F6,0)</f>
        <v>6.0000000000000027</v>
      </c>
      <c r="G60" s="49"/>
      <c r="H60" s="49"/>
      <c r="I60" s="4"/>
    </row>
    <row r="61" spans="1:9" hidden="1">
      <c r="A61" s="37" t="s">
        <v>16</v>
      </c>
      <c r="F61" s="38">
        <f>SUM(F7:F56)</f>
        <v>500000</v>
      </c>
      <c r="G61" s="38"/>
      <c r="H61" s="38"/>
    </row>
    <row r="62" spans="1:9" hidden="1">
      <c r="A62" s="37" t="s">
        <v>17</v>
      </c>
      <c r="F62" s="1">
        <f>PMT(B4,B3,F61,0)*-1</f>
        <v>101681.31423744763</v>
      </c>
      <c r="G62" s="1"/>
      <c r="H62" s="1"/>
    </row>
    <row r="64" spans="1:9" ht="18" hidden="1">
      <c r="A64" s="58"/>
    </row>
    <row r="65" spans="1:6" ht="78.599999999999994" hidden="1" customHeight="1">
      <c r="A65" s="394"/>
      <c r="B65" s="394"/>
      <c r="C65" s="394"/>
      <c r="D65" s="394"/>
      <c r="E65" s="394"/>
      <c r="F65" s="394"/>
    </row>
    <row r="66" spans="1:6">
      <c r="A66" s="2"/>
      <c r="B66" s="2"/>
    </row>
    <row r="67" spans="1:6">
      <c r="A67" s="2"/>
      <c r="B67" s="2"/>
    </row>
  </sheetData>
  <mergeCells count="2">
    <mergeCell ref="A1:C1"/>
    <mergeCell ref="A65:F65"/>
  </mergeCells>
  <pageMargins left="0.78740157480314965" right="0.39370078740157483" top="0.98425196850393704" bottom="0.98425196850393704" header="0" footer="0"/>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389"/>
  <sheetViews>
    <sheetView zoomScale="140" workbookViewId="0">
      <selection sqref="A1:XFD1"/>
    </sheetView>
  </sheetViews>
  <sheetFormatPr defaultRowHeight="12.75"/>
  <cols>
    <col min="1" max="1" width="6.28515625" style="75" customWidth="1"/>
    <col min="2" max="2" width="13.85546875" style="75" customWidth="1"/>
    <col min="3" max="3" width="15.7109375" style="75" customWidth="1"/>
    <col min="4" max="4" width="17.42578125" style="75" customWidth="1"/>
    <col min="5" max="5" width="13.5703125" style="75" customWidth="1"/>
    <col min="6" max="6" width="14.5703125" style="75" customWidth="1"/>
    <col min="7" max="7" width="14.42578125" style="75" customWidth="1"/>
    <col min="8" max="16384" width="9.140625" style="75"/>
  </cols>
  <sheetData>
    <row r="1" spans="1:7" ht="13.5" thickBot="1">
      <c r="A1" s="75" t="s">
        <v>284</v>
      </c>
    </row>
    <row r="2" spans="1:7" ht="27" thickBot="1">
      <c r="A2" s="407" t="s">
        <v>35</v>
      </c>
      <c r="B2" s="408"/>
      <c r="C2" s="408"/>
      <c r="D2" s="408"/>
      <c r="E2" s="408"/>
      <c r="F2" s="408"/>
      <c r="G2" s="409"/>
    </row>
    <row r="3" spans="1:7">
      <c r="A3" s="410" t="s">
        <v>36</v>
      </c>
      <c r="B3" s="411"/>
      <c r="C3" s="411"/>
      <c r="D3" s="76">
        <v>4500000</v>
      </c>
      <c r="E3" s="77"/>
      <c r="F3" s="77"/>
      <c r="G3" s="78"/>
    </row>
    <row r="4" spans="1:7">
      <c r="A4" s="405" t="s">
        <v>37</v>
      </c>
      <c r="B4" s="406"/>
      <c r="C4" s="406"/>
      <c r="D4" s="79">
        <v>98</v>
      </c>
      <c r="E4" s="77"/>
      <c r="F4" s="77"/>
      <c r="G4" s="78"/>
    </row>
    <row r="5" spans="1:7">
      <c r="A5" s="80" t="s">
        <v>38</v>
      </c>
      <c r="B5" s="81"/>
      <c r="C5" s="81"/>
      <c r="D5" s="82">
        <f>D3*(100-D4)/100</f>
        <v>90000</v>
      </c>
      <c r="E5" s="77"/>
      <c r="F5" s="77"/>
      <c r="G5" s="78"/>
    </row>
    <row r="6" spans="1:7">
      <c r="A6" s="405" t="s">
        <v>39</v>
      </c>
      <c r="B6" s="406"/>
      <c r="C6" s="406"/>
      <c r="D6" s="83">
        <v>24000</v>
      </c>
      <c r="E6" s="77"/>
      <c r="F6" s="77"/>
      <c r="G6" s="78"/>
    </row>
    <row r="7" spans="1:7" ht="13.5" thickBot="1">
      <c r="A7" s="405" t="s">
        <v>40</v>
      </c>
      <c r="B7" s="406"/>
      <c r="C7" s="406"/>
      <c r="D7" s="84">
        <f>(D3*(D4/100))-D6</f>
        <v>4386000</v>
      </c>
      <c r="E7" s="77"/>
      <c r="F7" s="77"/>
      <c r="G7" s="78"/>
    </row>
    <row r="8" spans="1:7" ht="13.5" thickTop="1">
      <c r="A8" s="405" t="s">
        <v>41</v>
      </c>
      <c r="B8" s="406"/>
      <c r="C8" s="406"/>
      <c r="D8" s="211">
        <v>3.5999999999999997E-2</v>
      </c>
      <c r="E8" s="77"/>
      <c r="F8" s="77"/>
      <c r="G8" s="78"/>
    </row>
    <row r="9" spans="1:7">
      <c r="A9" s="405" t="s">
        <v>42</v>
      </c>
      <c r="B9" s="406"/>
      <c r="C9" s="406"/>
      <c r="D9" s="85">
        <v>6</v>
      </c>
      <c r="E9" s="77"/>
      <c r="F9" s="77"/>
      <c r="G9" s="78"/>
    </row>
    <row r="10" spans="1:7">
      <c r="A10" s="405" t="s">
        <v>43</v>
      </c>
      <c r="B10" s="406"/>
      <c r="C10" s="406"/>
      <c r="D10" s="85">
        <v>2</v>
      </c>
      <c r="E10" s="77"/>
      <c r="F10" s="77"/>
      <c r="G10" s="78"/>
    </row>
    <row r="11" spans="1:7">
      <c r="A11" s="405" t="s">
        <v>44</v>
      </c>
      <c r="B11" s="406"/>
      <c r="C11" s="406"/>
      <c r="D11" s="86">
        <f>D9*D10</f>
        <v>12</v>
      </c>
      <c r="E11" s="77"/>
      <c r="F11" s="77"/>
      <c r="G11" s="78"/>
    </row>
    <row r="12" spans="1:7">
      <c r="A12" s="405" t="s">
        <v>45</v>
      </c>
      <c r="B12" s="406"/>
      <c r="C12" s="406"/>
      <c r="D12" s="87">
        <f>D8/D10</f>
        <v>1.7999999999999999E-2</v>
      </c>
      <c r="E12" s="77"/>
      <c r="F12" s="77"/>
      <c r="G12" s="78"/>
    </row>
    <row r="13" spans="1:7">
      <c r="A13" s="405" t="s">
        <v>46</v>
      </c>
      <c r="B13" s="406"/>
      <c r="C13" s="406"/>
      <c r="D13" s="88">
        <f>(PMT(D12,D11,D3))</f>
        <v>-420308.89591024845</v>
      </c>
      <c r="E13" s="89" t="s">
        <v>47</v>
      </c>
      <c r="F13" s="81"/>
      <c r="G13" s="90"/>
    </row>
    <row r="14" spans="1:7" hidden="1">
      <c r="A14" s="405" t="s">
        <v>48</v>
      </c>
      <c r="B14" s="406"/>
      <c r="C14" s="406"/>
      <c r="D14" s="79">
        <v>0</v>
      </c>
      <c r="E14" s="77"/>
      <c r="F14" s="77"/>
      <c r="G14" s="78"/>
    </row>
    <row r="15" spans="1:7">
      <c r="A15" s="396"/>
      <c r="B15" s="397"/>
      <c r="C15" s="397"/>
      <c r="D15" s="398"/>
      <c r="E15" s="77"/>
      <c r="F15" s="77"/>
      <c r="G15" s="78"/>
    </row>
    <row r="16" spans="1:7" hidden="1">
      <c r="A16" s="91"/>
      <c r="B16" s="77"/>
      <c r="C16" s="77"/>
      <c r="D16" s="88">
        <f>D13-D14</f>
        <v>-420308.89591024845</v>
      </c>
      <c r="E16" s="77"/>
      <c r="F16" s="77"/>
      <c r="G16" s="78"/>
    </row>
    <row r="17" spans="1:11" hidden="1">
      <c r="A17" s="91"/>
      <c r="B17" s="77"/>
      <c r="C17" s="77"/>
      <c r="D17" s="78"/>
      <c r="E17" s="77"/>
      <c r="F17" s="77"/>
      <c r="G17" s="78"/>
    </row>
    <row r="18" spans="1:11" ht="18">
      <c r="A18" s="399" t="s">
        <v>49</v>
      </c>
      <c r="B18" s="400"/>
      <c r="C18" s="400"/>
      <c r="D18" s="92">
        <f>(POWER((RATE(D11,D16,D7)+1),D10))-1</f>
        <v>4.4850294542936986E-2</v>
      </c>
      <c r="E18" s="399" t="str">
        <f>E13</f>
        <v>(Beregning: se note til annuitetslån)</v>
      </c>
      <c r="F18" s="400"/>
      <c r="G18" s="401"/>
      <c r="H18" s="93"/>
      <c r="I18" s="93"/>
      <c r="J18" s="93"/>
      <c r="K18" s="93"/>
    </row>
    <row r="19" spans="1:11" ht="13.5" thickBot="1">
      <c r="A19" s="402"/>
      <c r="B19" s="403"/>
      <c r="C19" s="403"/>
      <c r="D19" s="404"/>
      <c r="E19" s="94"/>
      <c r="F19" s="94"/>
      <c r="G19" s="95"/>
      <c r="H19" s="93"/>
      <c r="I19" s="93"/>
      <c r="J19" s="93"/>
      <c r="K19" s="93"/>
    </row>
    <row r="20" spans="1:11" ht="13.5" thickBot="1">
      <c r="A20" s="96"/>
      <c r="B20" s="97"/>
      <c r="C20" s="97"/>
      <c r="D20" s="98"/>
      <c r="E20" s="98"/>
      <c r="F20" s="98"/>
      <c r="G20" s="99"/>
      <c r="H20" s="93"/>
      <c r="I20" s="93"/>
      <c r="J20" s="93"/>
      <c r="K20" s="93"/>
    </row>
    <row r="21" spans="1:11">
      <c r="A21" s="100" t="str">
        <f>CONCATENATE("Amortisationstabel annuitetslån: (",D11," terminer)")</f>
        <v>Amortisationstabel annuitetslån: (12 terminer)</v>
      </c>
      <c r="B21" s="101"/>
      <c r="C21" s="101"/>
      <c r="D21" s="94"/>
      <c r="E21" s="94"/>
      <c r="F21" s="94"/>
      <c r="G21" s="95"/>
      <c r="H21" s="93"/>
      <c r="I21" s="93"/>
      <c r="J21" s="93"/>
      <c r="K21" s="93"/>
    </row>
    <row r="22" spans="1:11" ht="25.5">
      <c r="A22" s="91" t="s">
        <v>50</v>
      </c>
      <c r="B22" s="102" t="s">
        <v>51</v>
      </c>
      <c r="C22" s="102" t="s">
        <v>52</v>
      </c>
      <c r="D22" s="103" t="s">
        <v>53</v>
      </c>
      <c r="E22" s="102" t="s">
        <v>54</v>
      </c>
      <c r="F22" s="102" t="s">
        <v>55</v>
      </c>
      <c r="G22" s="104" t="s">
        <v>56</v>
      </c>
      <c r="H22" s="105"/>
    </row>
    <row r="23" spans="1:11">
      <c r="A23" s="91">
        <v>1</v>
      </c>
      <c r="B23" s="106">
        <f>D3</f>
        <v>4500000</v>
      </c>
      <c r="C23" s="106">
        <f t="shared" ref="C23:C86" si="0">IF(A23&lt;=$D$11,$D$16*-1,0)</f>
        <v>420308.89591024845</v>
      </c>
      <c r="D23" s="106">
        <f t="shared" ref="D23:D86" si="1">IF(A23&gt;$D$11,0,$D$13*-1)</f>
        <v>420308.89591024845</v>
      </c>
      <c r="E23" s="107">
        <f t="shared" ref="E23:E86" si="2">B23*$D$12</f>
        <v>81000</v>
      </c>
      <c r="F23" s="106">
        <f t="shared" ref="F23:F86" si="3">D23-E23</f>
        <v>339308.89591024845</v>
      </c>
      <c r="G23" s="88">
        <f t="shared" ref="G23:G86" si="4">B23-F23</f>
        <v>4160691.1040897514</v>
      </c>
    </row>
    <row r="24" spans="1:11">
      <c r="A24" s="91">
        <f t="shared" ref="A24:A87" si="5">A23+1</f>
        <v>2</v>
      </c>
      <c r="B24" s="106">
        <f t="shared" ref="B24:B87" si="6">IF(A24&lt;=$D$11,G23,0)</f>
        <v>4160691.1040897514</v>
      </c>
      <c r="C24" s="106">
        <f t="shared" si="0"/>
        <v>420308.89591024845</v>
      </c>
      <c r="D24" s="106">
        <f t="shared" si="1"/>
        <v>420308.89591024845</v>
      </c>
      <c r="E24" s="107">
        <f t="shared" si="2"/>
        <v>74892.439873615513</v>
      </c>
      <c r="F24" s="106">
        <f t="shared" si="3"/>
        <v>345416.45603663294</v>
      </c>
      <c r="G24" s="88">
        <f t="shared" si="4"/>
        <v>3815274.6480531185</v>
      </c>
    </row>
    <row r="25" spans="1:11">
      <c r="A25" s="91">
        <f t="shared" si="5"/>
        <v>3</v>
      </c>
      <c r="B25" s="106">
        <f t="shared" si="6"/>
        <v>3815274.6480531185</v>
      </c>
      <c r="C25" s="106">
        <f t="shared" si="0"/>
        <v>420308.89591024845</v>
      </c>
      <c r="D25" s="106">
        <f t="shared" si="1"/>
        <v>420308.89591024845</v>
      </c>
      <c r="E25" s="107">
        <f t="shared" si="2"/>
        <v>68674.943664956125</v>
      </c>
      <c r="F25" s="106">
        <f t="shared" si="3"/>
        <v>351633.95224529231</v>
      </c>
      <c r="G25" s="88">
        <f t="shared" si="4"/>
        <v>3463640.6958078262</v>
      </c>
    </row>
    <row r="26" spans="1:11">
      <c r="A26" s="91">
        <f t="shared" si="5"/>
        <v>4</v>
      </c>
      <c r="B26" s="106">
        <f t="shared" si="6"/>
        <v>3463640.6958078262</v>
      </c>
      <c r="C26" s="106">
        <f t="shared" si="0"/>
        <v>420308.89591024845</v>
      </c>
      <c r="D26" s="106">
        <f t="shared" si="1"/>
        <v>420308.89591024845</v>
      </c>
      <c r="E26" s="107">
        <f t="shared" si="2"/>
        <v>62345.532524540868</v>
      </c>
      <c r="F26" s="106">
        <f t="shared" si="3"/>
        <v>357963.36338570761</v>
      </c>
      <c r="G26" s="88">
        <f t="shared" si="4"/>
        <v>3105677.3324221186</v>
      </c>
    </row>
    <row r="27" spans="1:11">
      <c r="A27" s="91">
        <f t="shared" si="5"/>
        <v>5</v>
      </c>
      <c r="B27" s="106">
        <f t="shared" si="6"/>
        <v>3105677.3324221186</v>
      </c>
      <c r="C27" s="106">
        <f t="shared" si="0"/>
        <v>420308.89591024845</v>
      </c>
      <c r="D27" s="106">
        <f t="shared" si="1"/>
        <v>420308.89591024845</v>
      </c>
      <c r="E27" s="107">
        <f t="shared" si="2"/>
        <v>55902.191983598132</v>
      </c>
      <c r="F27" s="106">
        <f t="shared" si="3"/>
        <v>364406.70392665034</v>
      </c>
      <c r="G27" s="88">
        <f t="shared" si="4"/>
        <v>2741270.6284954683</v>
      </c>
    </row>
    <row r="28" spans="1:11">
      <c r="A28" s="91">
        <f t="shared" si="5"/>
        <v>6</v>
      </c>
      <c r="B28" s="106">
        <f t="shared" si="6"/>
        <v>2741270.6284954683</v>
      </c>
      <c r="C28" s="106">
        <f t="shared" si="0"/>
        <v>420308.89591024845</v>
      </c>
      <c r="D28" s="106">
        <f t="shared" si="1"/>
        <v>420308.89591024845</v>
      </c>
      <c r="E28" s="107">
        <f t="shared" si="2"/>
        <v>49342.871312918425</v>
      </c>
      <c r="F28" s="106">
        <f t="shared" si="3"/>
        <v>370966.02459733002</v>
      </c>
      <c r="G28" s="88">
        <f t="shared" si="4"/>
        <v>2370304.6038981383</v>
      </c>
    </row>
    <row r="29" spans="1:11">
      <c r="A29" s="91">
        <f t="shared" si="5"/>
        <v>7</v>
      </c>
      <c r="B29" s="106">
        <f t="shared" si="6"/>
        <v>2370304.6038981383</v>
      </c>
      <c r="C29" s="106">
        <f t="shared" si="0"/>
        <v>420308.89591024845</v>
      </c>
      <c r="D29" s="106">
        <f t="shared" si="1"/>
        <v>420308.89591024845</v>
      </c>
      <c r="E29" s="107">
        <f t="shared" si="2"/>
        <v>42665.482870166488</v>
      </c>
      <c r="F29" s="106">
        <f t="shared" si="3"/>
        <v>377643.41304008197</v>
      </c>
      <c r="G29" s="88">
        <f t="shared" si="4"/>
        <v>1992661.1908580563</v>
      </c>
    </row>
    <row r="30" spans="1:11">
      <c r="A30" s="91">
        <f t="shared" si="5"/>
        <v>8</v>
      </c>
      <c r="B30" s="106">
        <f t="shared" si="6"/>
        <v>1992661.1908580563</v>
      </c>
      <c r="C30" s="106">
        <f t="shared" si="0"/>
        <v>420308.89591024845</v>
      </c>
      <c r="D30" s="106">
        <f t="shared" si="1"/>
        <v>420308.89591024845</v>
      </c>
      <c r="E30" s="107">
        <f t="shared" si="2"/>
        <v>35867.901435445012</v>
      </c>
      <c r="F30" s="106">
        <f t="shared" si="3"/>
        <v>384440.99447480345</v>
      </c>
      <c r="G30" s="88">
        <f t="shared" si="4"/>
        <v>1608220.1963832527</v>
      </c>
    </row>
    <row r="31" spans="1:11">
      <c r="A31" s="91">
        <f t="shared" si="5"/>
        <v>9</v>
      </c>
      <c r="B31" s="106">
        <f t="shared" si="6"/>
        <v>1608220.1963832527</v>
      </c>
      <c r="C31" s="106">
        <f t="shared" si="0"/>
        <v>420308.89591024845</v>
      </c>
      <c r="D31" s="106">
        <f t="shared" si="1"/>
        <v>420308.89591024845</v>
      </c>
      <c r="E31" s="107">
        <f t="shared" si="2"/>
        <v>28947.963534898547</v>
      </c>
      <c r="F31" s="106">
        <f t="shared" si="3"/>
        <v>391360.93237534992</v>
      </c>
      <c r="G31" s="88">
        <f t="shared" si="4"/>
        <v>1216859.2640079027</v>
      </c>
    </row>
    <row r="32" spans="1:11">
      <c r="A32" s="91">
        <f t="shared" si="5"/>
        <v>10</v>
      </c>
      <c r="B32" s="106">
        <f t="shared" si="6"/>
        <v>1216859.2640079027</v>
      </c>
      <c r="C32" s="106">
        <f t="shared" si="0"/>
        <v>420308.89591024845</v>
      </c>
      <c r="D32" s="106">
        <f t="shared" si="1"/>
        <v>420308.89591024845</v>
      </c>
      <c r="E32" s="107">
        <f t="shared" si="2"/>
        <v>21903.466752142245</v>
      </c>
      <c r="F32" s="106">
        <f t="shared" si="3"/>
        <v>398405.42915810621</v>
      </c>
      <c r="G32" s="88">
        <f t="shared" si="4"/>
        <v>818453.83484979649</v>
      </c>
    </row>
    <row r="33" spans="1:7">
      <c r="A33" s="91">
        <f t="shared" si="5"/>
        <v>11</v>
      </c>
      <c r="B33" s="106">
        <f t="shared" si="6"/>
        <v>818453.83484979649</v>
      </c>
      <c r="C33" s="106">
        <f t="shared" si="0"/>
        <v>420308.89591024845</v>
      </c>
      <c r="D33" s="106">
        <f t="shared" si="1"/>
        <v>420308.89591024845</v>
      </c>
      <c r="E33" s="107">
        <f t="shared" si="2"/>
        <v>14732.169027296335</v>
      </c>
      <c r="F33" s="106">
        <f t="shared" si="3"/>
        <v>405576.72688295209</v>
      </c>
      <c r="G33" s="88">
        <f t="shared" si="4"/>
        <v>412877.1079668444</v>
      </c>
    </row>
    <row r="34" spans="1:7" ht="13.5" thickBot="1">
      <c r="A34" s="91">
        <f t="shared" si="5"/>
        <v>12</v>
      </c>
      <c r="B34" s="106">
        <f t="shared" si="6"/>
        <v>412877.1079668444</v>
      </c>
      <c r="C34" s="106">
        <f t="shared" si="0"/>
        <v>420308.89591024845</v>
      </c>
      <c r="D34" s="106">
        <f t="shared" si="1"/>
        <v>420308.89591024845</v>
      </c>
      <c r="E34" s="107">
        <f t="shared" si="2"/>
        <v>7431.7879434031984</v>
      </c>
      <c r="F34" s="106">
        <f t="shared" si="3"/>
        <v>412877.10796684527</v>
      </c>
      <c r="G34" s="88">
        <f t="shared" si="4"/>
        <v>-8.7311491370201111E-10</v>
      </c>
    </row>
    <row r="35" spans="1:7" hidden="1">
      <c r="A35" s="91">
        <f t="shared" si="5"/>
        <v>13</v>
      </c>
      <c r="B35" s="106">
        <f t="shared" si="6"/>
        <v>0</v>
      </c>
      <c r="C35" s="106">
        <f t="shared" si="0"/>
        <v>0</v>
      </c>
      <c r="D35" s="106">
        <f t="shared" si="1"/>
        <v>0</v>
      </c>
      <c r="E35" s="107">
        <f t="shared" si="2"/>
        <v>0</v>
      </c>
      <c r="F35" s="106">
        <f t="shared" si="3"/>
        <v>0</v>
      </c>
      <c r="G35" s="88">
        <f t="shared" si="4"/>
        <v>0</v>
      </c>
    </row>
    <row r="36" spans="1:7" hidden="1">
      <c r="A36" s="91">
        <f t="shared" si="5"/>
        <v>14</v>
      </c>
      <c r="B36" s="106">
        <f t="shared" si="6"/>
        <v>0</v>
      </c>
      <c r="C36" s="106">
        <f t="shared" si="0"/>
        <v>0</v>
      </c>
      <c r="D36" s="106">
        <f t="shared" si="1"/>
        <v>0</v>
      </c>
      <c r="E36" s="107">
        <f t="shared" si="2"/>
        <v>0</v>
      </c>
      <c r="F36" s="106">
        <f t="shared" si="3"/>
        <v>0</v>
      </c>
      <c r="G36" s="88">
        <f t="shared" si="4"/>
        <v>0</v>
      </c>
    </row>
    <row r="37" spans="1:7" hidden="1">
      <c r="A37" s="91">
        <f t="shared" si="5"/>
        <v>15</v>
      </c>
      <c r="B37" s="106">
        <f t="shared" si="6"/>
        <v>0</v>
      </c>
      <c r="C37" s="106">
        <f t="shared" si="0"/>
        <v>0</v>
      </c>
      <c r="D37" s="106">
        <f t="shared" si="1"/>
        <v>0</v>
      </c>
      <c r="E37" s="107">
        <f t="shared" si="2"/>
        <v>0</v>
      </c>
      <c r="F37" s="106">
        <f t="shared" si="3"/>
        <v>0</v>
      </c>
      <c r="G37" s="88">
        <f t="shared" si="4"/>
        <v>0</v>
      </c>
    </row>
    <row r="38" spans="1:7" hidden="1">
      <c r="A38" s="91">
        <f t="shared" si="5"/>
        <v>16</v>
      </c>
      <c r="B38" s="106">
        <f t="shared" si="6"/>
        <v>0</v>
      </c>
      <c r="C38" s="106">
        <f t="shared" si="0"/>
        <v>0</v>
      </c>
      <c r="D38" s="106">
        <f t="shared" si="1"/>
        <v>0</v>
      </c>
      <c r="E38" s="107">
        <f t="shared" si="2"/>
        <v>0</v>
      </c>
      <c r="F38" s="106">
        <f t="shared" si="3"/>
        <v>0</v>
      </c>
      <c r="G38" s="88">
        <f t="shared" si="4"/>
        <v>0</v>
      </c>
    </row>
    <row r="39" spans="1:7" hidden="1">
      <c r="A39" s="91">
        <f t="shared" si="5"/>
        <v>17</v>
      </c>
      <c r="B39" s="106">
        <f t="shared" si="6"/>
        <v>0</v>
      </c>
      <c r="C39" s="106">
        <f t="shared" si="0"/>
        <v>0</v>
      </c>
      <c r="D39" s="106">
        <f t="shared" si="1"/>
        <v>0</v>
      </c>
      <c r="E39" s="107">
        <f t="shared" si="2"/>
        <v>0</v>
      </c>
      <c r="F39" s="106">
        <f t="shared" si="3"/>
        <v>0</v>
      </c>
      <c r="G39" s="88">
        <f t="shared" si="4"/>
        <v>0</v>
      </c>
    </row>
    <row r="40" spans="1:7" hidden="1">
      <c r="A40" s="91">
        <f t="shared" si="5"/>
        <v>18</v>
      </c>
      <c r="B40" s="106">
        <f t="shared" si="6"/>
        <v>0</v>
      </c>
      <c r="C40" s="106">
        <f t="shared" si="0"/>
        <v>0</v>
      </c>
      <c r="D40" s="106">
        <f t="shared" si="1"/>
        <v>0</v>
      </c>
      <c r="E40" s="107">
        <f t="shared" si="2"/>
        <v>0</v>
      </c>
      <c r="F40" s="106">
        <f t="shared" si="3"/>
        <v>0</v>
      </c>
      <c r="G40" s="88">
        <f t="shared" si="4"/>
        <v>0</v>
      </c>
    </row>
    <row r="41" spans="1:7" hidden="1">
      <c r="A41" s="91">
        <f t="shared" si="5"/>
        <v>19</v>
      </c>
      <c r="B41" s="106">
        <f t="shared" si="6"/>
        <v>0</v>
      </c>
      <c r="C41" s="106">
        <f t="shared" si="0"/>
        <v>0</v>
      </c>
      <c r="D41" s="106">
        <f t="shared" si="1"/>
        <v>0</v>
      </c>
      <c r="E41" s="107">
        <f t="shared" si="2"/>
        <v>0</v>
      </c>
      <c r="F41" s="106">
        <f t="shared" si="3"/>
        <v>0</v>
      </c>
      <c r="G41" s="88">
        <f t="shared" si="4"/>
        <v>0</v>
      </c>
    </row>
    <row r="42" spans="1:7" hidden="1">
      <c r="A42" s="91">
        <f t="shared" si="5"/>
        <v>20</v>
      </c>
      <c r="B42" s="106">
        <f t="shared" si="6"/>
        <v>0</v>
      </c>
      <c r="C42" s="106">
        <f t="shared" si="0"/>
        <v>0</v>
      </c>
      <c r="D42" s="106">
        <f t="shared" si="1"/>
        <v>0</v>
      </c>
      <c r="E42" s="107">
        <f t="shared" si="2"/>
        <v>0</v>
      </c>
      <c r="F42" s="106">
        <f t="shared" si="3"/>
        <v>0</v>
      </c>
      <c r="G42" s="88">
        <f t="shared" si="4"/>
        <v>0</v>
      </c>
    </row>
    <row r="43" spans="1:7" hidden="1">
      <c r="A43" s="91">
        <f t="shared" si="5"/>
        <v>21</v>
      </c>
      <c r="B43" s="106">
        <f t="shared" si="6"/>
        <v>0</v>
      </c>
      <c r="C43" s="106">
        <f t="shared" si="0"/>
        <v>0</v>
      </c>
      <c r="D43" s="106">
        <f t="shared" si="1"/>
        <v>0</v>
      </c>
      <c r="E43" s="107">
        <f t="shared" si="2"/>
        <v>0</v>
      </c>
      <c r="F43" s="106">
        <f t="shared" si="3"/>
        <v>0</v>
      </c>
      <c r="G43" s="88">
        <f t="shared" si="4"/>
        <v>0</v>
      </c>
    </row>
    <row r="44" spans="1:7" hidden="1">
      <c r="A44" s="91">
        <f t="shared" si="5"/>
        <v>22</v>
      </c>
      <c r="B44" s="106">
        <f t="shared" si="6"/>
        <v>0</v>
      </c>
      <c r="C44" s="106">
        <f t="shared" si="0"/>
        <v>0</v>
      </c>
      <c r="D44" s="106">
        <f t="shared" si="1"/>
        <v>0</v>
      </c>
      <c r="E44" s="107">
        <f t="shared" si="2"/>
        <v>0</v>
      </c>
      <c r="F44" s="106">
        <f t="shared" si="3"/>
        <v>0</v>
      </c>
      <c r="G44" s="88">
        <f t="shared" si="4"/>
        <v>0</v>
      </c>
    </row>
    <row r="45" spans="1:7" hidden="1">
      <c r="A45" s="91">
        <f t="shared" si="5"/>
        <v>23</v>
      </c>
      <c r="B45" s="106">
        <f t="shared" si="6"/>
        <v>0</v>
      </c>
      <c r="C45" s="106">
        <f t="shared" si="0"/>
        <v>0</v>
      </c>
      <c r="D45" s="106">
        <f t="shared" si="1"/>
        <v>0</v>
      </c>
      <c r="E45" s="107">
        <f t="shared" si="2"/>
        <v>0</v>
      </c>
      <c r="F45" s="106">
        <f t="shared" si="3"/>
        <v>0</v>
      </c>
      <c r="G45" s="88">
        <f t="shared" si="4"/>
        <v>0</v>
      </c>
    </row>
    <row r="46" spans="1:7" hidden="1">
      <c r="A46" s="91">
        <f t="shared" si="5"/>
        <v>24</v>
      </c>
      <c r="B46" s="106">
        <f t="shared" si="6"/>
        <v>0</v>
      </c>
      <c r="C46" s="106">
        <f t="shared" si="0"/>
        <v>0</v>
      </c>
      <c r="D46" s="106">
        <f t="shared" si="1"/>
        <v>0</v>
      </c>
      <c r="E46" s="107">
        <f t="shared" si="2"/>
        <v>0</v>
      </c>
      <c r="F46" s="106">
        <f t="shared" si="3"/>
        <v>0</v>
      </c>
      <c r="G46" s="88">
        <f t="shared" si="4"/>
        <v>0</v>
      </c>
    </row>
    <row r="47" spans="1:7" hidden="1">
      <c r="A47" s="91">
        <f t="shared" si="5"/>
        <v>25</v>
      </c>
      <c r="B47" s="106">
        <f t="shared" si="6"/>
        <v>0</v>
      </c>
      <c r="C47" s="106">
        <f t="shared" si="0"/>
        <v>0</v>
      </c>
      <c r="D47" s="106">
        <f t="shared" si="1"/>
        <v>0</v>
      </c>
      <c r="E47" s="107">
        <f t="shared" si="2"/>
        <v>0</v>
      </c>
      <c r="F47" s="106">
        <f t="shared" si="3"/>
        <v>0</v>
      </c>
      <c r="G47" s="88">
        <f t="shared" si="4"/>
        <v>0</v>
      </c>
    </row>
    <row r="48" spans="1:7" hidden="1">
      <c r="A48" s="91">
        <f t="shared" si="5"/>
        <v>26</v>
      </c>
      <c r="B48" s="106">
        <f t="shared" si="6"/>
        <v>0</v>
      </c>
      <c r="C48" s="106">
        <f t="shared" si="0"/>
        <v>0</v>
      </c>
      <c r="D48" s="106">
        <f t="shared" si="1"/>
        <v>0</v>
      </c>
      <c r="E48" s="107">
        <f t="shared" si="2"/>
        <v>0</v>
      </c>
      <c r="F48" s="106">
        <f t="shared" si="3"/>
        <v>0</v>
      </c>
      <c r="G48" s="88">
        <f t="shared" si="4"/>
        <v>0</v>
      </c>
    </row>
    <row r="49" spans="1:7" hidden="1">
      <c r="A49" s="91">
        <f t="shared" si="5"/>
        <v>27</v>
      </c>
      <c r="B49" s="106">
        <f t="shared" si="6"/>
        <v>0</v>
      </c>
      <c r="C49" s="106">
        <f t="shared" si="0"/>
        <v>0</v>
      </c>
      <c r="D49" s="106">
        <f t="shared" si="1"/>
        <v>0</v>
      </c>
      <c r="E49" s="107">
        <f t="shared" si="2"/>
        <v>0</v>
      </c>
      <c r="F49" s="106">
        <f t="shared" si="3"/>
        <v>0</v>
      </c>
      <c r="G49" s="88">
        <f t="shared" si="4"/>
        <v>0</v>
      </c>
    </row>
    <row r="50" spans="1:7" hidden="1">
      <c r="A50" s="91">
        <f t="shared" si="5"/>
        <v>28</v>
      </c>
      <c r="B50" s="106">
        <f t="shared" si="6"/>
        <v>0</v>
      </c>
      <c r="C50" s="106">
        <f t="shared" si="0"/>
        <v>0</v>
      </c>
      <c r="D50" s="106">
        <f t="shared" si="1"/>
        <v>0</v>
      </c>
      <c r="E50" s="107">
        <f t="shared" si="2"/>
        <v>0</v>
      </c>
      <c r="F50" s="106">
        <f t="shared" si="3"/>
        <v>0</v>
      </c>
      <c r="G50" s="88">
        <f t="shared" si="4"/>
        <v>0</v>
      </c>
    </row>
    <row r="51" spans="1:7" hidden="1">
      <c r="A51" s="91">
        <f t="shared" si="5"/>
        <v>29</v>
      </c>
      <c r="B51" s="106">
        <f t="shared" si="6"/>
        <v>0</v>
      </c>
      <c r="C51" s="106">
        <f t="shared" si="0"/>
        <v>0</v>
      </c>
      <c r="D51" s="106">
        <f t="shared" si="1"/>
        <v>0</v>
      </c>
      <c r="E51" s="107">
        <f t="shared" si="2"/>
        <v>0</v>
      </c>
      <c r="F51" s="106">
        <f t="shared" si="3"/>
        <v>0</v>
      </c>
      <c r="G51" s="88">
        <f t="shared" si="4"/>
        <v>0</v>
      </c>
    </row>
    <row r="52" spans="1:7" hidden="1">
      <c r="A52" s="91">
        <f t="shared" si="5"/>
        <v>30</v>
      </c>
      <c r="B52" s="106">
        <f t="shared" si="6"/>
        <v>0</v>
      </c>
      <c r="C52" s="106">
        <f t="shared" si="0"/>
        <v>0</v>
      </c>
      <c r="D52" s="106">
        <f t="shared" si="1"/>
        <v>0</v>
      </c>
      <c r="E52" s="107">
        <f t="shared" si="2"/>
        <v>0</v>
      </c>
      <c r="F52" s="106">
        <f t="shared" si="3"/>
        <v>0</v>
      </c>
      <c r="G52" s="88">
        <f t="shared" si="4"/>
        <v>0</v>
      </c>
    </row>
    <row r="53" spans="1:7" hidden="1">
      <c r="A53" s="91">
        <f t="shared" si="5"/>
        <v>31</v>
      </c>
      <c r="B53" s="106">
        <f t="shared" si="6"/>
        <v>0</v>
      </c>
      <c r="C53" s="106">
        <f t="shared" si="0"/>
        <v>0</v>
      </c>
      <c r="D53" s="106">
        <f t="shared" si="1"/>
        <v>0</v>
      </c>
      <c r="E53" s="107">
        <f t="shared" si="2"/>
        <v>0</v>
      </c>
      <c r="F53" s="106">
        <f t="shared" si="3"/>
        <v>0</v>
      </c>
      <c r="G53" s="88">
        <f t="shared" si="4"/>
        <v>0</v>
      </c>
    </row>
    <row r="54" spans="1:7" hidden="1">
      <c r="A54" s="91">
        <f t="shared" si="5"/>
        <v>32</v>
      </c>
      <c r="B54" s="106">
        <f t="shared" si="6"/>
        <v>0</v>
      </c>
      <c r="C54" s="106">
        <f t="shared" si="0"/>
        <v>0</v>
      </c>
      <c r="D54" s="106">
        <f t="shared" si="1"/>
        <v>0</v>
      </c>
      <c r="E54" s="107">
        <f t="shared" si="2"/>
        <v>0</v>
      </c>
      <c r="F54" s="106">
        <f t="shared" si="3"/>
        <v>0</v>
      </c>
      <c r="G54" s="88">
        <f t="shared" si="4"/>
        <v>0</v>
      </c>
    </row>
    <row r="55" spans="1:7" hidden="1">
      <c r="A55" s="91">
        <f t="shared" si="5"/>
        <v>33</v>
      </c>
      <c r="B55" s="106">
        <f t="shared" si="6"/>
        <v>0</v>
      </c>
      <c r="C55" s="106">
        <f t="shared" si="0"/>
        <v>0</v>
      </c>
      <c r="D55" s="106">
        <f t="shared" si="1"/>
        <v>0</v>
      </c>
      <c r="E55" s="107">
        <f t="shared" si="2"/>
        <v>0</v>
      </c>
      <c r="F55" s="106">
        <f t="shared" si="3"/>
        <v>0</v>
      </c>
      <c r="G55" s="88">
        <f t="shared" si="4"/>
        <v>0</v>
      </c>
    </row>
    <row r="56" spans="1:7" hidden="1">
      <c r="A56" s="91">
        <f t="shared" si="5"/>
        <v>34</v>
      </c>
      <c r="B56" s="106">
        <f t="shared" si="6"/>
        <v>0</v>
      </c>
      <c r="C56" s="106">
        <f t="shared" si="0"/>
        <v>0</v>
      </c>
      <c r="D56" s="106">
        <f t="shared" si="1"/>
        <v>0</v>
      </c>
      <c r="E56" s="107">
        <f t="shared" si="2"/>
        <v>0</v>
      </c>
      <c r="F56" s="106">
        <f t="shared" si="3"/>
        <v>0</v>
      </c>
      <c r="G56" s="88">
        <f t="shared" si="4"/>
        <v>0</v>
      </c>
    </row>
    <row r="57" spans="1:7" hidden="1">
      <c r="A57" s="91">
        <f t="shared" si="5"/>
        <v>35</v>
      </c>
      <c r="B57" s="106">
        <f t="shared" si="6"/>
        <v>0</v>
      </c>
      <c r="C57" s="106">
        <f t="shared" si="0"/>
        <v>0</v>
      </c>
      <c r="D57" s="106">
        <f t="shared" si="1"/>
        <v>0</v>
      </c>
      <c r="E57" s="107">
        <f t="shared" si="2"/>
        <v>0</v>
      </c>
      <c r="F57" s="106">
        <f t="shared" si="3"/>
        <v>0</v>
      </c>
      <c r="G57" s="88">
        <f t="shared" si="4"/>
        <v>0</v>
      </c>
    </row>
    <row r="58" spans="1:7" hidden="1">
      <c r="A58" s="91">
        <f t="shared" si="5"/>
        <v>36</v>
      </c>
      <c r="B58" s="106">
        <f t="shared" si="6"/>
        <v>0</v>
      </c>
      <c r="C58" s="106">
        <f t="shared" si="0"/>
        <v>0</v>
      </c>
      <c r="D58" s="106">
        <f t="shared" si="1"/>
        <v>0</v>
      </c>
      <c r="E58" s="107">
        <f t="shared" si="2"/>
        <v>0</v>
      </c>
      <c r="F58" s="106">
        <f t="shared" si="3"/>
        <v>0</v>
      </c>
      <c r="G58" s="88">
        <f t="shared" si="4"/>
        <v>0</v>
      </c>
    </row>
    <row r="59" spans="1:7" hidden="1">
      <c r="A59" s="91">
        <f t="shared" si="5"/>
        <v>37</v>
      </c>
      <c r="B59" s="106">
        <f t="shared" si="6"/>
        <v>0</v>
      </c>
      <c r="C59" s="106">
        <f t="shared" si="0"/>
        <v>0</v>
      </c>
      <c r="D59" s="106">
        <f t="shared" si="1"/>
        <v>0</v>
      </c>
      <c r="E59" s="107">
        <f t="shared" si="2"/>
        <v>0</v>
      </c>
      <c r="F59" s="106">
        <f t="shared" si="3"/>
        <v>0</v>
      </c>
      <c r="G59" s="88">
        <f t="shared" si="4"/>
        <v>0</v>
      </c>
    </row>
    <row r="60" spans="1:7" hidden="1">
      <c r="A60" s="91">
        <f t="shared" si="5"/>
        <v>38</v>
      </c>
      <c r="B60" s="106">
        <f t="shared" si="6"/>
        <v>0</v>
      </c>
      <c r="C60" s="106">
        <f t="shared" si="0"/>
        <v>0</v>
      </c>
      <c r="D60" s="106">
        <f t="shared" si="1"/>
        <v>0</v>
      </c>
      <c r="E60" s="107">
        <f t="shared" si="2"/>
        <v>0</v>
      </c>
      <c r="F60" s="106">
        <f t="shared" si="3"/>
        <v>0</v>
      </c>
      <c r="G60" s="88">
        <f t="shared" si="4"/>
        <v>0</v>
      </c>
    </row>
    <row r="61" spans="1:7" hidden="1">
      <c r="A61" s="91">
        <f t="shared" si="5"/>
        <v>39</v>
      </c>
      <c r="B61" s="106">
        <f t="shared" si="6"/>
        <v>0</v>
      </c>
      <c r="C61" s="106">
        <f t="shared" si="0"/>
        <v>0</v>
      </c>
      <c r="D61" s="106">
        <f t="shared" si="1"/>
        <v>0</v>
      </c>
      <c r="E61" s="107">
        <f t="shared" si="2"/>
        <v>0</v>
      </c>
      <c r="F61" s="106">
        <f t="shared" si="3"/>
        <v>0</v>
      </c>
      <c r="G61" s="88">
        <f t="shared" si="4"/>
        <v>0</v>
      </c>
    </row>
    <row r="62" spans="1:7" ht="13.5" hidden="1" thickBot="1">
      <c r="A62" s="91">
        <f t="shared" si="5"/>
        <v>40</v>
      </c>
      <c r="B62" s="106">
        <f t="shared" si="6"/>
        <v>0</v>
      </c>
      <c r="C62" s="106">
        <f t="shared" si="0"/>
        <v>0</v>
      </c>
      <c r="D62" s="106">
        <f t="shared" si="1"/>
        <v>0</v>
      </c>
      <c r="E62" s="107">
        <f t="shared" si="2"/>
        <v>0</v>
      </c>
      <c r="F62" s="106">
        <f t="shared" si="3"/>
        <v>0</v>
      </c>
      <c r="G62" s="88">
        <f t="shared" si="4"/>
        <v>0</v>
      </c>
    </row>
    <row r="63" spans="1:7" ht="13.5" hidden="1" thickBot="1">
      <c r="A63" s="91">
        <f t="shared" si="5"/>
        <v>41</v>
      </c>
      <c r="B63" s="106">
        <f t="shared" si="6"/>
        <v>0</v>
      </c>
      <c r="C63" s="106">
        <f t="shared" si="0"/>
        <v>0</v>
      </c>
      <c r="D63" s="106">
        <f t="shared" si="1"/>
        <v>0</v>
      </c>
      <c r="E63" s="107">
        <f t="shared" si="2"/>
        <v>0</v>
      </c>
      <c r="F63" s="106">
        <f t="shared" si="3"/>
        <v>0</v>
      </c>
      <c r="G63" s="88">
        <f t="shared" si="4"/>
        <v>0</v>
      </c>
    </row>
    <row r="64" spans="1:7" ht="13.5" hidden="1" thickBot="1">
      <c r="A64" s="91">
        <f t="shared" si="5"/>
        <v>42</v>
      </c>
      <c r="B64" s="106">
        <f t="shared" si="6"/>
        <v>0</v>
      </c>
      <c r="C64" s="106">
        <f t="shared" si="0"/>
        <v>0</v>
      </c>
      <c r="D64" s="106">
        <f t="shared" si="1"/>
        <v>0</v>
      </c>
      <c r="E64" s="107">
        <f t="shared" si="2"/>
        <v>0</v>
      </c>
      <c r="F64" s="106">
        <f t="shared" si="3"/>
        <v>0</v>
      </c>
      <c r="G64" s="88">
        <f t="shared" si="4"/>
        <v>0</v>
      </c>
    </row>
    <row r="65" spans="1:7" ht="13.5" hidden="1" thickBot="1">
      <c r="A65" s="91">
        <f t="shared" si="5"/>
        <v>43</v>
      </c>
      <c r="B65" s="106">
        <f t="shared" si="6"/>
        <v>0</v>
      </c>
      <c r="C65" s="106">
        <f t="shared" si="0"/>
        <v>0</v>
      </c>
      <c r="D65" s="106">
        <f t="shared" si="1"/>
        <v>0</v>
      </c>
      <c r="E65" s="107">
        <f t="shared" si="2"/>
        <v>0</v>
      </c>
      <c r="F65" s="106">
        <f t="shared" si="3"/>
        <v>0</v>
      </c>
      <c r="G65" s="88">
        <f t="shared" si="4"/>
        <v>0</v>
      </c>
    </row>
    <row r="66" spans="1:7" ht="13.5" hidden="1" thickBot="1">
      <c r="A66" s="91">
        <f t="shared" si="5"/>
        <v>44</v>
      </c>
      <c r="B66" s="106">
        <f t="shared" si="6"/>
        <v>0</v>
      </c>
      <c r="C66" s="106">
        <f t="shared" si="0"/>
        <v>0</v>
      </c>
      <c r="D66" s="106">
        <f t="shared" si="1"/>
        <v>0</v>
      </c>
      <c r="E66" s="107">
        <f t="shared" si="2"/>
        <v>0</v>
      </c>
      <c r="F66" s="106">
        <f t="shared" si="3"/>
        <v>0</v>
      </c>
      <c r="G66" s="88">
        <f t="shared" si="4"/>
        <v>0</v>
      </c>
    </row>
    <row r="67" spans="1:7" ht="13.5" hidden="1" thickBot="1">
      <c r="A67" s="91">
        <f t="shared" si="5"/>
        <v>45</v>
      </c>
      <c r="B67" s="106">
        <f t="shared" si="6"/>
        <v>0</v>
      </c>
      <c r="C67" s="106">
        <f t="shared" si="0"/>
        <v>0</v>
      </c>
      <c r="D67" s="106">
        <f t="shared" si="1"/>
        <v>0</v>
      </c>
      <c r="E67" s="107">
        <f t="shared" si="2"/>
        <v>0</v>
      </c>
      <c r="F67" s="106">
        <f t="shared" si="3"/>
        <v>0</v>
      </c>
      <c r="G67" s="88">
        <f t="shared" si="4"/>
        <v>0</v>
      </c>
    </row>
    <row r="68" spans="1:7" ht="13.5" hidden="1" thickBot="1">
      <c r="A68" s="91">
        <f t="shared" si="5"/>
        <v>46</v>
      </c>
      <c r="B68" s="106">
        <f t="shared" si="6"/>
        <v>0</v>
      </c>
      <c r="C68" s="106">
        <f t="shared" si="0"/>
        <v>0</v>
      </c>
      <c r="D68" s="106">
        <f t="shared" si="1"/>
        <v>0</v>
      </c>
      <c r="E68" s="107">
        <f t="shared" si="2"/>
        <v>0</v>
      </c>
      <c r="F68" s="106">
        <f t="shared" si="3"/>
        <v>0</v>
      </c>
      <c r="G68" s="88">
        <f t="shared" si="4"/>
        <v>0</v>
      </c>
    </row>
    <row r="69" spans="1:7" ht="13.5" hidden="1" thickBot="1">
      <c r="A69" s="91">
        <f t="shared" si="5"/>
        <v>47</v>
      </c>
      <c r="B69" s="106">
        <f t="shared" si="6"/>
        <v>0</v>
      </c>
      <c r="C69" s="106">
        <f t="shared" si="0"/>
        <v>0</v>
      </c>
      <c r="D69" s="106">
        <f t="shared" si="1"/>
        <v>0</v>
      </c>
      <c r="E69" s="107">
        <f t="shared" si="2"/>
        <v>0</v>
      </c>
      <c r="F69" s="106">
        <f t="shared" si="3"/>
        <v>0</v>
      </c>
      <c r="G69" s="88">
        <f t="shared" si="4"/>
        <v>0</v>
      </c>
    </row>
    <row r="70" spans="1:7" ht="13.5" hidden="1" thickBot="1">
      <c r="A70" s="91">
        <f t="shared" si="5"/>
        <v>48</v>
      </c>
      <c r="B70" s="106">
        <f t="shared" si="6"/>
        <v>0</v>
      </c>
      <c r="C70" s="106">
        <f t="shared" si="0"/>
        <v>0</v>
      </c>
      <c r="D70" s="106">
        <f t="shared" si="1"/>
        <v>0</v>
      </c>
      <c r="E70" s="107">
        <f t="shared" si="2"/>
        <v>0</v>
      </c>
      <c r="F70" s="106">
        <f t="shared" si="3"/>
        <v>0</v>
      </c>
      <c r="G70" s="88">
        <f t="shared" si="4"/>
        <v>0</v>
      </c>
    </row>
    <row r="71" spans="1:7" ht="13.5" hidden="1" thickBot="1">
      <c r="A71" s="91">
        <f t="shared" si="5"/>
        <v>49</v>
      </c>
      <c r="B71" s="106">
        <f t="shared" si="6"/>
        <v>0</v>
      </c>
      <c r="C71" s="106">
        <f t="shared" si="0"/>
        <v>0</v>
      </c>
      <c r="D71" s="106">
        <f t="shared" si="1"/>
        <v>0</v>
      </c>
      <c r="E71" s="107">
        <f t="shared" si="2"/>
        <v>0</v>
      </c>
      <c r="F71" s="106">
        <f t="shared" si="3"/>
        <v>0</v>
      </c>
      <c r="G71" s="88">
        <f t="shared" si="4"/>
        <v>0</v>
      </c>
    </row>
    <row r="72" spans="1:7" ht="13.5" hidden="1" thickBot="1">
      <c r="A72" s="91">
        <f t="shared" si="5"/>
        <v>50</v>
      </c>
      <c r="B72" s="106">
        <f t="shared" si="6"/>
        <v>0</v>
      </c>
      <c r="C72" s="106">
        <f t="shared" si="0"/>
        <v>0</v>
      </c>
      <c r="D72" s="106">
        <f t="shared" si="1"/>
        <v>0</v>
      </c>
      <c r="E72" s="107">
        <f t="shared" si="2"/>
        <v>0</v>
      </c>
      <c r="F72" s="106">
        <f t="shared" si="3"/>
        <v>0</v>
      </c>
      <c r="G72" s="88">
        <f t="shared" si="4"/>
        <v>0</v>
      </c>
    </row>
    <row r="73" spans="1:7" ht="13.5" hidden="1" thickBot="1">
      <c r="A73" s="91">
        <f t="shared" si="5"/>
        <v>51</v>
      </c>
      <c r="B73" s="106">
        <f t="shared" si="6"/>
        <v>0</v>
      </c>
      <c r="C73" s="106">
        <f t="shared" si="0"/>
        <v>0</v>
      </c>
      <c r="D73" s="106">
        <f t="shared" si="1"/>
        <v>0</v>
      </c>
      <c r="E73" s="107">
        <f t="shared" si="2"/>
        <v>0</v>
      </c>
      <c r="F73" s="106">
        <f t="shared" si="3"/>
        <v>0</v>
      </c>
      <c r="G73" s="88">
        <f t="shared" si="4"/>
        <v>0</v>
      </c>
    </row>
    <row r="74" spans="1:7" ht="13.5" hidden="1" thickBot="1">
      <c r="A74" s="91">
        <f t="shared" si="5"/>
        <v>52</v>
      </c>
      <c r="B74" s="106">
        <f t="shared" si="6"/>
        <v>0</v>
      </c>
      <c r="C74" s="106">
        <f t="shared" si="0"/>
        <v>0</v>
      </c>
      <c r="D74" s="106">
        <f t="shared" si="1"/>
        <v>0</v>
      </c>
      <c r="E74" s="107">
        <f t="shared" si="2"/>
        <v>0</v>
      </c>
      <c r="F74" s="106">
        <f t="shared" si="3"/>
        <v>0</v>
      </c>
      <c r="G74" s="88">
        <f t="shared" si="4"/>
        <v>0</v>
      </c>
    </row>
    <row r="75" spans="1:7" ht="13.5" hidden="1" thickBot="1">
      <c r="A75" s="91">
        <f t="shared" si="5"/>
        <v>53</v>
      </c>
      <c r="B75" s="106">
        <f t="shared" si="6"/>
        <v>0</v>
      </c>
      <c r="C75" s="106">
        <f t="shared" si="0"/>
        <v>0</v>
      </c>
      <c r="D75" s="106">
        <f t="shared" si="1"/>
        <v>0</v>
      </c>
      <c r="E75" s="107">
        <f t="shared" si="2"/>
        <v>0</v>
      </c>
      <c r="F75" s="106">
        <f t="shared" si="3"/>
        <v>0</v>
      </c>
      <c r="G75" s="88">
        <f t="shared" si="4"/>
        <v>0</v>
      </c>
    </row>
    <row r="76" spans="1:7" ht="13.5" hidden="1" thickBot="1">
      <c r="A76" s="91">
        <f t="shared" si="5"/>
        <v>54</v>
      </c>
      <c r="B76" s="106">
        <f t="shared" si="6"/>
        <v>0</v>
      </c>
      <c r="C76" s="106">
        <f t="shared" si="0"/>
        <v>0</v>
      </c>
      <c r="D76" s="106">
        <f t="shared" si="1"/>
        <v>0</v>
      </c>
      <c r="E76" s="107">
        <f t="shared" si="2"/>
        <v>0</v>
      </c>
      <c r="F76" s="106">
        <f t="shared" si="3"/>
        <v>0</v>
      </c>
      <c r="G76" s="88">
        <f t="shared" si="4"/>
        <v>0</v>
      </c>
    </row>
    <row r="77" spans="1:7" ht="13.5" hidden="1" thickBot="1">
      <c r="A77" s="91">
        <f t="shared" si="5"/>
        <v>55</v>
      </c>
      <c r="B77" s="106">
        <f t="shared" si="6"/>
        <v>0</v>
      </c>
      <c r="C77" s="106">
        <f t="shared" si="0"/>
        <v>0</v>
      </c>
      <c r="D77" s="106">
        <f t="shared" si="1"/>
        <v>0</v>
      </c>
      <c r="E77" s="107">
        <f t="shared" si="2"/>
        <v>0</v>
      </c>
      <c r="F77" s="106">
        <f t="shared" si="3"/>
        <v>0</v>
      </c>
      <c r="G77" s="88">
        <f t="shared" si="4"/>
        <v>0</v>
      </c>
    </row>
    <row r="78" spans="1:7" ht="13.5" hidden="1" thickBot="1">
      <c r="A78" s="91">
        <f t="shared" si="5"/>
        <v>56</v>
      </c>
      <c r="B78" s="106">
        <f t="shared" si="6"/>
        <v>0</v>
      </c>
      <c r="C78" s="106">
        <f t="shared" si="0"/>
        <v>0</v>
      </c>
      <c r="D78" s="106">
        <f t="shared" si="1"/>
        <v>0</v>
      </c>
      <c r="E78" s="107">
        <f t="shared" si="2"/>
        <v>0</v>
      </c>
      <c r="F78" s="106">
        <f t="shared" si="3"/>
        <v>0</v>
      </c>
      <c r="G78" s="88">
        <f t="shared" si="4"/>
        <v>0</v>
      </c>
    </row>
    <row r="79" spans="1:7" ht="13.5" hidden="1" thickBot="1">
      <c r="A79" s="91">
        <f t="shared" si="5"/>
        <v>57</v>
      </c>
      <c r="B79" s="106">
        <f t="shared" si="6"/>
        <v>0</v>
      </c>
      <c r="C79" s="106">
        <f t="shared" si="0"/>
        <v>0</v>
      </c>
      <c r="D79" s="106">
        <f t="shared" si="1"/>
        <v>0</v>
      </c>
      <c r="E79" s="107">
        <f t="shared" si="2"/>
        <v>0</v>
      </c>
      <c r="F79" s="106">
        <f t="shared" si="3"/>
        <v>0</v>
      </c>
      <c r="G79" s="88">
        <f t="shared" si="4"/>
        <v>0</v>
      </c>
    </row>
    <row r="80" spans="1:7" ht="13.5" hidden="1" thickBot="1">
      <c r="A80" s="91">
        <f t="shared" si="5"/>
        <v>58</v>
      </c>
      <c r="B80" s="106">
        <f t="shared" si="6"/>
        <v>0</v>
      </c>
      <c r="C80" s="106">
        <f t="shared" si="0"/>
        <v>0</v>
      </c>
      <c r="D80" s="106">
        <f t="shared" si="1"/>
        <v>0</v>
      </c>
      <c r="E80" s="107">
        <f t="shared" si="2"/>
        <v>0</v>
      </c>
      <c r="F80" s="106">
        <f t="shared" si="3"/>
        <v>0</v>
      </c>
      <c r="G80" s="88">
        <f t="shared" si="4"/>
        <v>0</v>
      </c>
    </row>
    <row r="81" spans="1:7" ht="13.5" hidden="1" thickBot="1">
      <c r="A81" s="91">
        <f t="shared" si="5"/>
        <v>59</v>
      </c>
      <c r="B81" s="106">
        <f t="shared" si="6"/>
        <v>0</v>
      </c>
      <c r="C81" s="106">
        <f t="shared" si="0"/>
        <v>0</v>
      </c>
      <c r="D81" s="106">
        <f t="shared" si="1"/>
        <v>0</v>
      </c>
      <c r="E81" s="107">
        <f t="shared" si="2"/>
        <v>0</v>
      </c>
      <c r="F81" s="106">
        <f t="shared" si="3"/>
        <v>0</v>
      </c>
      <c r="G81" s="88">
        <f t="shared" si="4"/>
        <v>0</v>
      </c>
    </row>
    <row r="82" spans="1:7" ht="13.5" hidden="1" thickBot="1">
      <c r="A82" s="91">
        <f t="shared" si="5"/>
        <v>60</v>
      </c>
      <c r="B82" s="106">
        <f t="shared" si="6"/>
        <v>0</v>
      </c>
      <c r="C82" s="106">
        <f t="shared" si="0"/>
        <v>0</v>
      </c>
      <c r="D82" s="106">
        <f t="shared" si="1"/>
        <v>0</v>
      </c>
      <c r="E82" s="107">
        <f t="shared" si="2"/>
        <v>0</v>
      </c>
      <c r="F82" s="106">
        <f t="shared" si="3"/>
        <v>0</v>
      </c>
      <c r="G82" s="88">
        <f t="shared" si="4"/>
        <v>0</v>
      </c>
    </row>
    <row r="83" spans="1:7" ht="13.5" hidden="1" thickBot="1">
      <c r="A83" s="91">
        <f t="shared" si="5"/>
        <v>61</v>
      </c>
      <c r="B83" s="106">
        <f t="shared" si="6"/>
        <v>0</v>
      </c>
      <c r="C83" s="106">
        <f t="shared" si="0"/>
        <v>0</v>
      </c>
      <c r="D83" s="106">
        <f t="shared" si="1"/>
        <v>0</v>
      </c>
      <c r="E83" s="107">
        <f t="shared" si="2"/>
        <v>0</v>
      </c>
      <c r="F83" s="106">
        <f t="shared" si="3"/>
        <v>0</v>
      </c>
      <c r="G83" s="88">
        <f t="shared" si="4"/>
        <v>0</v>
      </c>
    </row>
    <row r="84" spans="1:7" ht="13.5" hidden="1" thickBot="1">
      <c r="A84" s="91">
        <f t="shared" si="5"/>
        <v>62</v>
      </c>
      <c r="B84" s="106">
        <f t="shared" si="6"/>
        <v>0</v>
      </c>
      <c r="C84" s="106">
        <f t="shared" si="0"/>
        <v>0</v>
      </c>
      <c r="D84" s="106">
        <f t="shared" si="1"/>
        <v>0</v>
      </c>
      <c r="E84" s="107">
        <f t="shared" si="2"/>
        <v>0</v>
      </c>
      <c r="F84" s="106">
        <f t="shared" si="3"/>
        <v>0</v>
      </c>
      <c r="G84" s="88">
        <f t="shared" si="4"/>
        <v>0</v>
      </c>
    </row>
    <row r="85" spans="1:7" ht="13.5" hidden="1" thickBot="1">
      <c r="A85" s="91">
        <f t="shared" si="5"/>
        <v>63</v>
      </c>
      <c r="B85" s="106">
        <f t="shared" si="6"/>
        <v>0</v>
      </c>
      <c r="C85" s="106">
        <f t="shared" si="0"/>
        <v>0</v>
      </c>
      <c r="D85" s="106">
        <f t="shared" si="1"/>
        <v>0</v>
      </c>
      <c r="E85" s="107">
        <f t="shared" si="2"/>
        <v>0</v>
      </c>
      <c r="F85" s="106">
        <f t="shared" si="3"/>
        <v>0</v>
      </c>
      <c r="G85" s="88">
        <f t="shared" si="4"/>
        <v>0</v>
      </c>
    </row>
    <row r="86" spans="1:7" ht="13.5" hidden="1" thickBot="1">
      <c r="A86" s="91">
        <f t="shared" si="5"/>
        <v>64</v>
      </c>
      <c r="B86" s="106">
        <f t="shared" si="6"/>
        <v>0</v>
      </c>
      <c r="C86" s="106">
        <f t="shared" si="0"/>
        <v>0</v>
      </c>
      <c r="D86" s="106">
        <f t="shared" si="1"/>
        <v>0</v>
      </c>
      <c r="E86" s="107">
        <f t="shared" si="2"/>
        <v>0</v>
      </c>
      <c r="F86" s="106">
        <f t="shared" si="3"/>
        <v>0</v>
      </c>
      <c r="G86" s="88">
        <f t="shared" si="4"/>
        <v>0</v>
      </c>
    </row>
    <row r="87" spans="1:7" ht="13.5" hidden="1" thickBot="1">
      <c r="A87" s="91">
        <f t="shared" si="5"/>
        <v>65</v>
      </c>
      <c r="B87" s="106">
        <f t="shared" si="6"/>
        <v>0</v>
      </c>
      <c r="C87" s="106">
        <f t="shared" ref="C87:C150" si="7">IF(A87&lt;=$D$11,$D$16*-1,0)</f>
        <v>0</v>
      </c>
      <c r="D87" s="106">
        <f t="shared" ref="D87:D150" si="8">IF(A87&gt;$D$11,0,$D$13*-1)</f>
        <v>0</v>
      </c>
      <c r="E87" s="107">
        <f t="shared" ref="E87:E150" si="9">B87*$D$12</f>
        <v>0</v>
      </c>
      <c r="F87" s="106">
        <f t="shared" ref="F87:F150" si="10">D87-E87</f>
        <v>0</v>
      </c>
      <c r="G87" s="88">
        <f t="shared" ref="G87:G150" si="11">B87-F87</f>
        <v>0</v>
      </c>
    </row>
    <row r="88" spans="1:7" ht="13.5" hidden="1" thickBot="1">
      <c r="A88" s="91">
        <f t="shared" ref="A88:A151" si="12">A87+1</f>
        <v>66</v>
      </c>
      <c r="B88" s="106">
        <f t="shared" ref="B88:B151" si="13">IF(A88&lt;=$D$11,G87,0)</f>
        <v>0</v>
      </c>
      <c r="C88" s="106">
        <f t="shared" si="7"/>
        <v>0</v>
      </c>
      <c r="D88" s="106">
        <f t="shared" si="8"/>
        <v>0</v>
      </c>
      <c r="E88" s="107">
        <f t="shared" si="9"/>
        <v>0</v>
      </c>
      <c r="F88" s="106">
        <f t="shared" si="10"/>
        <v>0</v>
      </c>
      <c r="G88" s="88">
        <f t="shared" si="11"/>
        <v>0</v>
      </c>
    </row>
    <row r="89" spans="1:7" ht="13.5" hidden="1" thickBot="1">
      <c r="A89" s="91">
        <f t="shared" si="12"/>
        <v>67</v>
      </c>
      <c r="B89" s="106">
        <f t="shared" si="13"/>
        <v>0</v>
      </c>
      <c r="C89" s="106">
        <f t="shared" si="7"/>
        <v>0</v>
      </c>
      <c r="D89" s="106">
        <f t="shared" si="8"/>
        <v>0</v>
      </c>
      <c r="E89" s="107">
        <f t="shared" si="9"/>
        <v>0</v>
      </c>
      <c r="F89" s="106">
        <f t="shared" si="10"/>
        <v>0</v>
      </c>
      <c r="G89" s="88">
        <f t="shared" si="11"/>
        <v>0</v>
      </c>
    </row>
    <row r="90" spans="1:7" ht="13.5" hidden="1" thickBot="1">
      <c r="A90" s="91">
        <f t="shared" si="12"/>
        <v>68</v>
      </c>
      <c r="B90" s="106">
        <f t="shared" si="13"/>
        <v>0</v>
      </c>
      <c r="C90" s="106">
        <f t="shared" si="7"/>
        <v>0</v>
      </c>
      <c r="D90" s="106">
        <f t="shared" si="8"/>
        <v>0</v>
      </c>
      <c r="E90" s="107">
        <f t="shared" si="9"/>
        <v>0</v>
      </c>
      <c r="F90" s="106">
        <f t="shared" si="10"/>
        <v>0</v>
      </c>
      <c r="G90" s="88">
        <f t="shared" si="11"/>
        <v>0</v>
      </c>
    </row>
    <row r="91" spans="1:7" ht="13.5" hidden="1" thickBot="1">
      <c r="A91" s="91">
        <f t="shared" si="12"/>
        <v>69</v>
      </c>
      <c r="B91" s="106">
        <f t="shared" si="13"/>
        <v>0</v>
      </c>
      <c r="C91" s="106">
        <f t="shared" si="7"/>
        <v>0</v>
      </c>
      <c r="D91" s="106">
        <f t="shared" si="8"/>
        <v>0</v>
      </c>
      <c r="E91" s="107">
        <f t="shared" si="9"/>
        <v>0</v>
      </c>
      <c r="F91" s="106">
        <f t="shared" si="10"/>
        <v>0</v>
      </c>
      <c r="G91" s="88">
        <f t="shared" si="11"/>
        <v>0</v>
      </c>
    </row>
    <row r="92" spans="1:7" ht="13.5" hidden="1" thickBot="1">
      <c r="A92" s="91">
        <f t="shared" si="12"/>
        <v>70</v>
      </c>
      <c r="B92" s="106">
        <f t="shared" si="13"/>
        <v>0</v>
      </c>
      <c r="C92" s="106">
        <f t="shared" si="7"/>
        <v>0</v>
      </c>
      <c r="D92" s="106">
        <f t="shared" si="8"/>
        <v>0</v>
      </c>
      <c r="E92" s="107">
        <f t="shared" si="9"/>
        <v>0</v>
      </c>
      <c r="F92" s="106">
        <f t="shared" si="10"/>
        <v>0</v>
      </c>
      <c r="G92" s="88">
        <f t="shared" si="11"/>
        <v>0</v>
      </c>
    </row>
    <row r="93" spans="1:7" ht="13.5" hidden="1" thickBot="1">
      <c r="A93" s="91">
        <f t="shared" si="12"/>
        <v>71</v>
      </c>
      <c r="B93" s="106">
        <f t="shared" si="13"/>
        <v>0</v>
      </c>
      <c r="C93" s="106">
        <f t="shared" si="7"/>
        <v>0</v>
      </c>
      <c r="D93" s="106">
        <f t="shared" si="8"/>
        <v>0</v>
      </c>
      <c r="E93" s="107">
        <f t="shared" si="9"/>
        <v>0</v>
      </c>
      <c r="F93" s="106">
        <f t="shared" si="10"/>
        <v>0</v>
      </c>
      <c r="G93" s="88">
        <f t="shared" si="11"/>
        <v>0</v>
      </c>
    </row>
    <row r="94" spans="1:7" ht="13.5" hidden="1" thickBot="1">
      <c r="A94" s="91">
        <f t="shared" si="12"/>
        <v>72</v>
      </c>
      <c r="B94" s="106">
        <f t="shared" si="13"/>
        <v>0</v>
      </c>
      <c r="C94" s="106">
        <f t="shared" si="7"/>
        <v>0</v>
      </c>
      <c r="D94" s="106">
        <f t="shared" si="8"/>
        <v>0</v>
      </c>
      <c r="E94" s="107">
        <f t="shared" si="9"/>
        <v>0</v>
      </c>
      <c r="F94" s="106">
        <f t="shared" si="10"/>
        <v>0</v>
      </c>
      <c r="G94" s="88">
        <f t="shared" si="11"/>
        <v>0</v>
      </c>
    </row>
    <row r="95" spans="1:7" ht="13.5" hidden="1" thickBot="1">
      <c r="A95" s="91">
        <f t="shared" si="12"/>
        <v>73</v>
      </c>
      <c r="B95" s="106">
        <f t="shared" si="13"/>
        <v>0</v>
      </c>
      <c r="C95" s="106">
        <f t="shared" si="7"/>
        <v>0</v>
      </c>
      <c r="D95" s="106">
        <f t="shared" si="8"/>
        <v>0</v>
      </c>
      <c r="E95" s="107">
        <f t="shared" si="9"/>
        <v>0</v>
      </c>
      <c r="F95" s="106">
        <f t="shared" si="10"/>
        <v>0</v>
      </c>
      <c r="G95" s="88">
        <f t="shared" si="11"/>
        <v>0</v>
      </c>
    </row>
    <row r="96" spans="1:7" ht="13.5" hidden="1" thickBot="1">
      <c r="A96" s="91">
        <f t="shared" si="12"/>
        <v>74</v>
      </c>
      <c r="B96" s="106">
        <f t="shared" si="13"/>
        <v>0</v>
      </c>
      <c r="C96" s="106">
        <f t="shared" si="7"/>
        <v>0</v>
      </c>
      <c r="D96" s="106">
        <f t="shared" si="8"/>
        <v>0</v>
      </c>
      <c r="E96" s="107">
        <f t="shared" si="9"/>
        <v>0</v>
      </c>
      <c r="F96" s="106">
        <f t="shared" si="10"/>
        <v>0</v>
      </c>
      <c r="G96" s="88">
        <f t="shared" si="11"/>
        <v>0</v>
      </c>
    </row>
    <row r="97" spans="1:7" ht="13.5" hidden="1" thickBot="1">
      <c r="A97" s="91">
        <f t="shared" si="12"/>
        <v>75</v>
      </c>
      <c r="B97" s="106">
        <f t="shared" si="13"/>
        <v>0</v>
      </c>
      <c r="C97" s="106">
        <f t="shared" si="7"/>
        <v>0</v>
      </c>
      <c r="D97" s="106">
        <f t="shared" si="8"/>
        <v>0</v>
      </c>
      <c r="E97" s="107">
        <f t="shared" si="9"/>
        <v>0</v>
      </c>
      <c r="F97" s="106">
        <f t="shared" si="10"/>
        <v>0</v>
      </c>
      <c r="G97" s="88">
        <f t="shared" si="11"/>
        <v>0</v>
      </c>
    </row>
    <row r="98" spans="1:7" ht="13.5" hidden="1" thickBot="1">
      <c r="A98" s="91">
        <f t="shared" si="12"/>
        <v>76</v>
      </c>
      <c r="B98" s="106">
        <f t="shared" si="13"/>
        <v>0</v>
      </c>
      <c r="C98" s="106">
        <f t="shared" si="7"/>
        <v>0</v>
      </c>
      <c r="D98" s="106">
        <f t="shared" si="8"/>
        <v>0</v>
      </c>
      <c r="E98" s="107">
        <f t="shared" si="9"/>
        <v>0</v>
      </c>
      <c r="F98" s="106">
        <f t="shared" si="10"/>
        <v>0</v>
      </c>
      <c r="G98" s="88">
        <f t="shared" si="11"/>
        <v>0</v>
      </c>
    </row>
    <row r="99" spans="1:7" ht="13.5" hidden="1" thickBot="1">
      <c r="A99" s="91">
        <f t="shared" si="12"/>
        <v>77</v>
      </c>
      <c r="B99" s="106">
        <f t="shared" si="13"/>
        <v>0</v>
      </c>
      <c r="C99" s="106">
        <f t="shared" si="7"/>
        <v>0</v>
      </c>
      <c r="D99" s="106">
        <f t="shared" si="8"/>
        <v>0</v>
      </c>
      <c r="E99" s="107">
        <f t="shared" si="9"/>
        <v>0</v>
      </c>
      <c r="F99" s="106">
        <f t="shared" si="10"/>
        <v>0</v>
      </c>
      <c r="G99" s="88">
        <f t="shared" si="11"/>
        <v>0</v>
      </c>
    </row>
    <row r="100" spans="1:7" ht="13.5" hidden="1" thickBot="1">
      <c r="A100" s="91">
        <f t="shared" si="12"/>
        <v>78</v>
      </c>
      <c r="B100" s="106">
        <f t="shared" si="13"/>
        <v>0</v>
      </c>
      <c r="C100" s="106">
        <f t="shared" si="7"/>
        <v>0</v>
      </c>
      <c r="D100" s="106">
        <f t="shared" si="8"/>
        <v>0</v>
      </c>
      <c r="E100" s="107">
        <f t="shared" si="9"/>
        <v>0</v>
      </c>
      <c r="F100" s="106">
        <f t="shared" si="10"/>
        <v>0</v>
      </c>
      <c r="G100" s="88">
        <f t="shared" si="11"/>
        <v>0</v>
      </c>
    </row>
    <row r="101" spans="1:7" ht="13.5" hidden="1" thickBot="1">
      <c r="A101" s="91">
        <f t="shared" si="12"/>
        <v>79</v>
      </c>
      <c r="B101" s="106">
        <f t="shared" si="13"/>
        <v>0</v>
      </c>
      <c r="C101" s="106">
        <f t="shared" si="7"/>
        <v>0</v>
      </c>
      <c r="D101" s="106">
        <f t="shared" si="8"/>
        <v>0</v>
      </c>
      <c r="E101" s="107">
        <f t="shared" si="9"/>
        <v>0</v>
      </c>
      <c r="F101" s="106">
        <f t="shared" si="10"/>
        <v>0</v>
      </c>
      <c r="G101" s="88">
        <f t="shared" si="11"/>
        <v>0</v>
      </c>
    </row>
    <row r="102" spans="1:7" ht="13.5" hidden="1" thickBot="1">
      <c r="A102" s="91">
        <f t="shared" si="12"/>
        <v>80</v>
      </c>
      <c r="B102" s="106">
        <f t="shared" si="13"/>
        <v>0</v>
      </c>
      <c r="C102" s="106">
        <f t="shared" si="7"/>
        <v>0</v>
      </c>
      <c r="D102" s="106">
        <f t="shared" si="8"/>
        <v>0</v>
      </c>
      <c r="E102" s="107">
        <f t="shared" si="9"/>
        <v>0</v>
      </c>
      <c r="F102" s="106">
        <f t="shared" si="10"/>
        <v>0</v>
      </c>
      <c r="G102" s="88">
        <f t="shared" si="11"/>
        <v>0</v>
      </c>
    </row>
    <row r="103" spans="1:7" ht="13.5" hidden="1" thickBot="1">
      <c r="A103" s="91">
        <f t="shared" si="12"/>
        <v>81</v>
      </c>
      <c r="B103" s="106">
        <f t="shared" si="13"/>
        <v>0</v>
      </c>
      <c r="C103" s="106">
        <f t="shared" si="7"/>
        <v>0</v>
      </c>
      <c r="D103" s="106">
        <f t="shared" si="8"/>
        <v>0</v>
      </c>
      <c r="E103" s="107">
        <f t="shared" si="9"/>
        <v>0</v>
      </c>
      <c r="F103" s="106">
        <f t="shared" si="10"/>
        <v>0</v>
      </c>
      <c r="G103" s="88">
        <f t="shared" si="11"/>
        <v>0</v>
      </c>
    </row>
    <row r="104" spans="1:7" ht="13.5" hidden="1" thickBot="1">
      <c r="A104" s="91">
        <f t="shared" si="12"/>
        <v>82</v>
      </c>
      <c r="B104" s="106">
        <f t="shared" si="13"/>
        <v>0</v>
      </c>
      <c r="C104" s="106">
        <f t="shared" si="7"/>
        <v>0</v>
      </c>
      <c r="D104" s="106">
        <f t="shared" si="8"/>
        <v>0</v>
      </c>
      <c r="E104" s="107">
        <f t="shared" si="9"/>
        <v>0</v>
      </c>
      <c r="F104" s="106">
        <f t="shared" si="10"/>
        <v>0</v>
      </c>
      <c r="G104" s="88">
        <f t="shared" si="11"/>
        <v>0</v>
      </c>
    </row>
    <row r="105" spans="1:7" ht="13.5" hidden="1" thickBot="1">
      <c r="A105" s="91">
        <f t="shared" si="12"/>
        <v>83</v>
      </c>
      <c r="B105" s="106">
        <f t="shared" si="13"/>
        <v>0</v>
      </c>
      <c r="C105" s="106">
        <f t="shared" si="7"/>
        <v>0</v>
      </c>
      <c r="D105" s="106">
        <f t="shared" si="8"/>
        <v>0</v>
      </c>
      <c r="E105" s="107">
        <f t="shared" si="9"/>
        <v>0</v>
      </c>
      <c r="F105" s="106">
        <f t="shared" si="10"/>
        <v>0</v>
      </c>
      <c r="G105" s="88">
        <f t="shared" si="11"/>
        <v>0</v>
      </c>
    </row>
    <row r="106" spans="1:7" ht="13.5" hidden="1" thickBot="1">
      <c r="A106" s="91">
        <f t="shared" si="12"/>
        <v>84</v>
      </c>
      <c r="B106" s="106">
        <f t="shared" si="13"/>
        <v>0</v>
      </c>
      <c r="C106" s="106">
        <f t="shared" si="7"/>
        <v>0</v>
      </c>
      <c r="D106" s="106">
        <f t="shared" si="8"/>
        <v>0</v>
      </c>
      <c r="E106" s="107">
        <f t="shared" si="9"/>
        <v>0</v>
      </c>
      <c r="F106" s="106">
        <f t="shared" si="10"/>
        <v>0</v>
      </c>
      <c r="G106" s="88">
        <f t="shared" si="11"/>
        <v>0</v>
      </c>
    </row>
    <row r="107" spans="1:7" ht="13.5" hidden="1" thickBot="1">
      <c r="A107" s="91">
        <f t="shared" si="12"/>
        <v>85</v>
      </c>
      <c r="B107" s="106">
        <f t="shared" si="13"/>
        <v>0</v>
      </c>
      <c r="C107" s="106">
        <f t="shared" si="7"/>
        <v>0</v>
      </c>
      <c r="D107" s="106">
        <f t="shared" si="8"/>
        <v>0</v>
      </c>
      <c r="E107" s="107">
        <f t="shared" si="9"/>
        <v>0</v>
      </c>
      <c r="F107" s="106">
        <f t="shared" si="10"/>
        <v>0</v>
      </c>
      <c r="G107" s="88">
        <f t="shared" si="11"/>
        <v>0</v>
      </c>
    </row>
    <row r="108" spans="1:7" ht="13.5" hidden="1" thickBot="1">
      <c r="A108" s="91">
        <f t="shared" si="12"/>
        <v>86</v>
      </c>
      <c r="B108" s="106">
        <f t="shared" si="13"/>
        <v>0</v>
      </c>
      <c r="C108" s="106">
        <f t="shared" si="7"/>
        <v>0</v>
      </c>
      <c r="D108" s="106">
        <f t="shared" si="8"/>
        <v>0</v>
      </c>
      <c r="E108" s="107">
        <f t="shared" si="9"/>
        <v>0</v>
      </c>
      <c r="F108" s="106">
        <f t="shared" si="10"/>
        <v>0</v>
      </c>
      <c r="G108" s="88">
        <f t="shared" si="11"/>
        <v>0</v>
      </c>
    </row>
    <row r="109" spans="1:7" ht="13.5" hidden="1" thickBot="1">
      <c r="A109" s="91">
        <f t="shared" si="12"/>
        <v>87</v>
      </c>
      <c r="B109" s="106">
        <f t="shared" si="13"/>
        <v>0</v>
      </c>
      <c r="C109" s="106">
        <f t="shared" si="7"/>
        <v>0</v>
      </c>
      <c r="D109" s="106">
        <f t="shared" si="8"/>
        <v>0</v>
      </c>
      <c r="E109" s="107">
        <f t="shared" si="9"/>
        <v>0</v>
      </c>
      <c r="F109" s="106">
        <f t="shared" si="10"/>
        <v>0</v>
      </c>
      <c r="G109" s="88">
        <f t="shared" si="11"/>
        <v>0</v>
      </c>
    </row>
    <row r="110" spans="1:7" ht="13.5" hidden="1" thickBot="1">
      <c r="A110" s="91">
        <f t="shared" si="12"/>
        <v>88</v>
      </c>
      <c r="B110" s="106">
        <f t="shared" si="13"/>
        <v>0</v>
      </c>
      <c r="C110" s="106">
        <f t="shared" si="7"/>
        <v>0</v>
      </c>
      <c r="D110" s="106">
        <f t="shared" si="8"/>
        <v>0</v>
      </c>
      <c r="E110" s="107">
        <f t="shared" si="9"/>
        <v>0</v>
      </c>
      <c r="F110" s="106">
        <f t="shared" si="10"/>
        <v>0</v>
      </c>
      <c r="G110" s="88">
        <f t="shared" si="11"/>
        <v>0</v>
      </c>
    </row>
    <row r="111" spans="1:7" ht="13.5" hidden="1" thickBot="1">
      <c r="A111" s="91">
        <f t="shared" si="12"/>
        <v>89</v>
      </c>
      <c r="B111" s="106">
        <f t="shared" si="13"/>
        <v>0</v>
      </c>
      <c r="C111" s="106">
        <f t="shared" si="7"/>
        <v>0</v>
      </c>
      <c r="D111" s="106">
        <f t="shared" si="8"/>
        <v>0</v>
      </c>
      <c r="E111" s="107">
        <f t="shared" si="9"/>
        <v>0</v>
      </c>
      <c r="F111" s="106">
        <f t="shared" si="10"/>
        <v>0</v>
      </c>
      <c r="G111" s="88">
        <f t="shared" si="11"/>
        <v>0</v>
      </c>
    </row>
    <row r="112" spans="1:7" ht="13.5" hidden="1" thickBot="1">
      <c r="A112" s="91">
        <f t="shared" si="12"/>
        <v>90</v>
      </c>
      <c r="B112" s="106">
        <f t="shared" si="13"/>
        <v>0</v>
      </c>
      <c r="C112" s="106">
        <f t="shared" si="7"/>
        <v>0</v>
      </c>
      <c r="D112" s="106">
        <f t="shared" si="8"/>
        <v>0</v>
      </c>
      <c r="E112" s="107">
        <f t="shared" si="9"/>
        <v>0</v>
      </c>
      <c r="F112" s="106">
        <f t="shared" si="10"/>
        <v>0</v>
      </c>
      <c r="G112" s="88">
        <f t="shared" si="11"/>
        <v>0</v>
      </c>
    </row>
    <row r="113" spans="1:7" ht="13.5" hidden="1" thickBot="1">
      <c r="A113" s="91">
        <f t="shared" si="12"/>
        <v>91</v>
      </c>
      <c r="B113" s="106">
        <f t="shared" si="13"/>
        <v>0</v>
      </c>
      <c r="C113" s="106">
        <f t="shared" si="7"/>
        <v>0</v>
      </c>
      <c r="D113" s="106">
        <f t="shared" si="8"/>
        <v>0</v>
      </c>
      <c r="E113" s="107">
        <f t="shared" si="9"/>
        <v>0</v>
      </c>
      <c r="F113" s="106">
        <f t="shared" si="10"/>
        <v>0</v>
      </c>
      <c r="G113" s="88">
        <f t="shared" si="11"/>
        <v>0</v>
      </c>
    </row>
    <row r="114" spans="1:7" ht="13.5" hidden="1" thickBot="1">
      <c r="A114" s="91">
        <f t="shared" si="12"/>
        <v>92</v>
      </c>
      <c r="B114" s="106">
        <f t="shared" si="13"/>
        <v>0</v>
      </c>
      <c r="C114" s="106">
        <f t="shared" si="7"/>
        <v>0</v>
      </c>
      <c r="D114" s="106">
        <f t="shared" si="8"/>
        <v>0</v>
      </c>
      <c r="E114" s="107">
        <f t="shared" si="9"/>
        <v>0</v>
      </c>
      <c r="F114" s="106">
        <f t="shared" si="10"/>
        <v>0</v>
      </c>
      <c r="G114" s="88">
        <f t="shared" si="11"/>
        <v>0</v>
      </c>
    </row>
    <row r="115" spans="1:7" ht="13.5" hidden="1" thickBot="1">
      <c r="A115" s="91">
        <f t="shared" si="12"/>
        <v>93</v>
      </c>
      <c r="B115" s="106">
        <f t="shared" si="13"/>
        <v>0</v>
      </c>
      <c r="C115" s="106">
        <f t="shared" si="7"/>
        <v>0</v>
      </c>
      <c r="D115" s="106">
        <f t="shared" si="8"/>
        <v>0</v>
      </c>
      <c r="E115" s="107">
        <f t="shared" si="9"/>
        <v>0</v>
      </c>
      <c r="F115" s="106">
        <f t="shared" si="10"/>
        <v>0</v>
      </c>
      <c r="G115" s="88">
        <f t="shared" si="11"/>
        <v>0</v>
      </c>
    </row>
    <row r="116" spans="1:7" ht="13.5" hidden="1" thickBot="1">
      <c r="A116" s="91">
        <f t="shared" si="12"/>
        <v>94</v>
      </c>
      <c r="B116" s="106">
        <f t="shared" si="13"/>
        <v>0</v>
      </c>
      <c r="C116" s="106">
        <f t="shared" si="7"/>
        <v>0</v>
      </c>
      <c r="D116" s="106">
        <f t="shared" si="8"/>
        <v>0</v>
      </c>
      <c r="E116" s="107">
        <f t="shared" si="9"/>
        <v>0</v>
      </c>
      <c r="F116" s="106">
        <f t="shared" si="10"/>
        <v>0</v>
      </c>
      <c r="G116" s="88">
        <f t="shared" si="11"/>
        <v>0</v>
      </c>
    </row>
    <row r="117" spans="1:7" ht="13.5" hidden="1" thickBot="1">
      <c r="A117" s="91">
        <f t="shared" si="12"/>
        <v>95</v>
      </c>
      <c r="B117" s="106">
        <f t="shared" si="13"/>
        <v>0</v>
      </c>
      <c r="C117" s="106">
        <f t="shared" si="7"/>
        <v>0</v>
      </c>
      <c r="D117" s="106">
        <f t="shared" si="8"/>
        <v>0</v>
      </c>
      <c r="E117" s="107">
        <f t="shared" si="9"/>
        <v>0</v>
      </c>
      <c r="F117" s="106">
        <f t="shared" si="10"/>
        <v>0</v>
      </c>
      <c r="G117" s="88">
        <f t="shared" si="11"/>
        <v>0</v>
      </c>
    </row>
    <row r="118" spans="1:7" ht="13.5" hidden="1" thickBot="1">
      <c r="A118" s="91">
        <f t="shared" si="12"/>
        <v>96</v>
      </c>
      <c r="B118" s="106">
        <f t="shared" si="13"/>
        <v>0</v>
      </c>
      <c r="C118" s="106">
        <f t="shared" si="7"/>
        <v>0</v>
      </c>
      <c r="D118" s="106">
        <f t="shared" si="8"/>
        <v>0</v>
      </c>
      <c r="E118" s="107">
        <f t="shared" si="9"/>
        <v>0</v>
      </c>
      <c r="F118" s="106">
        <f t="shared" si="10"/>
        <v>0</v>
      </c>
      <c r="G118" s="88">
        <f t="shared" si="11"/>
        <v>0</v>
      </c>
    </row>
    <row r="119" spans="1:7" ht="13.5" hidden="1" thickBot="1">
      <c r="A119" s="91">
        <f t="shared" si="12"/>
        <v>97</v>
      </c>
      <c r="B119" s="106">
        <f t="shared" si="13"/>
        <v>0</v>
      </c>
      <c r="C119" s="106">
        <f t="shared" si="7"/>
        <v>0</v>
      </c>
      <c r="D119" s="106">
        <f t="shared" si="8"/>
        <v>0</v>
      </c>
      <c r="E119" s="107">
        <f t="shared" si="9"/>
        <v>0</v>
      </c>
      <c r="F119" s="106">
        <f t="shared" si="10"/>
        <v>0</v>
      </c>
      <c r="G119" s="88">
        <f t="shared" si="11"/>
        <v>0</v>
      </c>
    </row>
    <row r="120" spans="1:7" ht="13.5" hidden="1" thickBot="1">
      <c r="A120" s="91">
        <f t="shared" si="12"/>
        <v>98</v>
      </c>
      <c r="B120" s="106">
        <f t="shared" si="13"/>
        <v>0</v>
      </c>
      <c r="C120" s="106">
        <f t="shared" si="7"/>
        <v>0</v>
      </c>
      <c r="D120" s="106">
        <f t="shared" si="8"/>
        <v>0</v>
      </c>
      <c r="E120" s="107">
        <f t="shared" si="9"/>
        <v>0</v>
      </c>
      <c r="F120" s="106">
        <f t="shared" si="10"/>
        <v>0</v>
      </c>
      <c r="G120" s="88">
        <f t="shared" si="11"/>
        <v>0</v>
      </c>
    </row>
    <row r="121" spans="1:7" ht="13.5" hidden="1" thickBot="1">
      <c r="A121" s="91">
        <f t="shared" si="12"/>
        <v>99</v>
      </c>
      <c r="B121" s="106">
        <f t="shared" si="13"/>
        <v>0</v>
      </c>
      <c r="C121" s="106">
        <f t="shared" si="7"/>
        <v>0</v>
      </c>
      <c r="D121" s="106">
        <f t="shared" si="8"/>
        <v>0</v>
      </c>
      <c r="E121" s="107">
        <f t="shared" si="9"/>
        <v>0</v>
      </c>
      <c r="F121" s="106">
        <f t="shared" si="10"/>
        <v>0</v>
      </c>
      <c r="G121" s="88">
        <f t="shared" si="11"/>
        <v>0</v>
      </c>
    </row>
    <row r="122" spans="1:7" ht="13.5" hidden="1" thickBot="1">
      <c r="A122" s="91">
        <f t="shared" si="12"/>
        <v>100</v>
      </c>
      <c r="B122" s="106">
        <f t="shared" si="13"/>
        <v>0</v>
      </c>
      <c r="C122" s="106">
        <f t="shared" si="7"/>
        <v>0</v>
      </c>
      <c r="D122" s="106">
        <f t="shared" si="8"/>
        <v>0</v>
      </c>
      <c r="E122" s="107">
        <f t="shared" si="9"/>
        <v>0</v>
      </c>
      <c r="F122" s="106">
        <f t="shared" si="10"/>
        <v>0</v>
      </c>
      <c r="G122" s="88">
        <f t="shared" si="11"/>
        <v>0</v>
      </c>
    </row>
    <row r="123" spans="1:7" ht="13.5" hidden="1" thickBot="1">
      <c r="A123" s="91">
        <f t="shared" si="12"/>
        <v>101</v>
      </c>
      <c r="B123" s="106">
        <f t="shared" si="13"/>
        <v>0</v>
      </c>
      <c r="C123" s="106">
        <f t="shared" si="7"/>
        <v>0</v>
      </c>
      <c r="D123" s="106">
        <f t="shared" si="8"/>
        <v>0</v>
      </c>
      <c r="E123" s="107">
        <f t="shared" si="9"/>
        <v>0</v>
      </c>
      <c r="F123" s="106">
        <f t="shared" si="10"/>
        <v>0</v>
      </c>
      <c r="G123" s="88">
        <f t="shared" si="11"/>
        <v>0</v>
      </c>
    </row>
    <row r="124" spans="1:7" ht="13.5" hidden="1" thickBot="1">
      <c r="A124" s="91">
        <f t="shared" si="12"/>
        <v>102</v>
      </c>
      <c r="B124" s="106">
        <f t="shared" si="13"/>
        <v>0</v>
      </c>
      <c r="C124" s="106">
        <f t="shared" si="7"/>
        <v>0</v>
      </c>
      <c r="D124" s="106">
        <f t="shared" si="8"/>
        <v>0</v>
      </c>
      <c r="E124" s="107">
        <f t="shared" si="9"/>
        <v>0</v>
      </c>
      <c r="F124" s="106">
        <f t="shared" si="10"/>
        <v>0</v>
      </c>
      <c r="G124" s="88">
        <f t="shared" si="11"/>
        <v>0</v>
      </c>
    </row>
    <row r="125" spans="1:7" ht="13.5" hidden="1" thickBot="1">
      <c r="A125" s="91">
        <f t="shared" si="12"/>
        <v>103</v>
      </c>
      <c r="B125" s="106">
        <f t="shared" si="13"/>
        <v>0</v>
      </c>
      <c r="C125" s="106">
        <f t="shared" si="7"/>
        <v>0</v>
      </c>
      <c r="D125" s="106">
        <f t="shared" si="8"/>
        <v>0</v>
      </c>
      <c r="E125" s="107">
        <f t="shared" si="9"/>
        <v>0</v>
      </c>
      <c r="F125" s="106">
        <f t="shared" si="10"/>
        <v>0</v>
      </c>
      <c r="G125" s="88">
        <f t="shared" si="11"/>
        <v>0</v>
      </c>
    </row>
    <row r="126" spans="1:7" ht="13.5" hidden="1" thickBot="1">
      <c r="A126" s="91">
        <f t="shared" si="12"/>
        <v>104</v>
      </c>
      <c r="B126" s="106">
        <f t="shared" si="13"/>
        <v>0</v>
      </c>
      <c r="C126" s="106">
        <f t="shared" si="7"/>
        <v>0</v>
      </c>
      <c r="D126" s="106">
        <f t="shared" si="8"/>
        <v>0</v>
      </c>
      <c r="E126" s="107">
        <f t="shared" si="9"/>
        <v>0</v>
      </c>
      <c r="F126" s="106">
        <f t="shared" si="10"/>
        <v>0</v>
      </c>
      <c r="G126" s="88">
        <f t="shared" si="11"/>
        <v>0</v>
      </c>
    </row>
    <row r="127" spans="1:7" ht="13.5" hidden="1" thickBot="1">
      <c r="A127" s="91">
        <f t="shared" si="12"/>
        <v>105</v>
      </c>
      <c r="B127" s="106">
        <f t="shared" si="13"/>
        <v>0</v>
      </c>
      <c r="C127" s="106">
        <f t="shared" si="7"/>
        <v>0</v>
      </c>
      <c r="D127" s="106">
        <f t="shared" si="8"/>
        <v>0</v>
      </c>
      <c r="E127" s="107">
        <f t="shared" si="9"/>
        <v>0</v>
      </c>
      <c r="F127" s="106">
        <f t="shared" si="10"/>
        <v>0</v>
      </c>
      <c r="G127" s="88">
        <f t="shared" si="11"/>
        <v>0</v>
      </c>
    </row>
    <row r="128" spans="1:7" ht="13.5" hidden="1" thickBot="1">
      <c r="A128" s="91">
        <f t="shared" si="12"/>
        <v>106</v>
      </c>
      <c r="B128" s="106">
        <f t="shared" si="13"/>
        <v>0</v>
      </c>
      <c r="C128" s="106">
        <f t="shared" si="7"/>
        <v>0</v>
      </c>
      <c r="D128" s="106">
        <f t="shared" si="8"/>
        <v>0</v>
      </c>
      <c r="E128" s="107">
        <f t="shared" si="9"/>
        <v>0</v>
      </c>
      <c r="F128" s="106">
        <f t="shared" si="10"/>
        <v>0</v>
      </c>
      <c r="G128" s="88">
        <f t="shared" si="11"/>
        <v>0</v>
      </c>
    </row>
    <row r="129" spans="1:7" ht="13.5" hidden="1" thickBot="1">
      <c r="A129" s="91">
        <f t="shared" si="12"/>
        <v>107</v>
      </c>
      <c r="B129" s="106">
        <f t="shared" si="13"/>
        <v>0</v>
      </c>
      <c r="C129" s="106">
        <f t="shared" si="7"/>
        <v>0</v>
      </c>
      <c r="D129" s="106">
        <f t="shared" si="8"/>
        <v>0</v>
      </c>
      <c r="E129" s="107">
        <f t="shared" si="9"/>
        <v>0</v>
      </c>
      <c r="F129" s="106">
        <f t="shared" si="10"/>
        <v>0</v>
      </c>
      <c r="G129" s="88">
        <f t="shared" si="11"/>
        <v>0</v>
      </c>
    </row>
    <row r="130" spans="1:7" ht="13.5" hidden="1" thickBot="1">
      <c r="A130" s="91">
        <f t="shared" si="12"/>
        <v>108</v>
      </c>
      <c r="B130" s="106">
        <f t="shared" si="13"/>
        <v>0</v>
      </c>
      <c r="C130" s="106">
        <f t="shared" si="7"/>
        <v>0</v>
      </c>
      <c r="D130" s="106">
        <f t="shared" si="8"/>
        <v>0</v>
      </c>
      <c r="E130" s="107">
        <f t="shared" si="9"/>
        <v>0</v>
      </c>
      <c r="F130" s="106">
        <f t="shared" si="10"/>
        <v>0</v>
      </c>
      <c r="G130" s="88">
        <f t="shared" si="11"/>
        <v>0</v>
      </c>
    </row>
    <row r="131" spans="1:7" ht="13.5" hidden="1" thickBot="1">
      <c r="A131" s="91">
        <f t="shared" si="12"/>
        <v>109</v>
      </c>
      <c r="B131" s="106">
        <f t="shared" si="13"/>
        <v>0</v>
      </c>
      <c r="C131" s="106">
        <f t="shared" si="7"/>
        <v>0</v>
      </c>
      <c r="D131" s="106">
        <f t="shared" si="8"/>
        <v>0</v>
      </c>
      <c r="E131" s="107">
        <f t="shared" si="9"/>
        <v>0</v>
      </c>
      <c r="F131" s="106">
        <f t="shared" si="10"/>
        <v>0</v>
      </c>
      <c r="G131" s="88">
        <f t="shared" si="11"/>
        <v>0</v>
      </c>
    </row>
    <row r="132" spans="1:7" ht="13.5" hidden="1" thickBot="1">
      <c r="A132" s="91">
        <f t="shared" si="12"/>
        <v>110</v>
      </c>
      <c r="B132" s="106">
        <f t="shared" si="13"/>
        <v>0</v>
      </c>
      <c r="C132" s="106">
        <f t="shared" si="7"/>
        <v>0</v>
      </c>
      <c r="D132" s="106">
        <f t="shared" si="8"/>
        <v>0</v>
      </c>
      <c r="E132" s="107">
        <f t="shared" si="9"/>
        <v>0</v>
      </c>
      <c r="F132" s="106">
        <f t="shared" si="10"/>
        <v>0</v>
      </c>
      <c r="G132" s="88">
        <f t="shared" si="11"/>
        <v>0</v>
      </c>
    </row>
    <row r="133" spans="1:7" ht="13.5" hidden="1" thickBot="1">
      <c r="A133" s="91">
        <f t="shared" si="12"/>
        <v>111</v>
      </c>
      <c r="B133" s="106">
        <f t="shared" si="13"/>
        <v>0</v>
      </c>
      <c r="C133" s="106">
        <f t="shared" si="7"/>
        <v>0</v>
      </c>
      <c r="D133" s="106">
        <f t="shared" si="8"/>
        <v>0</v>
      </c>
      <c r="E133" s="107">
        <f t="shared" si="9"/>
        <v>0</v>
      </c>
      <c r="F133" s="106">
        <f t="shared" si="10"/>
        <v>0</v>
      </c>
      <c r="G133" s="88">
        <f t="shared" si="11"/>
        <v>0</v>
      </c>
    </row>
    <row r="134" spans="1:7" ht="13.5" hidden="1" thickBot="1">
      <c r="A134" s="91">
        <f t="shared" si="12"/>
        <v>112</v>
      </c>
      <c r="B134" s="106">
        <f t="shared" si="13"/>
        <v>0</v>
      </c>
      <c r="C134" s="106">
        <f t="shared" si="7"/>
        <v>0</v>
      </c>
      <c r="D134" s="106">
        <f t="shared" si="8"/>
        <v>0</v>
      </c>
      <c r="E134" s="107">
        <f t="shared" si="9"/>
        <v>0</v>
      </c>
      <c r="F134" s="106">
        <f t="shared" si="10"/>
        <v>0</v>
      </c>
      <c r="G134" s="88">
        <f t="shared" si="11"/>
        <v>0</v>
      </c>
    </row>
    <row r="135" spans="1:7" ht="13.5" hidden="1" thickBot="1">
      <c r="A135" s="91">
        <f t="shared" si="12"/>
        <v>113</v>
      </c>
      <c r="B135" s="106">
        <f t="shared" si="13"/>
        <v>0</v>
      </c>
      <c r="C135" s="106">
        <f t="shared" si="7"/>
        <v>0</v>
      </c>
      <c r="D135" s="106">
        <f t="shared" si="8"/>
        <v>0</v>
      </c>
      <c r="E135" s="107">
        <f t="shared" si="9"/>
        <v>0</v>
      </c>
      <c r="F135" s="106">
        <f t="shared" si="10"/>
        <v>0</v>
      </c>
      <c r="G135" s="88">
        <f t="shared" si="11"/>
        <v>0</v>
      </c>
    </row>
    <row r="136" spans="1:7" ht="13.5" hidden="1" thickBot="1">
      <c r="A136" s="91">
        <f t="shared" si="12"/>
        <v>114</v>
      </c>
      <c r="B136" s="106">
        <f t="shared" si="13"/>
        <v>0</v>
      </c>
      <c r="C136" s="106">
        <f t="shared" si="7"/>
        <v>0</v>
      </c>
      <c r="D136" s="106">
        <f t="shared" si="8"/>
        <v>0</v>
      </c>
      <c r="E136" s="107">
        <f t="shared" si="9"/>
        <v>0</v>
      </c>
      <c r="F136" s="106">
        <f t="shared" si="10"/>
        <v>0</v>
      </c>
      <c r="G136" s="88">
        <f t="shared" si="11"/>
        <v>0</v>
      </c>
    </row>
    <row r="137" spans="1:7" ht="13.5" hidden="1" thickBot="1">
      <c r="A137" s="91">
        <f t="shared" si="12"/>
        <v>115</v>
      </c>
      <c r="B137" s="106">
        <f t="shared" si="13"/>
        <v>0</v>
      </c>
      <c r="C137" s="106">
        <f t="shared" si="7"/>
        <v>0</v>
      </c>
      <c r="D137" s="106">
        <f t="shared" si="8"/>
        <v>0</v>
      </c>
      <c r="E137" s="107">
        <f t="shared" si="9"/>
        <v>0</v>
      </c>
      <c r="F137" s="106">
        <f t="shared" si="10"/>
        <v>0</v>
      </c>
      <c r="G137" s="88">
        <f t="shared" si="11"/>
        <v>0</v>
      </c>
    </row>
    <row r="138" spans="1:7" ht="13.5" hidden="1" thickBot="1">
      <c r="A138" s="91">
        <f t="shared" si="12"/>
        <v>116</v>
      </c>
      <c r="B138" s="106">
        <f t="shared" si="13"/>
        <v>0</v>
      </c>
      <c r="C138" s="106">
        <f t="shared" si="7"/>
        <v>0</v>
      </c>
      <c r="D138" s="106">
        <f t="shared" si="8"/>
        <v>0</v>
      </c>
      <c r="E138" s="107">
        <f t="shared" si="9"/>
        <v>0</v>
      </c>
      <c r="F138" s="106">
        <f t="shared" si="10"/>
        <v>0</v>
      </c>
      <c r="G138" s="88">
        <f t="shared" si="11"/>
        <v>0</v>
      </c>
    </row>
    <row r="139" spans="1:7" ht="13.5" hidden="1" thickBot="1">
      <c r="A139" s="91">
        <f t="shared" si="12"/>
        <v>117</v>
      </c>
      <c r="B139" s="106">
        <f t="shared" si="13"/>
        <v>0</v>
      </c>
      <c r="C139" s="106">
        <f t="shared" si="7"/>
        <v>0</v>
      </c>
      <c r="D139" s="106">
        <f t="shared" si="8"/>
        <v>0</v>
      </c>
      <c r="E139" s="107">
        <f t="shared" si="9"/>
        <v>0</v>
      </c>
      <c r="F139" s="106">
        <f t="shared" si="10"/>
        <v>0</v>
      </c>
      <c r="G139" s="88">
        <f t="shared" si="11"/>
        <v>0</v>
      </c>
    </row>
    <row r="140" spans="1:7" ht="13.5" hidden="1" thickBot="1">
      <c r="A140" s="91">
        <f t="shared" si="12"/>
        <v>118</v>
      </c>
      <c r="B140" s="106">
        <f t="shared" si="13"/>
        <v>0</v>
      </c>
      <c r="C140" s="106">
        <f t="shared" si="7"/>
        <v>0</v>
      </c>
      <c r="D140" s="106">
        <f t="shared" si="8"/>
        <v>0</v>
      </c>
      <c r="E140" s="107">
        <f t="shared" si="9"/>
        <v>0</v>
      </c>
      <c r="F140" s="106">
        <f t="shared" si="10"/>
        <v>0</v>
      </c>
      <c r="G140" s="88">
        <f t="shared" si="11"/>
        <v>0</v>
      </c>
    </row>
    <row r="141" spans="1:7" ht="13.5" hidden="1" thickBot="1">
      <c r="A141" s="91">
        <f t="shared" si="12"/>
        <v>119</v>
      </c>
      <c r="B141" s="106">
        <f t="shared" si="13"/>
        <v>0</v>
      </c>
      <c r="C141" s="106">
        <f t="shared" si="7"/>
        <v>0</v>
      </c>
      <c r="D141" s="106">
        <f t="shared" si="8"/>
        <v>0</v>
      </c>
      <c r="E141" s="107">
        <f t="shared" si="9"/>
        <v>0</v>
      </c>
      <c r="F141" s="106">
        <f t="shared" si="10"/>
        <v>0</v>
      </c>
      <c r="G141" s="88">
        <f t="shared" si="11"/>
        <v>0</v>
      </c>
    </row>
    <row r="142" spans="1:7" ht="13.5" hidden="1" thickBot="1">
      <c r="A142" s="91">
        <f t="shared" si="12"/>
        <v>120</v>
      </c>
      <c r="B142" s="106">
        <f t="shared" si="13"/>
        <v>0</v>
      </c>
      <c r="C142" s="106">
        <f t="shared" si="7"/>
        <v>0</v>
      </c>
      <c r="D142" s="106">
        <f t="shared" si="8"/>
        <v>0</v>
      </c>
      <c r="E142" s="107">
        <f t="shared" si="9"/>
        <v>0</v>
      </c>
      <c r="F142" s="106">
        <f t="shared" si="10"/>
        <v>0</v>
      </c>
      <c r="G142" s="88">
        <f t="shared" si="11"/>
        <v>0</v>
      </c>
    </row>
    <row r="143" spans="1:7" ht="13.5" hidden="1" thickBot="1">
      <c r="A143" s="91">
        <f t="shared" si="12"/>
        <v>121</v>
      </c>
      <c r="B143" s="106">
        <f t="shared" si="13"/>
        <v>0</v>
      </c>
      <c r="C143" s="106">
        <f t="shared" si="7"/>
        <v>0</v>
      </c>
      <c r="D143" s="106">
        <f t="shared" si="8"/>
        <v>0</v>
      </c>
      <c r="E143" s="107">
        <f t="shared" si="9"/>
        <v>0</v>
      </c>
      <c r="F143" s="106">
        <f t="shared" si="10"/>
        <v>0</v>
      </c>
      <c r="G143" s="88">
        <f t="shared" si="11"/>
        <v>0</v>
      </c>
    </row>
    <row r="144" spans="1:7" ht="13.5" hidden="1" thickBot="1">
      <c r="A144" s="91">
        <f t="shared" si="12"/>
        <v>122</v>
      </c>
      <c r="B144" s="106">
        <f t="shared" si="13"/>
        <v>0</v>
      </c>
      <c r="C144" s="106">
        <f t="shared" si="7"/>
        <v>0</v>
      </c>
      <c r="D144" s="106">
        <f t="shared" si="8"/>
        <v>0</v>
      </c>
      <c r="E144" s="107">
        <f t="shared" si="9"/>
        <v>0</v>
      </c>
      <c r="F144" s="106">
        <f t="shared" si="10"/>
        <v>0</v>
      </c>
      <c r="G144" s="88">
        <f t="shared" si="11"/>
        <v>0</v>
      </c>
    </row>
    <row r="145" spans="1:7" ht="13.5" hidden="1" thickBot="1">
      <c r="A145" s="91">
        <f t="shared" si="12"/>
        <v>123</v>
      </c>
      <c r="B145" s="106">
        <f t="shared" si="13"/>
        <v>0</v>
      </c>
      <c r="C145" s="106">
        <f t="shared" si="7"/>
        <v>0</v>
      </c>
      <c r="D145" s="106">
        <f t="shared" si="8"/>
        <v>0</v>
      </c>
      <c r="E145" s="107">
        <f t="shared" si="9"/>
        <v>0</v>
      </c>
      <c r="F145" s="106">
        <f t="shared" si="10"/>
        <v>0</v>
      </c>
      <c r="G145" s="88">
        <f t="shared" si="11"/>
        <v>0</v>
      </c>
    </row>
    <row r="146" spans="1:7" ht="13.5" hidden="1" thickBot="1">
      <c r="A146" s="91">
        <f t="shared" si="12"/>
        <v>124</v>
      </c>
      <c r="B146" s="106">
        <f t="shared" si="13"/>
        <v>0</v>
      </c>
      <c r="C146" s="106">
        <f t="shared" si="7"/>
        <v>0</v>
      </c>
      <c r="D146" s="106">
        <f t="shared" si="8"/>
        <v>0</v>
      </c>
      <c r="E146" s="107">
        <f t="shared" si="9"/>
        <v>0</v>
      </c>
      <c r="F146" s="106">
        <f t="shared" si="10"/>
        <v>0</v>
      </c>
      <c r="G146" s="88">
        <f t="shared" si="11"/>
        <v>0</v>
      </c>
    </row>
    <row r="147" spans="1:7" ht="13.5" hidden="1" thickBot="1">
      <c r="A147" s="91">
        <f t="shared" si="12"/>
        <v>125</v>
      </c>
      <c r="B147" s="106">
        <f t="shared" si="13"/>
        <v>0</v>
      </c>
      <c r="C147" s="106">
        <f t="shared" si="7"/>
        <v>0</v>
      </c>
      <c r="D147" s="106">
        <f t="shared" si="8"/>
        <v>0</v>
      </c>
      <c r="E147" s="107">
        <f t="shared" si="9"/>
        <v>0</v>
      </c>
      <c r="F147" s="106">
        <f t="shared" si="10"/>
        <v>0</v>
      </c>
      <c r="G147" s="88">
        <f t="shared" si="11"/>
        <v>0</v>
      </c>
    </row>
    <row r="148" spans="1:7" ht="13.5" hidden="1" thickBot="1">
      <c r="A148" s="91">
        <f t="shared" si="12"/>
        <v>126</v>
      </c>
      <c r="B148" s="106">
        <f t="shared" si="13"/>
        <v>0</v>
      </c>
      <c r="C148" s="106">
        <f t="shared" si="7"/>
        <v>0</v>
      </c>
      <c r="D148" s="106">
        <f t="shared" si="8"/>
        <v>0</v>
      </c>
      <c r="E148" s="107">
        <f t="shared" si="9"/>
        <v>0</v>
      </c>
      <c r="F148" s="106">
        <f t="shared" si="10"/>
        <v>0</v>
      </c>
      <c r="G148" s="88">
        <f t="shared" si="11"/>
        <v>0</v>
      </c>
    </row>
    <row r="149" spans="1:7" ht="13.5" hidden="1" thickBot="1">
      <c r="A149" s="91">
        <f t="shared" si="12"/>
        <v>127</v>
      </c>
      <c r="B149" s="106">
        <f t="shared" si="13"/>
        <v>0</v>
      </c>
      <c r="C149" s="106">
        <f t="shared" si="7"/>
        <v>0</v>
      </c>
      <c r="D149" s="106">
        <f t="shared" si="8"/>
        <v>0</v>
      </c>
      <c r="E149" s="107">
        <f t="shared" si="9"/>
        <v>0</v>
      </c>
      <c r="F149" s="106">
        <f t="shared" si="10"/>
        <v>0</v>
      </c>
      <c r="G149" s="88">
        <f t="shared" si="11"/>
        <v>0</v>
      </c>
    </row>
    <row r="150" spans="1:7" ht="13.5" hidden="1" thickBot="1">
      <c r="A150" s="91">
        <f t="shared" si="12"/>
        <v>128</v>
      </c>
      <c r="B150" s="106">
        <f t="shared" si="13"/>
        <v>0</v>
      </c>
      <c r="C150" s="106">
        <f t="shared" si="7"/>
        <v>0</v>
      </c>
      <c r="D150" s="106">
        <f t="shared" si="8"/>
        <v>0</v>
      </c>
      <c r="E150" s="107">
        <f t="shared" si="9"/>
        <v>0</v>
      </c>
      <c r="F150" s="106">
        <f t="shared" si="10"/>
        <v>0</v>
      </c>
      <c r="G150" s="88">
        <f t="shared" si="11"/>
        <v>0</v>
      </c>
    </row>
    <row r="151" spans="1:7" ht="13.5" hidden="1" thickBot="1">
      <c r="A151" s="91">
        <f t="shared" si="12"/>
        <v>129</v>
      </c>
      <c r="B151" s="106">
        <f t="shared" si="13"/>
        <v>0</v>
      </c>
      <c r="C151" s="106">
        <f t="shared" ref="C151:C214" si="14">IF(A151&lt;=$D$11,$D$16*-1,0)</f>
        <v>0</v>
      </c>
      <c r="D151" s="106">
        <f t="shared" ref="D151:D214" si="15">IF(A151&gt;$D$11,0,$D$13*-1)</f>
        <v>0</v>
      </c>
      <c r="E151" s="107">
        <f t="shared" ref="E151:E214" si="16">B151*$D$12</f>
        <v>0</v>
      </c>
      <c r="F151" s="106">
        <f t="shared" ref="F151:F214" si="17">D151-E151</f>
        <v>0</v>
      </c>
      <c r="G151" s="88">
        <f t="shared" ref="G151:G214" si="18">B151-F151</f>
        <v>0</v>
      </c>
    </row>
    <row r="152" spans="1:7" ht="13.5" hidden="1" thickBot="1">
      <c r="A152" s="91">
        <f t="shared" ref="A152:A215" si="19">A151+1</f>
        <v>130</v>
      </c>
      <c r="B152" s="106">
        <f t="shared" ref="B152:B215" si="20">IF(A152&lt;=$D$11,G151,0)</f>
        <v>0</v>
      </c>
      <c r="C152" s="106">
        <f t="shared" si="14"/>
        <v>0</v>
      </c>
      <c r="D152" s="106">
        <f t="shared" si="15"/>
        <v>0</v>
      </c>
      <c r="E152" s="107">
        <f t="shared" si="16"/>
        <v>0</v>
      </c>
      <c r="F152" s="106">
        <f t="shared" si="17"/>
        <v>0</v>
      </c>
      <c r="G152" s="88">
        <f t="shared" si="18"/>
        <v>0</v>
      </c>
    </row>
    <row r="153" spans="1:7" ht="13.5" hidden="1" thickBot="1">
      <c r="A153" s="91">
        <f t="shared" si="19"/>
        <v>131</v>
      </c>
      <c r="B153" s="106">
        <f t="shared" si="20"/>
        <v>0</v>
      </c>
      <c r="C153" s="106">
        <f t="shared" si="14"/>
        <v>0</v>
      </c>
      <c r="D153" s="106">
        <f t="shared" si="15"/>
        <v>0</v>
      </c>
      <c r="E153" s="107">
        <f t="shared" si="16"/>
        <v>0</v>
      </c>
      <c r="F153" s="106">
        <f t="shared" si="17"/>
        <v>0</v>
      </c>
      <c r="G153" s="88">
        <f t="shared" si="18"/>
        <v>0</v>
      </c>
    </row>
    <row r="154" spans="1:7" ht="13.5" hidden="1" thickBot="1">
      <c r="A154" s="91">
        <f t="shared" si="19"/>
        <v>132</v>
      </c>
      <c r="B154" s="106">
        <f t="shared" si="20"/>
        <v>0</v>
      </c>
      <c r="C154" s="106">
        <f t="shared" si="14"/>
        <v>0</v>
      </c>
      <c r="D154" s="106">
        <f t="shared" si="15"/>
        <v>0</v>
      </c>
      <c r="E154" s="107">
        <f t="shared" si="16"/>
        <v>0</v>
      </c>
      <c r="F154" s="106">
        <f t="shared" si="17"/>
        <v>0</v>
      </c>
      <c r="G154" s="88">
        <f t="shared" si="18"/>
        <v>0</v>
      </c>
    </row>
    <row r="155" spans="1:7" ht="13.5" hidden="1" thickBot="1">
      <c r="A155" s="91">
        <f t="shared" si="19"/>
        <v>133</v>
      </c>
      <c r="B155" s="106">
        <f t="shared" si="20"/>
        <v>0</v>
      </c>
      <c r="C155" s="106">
        <f t="shared" si="14"/>
        <v>0</v>
      </c>
      <c r="D155" s="106">
        <f t="shared" si="15"/>
        <v>0</v>
      </c>
      <c r="E155" s="107">
        <f t="shared" si="16"/>
        <v>0</v>
      </c>
      <c r="F155" s="106">
        <f t="shared" si="17"/>
        <v>0</v>
      </c>
      <c r="G155" s="88">
        <f t="shared" si="18"/>
        <v>0</v>
      </c>
    </row>
    <row r="156" spans="1:7" ht="13.5" hidden="1" thickBot="1">
      <c r="A156" s="91">
        <f t="shared" si="19"/>
        <v>134</v>
      </c>
      <c r="B156" s="106">
        <f t="shared" si="20"/>
        <v>0</v>
      </c>
      <c r="C156" s="106">
        <f t="shared" si="14"/>
        <v>0</v>
      </c>
      <c r="D156" s="106">
        <f t="shared" si="15"/>
        <v>0</v>
      </c>
      <c r="E156" s="107">
        <f t="shared" si="16"/>
        <v>0</v>
      </c>
      <c r="F156" s="106">
        <f t="shared" si="17"/>
        <v>0</v>
      </c>
      <c r="G156" s="88">
        <f t="shared" si="18"/>
        <v>0</v>
      </c>
    </row>
    <row r="157" spans="1:7" ht="13.5" hidden="1" thickBot="1">
      <c r="A157" s="91">
        <f t="shared" si="19"/>
        <v>135</v>
      </c>
      <c r="B157" s="106">
        <f t="shared" si="20"/>
        <v>0</v>
      </c>
      <c r="C157" s="106">
        <f t="shared" si="14"/>
        <v>0</v>
      </c>
      <c r="D157" s="106">
        <f t="shared" si="15"/>
        <v>0</v>
      </c>
      <c r="E157" s="107">
        <f t="shared" si="16"/>
        <v>0</v>
      </c>
      <c r="F157" s="106">
        <f t="shared" si="17"/>
        <v>0</v>
      </c>
      <c r="G157" s="88">
        <f t="shared" si="18"/>
        <v>0</v>
      </c>
    </row>
    <row r="158" spans="1:7" ht="13.5" hidden="1" thickBot="1">
      <c r="A158" s="91">
        <f t="shared" si="19"/>
        <v>136</v>
      </c>
      <c r="B158" s="106">
        <f t="shared" si="20"/>
        <v>0</v>
      </c>
      <c r="C158" s="106">
        <f t="shared" si="14"/>
        <v>0</v>
      </c>
      <c r="D158" s="106">
        <f t="shared" si="15"/>
        <v>0</v>
      </c>
      <c r="E158" s="107">
        <f t="shared" si="16"/>
        <v>0</v>
      </c>
      <c r="F158" s="106">
        <f t="shared" si="17"/>
        <v>0</v>
      </c>
      <c r="G158" s="88">
        <f t="shared" si="18"/>
        <v>0</v>
      </c>
    </row>
    <row r="159" spans="1:7" ht="13.5" hidden="1" thickBot="1">
      <c r="A159" s="91">
        <f t="shared" si="19"/>
        <v>137</v>
      </c>
      <c r="B159" s="106">
        <f t="shared" si="20"/>
        <v>0</v>
      </c>
      <c r="C159" s="106">
        <f t="shared" si="14"/>
        <v>0</v>
      </c>
      <c r="D159" s="106">
        <f t="shared" si="15"/>
        <v>0</v>
      </c>
      <c r="E159" s="107">
        <f t="shared" si="16"/>
        <v>0</v>
      </c>
      <c r="F159" s="106">
        <f t="shared" si="17"/>
        <v>0</v>
      </c>
      <c r="G159" s="88">
        <f t="shared" si="18"/>
        <v>0</v>
      </c>
    </row>
    <row r="160" spans="1:7" ht="13.5" hidden="1" thickBot="1">
      <c r="A160" s="91">
        <f t="shared" si="19"/>
        <v>138</v>
      </c>
      <c r="B160" s="106">
        <f t="shared" si="20"/>
        <v>0</v>
      </c>
      <c r="C160" s="106">
        <f t="shared" si="14"/>
        <v>0</v>
      </c>
      <c r="D160" s="106">
        <f t="shared" si="15"/>
        <v>0</v>
      </c>
      <c r="E160" s="107">
        <f t="shared" si="16"/>
        <v>0</v>
      </c>
      <c r="F160" s="106">
        <f t="shared" si="17"/>
        <v>0</v>
      </c>
      <c r="G160" s="88">
        <f t="shared" si="18"/>
        <v>0</v>
      </c>
    </row>
    <row r="161" spans="1:7" ht="13.5" hidden="1" thickBot="1">
      <c r="A161" s="91">
        <f t="shared" si="19"/>
        <v>139</v>
      </c>
      <c r="B161" s="106">
        <f t="shared" si="20"/>
        <v>0</v>
      </c>
      <c r="C161" s="106">
        <f t="shared" si="14"/>
        <v>0</v>
      </c>
      <c r="D161" s="106">
        <f t="shared" si="15"/>
        <v>0</v>
      </c>
      <c r="E161" s="107">
        <f t="shared" si="16"/>
        <v>0</v>
      </c>
      <c r="F161" s="106">
        <f t="shared" si="17"/>
        <v>0</v>
      </c>
      <c r="G161" s="88">
        <f t="shared" si="18"/>
        <v>0</v>
      </c>
    </row>
    <row r="162" spans="1:7" ht="13.5" hidden="1" thickBot="1">
      <c r="A162" s="91">
        <f t="shared" si="19"/>
        <v>140</v>
      </c>
      <c r="B162" s="106">
        <f t="shared" si="20"/>
        <v>0</v>
      </c>
      <c r="C162" s="106">
        <f t="shared" si="14"/>
        <v>0</v>
      </c>
      <c r="D162" s="106">
        <f t="shared" si="15"/>
        <v>0</v>
      </c>
      <c r="E162" s="107">
        <f t="shared" si="16"/>
        <v>0</v>
      </c>
      <c r="F162" s="106">
        <f t="shared" si="17"/>
        <v>0</v>
      </c>
      <c r="G162" s="88">
        <f t="shared" si="18"/>
        <v>0</v>
      </c>
    </row>
    <row r="163" spans="1:7" ht="13.5" hidden="1" thickBot="1">
      <c r="A163" s="91">
        <f t="shared" si="19"/>
        <v>141</v>
      </c>
      <c r="B163" s="106">
        <f t="shared" si="20"/>
        <v>0</v>
      </c>
      <c r="C163" s="106">
        <f t="shared" si="14"/>
        <v>0</v>
      </c>
      <c r="D163" s="106">
        <f t="shared" si="15"/>
        <v>0</v>
      </c>
      <c r="E163" s="107">
        <f t="shared" si="16"/>
        <v>0</v>
      </c>
      <c r="F163" s="106">
        <f t="shared" si="17"/>
        <v>0</v>
      </c>
      <c r="G163" s="88">
        <f t="shared" si="18"/>
        <v>0</v>
      </c>
    </row>
    <row r="164" spans="1:7" ht="13.5" hidden="1" thickBot="1">
      <c r="A164" s="91">
        <f t="shared" si="19"/>
        <v>142</v>
      </c>
      <c r="B164" s="106">
        <f t="shared" si="20"/>
        <v>0</v>
      </c>
      <c r="C164" s="106">
        <f t="shared" si="14"/>
        <v>0</v>
      </c>
      <c r="D164" s="106">
        <f t="shared" si="15"/>
        <v>0</v>
      </c>
      <c r="E164" s="107">
        <f t="shared" si="16"/>
        <v>0</v>
      </c>
      <c r="F164" s="106">
        <f t="shared" si="17"/>
        <v>0</v>
      </c>
      <c r="G164" s="88">
        <f t="shared" si="18"/>
        <v>0</v>
      </c>
    </row>
    <row r="165" spans="1:7" ht="13.5" hidden="1" thickBot="1">
      <c r="A165" s="91">
        <f t="shared" si="19"/>
        <v>143</v>
      </c>
      <c r="B165" s="106">
        <f t="shared" si="20"/>
        <v>0</v>
      </c>
      <c r="C165" s="106">
        <f t="shared" si="14"/>
        <v>0</v>
      </c>
      <c r="D165" s="106">
        <f t="shared" si="15"/>
        <v>0</v>
      </c>
      <c r="E165" s="107">
        <f t="shared" si="16"/>
        <v>0</v>
      </c>
      <c r="F165" s="106">
        <f t="shared" si="17"/>
        <v>0</v>
      </c>
      <c r="G165" s="88">
        <f t="shared" si="18"/>
        <v>0</v>
      </c>
    </row>
    <row r="166" spans="1:7" ht="13.5" hidden="1" thickBot="1">
      <c r="A166" s="91">
        <f t="shared" si="19"/>
        <v>144</v>
      </c>
      <c r="B166" s="106">
        <f t="shared" si="20"/>
        <v>0</v>
      </c>
      <c r="C166" s="106">
        <f t="shared" si="14"/>
        <v>0</v>
      </c>
      <c r="D166" s="106">
        <f t="shared" si="15"/>
        <v>0</v>
      </c>
      <c r="E166" s="107">
        <f t="shared" si="16"/>
        <v>0</v>
      </c>
      <c r="F166" s="106">
        <f t="shared" si="17"/>
        <v>0</v>
      </c>
      <c r="G166" s="88">
        <f t="shared" si="18"/>
        <v>0</v>
      </c>
    </row>
    <row r="167" spans="1:7" ht="13.5" hidden="1" thickBot="1">
      <c r="A167" s="91">
        <f t="shared" si="19"/>
        <v>145</v>
      </c>
      <c r="B167" s="106">
        <f t="shared" si="20"/>
        <v>0</v>
      </c>
      <c r="C167" s="106">
        <f t="shared" si="14"/>
        <v>0</v>
      </c>
      <c r="D167" s="106">
        <f t="shared" si="15"/>
        <v>0</v>
      </c>
      <c r="E167" s="107">
        <f t="shared" si="16"/>
        <v>0</v>
      </c>
      <c r="F167" s="106">
        <f t="shared" si="17"/>
        <v>0</v>
      </c>
      <c r="G167" s="88">
        <f t="shared" si="18"/>
        <v>0</v>
      </c>
    </row>
    <row r="168" spans="1:7" ht="13.5" hidden="1" thickBot="1">
      <c r="A168" s="91">
        <f t="shared" si="19"/>
        <v>146</v>
      </c>
      <c r="B168" s="106">
        <f t="shared" si="20"/>
        <v>0</v>
      </c>
      <c r="C168" s="106">
        <f t="shared" si="14"/>
        <v>0</v>
      </c>
      <c r="D168" s="106">
        <f t="shared" si="15"/>
        <v>0</v>
      </c>
      <c r="E168" s="107">
        <f t="shared" si="16"/>
        <v>0</v>
      </c>
      <c r="F168" s="106">
        <f t="shared" si="17"/>
        <v>0</v>
      </c>
      <c r="G168" s="88">
        <f t="shared" si="18"/>
        <v>0</v>
      </c>
    </row>
    <row r="169" spans="1:7" ht="13.5" hidden="1" thickBot="1">
      <c r="A169" s="91">
        <f t="shared" si="19"/>
        <v>147</v>
      </c>
      <c r="B169" s="106">
        <f t="shared" si="20"/>
        <v>0</v>
      </c>
      <c r="C169" s="106">
        <f t="shared" si="14"/>
        <v>0</v>
      </c>
      <c r="D169" s="106">
        <f t="shared" si="15"/>
        <v>0</v>
      </c>
      <c r="E169" s="107">
        <f t="shared" si="16"/>
        <v>0</v>
      </c>
      <c r="F169" s="106">
        <f t="shared" si="17"/>
        <v>0</v>
      </c>
      <c r="G169" s="88">
        <f t="shared" si="18"/>
        <v>0</v>
      </c>
    </row>
    <row r="170" spans="1:7" ht="13.5" hidden="1" thickBot="1">
      <c r="A170" s="91">
        <f t="shared" si="19"/>
        <v>148</v>
      </c>
      <c r="B170" s="106">
        <f t="shared" si="20"/>
        <v>0</v>
      </c>
      <c r="C170" s="106">
        <f t="shared" si="14"/>
        <v>0</v>
      </c>
      <c r="D170" s="106">
        <f t="shared" si="15"/>
        <v>0</v>
      </c>
      <c r="E170" s="107">
        <f t="shared" si="16"/>
        <v>0</v>
      </c>
      <c r="F170" s="106">
        <f t="shared" si="17"/>
        <v>0</v>
      </c>
      <c r="G170" s="88">
        <f t="shared" si="18"/>
        <v>0</v>
      </c>
    </row>
    <row r="171" spans="1:7" ht="13.5" hidden="1" thickBot="1">
      <c r="A171" s="91">
        <f t="shared" si="19"/>
        <v>149</v>
      </c>
      <c r="B171" s="106">
        <f t="shared" si="20"/>
        <v>0</v>
      </c>
      <c r="C171" s="106">
        <f t="shared" si="14"/>
        <v>0</v>
      </c>
      <c r="D171" s="106">
        <f t="shared" si="15"/>
        <v>0</v>
      </c>
      <c r="E171" s="107">
        <f t="shared" si="16"/>
        <v>0</v>
      </c>
      <c r="F171" s="106">
        <f t="shared" si="17"/>
        <v>0</v>
      </c>
      <c r="G171" s="88">
        <f t="shared" si="18"/>
        <v>0</v>
      </c>
    </row>
    <row r="172" spans="1:7" ht="13.5" hidden="1" thickBot="1">
      <c r="A172" s="91">
        <f t="shared" si="19"/>
        <v>150</v>
      </c>
      <c r="B172" s="106">
        <f t="shared" si="20"/>
        <v>0</v>
      </c>
      <c r="C172" s="106">
        <f t="shared" si="14"/>
        <v>0</v>
      </c>
      <c r="D172" s="106">
        <f t="shared" si="15"/>
        <v>0</v>
      </c>
      <c r="E172" s="107">
        <f t="shared" si="16"/>
        <v>0</v>
      </c>
      <c r="F172" s="106">
        <f t="shared" si="17"/>
        <v>0</v>
      </c>
      <c r="G172" s="88">
        <f t="shared" si="18"/>
        <v>0</v>
      </c>
    </row>
    <row r="173" spans="1:7" ht="13.5" hidden="1" thickBot="1">
      <c r="A173" s="91">
        <f t="shared" si="19"/>
        <v>151</v>
      </c>
      <c r="B173" s="106">
        <f t="shared" si="20"/>
        <v>0</v>
      </c>
      <c r="C173" s="106">
        <f t="shared" si="14"/>
        <v>0</v>
      </c>
      <c r="D173" s="106">
        <f t="shared" si="15"/>
        <v>0</v>
      </c>
      <c r="E173" s="107">
        <f t="shared" si="16"/>
        <v>0</v>
      </c>
      <c r="F173" s="106">
        <f t="shared" si="17"/>
        <v>0</v>
      </c>
      <c r="G173" s="88">
        <f t="shared" si="18"/>
        <v>0</v>
      </c>
    </row>
    <row r="174" spans="1:7" ht="13.5" hidden="1" thickBot="1">
      <c r="A174" s="91">
        <f t="shared" si="19"/>
        <v>152</v>
      </c>
      <c r="B174" s="106">
        <f t="shared" si="20"/>
        <v>0</v>
      </c>
      <c r="C174" s="106">
        <f t="shared" si="14"/>
        <v>0</v>
      </c>
      <c r="D174" s="106">
        <f t="shared" si="15"/>
        <v>0</v>
      </c>
      <c r="E174" s="107">
        <f t="shared" si="16"/>
        <v>0</v>
      </c>
      <c r="F174" s="106">
        <f t="shared" si="17"/>
        <v>0</v>
      </c>
      <c r="G174" s="88">
        <f t="shared" si="18"/>
        <v>0</v>
      </c>
    </row>
    <row r="175" spans="1:7" ht="13.5" hidden="1" thickBot="1">
      <c r="A175" s="91">
        <f t="shared" si="19"/>
        <v>153</v>
      </c>
      <c r="B175" s="106">
        <f t="shared" si="20"/>
        <v>0</v>
      </c>
      <c r="C175" s="106">
        <f t="shared" si="14"/>
        <v>0</v>
      </c>
      <c r="D175" s="106">
        <f t="shared" si="15"/>
        <v>0</v>
      </c>
      <c r="E175" s="107">
        <f t="shared" si="16"/>
        <v>0</v>
      </c>
      <c r="F175" s="106">
        <f t="shared" si="17"/>
        <v>0</v>
      </c>
      <c r="G175" s="88">
        <f t="shared" si="18"/>
        <v>0</v>
      </c>
    </row>
    <row r="176" spans="1:7" ht="13.5" hidden="1" thickBot="1">
      <c r="A176" s="91">
        <f t="shared" si="19"/>
        <v>154</v>
      </c>
      <c r="B176" s="106">
        <f t="shared" si="20"/>
        <v>0</v>
      </c>
      <c r="C176" s="106">
        <f t="shared" si="14"/>
        <v>0</v>
      </c>
      <c r="D176" s="106">
        <f t="shared" si="15"/>
        <v>0</v>
      </c>
      <c r="E176" s="107">
        <f t="shared" si="16"/>
        <v>0</v>
      </c>
      <c r="F176" s="106">
        <f t="shared" si="17"/>
        <v>0</v>
      </c>
      <c r="G176" s="88">
        <f t="shared" si="18"/>
        <v>0</v>
      </c>
    </row>
    <row r="177" spans="1:7" ht="13.5" hidden="1" thickBot="1">
      <c r="A177" s="91">
        <f t="shared" si="19"/>
        <v>155</v>
      </c>
      <c r="B177" s="106">
        <f t="shared" si="20"/>
        <v>0</v>
      </c>
      <c r="C177" s="106">
        <f t="shared" si="14"/>
        <v>0</v>
      </c>
      <c r="D177" s="106">
        <f t="shared" si="15"/>
        <v>0</v>
      </c>
      <c r="E177" s="107">
        <f t="shared" si="16"/>
        <v>0</v>
      </c>
      <c r="F177" s="106">
        <f t="shared" si="17"/>
        <v>0</v>
      </c>
      <c r="G177" s="88">
        <f t="shared" si="18"/>
        <v>0</v>
      </c>
    </row>
    <row r="178" spans="1:7" ht="13.5" hidden="1" thickBot="1">
      <c r="A178" s="91">
        <f t="shared" si="19"/>
        <v>156</v>
      </c>
      <c r="B178" s="106">
        <f t="shared" si="20"/>
        <v>0</v>
      </c>
      <c r="C178" s="106">
        <f t="shared" si="14"/>
        <v>0</v>
      </c>
      <c r="D178" s="106">
        <f t="shared" si="15"/>
        <v>0</v>
      </c>
      <c r="E178" s="107">
        <f t="shared" si="16"/>
        <v>0</v>
      </c>
      <c r="F178" s="106">
        <f t="shared" si="17"/>
        <v>0</v>
      </c>
      <c r="G178" s="88">
        <f t="shared" si="18"/>
        <v>0</v>
      </c>
    </row>
    <row r="179" spans="1:7" ht="13.5" hidden="1" thickBot="1">
      <c r="A179" s="91">
        <f t="shared" si="19"/>
        <v>157</v>
      </c>
      <c r="B179" s="106">
        <f t="shared" si="20"/>
        <v>0</v>
      </c>
      <c r="C179" s="106">
        <f t="shared" si="14"/>
        <v>0</v>
      </c>
      <c r="D179" s="106">
        <f t="shared" si="15"/>
        <v>0</v>
      </c>
      <c r="E179" s="107">
        <f t="shared" si="16"/>
        <v>0</v>
      </c>
      <c r="F179" s="106">
        <f t="shared" si="17"/>
        <v>0</v>
      </c>
      <c r="G179" s="88">
        <f t="shared" si="18"/>
        <v>0</v>
      </c>
    </row>
    <row r="180" spans="1:7" ht="13.5" hidden="1" thickBot="1">
      <c r="A180" s="91">
        <f t="shared" si="19"/>
        <v>158</v>
      </c>
      <c r="B180" s="106">
        <f t="shared" si="20"/>
        <v>0</v>
      </c>
      <c r="C180" s="106">
        <f t="shared" si="14"/>
        <v>0</v>
      </c>
      <c r="D180" s="106">
        <f t="shared" si="15"/>
        <v>0</v>
      </c>
      <c r="E180" s="107">
        <f t="shared" si="16"/>
        <v>0</v>
      </c>
      <c r="F180" s="106">
        <f t="shared" si="17"/>
        <v>0</v>
      </c>
      <c r="G180" s="88">
        <f t="shared" si="18"/>
        <v>0</v>
      </c>
    </row>
    <row r="181" spans="1:7" ht="13.5" hidden="1" thickBot="1">
      <c r="A181" s="91">
        <f t="shared" si="19"/>
        <v>159</v>
      </c>
      <c r="B181" s="106">
        <f t="shared" si="20"/>
        <v>0</v>
      </c>
      <c r="C181" s="106">
        <f t="shared" si="14"/>
        <v>0</v>
      </c>
      <c r="D181" s="106">
        <f t="shared" si="15"/>
        <v>0</v>
      </c>
      <c r="E181" s="107">
        <f t="shared" si="16"/>
        <v>0</v>
      </c>
      <c r="F181" s="106">
        <f t="shared" si="17"/>
        <v>0</v>
      </c>
      <c r="G181" s="88">
        <f t="shared" si="18"/>
        <v>0</v>
      </c>
    </row>
    <row r="182" spans="1:7" ht="13.5" hidden="1" thickBot="1">
      <c r="A182" s="91">
        <f t="shared" si="19"/>
        <v>160</v>
      </c>
      <c r="B182" s="106">
        <f t="shared" si="20"/>
        <v>0</v>
      </c>
      <c r="C182" s="106">
        <f t="shared" si="14"/>
        <v>0</v>
      </c>
      <c r="D182" s="106">
        <f t="shared" si="15"/>
        <v>0</v>
      </c>
      <c r="E182" s="107">
        <f t="shared" si="16"/>
        <v>0</v>
      </c>
      <c r="F182" s="106">
        <f t="shared" si="17"/>
        <v>0</v>
      </c>
      <c r="G182" s="88">
        <f t="shared" si="18"/>
        <v>0</v>
      </c>
    </row>
    <row r="183" spans="1:7" ht="13.5" hidden="1" thickBot="1">
      <c r="A183" s="91">
        <f t="shared" si="19"/>
        <v>161</v>
      </c>
      <c r="B183" s="106">
        <f t="shared" si="20"/>
        <v>0</v>
      </c>
      <c r="C183" s="106">
        <f t="shared" si="14"/>
        <v>0</v>
      </c>
      <c r="D183" s="106">
        <f t="shared" si="15"/>
        <v>0</v>
      </c>
      <c r="E183" s="107">
        <f t="shared" si="16"/>
        <v>0</v>
      </c>
      <c r="F183" s="106">
        <f t="shared" si="17"/>
        <v>0</v>
      </c>
      <c r="G183" s="88">
        <f t="shared" si="18"/>
        <v>0</v>
      </c>
    </row>
    <row r="184" spans="1:7" ht="13.5" hidden="1" thickBot="1">
      <c r="A184" s="91">
        <f t="shared" si="19"/>
        <v>162</v>
      </c>
      <c r="B184" s="106">
        <f t="shared" si="20"/>
        <v>0</v>
      </c>
      <c r="C184" s="106">
        <f t="shared" si="14"/>
        <v>0</v>
      </c>
      <c r="D184" s="106">
        <f t="shared" si="15"/>
        <v>0</v>
      </c>
      <c r="E184" s="107">
        <f t="shared" si="16"/>
        <v>0</v>
      </c>
      <c r="F184" s="106">
        <f t="shared" si="17"/>
        <v>0</v>
      </c>
      <c r="G184" s="88">
        <f t="shared" si="18"/>
        <v>0</v>
      </c>
    </row>
    <row r="185" spans="1:7" ht="13.5" hidden="1" thickBot="1">
      <c r="A185" s="91">
        <f t="shared" si="19"/>
        <v>163</v>
      </c>
      <c r="B185" s="106">
        <f t="shared" si="20"/>
        <v>0</v>
      </c>
      <c r="C185" s="106">
        <f t="shared" si="14"/>
        <v>0</v>
      </c>
      <c r="D185" s="106">
        <f t="shared" si="15"/>
        <v>0</v>
      </c>
      <c r="E185" s="107">
        <f t="shared" si="16"/>
        <v>0</v>
      </c>
      <c r="F185" s="106">
        <f t="shared" si="17"/>
        <v>0</v>
      </c>
      <c r="G185" s="88">
        <f t="shared" si="18"/>
        <v>0</v>
      </c>
    </row>
    <row r="186" spans="1:7" ht="13.5" hidden="1" thickBot="1">
      <c r="A186" s="91">
        <f t="shared" si="19"/>
        <v>164</v>
      </c>
      <c r="B186" s="106">
        <f t="shared" si="20"/>
        <v>0</v>
      </c>
      <c r="C186" s="106">
        <f t="shared" si="14"/>
        <v>0</v>
      </c>
      <c r="D186" s="106">
        <f t="shared" si="15"/>
        <v>0</v>
      </c>
      <c r="E186" s="107">
        <f t="shared" si="16"/>
        <v>0</v>
      </c>
      <c r="F186" s="106">
        <f t="shared" si="17"/>
        <v>0</v>
      </c>
      <c r="G186" s="88">
        <f t="shared" si="18"/>
        <v>0</v>
      </c>
    </row>
    <row r="187" spans="1:7" ht="13.5" hidden="1" thickBot="1">
      <c r="A187" s="91">
        <f t="shared" si="19"/>
        <v>165</v>
      </c>
      <c r="B187" s="106">
        <f t="shared" si="20"/>
        <v>0</v>
      </c>
      <c r="C187" s="106">
        <f t="shared" si="14"/>
        <v>0</v>
      </c>
      <c r="D187" s="106">
        <f t="shared" si="15"/>
        <v>0</v>
      </c>
      <c r="E187" s="107">
        <f t="shared" si="16"/>
        <v>0</v>
      </c>
      <c r="F187" s="106">
        <f t="shared" si="17"/>
        <v>0</v>
      </c>
      <c r="G187" s="88">
        <f t="shared" si="18"/>
        <v>0</v>
      </c>
    </row>
    <row r="188" spans="1:7" ht="13.5" hidden="1" thickBot="1">
      <c r="A188" s="91">
        <f t="shared" si="19"/>
        <v>166</v>
      </c>
      <c r="B188" s="106">
        <f t="shared" si="20"/>
        <v>0</v>
      </c>
      <c r="C188" s="106">
        <f t="shared" si="14"/>
        <v>0</v>
      </c>
      <c r="D188" s="106">
        <f t="shared" si="15"/>
        <v>0</v>
      </c>
      <c r="E188" s="107">
        <f t="shared" si="16"/>
        <v>0</v>
      </c>
      <c r="F188" s="106">
        <f t="shared" si="17"/>
        <v>0</v>
      </c>
      <c r="G188" s="88">
        <f t="shared" si="18"/>
        <v>0</v>
      </c>
    </row>
    <row r="189" spans="1:7" ht="13.5" hidden="1" thickBot="1">
      <c r="A189" s="91">
        <f t="shared" si="19"/>
        <v>167</v>
      </c>
      <c r="B189" s="106">
        <f t="shared" si="20"/>
        <v>0</v>
      </c>
      <c r="C189" s="106">
        <f t="shared" si="14"/>
        <v>0</v>
      </c>
      <c r="D189" s="106">
        <f t="shared" si="15"/>
        <v>0</v>
      </c>
      <c r="E189" s="107">
        <f t="shared" si="16"/>
        <v>0</v>
      </c>
      <c r="F189" s="106">
        <f t="shared" si="17"/>
        <v>0</v>
      </c>
      <c r="G189" s="88">
        <f t="shared" si="18"/>
        <v>0</v>
      </c>
    </row>
    <row r="190" spans="1:7" ht="13.5" hidden="1" thickBot="1">
      <c r="A190" s="91">
        <f t="shared" si="19"/>
        <v>168</v>
      </c>
      <c r="B190" s="106">
        <f t="shared" si="20"/>
        <v>0</v>
      </c>
      <c r="C190" s="106">
        <f t="shared" si="14"/>
        <v>0</v>
      </c>
      <c r="D190" s="106">
        <f t="shared" si="15"/>
        <v>0</v>
      </c>
      <c r="E190" s="107">
        <f t="shared" si="16"/>
        <v>0</v>
      </c>
      <c r="F190" s="106">
        <f t="shared" si="17"/>
        <v>0</v>
      </c>
      <c r="G190" s="88">
        <f t="shared" si="18"/>
        <v>0</v>
      </c>
    </row>
    <row r="191" spans="1:7" ht="13.5" hidden="1" thickBot="1">
      <c r="A191" s="91">
        <f t="shared" si="19"/>
        <v>169</v>
      </c>
      <c r="B191" s="106">
        <f t="shared" si="20"/>
        <v>0</v>
      </c>
      <c r="C191" s="106">
        <f t="shared" si="14"/>
        <v>0</v>
      </c>
      <c r="D191" s="106">
        <f t="shared" si="15"/>
        <v>0</v>
      </c>
      <c r="E191" s="107">
        <f t="shared" si="16"/>
        <v>0</v>
      </c>
      <c r="F191" s="106">
        <f t="shared" si="17"/>
        <v>0</v>
      </c>
      <c r="G191" s="88">
        <f t="shared" si="18"/>
        <v>0</v>
      </c>
    </row>
    <row r="192" spans="1:7" ht="13.5" hidden="1" thickBot="1">
      <c r="A192" s="91">
        <f t="shared" si="19"/>
        <v>170</v>
      </c>
      <c r="B192" s="106">
        <f t="shared" si="20"/>
        <v>0</v>
      </c>
      <c r="C192" s="106">
        <f t="shared" si="14"/>
        <v>0</v>
      </c>
      <c r="D192" s="106">
        <f t="shared" si="15"/>
        <v>0</v>
      </c>
      <c r="E192" s="107">
        <f t="shared" si="16"/>
        <v>0</v>
      </c>
      <c r="F192" s="106">
        <f t="shared" si="17"/>
        <v>0</v>
      </c>
      <c r="G192" s="88">
        <f t="shared" si="18"/>
        <v>0</v>
      </c>
    </row>
    <row r="193" spans="1:7" ht="13.5" hidden="1" thickBot="1">
      <c r="A193" s="91">
        <f t="shared" si="19"/>
        <v>171</v>
      </c>
      <c r="B193" s="106">
        <f t="shared" si="20"/>
        <v>0</v>
      </c>
      <c r="C193" s="106">
        <f t="shared" si="14"/>
        <v>0</v>
      </c>
      <c r="D193" s="106">
        <f t="shared" si="15"/>
        <v>0</v>
      </c>
      <c r="E193" s="107">
        <f t="shared" si="16"/>
        <v>0</v>
      </c>
      <c r="F193" s="106">
        <f t="shared" si="17"/>
        <v>0</v>
      </c>
      <c r="G193" s="88">
        <f t="shared" si="18"/>
        <v>0</v>
      </c>
    </row>
    <row r="194" spans="1:7" ht="13.5" hidden="1" thickBot="1">
      <c r="A194" s="91">
        <f t="shared" si="19"/>
        <v>172</v>
      </c>
      <c r="B194" s="106">
        <f t="shared" si="20"/>
        <v>0</v>
      </c>
      <c r="C194" s="106">
        <f t="shared" si="14"/>
        <v>0</v>
      </c>
      <c r="D194" s="106">
        <f t="shared" si="15"/>
        <v>0</v>
      </c>
      <c r="E194" s="107">
        <f t="shared" si="16"/>
        <v>0</v>
      </c>
      <c r="F194" s="106">
        <f t="shared" si="17"/>
        <v>0</v>
      </c>
      <c r="G194" s="88">
        <f t="shared" si="18"/>
        <v>0</v>
      </c>
    </row>
    <row r="195" spans="1:7" ht="13.5" hidden="1" thickBot="1">
      <c r="A195" s="91">
        <f t="shared" si="19"/>
        <v>173</v>
      </c>
      <c r="B195" s="106">
        <f t="shared" si="20"/>
        <v>0</v>
      </c>
      <c r="C195" s="106">
        <f t="shared" si="14"/>
        <v>0</v>
      </c>
      <c r="D195" s="106">
        <f t="shared" si="15"/>
        <v>0</v>
      </c>
      <c r="E195" s="107">
        <f t="shared" si="16"/>
        <v>0</v>
      </c>
      <c r="F195" s="106">
        <f t="shared" si="17"/>
        <v>0</v>
      </c>
      <c r="G195" s="88">
        <f t="shared" si="18"/>
        <v>0</v>
      </c>
    </row>
    <row r="196" spans="1:7" ht="13.5" hidden="1" thickBot="1">
      <c r="A196" s="91">
        <f t="shared" si="19"/>
        <v>174</v>
      </c>
      <c r="B196" s="106">
        <f t="shared" si="20"/>
        <v>0</v>
      </c>
      <c r="C196" s="106">
        <f t="shared" si="14"/>
        <v>0</v>
      </c>
      <c r="D196" s="106">
        <f t="shared" si="15"/>
        <v>0</v>
      </c>
      <c r="E196" s="107">
        <f t="shared" si="16"/>
        <v>0</v>
      </c>
      <c r="F196" s="106">
        <f t="shared" si="17"/>
        <v>0</v>
      </c>
      <c r="G196" s="88">
        <f t="shared" si="18"/>
        <v>0</v>
      </c>
    </row>
    <row r="197" spans="1:7" ht="13.5" hidden="1" thickBot="1">
      <c r="A197" s="91">
        <f t="shared" si="19"/>
        <v>175</v>
      </c>
      <c r="B197" s="106">
        <f t="shared" si="20"/>
        <v>0</v>
      </c>
      <c r="C197" s="106">
        <f t="shared" si="14"/>
        <v>0</v>
      </c>
      <c r="D197" s="106">
        <f t="shared" si="15"/>
        <v>0</v>
      </c>
      <c r="E197" s="107">
        <f t="shared" si="16"/>
        <v>0</v>
      </c>
      <c r="F197" s="106">
        <f t="shared" si="17"/>
        <v>0</v>
      </c>
      <c r="G197" s="88">
        <f t="shared" si="18"/>
        <v>0</v>
      </c>
    </row>
    <row r="198" spans="1:7" ht="13.5" hidden="1" thickBot="1">
      <c r="A198" s="91">
        <f t="shared" si="19"/>
        <v>176</v>
      </c>
      <c r="B198" s="106">
        <f t="shared" si="20"/>
        <v>0</v>
      </c>
      <c r="C198" s="106">
        <f t="shared" si="14"/>
        <v>0</v>
      </c>
      <c r="D198" s="106">
        <f t="shared" si="15"/>
        <v>0</v>
      </c>
      <c r="E198" s="107">
        <f t="shared" si="16"/>
        <v>0</v>
      </c>
      <c r="F198" s="106">
        <f t="shared" si="17"/>
        <v>0</v>
      </c>
      <c r="G198" s="88">
        <f t="shared" si="18"/>
        <v>0</v>
      </c>
    </row>
    <row r="199" spans="1:7" ht="13.5" hidden="1" thickBot="1">
      <c r="A199" s="91">
        <f t="shared" si="19"/>
        <v>177</v>
      </c>
      <c r="B199" s="106">
        <f t="shared" si="20"/>
        <v>0</v>
      </c>
      <c r="C199" s="106">
        <f t="shared" si="14"/>
        <v>0</v>
      </c>
      <c r="D199" s="106">
        <f t="shared" si="15"/>
        <v>0</v>
      </c>
      <c r="E199" s="107">
        <f t="shared" si="16"/>
        <v>0</v>
      </c>
      <c r="F199" s="106">
        <f t="shared" si="17"/>
        <v>0</v>
      </c>
      <c r="G199" s="88">
        <f t="shared" si="18"/>
        <v>0</v>
      </c>
    </row>
    <row r="200" spans="1:7" ht="13.5" hidden="1" thickBot="1">
      <c r="A200" s="91">
        <f t="shared" si="19"/>
        <v>178</v>
      </c>
      <c r="B200" s="106">
        <f t="shared" si="20"/>
        <v>0</v>
      </c>
      <c r="C200" s="106">
        <f t="shared" si="14"/>
        <v>0</v>
      </c>
      <c r="D200" s="106">
        <f t="shared" si="15"/>
        <v>0</v>
      </c>
      <c r="E200" s="107">
        <f t="shared" si="16"/>
        <v>0</v>
      </c>
      <c r="F200" s="106">
        <f t="shared" si="17"/>
        <v>0</v>
      </c>
      <c r="G200" s="88">
        <f t="shared" si="18"/>
        <v>0</v>
      </c>
    </row>
    <row r="201" spans="1:7" ht="13.5" hidden="1" thickBot="1">
      <c r="A201" s="91">
        <f t="shared" si="19"/>
        <v>179</v>
      </c>
      <c r="B201" s="106">
        <f t="shared" si="20"/>
        <v>0</v>
      </c>
      <c r="C201" s="106">
        <f t="shared" si="14"/>
        <v>0</v>
      </c>
      <c r="D201" s="106">
        <f t="shared" si="15"/>
        <v>0</v>
      </c>
      <c r="E201" s="107">
        <f t="shared" si="16"/>
        <v>0</v>
      </c>
      <c r="F201" s="106">
        <f t="shared" si="17"/>
        <v>0</v>
      </c>
      <c r="G201" s="88">
        <f t="shared" si="18"/>
        <v>0</v>
      </c>
    </row>
    <row r="202" spans="1:7" ht="13.5" hidden="1" thickBot="1">
      <c r="A202" s="91">
        <f t="shared" si="19"/>
        <v>180</v>
      </c>
      <c r="B202" s="106">
        <f t="shared" si="20"/>
        <v>0</v>
      </c>
      <c r="C202" s="106">
        <f t="shared" si="14"/>
        <v>0</v>
      </c>
      <c r="D202" s="106">
        <f t="shared" si="15"/>
        <v>0</v>
      </c>
      <c r="E202" s="107">
        <f t="shared" si="16"/>
        <v>0</v>
      </c>
      <c r="F202" s="106">
        <f t="shared" si="17"/>
        <v>0</v>
      </c>
      <c r="G202" s="88">
        <f t="shared" si="18"/>
        <v>0</v>
      </c>
    </row>
    <row r="203" spans="1:7" ht="13.5" hidden="1" thickBot="1">
      <c r="A203" s="91">
        <f t="shared" si="19"/>
        <v>181</v>
      </c>
      <c r="B203" s="106">
        <f t="shared" si="20"/>
        <v>0</v>
      </c>
      <c r="C203" s="106">
        <f t="shared" si="14"/>
        <v>0</v>
      </c>
      <c r="D203" s="106">
        <f t="shared" si="15"/>
        <v>0</v>
      </c>
      <c r="E203" s="107">
        <f t="shared" si="16"/>
        <v>0</v>
      </c>
      <c r="F203" s="106">
        <f t="shared" si="17"/>
        <v>0</v>
      </c>
      <c r="G203" s="88">
        <f t="shared" si="18"/>
        <v>0</v>
      </c>
    </row>
    <row r="204" spans="1:7" ht="13.5" hidden="1" thickBot="1">
      <c r="A204" s="91">
        <f t="shared" si="19"/>
        <v>182</v>
      </c>
      <c r="B204" s="106">
        <f t="shared" si="20"/>
        <v>0</v>
      </c>
      <c r="C204" s="106">
        <f t="shared" si="14"/>
        <v>0</v>
      </c>
      <c r="D204" s="106">
        <f t="shared" si="15"/>
        <v>0</v>
      </c>
      <c r="E204" s="107">
        <f t="shared" si="16"/>
        <v>0</v>
      </c>
      <c r="F204" s="106">
        <f t="shared" si="17"/>
        <v>0</v>
      </c>
      <c r="G204" s="88">
        <f t="shared" si="18"/>
        <v>0</v>
      </c>
    </row>
    <row r="205" spans="1:7" ht="13.5" hidden="1" thickBot="1">
      <c r="A205" s="91">
        <f t="shared" si="19"/>
        <v>183</v>
      </c>
      <c r="B205" s="106">
        <f t="shared" si="20"/>
        <v>0</v>
      </c>
      <c r="C205" s="106">
        <f t="shared" si="14"/>
        <v>0</v>
      </c>
      <c r="D205" s="106">
        <f t="shared" si="15"/>
        <v>0</v>
      </c>
      <c r="E205" s="107">
        <f t="shared" si="16"/>
        <v>0</v>
      </c>
      <c r="F205" s="106">
        <f t="shared" si="17"/>
        <v>0</v>
      </c>
      <c r="G205" s="88">
        <f t="shared" si="18"/>
        <v>0</v>
      </c>
    </row>
    <row r="206" spans="1:7" ht="13.5" hidden="1" thickBot="1">
      <c r="A206" s="91">
        <f t="shared" si="19"/>
        <v>184</v>
      </c>
      <c r="B206" s="106">
        <f t="shared" si="20"/>
        <v>0</v>
      </c>
      <c r="C206" s="106">
        <f t="shared" si="14"/>
        <v>0</v>
      </c>
      <c r="D206" s="106">
        <f t="shared" si="15"/>
        <v>0</v>
      </c>
      <c r="E206" s="107">
        <f t="shared" si="16"/>
        <v>0</v>
      </c>
      <c r="F206" s="106">
        <f t="shared" si="17"/>
        <v>0</v>
      </c>
      <c r="G206" s="88">
        <f t="shared" si="18"/>
        <v>0</v>
      </c>
    </row>
    <row r="207" spans="1:7" ht="13.5" hidden="1" thickBot="1">
      <c r="A207" s="91">
        <f t="shared" si="19"/>
        <v>185</v>
      </c>
      <c r="B207" s="106">
        <f t="shared" si="20"/>
        <v>0</v>
      </c>
      <c r="C207" s="106">
        <f t="shared" si="14"/>
        <v>0</v>
      </c>
      <c r="D207" s="106">
        <f t="shared" si="15"/>
        <v>0</v>
      </c>
      <c r="E207" s="107">
        <f t="shared" si="16"/>
        <v>0</v>
      </c>
      <c r="F207" s="106">
        <f t="shared" si="17"/>
        <v>0</v>
      </c>
      <c r="G207" s="88">
        <f t="shared" si="18"/>
        <v>0</v>
      </c>
    </row>
    <row r="208" spans="1:7" ht="13.5" hidden="1" thickBot="1">
      <c r="A208" s="91">
        <f t="shared" si="19"/>
        <v>186</v>
      </c>
      <c r="B208" s="106">
        <f t="shared" si="20"/>
        <v>0</v>
      </c>
      <c r="C208" s="106">
        <f t="shared" si="14"/>
        <v>0</v>
      </c>
      <c r="D208" s="106">
        <f t="shared" si="15"/>
        <v>0</v>
      </c>
      <c r="E208" s="107">
        <f t="shared" si="16"/>
        <v>0</v>
      </c>
      <c r="F208" s="106">
        <f t="shared" si="17"/>
        <v>0</v>
      </c>
      <c r="G208" s="88">
        <f t="shared" si="18"/>
        <v>0</v>
      </c>
    </row>
    <row r="209" spans="1:7" ht="13.5" hidden="1" thickBot="1">
      <c r="A209" s="91">
        <f t="shared" si="19"/>
        <v>187</v>
      </c>
      <c r="B209" s="106">
        <f t="shared" si="20"/>
        <v>0</v>
      </c>
      <c r="C209" s="106">
        <f t="shared" si="14"/>
        <v>0</v>
      </c>
      <c r="D209" s="106">
        <f t="shared" si="15"/>
        <v>0</v>
      </c>
      <c r="E209" s="107">
        <f t="shared" si="16"/>
        <v>0</v>
      </c>
      <c r="F209" s="106">
        <f t="shared" si="17"/>
        <v>0</v>
      </c>
      <c r="G209" s="88">
        <f t="shared" si="18"/>
        <v>0</v>
      </c>
    </row>
    <row r="210" spans="1:7" ht="13.5" hidden="1" thickBot="1">
      <c r="A210" s="91">
        <f t="shared" si="19"/>
        <v>188</v>
      </c>
      <c r="B210" s="106">
        <f t="shared" si="20"/>
        <v>0</v>
      </c>
      <c r="C210" s="106">
        <f t="shared" si="14"/>
        <v>0</v>
      </c>
      <c r="D210" s="106">
        <f t="shared" si="15"/>
        <v>0</v>
      </c>
      <c r="E210" s="107">
        <f t="shared" si="16"/>
        <v>0</v>
      </c>
      <c r="F210" s="106">
        <f t="shared" si="17"/>
        <v>0</v>
      </c>
      <c r="G210" s="88">
        <f t="shared" si="18"/>
        <v>0</v>
      </c>
    </row>
    <row r="211" spans="1:7" ht="13.5" hidden="1" thickBot="1">
      <c r="A211" s="91">
        <f t="shared" si="19"/>
        <v>189</v>
      </c>
      <c r="B211" s="106">
        <f t="shared" si="20"/>
        <v>0</v>
      </c>
      <c r="C211" s="106">
        <f t="shared" si="14"/>
        <v>0</v>
      </c>
      <c r="D211" s="106">
        <f t="shared" si="15"/>
        <v>0</v>
      </c>
      <c r="E211" s="107">
        <f t="shared" si="16"/>
        <v>0</v>
      </c>
      <c r="F211" s="106">
        <f t="shared" si="17"/>
        <v>0</v>
      </c>
      <c r="G211" s="88">
        <f t="shared" si="18"/>
        <v>0</v>
      </c>
    </row>
    <row r="212" spans="1:7" ht="13.5" hidden="1" thickBot="1">
      <c r="A212" s="91">
        <f t="shared" si="19"/>
        <v>190</v>
      </c>
      <c r="B212" s="106">
        <f t="shared" si="20"/>
        <v>0</v>
      </c>
      <c r="C212" s="106">
        <f t="shared" si="14"/>
        <v>0</v>
      </c>
      <c r="D212" s="106">
        <f t="shared" si="15"/>
        <v>0</v>
      </c>
      <c r="E212" s="107">
        <f t="shared" si="16"/>
        <v>0</v>
      </c>
      <c r="F212" s="106">
        <f t="shared" si="17"/>
        <v>0</v>
      </c>
      <c r="G212" s="88">
        <f t="shared" si="18"/>
        <v>0</v>
      </c>
    </row>
    <row r="213" spans="1:7" ht="13.5" hidden="1" thickBot="1">
      <c r="A213" s="91">
        <f t="shared" si="19"/>
        <v>191</v>
      </c>
      <c r="B213" s="106">
        <f t="shared" si="20"/>
        <v>0</v>
      </c>
      <c r="C213" s="106">
        <f t="shared" si="14"/>
        <v>0</v>
      </c>
      <c r="D213" s="106">
        <f t="shared" si="15"/>
        <v>0</v>
      </c>
      <c r="E213" s="107">
        <f t="shared" si="16"/>
        <v>0</v>
      </c>
      <c r="F213" s="106">
        <f t="shared" si="17"/>
        <v>0</v>
      </c>
      <c r="G213" s="88">
        <f t="shared" si="18"/>
        <v>0</v>
      </c>
    </row>
    <row r="214" spans="1:7" ht="13.5" hidden="1" thickBot="1">
      <c r="A214" s="91">
        <f t="shared" si="19"/>
        <v>192</v>
      </c>
      <c r="B214" s="106">
        <f t="shared" si="20"/>
        <v>0</v>
      </c>
      <c r="C214" s="106">
        <f t="shared" si="14"/>
        <v>0</v>
      </c>
      <c r="D214" s="106">
        <f t="shared" si="15"/>
        <v>0</v>
      </c>
      <c r="E214" s="107">
        <f t="shared" si="16"/>
        <v>0</v>
      </c>
      <c r="F214" s="106">
        <f t="shared" si="17"/>
        <v>0</v>
      </c>
      <c r="G214" s="88">
        <f t="shared" si="18"/>
        <v>0</v>
      </c>
    </row>
    <row r="215" spans="1:7" ht="13.5" hidden="1" thickBot="1">
      <c r="A215" s="91">
        <f t="shared" si="19"/>
        <v>193</v>
      </c>
      <c r="B215" s="106">
        <f t="shared" si="20"/>
        <v>0</v>
      </c>
      <c r="C215" s="106">
        <f t="shared" ref="C215:C278" si="21">IF(A215&lt;=$D$11,$D$16*-1,0)</f>
        <v>0</v>
      </c>
      <c r="D215" s="106">
        <f t="shared" ref="D215:D278" si="22">IF(A215&gt;$D$11,0,$D$13*-1)</f>
        <v>0</v>
      </c>
      <c r="E215" s="107">
        <f t="shared" ref="E215:E278" si="23">B215*$D$12</f>
        <v>0</v>
      </c>
      <c r="F215" s="106">
        <f t="shared" ref="F215:F278" si="24">D215-E215</f>
        <v>0</v>
      </c>
      <c r="G215" s="88">
        <f t="shared" ref="G215:G278" si="25">B215-F215</f>
        <v>0</v>
      </c>
    </row>
    <row r="216" spans="1:7" ht="13.5" hidden="1" thickBot="1">
      <c r="A216" s="91">
        <f t="shared" ref="A216:A279" si="26">A215+1</f>
        <v>194</v>
      </c>
      <c r="B216" s="106">
        <f t="shared" ref="B216:B279" si="27">IF(A216&lt;=$D$11,G215,0)</f>
        <v>0</v>
      </c>
      <c r="C216" s="106">
        <f t="shared" si="21"/>
        <v>0</v>
      </c>
      <c r="D216" s="106">
        <f t="shared" si="22"/>
        <v>0</v>
      </c>
      <c r="E216" s="107">
        <f t="shared" si="23"/>
        <v>0</v>
      </c>
      <c r="F216" s="106">
        <f t="shared" si="24"/>
        <v>0</v>
      </c>
      <c r="G216" s="88">
        <f t="shared" si="25"/>
        <v>0</v>
      </c>
    </row>
    <row r="217" spans="1:7" ht="13.5" hidden="1" thickBot="1">
      <c r="A217" s="91">
        <f t="shared" si="26"/>
        <v>195</v>
      </c>
      <c r="B217" s="106">
        <f t="shared" si="27"/>
        <v>0</v>
      </c>
      <c r="C217" s="106">
        <f t="shared" si="21"/>
        <v>0</v>
      </c>
      <c r="D217" s="106">
        <f t="shared" si="22"/>
        <v>0</v>
      </c>
      <c r="E217" s="107">
        <f t="shared" si="23"/>
        <v>0</v>
      </c>
      <c r="F217" s="106">
        <f t="shared" si="24"/>
        <v>0</v>
      </c>
      <c r="G217" s="88">
        <f t="shared" si="25"/>
        <v>0</v>
      </c>
    </row>
    <row r="218" spans="1:7" ht="13.5" hidden="1" thickBot="1">
      <c r="A218" s="91">
        <f t="shared" si="26"/>
        <v>196</v>
      </c>
      <c r="B218" s="106">
        <f t="shared" si="27"/>
        <v>0</v>
      </c>
      <c r="C218" s="106">
        <f t="shared" si="21"/>
        <v>0</v>
      </c>
      <c r="D218" s="106">
        <f t="shared" si="22"/>
        <v>0</v>
      </c>
      <c r="E218" s="107">
        <f t="shared" si="23"/>
        <v>0</v>
      </c>
      <c r="F218" s="106">
        <f t="shared" si="24"/>
        <v>0</v>
      </c>
      <c r="G218" s="88">
        <f t="shared" si="25"/>
        <v>0</v>
      </c>
    </row>
    <row r="219" spans="1:7" ht="13.5" hidden="1" thickBot="1">
      <c r="A219" s="91">
        <f t="shared" si="26"/>
        <v>197</v>
      </c>
      <c r="B219" s="106">
        <f t="shared" si="27"/>
        <v>0</v>
      </c>
      <c r="C219" s="106">
        <f t="shared" si="21"/>
        <v>0</v>
      </c>
      <c r="D219" s="106">
        <f t="shared" si="22"/>
        <v>0</v>
      </c>
      <c r="E219" s="107">
        <f t="shared" si="23"/>
        <v>0</v>
      </c>
      <c r="F219" s="106">
        <f t="shared" si="24"/>
        <v>0</v>
      </c>
      <c r="G219" s="88">
        <f t="shared" si="25"/>
        <v>0</v>
      </c>
    </row>
    <row r="220" spans="1:7" ht="13.5" hidden="1" thickBot="1">
      <c r="A220" s="91">
        <f t="shared" si="26"/>
        <v>198</v>
      </c>
      <c r="B220" s="106">
        <f t="shared" si="27"/>
        <v>0</v>
      </c>
      <c r="C220" s="106">
        <f t="shared" si="21"/>
        <v>0</v>
      </c>
      <c r="D220" s="106">
        <f t="shared" si="22"/>
        <v>0</v>
      </c>
      <c r="E220" s="107">
        <f t="shared" si="23"/>
        <v>0</v>
      </c>
      <c r="F220" s="106">
        <f t="shared" si="24"/>
        <v>0</v>
      </c>
      <c r="G220" s="88">
        <f t="shared" si="25"/>
        <v>0</v>
      </c>
    </row>
    <row r="221" spans="1:7" ht="13.5" hidden="1" thickBot="1">
      <c r="A221" s="91">
        <f t="shared" si="26"/>
        <v>199</v>
      </c>
      <c r="B221" s="106">
        <f t="shared" si="27"/>
        <v>0</v>
      </c>
      <c r="C221" s="106">
        <f t="shared" si="21"/>
        <v>0</v>
      </c>
      <c r="D221" s="106">
        <f t="shared" si="22"/>
        <v>0</v>
      </c>
      <c r="E221" s="107">
        <f t="shared" si="23"/>
        <v>0</v>
      </c>
      <c r="F221" s="106">
        <f t="shared" si="24"/>
        <v>0</v>
      </c>
      <c r="G221" s="88">
        <f t="shared" si="25"/>
        <v>0</v>
      </c>
    </row>
    <row r="222" spans="1:7" ht="13.5" hidden="1" thickBot="1">
      <c r="A222" s="91">
        <f t="shared" si="26"/>
        <v>200</v>
      </c>
      <c r="B222" s="106">
        <f t="shared" si="27"/>
        <v>0</v>
      </c>
      <c r="C222" s="106">
        <f t="shared" si="21"/>
        <v>0</v>
      </c>
      <c r="D222" s="106">
        <f t="shared" si="22"/>
        <v>0</v>
      </c>
      <c r="E222" s="107">
        <f t="shared" si="23"/>
        <v>0</v>
      </c>
      <c r="F222" s="106">
        <f t="shared" si="24"/>
        <v>0</v>
      </c>
      <c r="G222" s="88">
        <f t="shared" si="25"/>
        <v>0</v>
      </c>
    </row>
    <row r="223" spans="1:7" ht="13.5" hidden="1" thickBot="1">
      <c r="A223" s="91">
        <f t="shared" si="26"/>
        <v>201</v>
      </c>
      <c r="B223" s="106">
        <f t="shared" si="27"/>
        <v>0</v>
      </c>
      <c r="C223" s="106">
        <f t="shared" si="21"/>
        <v>0</v>
      </c>
      <c r="D223" s="106">
        <f t="shared" si="22"/>
        <v>0</v>
      </c>
      <c r="E223" s="107">
        <f t="shared" si="23"/>
        <v>0</v>
      </c>
      <c r="F223" s="106">
        <f t="shared" si="24"/>
        <v>0</v>
      </c>
      <c r="G223" s="88">
        <f t="shared" si="25"/>
        <v>0</v>
      </c>
    </row>
    <row r="224" spans="1:7" ht="13.5" hidden="1" thickBot="1">
      <c r="A224" s="91">
        <f t="shared" si="26"/>
        <v>202</v>
      </c>
      <c r="B224" s="106">
        <f t="shared" si="27"/>
        <v>0</v>
      </c>
      <c r="C224" s="106">
        <f t="shared" si="21"/>
        <v>0</v>
      </c>
      <c r="D224" s="106">
        <f t="shared" si="22"/>
        <v>0</v>
      </c>
      <c r="E224" s="107">
        <f t="shared" si="23"/>
        <v>0</v>
      </c>
      <c r="F224" s="106">
        <f t="shared" si="24"/>
        <v>0</v>
      </c>
      <c r="G224" s="88">
        <f t="shared" si="25"/>
        <v>0</v>
      </c>
    </row>
    <row r="225" spans="1:7" ht="13.5" hidden="1" thickBot="1">
      <c r="A225" s="91">
        <f t="shared" si="26"/>
        <v>203</v>
      </c>
      <c r="B225" s="106">
        <f t="shared" si="27"/>
        <v>0</v>
      </c>
      <c r="C225" s="106">
        <f t="shared" si="21"/>
        <v>0</v>
      </c>
      <c r="D225" s="106">
        <f t="shared" si="22"/>
        <v>0</v>
      </c>
      <c r="E225" s="107">
        <f t="shared" si="23"/>
        <v>0</v>
      </c>
      <c r="F225" s="106">
        <f t="shared" si="24"/>
        <v>0</v>
      </c>
      <c r="G225" s="88">
        <f t="shared" si="25"/>
        <v>0</v>
      </c>
    </row>
    <row r="226" spans="1:7" ht="13.5" hidden="1" thickBot="1">
      <c r="A226" s="91">
        <f t="shared" si="26"/>
        <v>204</v>
      </c>
      <c r="B226" s="106">
        <f t="shared" si="27"/>
        <v>0</v>
      </c>
      <c r="C226" s="106">
        <f t="shared" si="21"/>
        <v>0</v>
      </c>
      <c r="D226" s="106">
        <f t="shared" si="22"/>
        <v>0</v>
      </c>
      <c r="E226" s="107">
        <f t="shared" si="23"/>
        <v>0</v>
      </c>
      <c r="F226" s="106">
        <f t="shared" si="24"/>
        <v>0</v>
      </c>
      <c r="G226" s="88">
        <f t="shared" si="25"/>
        <v>0</v>
      </c>
    </row>
    <row r="227" spans="1:7" ht="13.5" hidden="1" thickBot="1">
      <c r="A227" s="91">
        <f t="shared" si="26"/>
        <v>205</v>
      </c>
      <c r="B227" s="106">
        <f t="shared" si="27"/>
        <v>0</v>
      </c>
      <c r="C227" s="106">
        <f t="shared" si="21"/>
        <v>0</v>
      </c>
      <c r="D227" s="106">
        <f t="shared" si="22"/>
        <v>0</v>
      </c>
      <c r="E227" s="107">
        <f t="shared" si="23"/>
        <v>0</v>
      </c>
      <c r="F227" s="106">
        <f t="shared" si="24"/>
        <v>0</v>
      </c>
      <c r="G227" s="88">
        <f t="shared" si="25"/>
        <v>0</v>
      </c>
    </row>
    <row r="228" spans="1:7" ht="13.5" hidden="1" thickBot="1">
      <c r="A228" s="91">
        <f t="shared" si="26"/>
        <v>206</v>
      </c>
      <c r="B228" s="106">
        <f t="shared" si="27"/>
        <v>0</v>
      </c>
      <c r="C228" s="106">
        <f t="shared" si="21"/>
        <v>0</v>
      </c>
      <c r="D228" s="106">
        <f t="shared" si="22"/>
        <v>0</v>
      </c>
      <c r="E228" s="107">
        <f t="shared" si="23"/>
        <v>0</v>
      </c>
      <c r="F228" s="106">
        <f t="shared" si="24"/>
        <v>0</v>
      </c>
      <c r="G228" s="88">
        <f t="shared" si="25"/>
        <v>0</v>
      </c>
    </row>
    <row r="229" spans="1:7" ht="13.5" hidden="1" thickBot="1">
      <c r="A229" s="91">
        <f t="shared" si="26"/>
        <v>207</v>
      </c>
      <c r="B229" s="106">
        <f t="shared" si="27"/>
        <v>0</v>
      </c>
      <c r="C229" s="106">
        <f t="shared" si="21"/>
        <v>0</v>
      </c>
      <c r="D229" s="106">
        <f t="shared" si="22"/>
        <v>0</v>
      </c>
      <c r="E229" s="107">
        <f t="shared" si="23"/>
        <v>0</v>
      </c>
      <c r="F229" s="106">
        <f t="shared" si="24"/>
        <v>0</v>
      </c>
      <c r="G229" s="88">
        <f t="shared" si="25"/>
        <v>0</v>
      </c>
    </row>
    <row r="230" spans="1:7" ht="13.5" hidden="1" thickBot="1">
      <c r="A230" s="91">
        <f t="shared" si="26"/>
        <v>208</v>
      </c>
      <c r="B230" s="106">
        <f t="shared" si="27"/>
        <v>0</v>
      </c>
      <c r="C230" s="106">
        <f t="shared" si="21"/>
        <v>0</v>
      </c>
      <c r="D230" s="106">
        <f t="shared" si="22"/>
        <v>0</v>
      </c>
      <c r="E230" s="107">
        <f t="shared" si="23"/>
        <v>0</v>
      </c>
      <c r="F230" s="106">
        <f t="shared" si="24"/>
        <v>0</v>
      </c>
      <c r="G230" s="88">
        <f t="shared" si="25"/>
        <v>0</v>
      </c>
    </row>
    <row r="231" spans="1:7" ht="13.5" hidden="1" thickBot="1">
      <c r="A231" s="91">
        <f t="shared" si="26"/>
        <v>209</v>
      </c>
      <c r="B231" s="106">
        <f t="shared" si="27"/>
        <v>0</v>
      </c>
      <c r="C231" s="106">
        <f t="shared" si="21"/>
        <v>0</v>
      </c>
      <c r="D231" s="106">
        <f t="shared" si="22"/>
        <v>0</v>
      </c>
      <c r="E231" s="107">
        <f t="shared" si="23"/>
        <v>0</v>
      </c>
      <c r="F231" s="106">
        <f t="shared" si="24"/>
        <v>0</v>
      </c>
      <c r="G231" s="88">
        <f t="shared" si="25"/>
        <v>0</v>
      </c>
    </row>
    <row r="232" spans="1:7" ht="13.5" hidden="1" thickBot="1">
      <c r="A232" s="91">
        <f t="shared" si="26"/>
        <v>210</v>
      </c>
      <c r="B232" s="106">
        <f t="shared" si="27"/>
        <v>0</v>
      </c>
      <c r="C232" s="106">
        <f t="shared" si="21"/>
        <v>0</v>
      </c>
      <c r="D232" s="106">
        <f t="shared" si="22"/>
        <v>0</v>
      </c>
      <c r="E232" s="107">
        <f t="shared" si="23"/>
        <v>0</v>
      </c>
      <c r="F232" s="106">
        <f t="shared" si="24"/>
        <v>0</v>
      </c>
      <c r="G232" s="88">
        <f t="shared" si="25"/>
        <v>0</v>
      </c>
    </row>
    <row r="233" spans="1:7" ht="13.5" hidden="1" thickBot="1">
      <c r="A233" s="91">
        <f t="shared" si="26"/>
        <v>211</v>
      </c>
      <c r="B233" s="106">
        <f t="shared" si="27"/>
        <v>0</v>
      </c>
      <c r="C233" s="106">
        <f t="shared" si="21"/>
        <v>0</v>
      </c>
      <c r="D233" s="106">
        <f t="shared" si="22"/>
        <v>0</v>
      </c>
      <c r="E233" s="107">
        <f t="shared" si="23"/>
        <v>0</v>
      </c>
      <c r="F233" s="106">
        <f t="shared" si="24"/>
        <v>0</v>
      </c>
      <c r="G233" s="88">
        <f t="shared" si="25"/>
        <v>0</v>
      </c>
    </row>
    <row r="234" spans="1:7" ht="13.5" hidden="1" thickBot="1">
      <c r="A234" s="91">
        <f t="shared" si="26"/>
        <v>212</v>
      </c>
      <c r="B234" s="106">
        <f t="shared" si="27"/>
        <v>0</v>
      </c>
      <c r="C234" s="106">
        <f t="shared" si="21"/>
        <v>0</v>
      </c>
      <c r="D234" s="106">
        <f t="shared" si="22"/>
        <v>0</v>
      </c>
      <c r="E234" s="107">
        <f t="shared" si="23"/>
        <v>0</v>
      </c>
      <c r="F234" s="106">
        <f t="shared" si="24"/>
        <v>0</v>
      </c>
      <c r="G234" s="88">
        <f t="shared" si="25"/>
        <v>0</v>
      </c>
    </row>
    <row r="235" spans="1:7" ht="13.5" hidden="1" thickBot="1">
      <c r="A235" s="91">
        <f t="shared" si="26"/>
        <v>213</v>
      </c>
      <c r="B235" s="106">
        <f t="shared" si="27"/>
        <v>0</v>
      </c>
      <c r="C235" s="106">
        <f t="shared" si="21"/>
        <v>0</v>
      </c>
      <c r="D235" s="106">
        <f t="shared" si="22"/>
        <v>0</v>
      </c>
      <c r="E235" s="107">
        <f t="shared" si="23"/>
        <v>0</v>
      </c>
      <c r="F235" s="106">
        <f t="shared" si="24"/>
        <v>0</v>
      </c>
      <c r="G235" s="88">
        <f t="shared" si="25"/>
        <v>0</v>
      </c>
    </row>
    <row r="236" spans="1:7" ht="13.5" hidden="1" thickBot="1">
      <c r="A236" s="91">
        <f t="shared" si="26"/>
        <v>214</v>
      </c>
      <c r="B236" s="106">
        <f t="shared" si="27"/>
        <v>0</v>
      </c>
      <c r="C236" s="106">
        <f t="shared" si="21"/>
        <v>0</v>
      </c>
      <c r="D236" s="106">
        <f t="shared" si="22"/>
        <v>0</v>
      </c>
      <c r="E236" s="107">
        <f t="shared" si="23"/>
        <v>0</v>
      </c>
      <c r="F236" s="106">
        <f t="shared" si="24"/>
        <v>0</v>
      </c>
      <c r="G236" s="88">
        <f t="shared" si="25"/>
        <v>0</v>
      </c>
    </row>
    <row r="237" spans="1:7" ht="13.5" hidden="1" thickBot="1">
      <c r="A237" s="91">
        <f t="shared" si="26"/>
        <v>215</v>
      </c>
      <c r="B237" s="106">
        <f t="shared" si="27"/>
        <v>0</v>
      </c>
      <c r="C237" s="106">
        <f t="shared" si="21"/>
        <v>0</v>
      </c>
      <c r="D237" s="106">
        <f t="shared" si="22"/>
        <v>0</v>
      </c>
      <c r="E237" s="107">
        <f t="shared" si="23"/>
        <v>0</v>
      </c>
      <c r="F237" s="106">
        <f t="shared" si="24"/>
        <v>0</v>
      </c>
      <c r="G237" s="88">
        <f t="shared" si="25"/>
        <v>0</v>
      </c>
    </row>
    <row r="238" spans="1:7" ht="13.5" hidden="1" thickBot="1">
      <c r="A238" s="91">
        <f t="shared" si="26"/>
        <v>216</v>
      </c>
      <c r="B238" s="106">
        <f t="shared" si="27"/>
        <v>0</v>
      </c>
      <c r="C238" s="106">
        <f t="shared" si="21"/>
        <v>0</v>
      </c>
      <c r="D238" s="106">
        <f t="shared" si="22"/>
        <v>0</v>
      </c>
      <c r="E238" s="107">
        <f t="shared" si="23"/>
        <v>0</v>
      </c>
      <c r="F238" s="106">
        <f t="shared" si="24"/>
        <v>0</v>
      </c>
      <c r="G238" s="88">
        <f t="shared" si="25"/>
        <v>0</v>
      </c>
    </row>
    <row r="239" spans="1:7" ht="13.5" hidden="1" thickBot="1">
      <c r="A239" s="91">
        <f t="shared" si="26"/>
        <v>217</v>
      </c>
      <c r="B239" s="106">
        <f t="shared" si="27"/>
        <v>0</v>
      </c>
      <c r="C239" s="106">
        <f t="shared" si="21"/>
        <v>0</v>
      </c>
      <c r="D239" s="106">
        <f t="shared" si="22"/>
        <v>0</v>
      </c>
      <c r="E239" s="107">
        <f t="shared" si="23"/>
        <v>0</v>
      </c>
      <c r="F239" s="106">
        <f t="shared" si="24"/>
        <v>0</v>
      </c>
      <c r="G239" s="88">
        <f t="shared" si="25"/>
        <v>0</v>
      </c>
    </row>
    <row r="240" spans="1:7" ht="13.5" hidden="1" thickBot="1">
      <c r="A240" s="91">
        <f t="shared" si="26"/>
        <v>218</v>
      </c>
      <c r="B240" s="106">
        <f t="shared" si="27"/>
        <v>0</v>
      </c>
      <c r="C240" s="106">
        <f t="shared" si="21"/>
        <v>0</v>
      </c>
      <c r="D240" s="106">
        <f t="shared" si="22"/>
        <v>0</v>
      </c>
      <c r="E240" s="107">
        <f t="shared" si="23"/>
        <v>0</v>
      </c>
      <c r="F240" s="106">
        <f t="shared" si="24"/>
        <v>0</v>
      </c>
      <c r="G240" s="88">
        <f t="shared" si="25"/>
        <v>0</v>
      </c>
    </row>
    <row r="241" spans="1:7" ht="13.5" hidden="1" thickBot="1">
      <c r="A241" s="91">
        <f t="shared" si="26"/>
        <v>219</v>
      </c>
      <c r="B241" s="106">
        <f t="shared" si="27"/>
        <v>0</v>
      </c>
      <c r="C241" s="106">
        <f t="shared" si="21"/>
        <v>0</v>
      </c>
      <c r="D241" s="106">
        <f t="shared" si="22"/>
        <v>0</v>
      </c>
      <c r="E241" s="107">
        <f t="shared" si="23"/>
        <v>0</v>
      </c>
      <c r="F241" s="106">
        <f t="shared" si="24"/>
        <v>0</v>
      </c>
      <c r="G241" s="88">
        <f t="shared" si="25"/>
        <v>0</v>
      </c>
    </row>
    <row r="242" spans="1:7" ht="13.5" hidden="1" thickBot="1">
      <c r="A242" s="91">
        <f t="shared" si="26"/>
        <v>220</v>
      </c>
      <c r="B242" s="106">
        <f t="shared" si="27"/>
        <v>0</v>
      </c>
      <c r="C242" s="106">
        <f t="shared" si="21"/>
        <v>0</v>
      </c>
      <c r="D242" s="106">
        <f t="shared" si="22"/>
        <v>0</v>
      </c>
      <c r="E242" s="107">
        <f t="shared" si="23"/>
        <v>0</v>
      </c>
      <c r="F242" s="106">
        <f t="shared" si="24"/>
        <v>0</v>
      </c>
      <c r="G242" s="88">
        <f t="shared" si="25"/>
        <v>0</v>
      </c>
    </row>
    <row r="243" spans="1:7" ht="13.5" hidden="1" thickBot="1">
      <c r="A243" s="91">
        <f t="shared" si="26"/>
        <v>221</v>
      </c>
      <c r="B243" s="106">
        <f t="shared" si="27"/>
        <v>0</v>
      </c>
      <c r="C243" s="106">
        <f t="shared" si="21"/>
        <v>0</v>
      </c>
      <c r="D243" s="106">
        <f t="shared" si="22"/>
        <v>0</v>
      </c>
      <c r="E243" s="107">
        <f t="shared" si="23"/>
        <v>0</v>
      </c>
      <c r="F243" s="106">
        <f t="shared" si="24"/>
        <v>0</v>
      </c>
      <c r="G243" s="88">
        <f t="shared" si="25"/>
        <v>0</v>
      </c>
    </row>
    <row r="244" spans="1:7" ht="13.5" hidden="1" thickBot="1">
      <c r="A244" s="91">
        <f t="shared" si="26"/>
        <v>222</v>
      </c>
      <c r="B244" s="106">
        <f t="shared" si="27"/>
        <v>0</v>
      </c>
      <c r="C244" s="106">
        <f t="shared" si="21"/>
        <v>0</v>
      </c>
      <c r="D244" s="106">
        <f t="shared" si="22"/>
        <v>0</v>
      </c>
      <c r="E244" s="107">
        <f t="shared" si="23"/>
        <v>0</v>
      </c>
      <c r="F244" s="106">
        <f t="shared" si="24"/>
        <v>0</v>
      </c>
      <c r="G244" s="88">
        <f t="shared" si="25"/>
        <v>0</v>
      </c>
    </row>
    <row r="245" spans="1:7" ht="13.5" hidden="1" thickBot="1">
      <c r="A245" s="91">
        <f t="shared" si="26"/>
        <v>223</v>
      </c>
      <c r="B245" s="106">
        <f t="shared" si="27"/>
        <v>0</v>
      </c>
      <c r="C245" s="106">
        <f t="shared" si="21"/>
        <v>0</v>
      </c>
      <c r="D245" s="106">
        <f t="shared" si="22"/>
        <v>0</v>
      </c>
      <c r="E245" s="107">
        <f t="shared" si="23"/>
        <v>0</v>
      </c>
      <c r="F245" s="106">
        <f t="shared" si="24"/>
        <v>0</v>
      </c>
      <c r="G245" s="88">
        <f t="shared" si="25"/>
        <v>0</v>
      </c>
    </row>
    <row r="246" spans="1:7" ht="13.5" hidden="1" thickBot="1">
      <c r="A246" s="91">
        <f t="shared" si="26"/>
        <v>224</v>
      </c>
      <c r="B246" s="106">
        <f t="shared" si="27"/>
        <v>0</v>
      </c>
      <c r="C246" s="106">
        <f t="shared" si="21"/>
        <v>0</v>
      </c>
      <c r="D246" s="106">
        <f t="shared" si="22"/>
        <v>0</v>
      </c>
      <c r="E246" s="107">
        <f t="shared" si="23"/>
        <v>0</v>
      </c>
      <c r="F246" s="106">
        <f t="shared" si="24"/>
        <v>0</v>
      </c>
      <c r="G246" s="88">
        <f t="shared" si="25"/>
        <v>0</v>
      </c>
    </row>
    <row r="247" spans="1:7" ht="13.5" hidden="1" thickBot="1">
      <c r="A247" s="91">
        <f t="shared" si="26"/>
        <v>225</v>
      </c>
      <c r="B247" s="106">
        <f t="shared" si="27"/>
        <v>0</v>
      </c>
      <c r="C247" s="106">
        <f t="shared" si="21"/>
        <v>0</v>
      </c>
      <c r="D247" s="106">
        <f t="shared" si="22"/>
        <v>0</v>
      </c>
      <c r="E247" s="107">
        <f t="shared" si="23"/>
        <v>0</v>
      </c>
      <c r="F247" s="106">
        <f t="shared" si="24"/>
        <v>0</v>
      </c>
      <c r="G247" s="88">
        <f t="shared" si="25"/>
        <v>0</v>
      </c>
    </row>
    <row r="248" spans="1:7" ht="13.5" hidden="1" thickBot="1">
      <c r="A248" s="91">
        <f t="shared" si="26"/>
        <v>226</v>
      </c>
      <c r="B248" s="106">
        <f t="shared" si="27"/>
        <v>0</v>
      </c>
      <c r="C248" s="106">
        <f t="shared" si="21"/>
        <v>0</v>
      </c>
      <c r="D248" s="106">
        <f t="shared" si="22"/>
        <v>0</v>
      </c>
      <c r="E248" s="107">
        <f t="shared" si="23"/>
        <v>0</v>
      </c>
      <c r="F248" s="106">
        <f t="shared" si="24"/>
        <v>0</v>
      </c>
      <c r="G248" s="88">
        <f t="shared" si="25"/>
        <v>0</v>
      </c>
    </row>
    <row r="249" spans="1:7" ht="13.5" hidden="1" thickBot="1">
      <c r="A249" s="91">
        <f t="shared" si="26"/>
        <v>227</v>
      </c>
      <c r="B249" s="106">
        <f t="shared" si="27"/>
        <v>0</v>
      </c>
      <c r="C249" s="106">
        <f t="shared" si="21"/>
        <v>0</v>
      </c>
      <c r="D249" s="106">
        <f t="shared" si="22"/>
        <v>0</v>
      </c>
      <c r="E249" s="107">
        <f t="shared" si="23"/>
        <v>0</v>
      </c>
      <c r="F249" s="106">
        <f t="shared" si="24"/>
        <v>0</v>
      </c>
      <c r="G249" s="88">
        <f t="shared" si="25"/>
        <v>0</v>
      </c>
    </row>
    <row r="250" spans="1:7" ht="13.5" hidden="1" thickBot="1">
      <c r="A250" s="91">
        <f t="shared" si="26"/>
        <v>228</v>
      </c>
      <c r="B250" s="106">
        <f t="shared" si="27"/>
        <v>0</v>
      </c>
      <c r="C250" s="106">
        <f t="shared" si="21"/>
        <v>0</v>
      </c>
      <c r="D250" s="106">
        <f t="shared" si="22"/>
        <v>0</v>
      </c>
      <c r="E250" s="107">
        <f t="shared" si="23"/>
        <v>0</v>
      </c>
      <c r="F250" s="106">
        <f t="shared" si="24"/>
        <v>0</v>
      </c>
      <c r="G250" s="88">
        <f t="shared" si="25"/>
        <v>0</v>
      </c>
    </row>
    <row r="251" spans="1:7" ht="13.5" hidden="1" thickBot="1">
      <c r="A251" s="91">
        <f t="shared" si="26"/>
        <v>229</v>
      </c>
      <c r="B251" s="106">
        <f t="shared" si="27"/>
        <v>0</v>
      </c>
      <c r="C251" s="106">
        <f t="shared" si="21"/>
        <v>0</v>
      </c>
      <c r="D251" s="106">
        <f t="shared" si="22"/>
        <v>0</v>
      </c>
      <c r="E251" s="107">
        <f t="shared" si="23"/>
        <v>0</v>
      </c>
      <c r="F251" s="106">
        <f t="shared" si="24"/>
        <v>0</v>
      </c>
      <c r="G251" s="88">
        <f t="shared" si="25"/>
        <v>0</v>
      </c>
    </row>
    <row r="252" spans="1:7" ht="13.5" hidden="1" thickBot="1">
      <c r="A252" s="91">
        <f t="shared" si="26"/>
        <v>230</v>
      </c>
      <c r="B252" s="106">
        <f t="shared" si="27"/>
        <v>0</v>
      </c>
      <c r="C252" s="106">
        <f t="shared" si="21"/>
        <v>0</v>
      </c>
      <c r="D252" s="106">
        <f t="shared" si="22"/>
        <v>0</v>
      </c>
      <c r="E252" s="107">
        <f t="shared" si="23"/>
        <v>0</v>
      </c>
      <c r="F252" s="106">
        <f t="shared" si="24"/>
        <v>0</v>
      </c>
      <c r="G252" s="88">
        <f t="shared" si="25"/>
        <v>0</v>
      </c>
    </row>
    <row r="253" spans="1:7" ht="13.5" hidden="1" thickBot="1">
      <c r="A253" s="91">
        <f t="shared" si="26"/>
        <v>231</v>
      </c>
      <c r="B253" s="106">
        <f t="shared" si="27"/>
        <v>0</v>
      </c>
      <c r="C253" s="106">
        <f t="shared" si="21"/>
        <v>0</v>
      </c>
      <c r="D253" s="106">
        <f t="shared" si="22"/>
        <v>0</v>
      </c>
      <c r="E253" s="107">
        <f t="shared" si="23"/>
        <v>0</v>
      </c>
      <c r="F253" s="106">
        <f t="shared" si="24"/>
        <v>0</v>
      </c>
      <c r="G253" s="88">
        <f t="shared" si="25"/>
        <v>0</v>
      </c>
    </row>
    <row r="254" spans="1:7" ht="13.5" hidden="1" thickBot="1">
      <c r="A254" s="91">
        <f t="shared" si="26"/>
        <v>232</v>
      </c>
      <c r="B254" s="106">
        <f t="shared" si="27"/>
        <v>0</v>
      </c>
      <c r="C254" s="106">
        <f t="shared" si="21"/>
        <v>0</v>
      </c>
      <c r="D254" s="106">
        <f t="shared" si="22"/>
        <v>0</v>
      </c>
      <c r="E254" s="107">
        <f t="shared" si="23"/>
        <v>0</v>
      </c>
      <c r="F254" s="106">
        <f t="shared" si="24"/>
        <v>0</v>
      </c>
      <c r="G254" s="88">
        <f t="shared" si="25"/>
        <v>0</v>
      </c>
    </row>
    <row r="255" spans="1:7" ht="13.5" hidden="1" thickBot="1">
      <c r="A255" s="91">
        <f t="shared" si="26"/>
        <v>233</v>
      </c>
      <c r="B255" s="106">
        <f t="shared" si="27"/>
        <v>0</v>
      </c>
      <c r="C255" s="106">
        <f t="shared" si="21"/>
        <v>0</v>
      </c>
      <c r="D255" s="106">
        <f t="shared" si="22"/>
        <v>0</v>
      </c>
      <c r="E255" s="107">
        <f t="shared" si="23"/>
        <v>0</v>
      </c>
      <c r="F255" s="106">
        <f t="shared" si="24"/>
        <v>0</v>
      </c>
      <c r="G255" s="88">
        <f t="shared" si="25"/>
        <v>0</v>
      </c>
    </row>
    <row r="256" spans="1:7" ht="13.5" hidden="1" thickBot="1">
      <c r="A256" s="91">
        <f t="shared" si="26"/>
        <v>234</v>
      </c>
      <c r="B256" s="106">
        <f t="shared" si="27"/>
        <v>0</v>
      </c>
      <c r="C256" s="106">
        <f t="shared" si="21"/>
        <v>0</v>
      </c>
      <c r="D256" s="106">
        <f t="shared" si="22"/>
        <v>0</v>
      </c>
      <c r="E256" s="107">
        <f t="shared" si="23"/>
        <v>0</v>
      </c>
      <c r="F256" s="106">
        <f t="shared" si="24"/>
        <v>0</v>
      </c>
      <c r="G256" s="88">
        <f t="shared" si="25"/>
        <v>0</v>
      </c>
    </row>
    <row r="257" spans="1:7" ht="13.5" hidden="1" thickBot="1">
      <c r="A257" s="91">
        <f t="shared" si="26"/>
        <v>235</v>
      </c>
      <c r="B257" s="106">
        <f t="shared" si="27"/>
        <v>0</v>
      </c>
      <c r="C257" s="106">
        <f t="shared" si="21"/>
        <v>0</v>
      </c>
      <c r="D257" s="106">
        <f t="shared" si="22"/>
        <v>0</v>
      </c>
      <c r="E257" s="107">
        <f t="shared" si="23"/>
        <v>0</v>
      </c>
      <c r="F257" s="106">
        <f t="shared" si="24"/>
        <v>0</v>
      </c>
      <c r="G257" s="88">
        <f t="shared" si="25"/>
        <v>0</v>
      </c>
    </row>
    <row r="258" spans="1:7" ht="13.5" hidden="1" thickBot="1">
      <c r="A258" s="91">
        <f t="shared" si="26"/>
        <v>236</v>
      </c>
      <c r="B258" s="106">
        <f t="shared" si="27"/>
        <v>0</v>
      </c>
      <c r="C258" s="106">
        <f t="shared" si="21"/>
        <v>0</v>
      </c>
      <c r="D258" s="106">
        <f t="shared" si="22"/>
        <v>0</v>
      </c>
      <c r="E258" s="107">
        <f t="shared" si="23"/>
        <v>0</v>
      </c>
      <c r="F258" s="106">
        <f t="shared" si="24"/>
        <v>0</v>
      </c>
      <c r="G258" s="88">
        <f t="shared" si="25"/>
        <v>0</v>
      </c>
    </row>
    <row r="259" spans="1:7" ht="13.5" hidden="1" thickBot="1">
      <c r="A259" s="91">
        <f t="shared" si="26"/>
        <v>237</v>
      </c>
      <c r="B259" s="106">
        <f t="shared" si="27"/>
        <v>0</v>
      </c>
      <c r="C259" s="106">
        <f t="shared" si="21"/>
        <v>0</v>
      </c>
      <c r="D259" s="106">
        <f t="shared" si="22"/>
        <v>0</v>
      </c>
      <c r="E259" s="107">
        <f t="shared" si="23"/>
        <v>0</v>
      </c>
      <c r="F259" s="106">
        <f t="shared" si="24"/>
        <v>0</v>
      </c>
      <c r="G259" s="88">
        <f t="shared" si="25"/>
        <v>0</v>
      </c>
    </row>
    <row r="260" spans="1:7" ht="13.5" hidden="1" thickBot="1">
      <c r="A260" s="91">
        <f t="shared" si="26"/>
        <v>238</v>
      </c>
      <c r="B260" s="106">
        <f t="shared" si="27"/>
        <v>0</v>
      </c>
      <c r="C260" s="106">
        <f t="shared" si="21"/>
        <v>0</v>
      </c>
      <c r="D260" s="106">
        <f t="shared" si="22"/>
        <v>0</v>
      </c>
      <c r="E260" s="107">
        <f t="shared" si="23"/>
        <v>0</v>
      </c>
      <c r="F260" s="106">
        <f t="shared" si="24"/>
        <v>0</v>
      </c>
      <c r="G260" s="88">
        <f t="shared" si="25"/>
        <v>0</v>
      </c>
    </row>
    <row r="261" spans="1:7" ht="13.5" hidden="1" thickBot="1">
      <c r="A261" s="91">
        <f t="shared" si="26"/>
        <v>239</v>
      </c>
      <c r="B261" s="106">
        <f t="shared" si="27"/>
        <v>0</v>
      </c>
      <c r="C261" s="106">
        <f t="shared" si="21"/>
        <v>0</v>
      </c>
      <c r="D261" s="106">
        <f t="shared" si="22"/>
        <v>0</v>
      </c>
      <c r="E261" s="107">
        <f t="shared" si="23"/>
        <v>0</v>
      </c>
      <c r="F261" s="106">
        <f t="shared" si="24"/>
        <v>0</v>
      </c>
      <c r="G261" s="88">
        <f t="shared" si="25"/>
        <v>0</v>
      </c>
    </row>
    <row r="262" spans="1:7" ht="13.5" hidden="1" thickBot="1">
      <c r="A262" s="91">
        <f t="shared" si="26"/>
        <v>240</v>
      </c>
      <c r="B262" s="106">
        <f t="shared" si="27"/>
        <v>0</v>
      </c>
      <c r="C262" s="106">
        <f t="shared" si="21"/>
        <v>0</v>
      </c>
      <c r="D262" s="106">
        <f t="shared" si="22"/>
        <v>0</v>
      </c>
      <c r="E262" s="107">
        <f t="shared" si="23"/>
        <v>0</v>
      </c>
      <c r="F262" s="106">
        <f t="shared" si="24"/>
        <v>0</v>
      </c>
      <c r="G262" s="88">
        <f t="shared" si="25"/>
        <v>0</v>
      </c>
    </row>
    <row r="263" spans="1:7" ht="13.5" hidden="1" thickBot="1">
      <c r="A263" s="91">
        <f t="shared" si="26"/>
        <v>241</v>
      </c>
      <c r="B263" s="106">
        <f t="shared" si="27"/>
        <v>0</v>
      </c>
      <c r="C263" s="106">
        <f t="shared" si="21"/>
        <v>0</v>
      </c>
      <c r="D263" s="106">
        <f t="shared" si="22"/>
        <v>0</v>
      </c>
      <c r="E263" s="107">
        <f t="shared" si="23"/>
        <v>0</v>
      </c>
      <c r="F263" s="106">
        <f t="shared" si="24"/>
        <v>0</v>
      </c>
      <c r="G263" s="88">
        <f t="shared" si="25"/>
        <v>0</v>
      </c>
    </row>
    <row r="264" spans="1:7" ht="13.5" hidden="1" thickBot="1">
      <c r="A264" s="91">
        <f t="shared" si="26"/>
        <v>242</v>
      </c>
      <c r="B264" s="106">
        <f t="shared" si="27"/>
        <v>0</v>
      </c>
      <c r="C264" s="106">
        <f t="shared" si="21"/>
        <v>0</v>
      </c>
      <c r="D264" s="106">
        <f t="shared" si="22"/>
        <v>0</v>
      </c>
      <c r="E264" s="107">
        <f t="shared" si="23"/>
        <v>0</v>
      </c>
      <c r="F264" s="106">
        <f t="shared" si="24"/>
        <v>0</v>
      </c>
      <c r="G264" s="88">
        <f t="shared" si="25"/>
        <v>0</v>
      </c>
    </row>
    <row r="265" spans="1:7" ht="13.5" hidden="1" thickBot="1">
      <c r="A265" s="91">
        <f t="shared" si="26"/>
        <v>243</v>
      </c>
      <c r="B265" s="106">
        <f t="shared" si="27"/>
        <v>0</v>
      </c>
      <c r="C265" s="106">
        <f t="shared" si="21"/>
        <v>0</v>
      </c>
      <c r="D265" s="106">
        <f t="shared" si="22"/>
        <v>0</v>
      </c>
      <c r="E265" s="107">
        <f t="shared" si="23"/>
        <v>0</v>
      </c>
      <c r="F265" s="106">
        <f t="shared" si="24"/>
        <v>0</v>
      </c>
      <c r="G265" s="88">
        <f t="shared" si="25"/>
        <v>0</v>
      </c>
    </row>
    <row r="266" spans="1:7" ht="13.5" hidden="1" thickBot="1">
      <c r="A266" s="91">
        <f t="shared" si="26"/>
        <v>244</v>
      </c>
      <c r="B266" s="106">
        <f t="shared" si="27"/>
        <v>0</v>
      </c>
      <c r="C266" s="106">
        <f t="shared" si="21"/>
        <v>0</v>
      </c>
      <c r="D266" s="106">
        <f t="shared" si="22"/>
        <v>0</v>
      </c>
      <c r="E266" s="107">
        <f t="shared" si="23"/>
        <v>0</v>
      </c>
      <c r="F266" s="106">
        <f t="shared" si="24"/>
        <v>0</v>
      </c>
      <c r="G266" s="88">
        <f t="shared" si="25"/>
        <v>0</v>
      </c>
    </row>
    <row r="267" spans="1:7" ht="13.5" hidden="1" thickBot="1">
      <c r="A267" s="91">
        <f t="shared" si="26"/>
        <v>245</v>
      </c>
      <c r="B267" s="106">
        <f t="shared" si="27"/>
        <v>0</v>
      </c>
      <c r="C267" s="106">
        <f t="shared" si="21"/>
        <v>0</v>
      </c>
      <c r="D267" s="106">
        <f t="shared" si="22"/>
        <v>0</v>
      </c>
      <c r="E267" s="107">
        <f t="shared" si="23"/>
        <v>0</v>
      </c>
      <c r="F267" s="106">
        <f t="shared" si="24"/>
        <v>0</v>
      </c>
      <c r="G267" s="88">
        <f t="shared" si="25"/>
        <v>0</v>
      </c>
    </row>
    <row r="268" spans="1:7" ht="13.5" hidden="1" thickBot="1">
      <c r="A268" s="91">
        <f t="shared" si="26"/>
        <v>246</v>
      </c>
      <c r="B268" s="106">
        <f t="shared" si="27"/>
        <v>0</v>
      </c>
      <c r="C268" s="106">
        <f t="shared" si="21"/>
        <v>0</v>
      </c>
      <c r="D268" s="106">
        <f t="shared" si="22"/>
        <v>0</v>
      </c>
      <c r="E268" s="107">
        <f t="shared" si="23"/>
        <v>0</v>
      </c>
      <c r="F268" s="106">
        <f t="shared" si="24"/>
        <v>0</v>
      </c>
      <c r="G268" s="88">
        <f t="shared" si="25"/>
        <v>0</v>
      </c>
    </row>
    <row r="269" spans="1:7" ht="13.5" hidden="1" thickBot="1">
      <c r="A269" s="91">
        <f t="shared" si="26"/>
        <v>247</v>
      </c>
      <c r="B269" s="106">
        <f t="shared" si="27"/>
        <v>0</v>
      </c>
      <c r="C269" s="106">
        <f t="shared" si="21"/>
        <v>0</v>
      </c>
      <c r="D269" s="106">
        <f t="shared" si="22"/>
        <v>0</v>
      </c>
      <c r="E269" s="107">
        <f t="shared" si="23"/>
        <v>0</v>
      </c>
      <c r="F269" s="106">
        <f t="shared" si="24"/>
        <v>0</v>
      </c>
      <c r="G269" s="88">
        <f t="shared" si="25"/>
        <v>0</v>
      </c>
    </row>
    <row r="270" spans="1:7" ht="13.5" hidden="1" thickBot="1">
      <c r="A270" s="91">
        <f t="shared" si="26"/>
        <v>248</v>
      </c>
      <c r="B270" s="106">
        <f t="shared" si="27"/>
        <v>0</v>
      </c>
      <c r="C270" s="106">
        <f t="shared" si="21"/>
        <v>0</v>
      </c>
      <c r="D270" s="106">
        <f t="shared" si="22"/>
        <v>0</v>
      </c>
      <c r="E270" s="107">
        <f t="shared" si="23"/>
        <v>0</v>
      </c>
      <c r="F270" s="106">
        <f t="shared" si="24"/>
        <v>0</v>
      </c>
      <c r="G270" s="88">
        <f t="shared" si="25"/>
        <v>0</v>
      </c>
    </row>
    <row r="271" spans="1:7" ht="13.5" hidden="1" thickBot="1">
      <c r="A271" s="91">
        <f t="shared" si="26"/>
        <v>249</v>
      </c>
      <c r="B271" s="106">
        <f t="shared" si="27"/>
        <v>0</v>
      </c>
      <c r="C271" s="106">
        <f t="shared" si="21"/>
        <v>0</v>
      </c>
      <c r="D271" s="106">
        <f t="shared" si="22"/>
        <v>0</v>
      </c>
      <c r="E271" s="107">
        <f t="shared" si="23"/>
        <v>0</v>
      </c>
      <c r="F271" s="106">
        <f t="shared" si="24"/>
        <v>0</v>
      </c>
      <c r="G271" s="88">
        <f t="shared" si="25"/>
        <v>0</v>
      </c>
    </row>
    <row r="272" spans="1:7" ht="13.5" hidden="1" thickBot="1">
      <c r="A272" s="91">
        <f t="shared" si="26"/>
        <v>250</v>
      </c>
      <c r="B272" s="106">
        <f t="shared" si="27"/>
        <v>0</v>
      </c>
      <c r="C272" s="106">
        <f t="shared" si="21"/>
        <v>0</v>
      </c>
      <c r="D272" s="106">
        <f t="shared" si="22"/>
        <v>0</v>
      </c>
      <c r="E272" s="107">
        <f t="shared" si="23"/>
        <v>0</v>
      </c>
      <c r="F272" s="106">
        <f t="shared" si="24"/>
        <v>0</v>
      </c>
      <c r="G272" s="88">
        <f t="shared" si="25"/>
        <v>0</v>
      </c>
    </row>
    <row r="273" spans="1:7" ht="13.5" hidden="1" thickBot="1">
      <c r="A273" s="91">
        <f t="shared" si="26"/>
        <v>251</v>
      </c>
      <c r="B273" s="106">
        <f t="shared" si="27"/>
        <v>0</v>
      </c>
      <c r="C273" s="106">
        <f t="shared" si="21"/>
        <v>0</v>
      </c>
      <c r="D273" s="106">
        <f t="shared" si="22"/>
        <v>0</v>
      </c>
      <c r="E273" s="107">
        <f t="shared" si="23"/>
        <v>0</v>
      </c>
      <c r="F273" s="106">
        <f t="shared" si="24"/>
        <v>0</v>
      </c>
      <c r="G273" s="88">
        <f t="shared" si="25"/>
        <v>0</v>
      </c>
    </row>
    <row r="274" spans="1:7" ht="13.5" hidden="1" thickBot="1">
      <c r="A274" s="91">
        <f t="shared" si="26"/>
        <v>252</v>
      </c>
      <c r="B274" s="106">
        <f t="shared" si="27"/>
        <v>0</v>
      </c>
      <c r="C274" s="106">
        <f t="shared" si="21"/>
        <v>0</v>
      </c>
      <c r="D274" s="106">
        <f t="shared" si="22"/>
        <v>0</v>
      </c>
      <c r="E274" s="107">
        <f t="shared" si="23"/>
        <v>0</v>
      </c>
      <c r="F274" s="106">
        <f t="shared" si="24"/>
        <v>0</v>
      </c>
      <c r="G274" s="88">
        <f t="shared" si="25"/>
        <v>0</v>
      </c>
    </row>
    <row r="275" spans="1:7" ht="13.5" hidden="1" thickBot="1">
      <c r="A275" s="91">
        <f t="shared" si="26"/>
        <v>253</v>
      </c>
      <c r="B275" s="106">
        <f t="shared" si="27"/>
        <v>0</v>
      </c>
      <c r="C275" s="106">
        <f t="shared" si="21"/>
        <v>0</v>
      </c>
      <c r="D275" s="106">
        <f t="shared" si="22"/>
        <v>0</v>
      </c>
      <c r="E275" s="107">
        <f t="shared" si="23"/>
        <v>0</v>
      </c>
      <c r="F275" s="106">
        <f t="shared" si="24"/>
        <v>0</v>
      </c>
      <c r="G275" s="88">
        <f t="shared" si="25"/>
        <v>0</v>
      </c>
    </row>
    <row r="276" spans="1:7" ht="13.5" hidden="1" thickBot="1">
      <c r="A276" s="91">
        <f t="shared" si="26"/>
        <v>254</v>
      </c>
      <c r="B276" s="106">
        <f t="shared" si="27"/>
        <v>0</v>
      </c>
      <c r="C276" s="106">
        <f t="shared" si="21"/>
        <v>0</v>
      </c>
      <c r="D276" s="106">
        <f t="shared" si="22"/>
        <v>0</v>
      </c>
      <c r="E276" s="107">
        <f t="shared" si="23"/>
        <v>0</v>
      </c>
      <c r="F276" s="106">
        <f t="shared" si="24"/>
        <v>0</v>
      </c>
      <c r="G276" s="88">
        <f t="shared" si="25"/>
        <v>0</v>
      </c>
    </row>
    <row r="277" spans="1:7" ht="13.5" hidden="1" thickBot="1">
      <c r="A277" s="91">
        <f t="shared" si="26"/>
        <v>255</v>
      </c>
      <c r="B277" s="106">
        <f t="shared" si="27"/>
        <v>0</v>
      </c>
      <c r="C277" s="106">
        <f t="shared" si="21"/>
        <v>0</v>
      </c>
      <c r="D277" s="106">
        <f t="shared" si="22"/>
        <v>0</v>
      </c>
      <c r="E277" s="107">
        <f t="shared" si="23"/>
        <v>0</v>
      </c>
      <c r="F277" s="106">
        <f t="shared" si="24"/>
        <v>0</v>
      </c>
      <c r="G277" s="88">
        <f t="shared" si="25"/>
        <v>0</v>
      </c>
    </row>
    <row r="278" spans="1:7" ht="13.5" hidden="1" thickBot="1">
      <c r="A278" s="91">
        <f t="shared" si="26"/>
        <v>256</v>
      </c>
      <c r="B278" s="106">
        <f t="shared" si="27"/>
        <v>0</v>
      </c>
      <c r="C278" s="106">
        <f t="shared" si="21"/>
        <v>0</v>
      </c>
      <c r="D278" s="106">
        <f t="shared" si="22"/>
        <v>0</v>
      </c>
      <c r="E278" s="107">
        <f t="shared" si="23"/>
        <v>0</v>
      </c>
      <c r="F278" s="106">
        <f t="shared" si="24"/>
        <v>0</v>
      </c>
      <c r="G278" s="88">
        <f t="shared" si="25"/>
        <v>0</v>
      </c>
    </row>
    <row r="279" spans="1:7" ht="13.5" hidden="1" thickBot="1">
      <c r="A279" s="91">
        <f t="shared" si="26"/>
        <v>257</v>
      </c>
      <c r="B279" s="106">
        <f t="shared" si="27"/>
        <v>0</v>
      </c>
      <c r="C279" s="106">
        <f t="shared" ref="C279:C342" si="28">IF(A279&lt;=$D$11,$D$16*-1,0)</f>
        <v>0</v>
      </c>
      <c r="D279" s="106">
        <f t="shared" ref="D279:D342" si="29">IF(A279&gt;$D$11,0,$D$13*-1)</f>
        <v>0</v>
      </c>
      <c r="E279" s="107">
        <f t="shared" ref="E279:E342" si="30">B279*$D$12</f>
        <v>0</v>
      </c>
      <c r="F279" s="106">
        <f t="shared" ref="F279:F342" si="31">D279-E279</f>
        <v>0</v>
      </c>
      <c r="G279" s="88">
        <f t="shared" ref="G279:G342" si="32">B279-F279</f>
        <v>0</v>
      </c>
    </row>
    <row r="280" spans="1:7" ht="13.5" hidden="1" thickBot="1">
      <c r="A280" s="91">
        <f t="shared" ref="A280:A343" si="33">A279+1</f>
        <v>258</v>
      </c>
      <c r="B280" s="106">
        <f t="shared" ref="B280:B343" si="34">IF(A280&lt;=$D$11,G279,0)</f>
        <v>0</v>
      </c>
      <c r="C280" s="106">
        <f t="shared" si="28"/>
        <v>0</v>
      </c>
      <c r="D280" s="106">
        <f t="shared" si="29"/>
        <v>0</v>
      </c>
      <c r="E280" s="107">
        <f t="shared" si="30"/>
        <v>0</v>
      </c>
      <c r="F280" s="106">
        <f t="shared" si="31"/>
        <v>0</v>
      </c>
      <c r="G280" s="88">
        <f t="shared" si="32"/>
        <v>0</v>
      </c>
    </row>
    <row r="281" spans="1:7" ht="13.5" hidden="1" thickBot="1">
      <c r="A281" s="91">
        <f t="shared" si="33"/>
        <v>259</v>
      </c>
      <c r="B281" s="106">
        <f t="shared" si="34"/>
        <v>0</v>
      </c>
      <c r="C281" s="106">
        <f t="shared" si="28"/>
        <v>0</v>
      </c>
      <c r="D281" s="106">
        <f t="shared" si="29"/>
        <v>0</v>
      </c>
      <c r="E281" s="107">
        <f t="shared" si="30"/>
        <v>0</v>
      </c>
      <c r="F281" s="106">
        <f t="shared" si="31"/>
        <v>0</v>
      </c>
      <c r="G281" s="88">
        <f t="shared" si="32"/>
        <v>0</v>
      </c>
    </row>
    <row r="282" spans="1:7" ht="13.5" hidden="1" thickBot="1">
      <c r="A282" s="91">
        <f t="shared" si="33"/>
        <v>260</v>
      </c>
      <c r="B282" s="106">
        <f t="shared" si="34"/>
        <v>0</v>
      </c>
      <c r="C282" s="106">
        <f t="shared" si="28"/>
        <v>0</v>
      </c>
      <c r="D282" s="106">
        <f t="shared" si="29"/>
        <v>0</v>
      </c>
      <c r="E282" s="107">
        <f t="shared" si="30"/>
        <v>0</v>
      </c>
      <c r="F282" s="106">
        <f t="shared" si="31"/>
        <v>0</v>
      </c>
      <c r="G282" s="88">
        <f t="shared" si="32"/>
        <v>0</v>
      </c>
    </row>
    <row r="283" spans="1:7" ht="13.5" hidden="1" thickBot="1">
      <c r="A283" s="91">
        <f t="shared" si="33"/>
        <v>261</v>
      </c>
      <c r="B283" s="106">
        <f t="shared" si="34"/>
        <v>0</v>
      </c>
      <c r="C283" s="106">
        <f t="shared" si="28"/>
        <v>0</v>
      </c>
      <c r="D283" s="106">
        <f t="shared" si="29"/>
        <v>0</v>
      </c>
      <c r="E283" s="107">
        <f t="shared" si="30"/>
        <v>0</v>
      </c>
      <c r="F283" s="106">
        <f t="shared" si="31"/>
        <v>0</v>
      </c>
      <c r="G283" s="88">
        <f t="shared" si="32"/>
        <v>0</v>
      </c>
    </row>
    <row r="284" spans="1:7" ht="13.5" hidden="1" thickBot="1">
      <c r="A284" s="91">
        <f t="shared" si="33"/>
        <v>262</v>
      </c>
      <c r="B284" s="106">
        <f t="shared" si="34"/>
        <v>0</v>
      </c>
      <c r="C284" s="106">
        <f t="shared" si="28"/>
        <v>0</v>
      </c>
      <c r="D284" s="106">
        <f t="shared" si="29"/>
        <v>0</v>
      </c>
      <c r="E284" s="107">
        <f t="shared" si="30"/>
        <v>0</v>
      </c>
      <c r="F284" s="106">
        <f t="shared" si="31"/>
        <v>0</v>
      </c>
      <c r="G284" s="88">
        <f t="shared" si="32"/>
        <v>0</v>
      </c>
    </row>
    <row r="285" spans="1:7" ht="13.5" hidden="1" thickBot="1">
      <c r="A285" s="91">
        <f t="shared" si="33"/>
        <v>263</v>
      </c>
      <c r="B285" s="106">
        <f t="shared" si="34"/>
        <v>0</v>
      </c>
      <c r="C285" s="106">
        <f t="shared" si="28"/>
        <v>0</v>
      </c>
      <c r="D285" s="106">
        <f t="shared" si="29"/>
        <v>0</v>
      </c>
      <c r="E285" s="107">
        <f t="shared" si="30"/>
        <v>0</v>
      </c>
      <c r="F285" s="106">
        <f t="shared" si="31"/>
        <v>0</v>
      </c>
      <c r="G285" s="88">
        <f t="shared" si="32"/>
        <v>0</v>
      </c>
    </row>
    <row r="286" spans="1:7" ht="13.5" hidden="1" thickBot="1">
      <c r="A286" s="91">
        <f t="shared" si="33"/>
        <v>264</v>
      </c>
      <c r="B286" s="106">
        <f t="shared" si="34"/>
        <v>0</v>
      </c>
      <c r="C286" s="106">
        <f t="shared" si="28"/>
        <v>0</v>
      </c>
      <c r="D286" s="106">
        <f t="shared" si="29"/>
        <v>0</v>
      </c>
      <c r="E286" s="107">
        <f t="shared" si="30"/>
        <v>0</v>
      </c>
      <c r="F286" s="106">
        <f t="shared" si="31"/>
        <v>0</v>
      </c>
      <c r="G286" s="88">
        <f t="shared" si="32"/>
        <v>0</v>
      </c>
    </row>
    <row r="287" spans="1:7" ht="13.5" hidden="1" thickBot="1">
      <c r="A287" s="91">
        <f t="shared" si="33"/>
        <v>265</v>
      </c>
      <c r="B287" s="106">
        <f t="shared" si="34"/>
        <v>0</v>
      </c>
      <c r="C287" s="106">
        <f t="shared" si="28"/>
        <v>0</v>
      </c>
      <c r="D287" s="106">
        <f t="shared" si="29"/>
        <v>0</v>
      </c>
      <c r="E287" s="107">
        <f t="shared" si="30"/>
        <v>0</v>
      </c>
      <c r="F287" s="106">
        <f t="shared" si="31"/>
        <v>0</v>
      </c>
      <c r="G287" s="88">
        <f t="shared" si="32"/>
        <v>0</v>
      </c>
    </row>
    <row r="288" spans="1:7" ht="13.5" hidden="1" thickBot="1">
      <c r="A288" s="91">
        <f t="shared" si="33"/>
        <v>266</v>
      </c>
      <c r="B288" s="106">
        <f t="shared" si="34"/>
        <v>0</v>
      </c>
      <c r="C288" s="106">
        <f t="shared" si="28"/>
        <v>0</v>
      </c>
      <c r="D288" s="106">
        <f t="shared" si="29"/>
        <v>0</v>
      </c>
      <c r="E288" s="107">
        <f t="shared" si="30"/>
        <v>0</v>
      </c>
      <c r="F288" s="106">
        <f t="shared" si="31"/>
        <v>0</v>
      </c>
      <c r="G288" s="88">
        <f t="shared" si="32"/>
        <v>0</v>
      </c>
    </row>
    <row r="289" spans="1:7" ht="13.5" hidden="1" thickBot="1">
      <c r="A289" s="91">
        <f t="shared" si="33"/>
        <v>267</v>
      </c>
      <c r="B289" s="106">
        <f t="shared" si="34"/>
        <v>0</v>
      </c>
      <c r="C289" s="106">
        <f t="shared" si="28"/>
        <v>0</v>
      </c>
      <c r="D289" s="106">
        <f t="shared" si="29"/>
        <v>0</v>
      </c>
      <c r="E289" s="107">
        <f t="shared" si="30"/>
        <v>0</v>
      </c>
      <c r="F289" s="106">
        <f t="shared" si="31"/>
        <v>0</v>
      </c>
      <c r="G289" s="88">
        <f t="shared" si="32"/>
        <v>0</v>
      </c>
    </row>
    <row r="290" spans="1:7" ht="13.5" hidden="1" thickBot="1">
      <c r="A290" s="91">
        <f t="shared" si="33"/>
        <v>268</v>
      </c>
      <c r="B290" s="106">
        <f t="shared" si="34"/>
        <v>0</v>
      </c>
      <c r="C290" s="106">
        <f t="shared" si="28"/>
        <v>0</v>
      </c>
      <c r="D290" s="106">
        <f t="shared" si="29"/>
        <v>0</v>
      </c>
      <c r="E290" s="107">
        <f t="shared" si="30"/>
        <v>0</v>
      </c>
      <c r="F290" s="106">
        <f t="shared" si="31"/>
        <v>0</v>
      </c>
      <c r="G290" s="88">
        <f t="shared" si="32"/>
        <v>0</v>
      </c>
    </row>
    <row r="291" spans="1:7" ht="13.5" hidden="1" thickBot="1">
      <c r="A291" s="91">
        <f t="shared" si="33"/>
        <v>269</v>
      </c>
      <c r="B291" s="106">
        <f t="shared" si="34"/>
        <v>0</v>
      </c>
      <c r="C291" s="106">
        <f t="shared" si="28"/>
        <v>0</v>
      </c>
      <c r="D291" s="106">
        <f t="shared" si="29"/>
        <v>0</v>
      </c>
      <c r="E291" s="107">
        <f t="shared" si="30"/>
        <v>0</v>
      </c>
      <c r="F291" s="106">
        <f t="shared" si="31"/>
        <v>0</v>
      </c>
      <c r="G291" s="88">
        <f t="shared" si="32"/>
        <v>0</v>
      </c>
    </row>
    <row r="292" spans="1:7" ht="13.5" hidden="1" thickBot="1">
      <c r="A292" s="91">
        <f t="shared" si="33"/>
        <v>270</v>
      </c>
      <c r="B292" s="106">
        <f t="shared" si="34"/>
        <v>0</v>
      </c>
      <c r="C292" s="106">
        <f t="shared" si="28"/>
        <v>0</v>
      </c>
      <c r="D292" s="106">
        <f t="shared" si="29"/>
        <v>0</v>
      </c>
      <c r="E292" s="107">
        <f t="shared" si="30"/>
        <v>0</v>
      </c>
      <c r="F292" s="106">
        <f t="shared" si="31"/>
        <v>0</v>
      </c>
      <c r="G292" s="88">
        <f t="shared" si="32"/>
        <v>0</v>
      </c>
    </row>
    <row r="293" spans="1:7" ht="13.5" hidden="1" thickBot="1">
      <c r="A293" s="91">
        <f t="shared" si="33"/>
        <v>271</v>
      </c>
      <c r="B293" s="106">
        <f t="shared" si="34"/>
        <v>0</v>
      </c>
      <c r="C293" s="106">
        <f t="shared" si="28"/>
        <v>0</v>
      </c>
      <c r="D293" s="106">
        <f t="shared" si="29"/>
        <v>0</v>
      </c>
      <c r="E293" s="107">
        <f t="shared" si="30"/>
        <v>0</v>
      </c>
      <c r="F293" s="106">
        <f t="shared" si="31"/>
        <v>0</v>
      </c>
      <c r="G293" s="88">
        <f t="shared" si="32"/>
        <v>0</v>
      </c>
    </row>
    <row r="294" spans="1:7" ht="13.5" hidden="1" thickBot="1">
      <c r="A294" s="91">
        <f t="shared" si="33"/>
        <v>272</v>
      </c>
      <c r="B294" s="106">
        <f t="shared" si="34"/>
        <v>0</v>
      </c>
      <c r="C294" s="106">
        <f t="shared" si="28"/>
        <v>0</v>
      </c>
      <c r="D294" s="106">
        <f t="shared" si="29"/>
        <v>0</v>
      </c>
      <c r="E294" s="107">
        <f t="shared" si="30"/>
        <v>0</v>
      </c>
      <c r="F294" s="106">
        <f t="shared" si="31"/>
        <v>0</v>
      </c>
      <c r="G294" s="88">
        <f t="shared" si="32"/>
        <v>0</v>
      </c>
    </row>
    <row r="295" spans="1:7" ht="13.5" hidden="1" thickBot="1">
      <c r="A295" s="91">
        <f t="shared" si="33"/>
        <v>273</v>
      </c>
      <c r="B295" s="106">
        <f t="shared" si="34"/>
        <v>0</v>
      </c>
      <c r="C295" s="106">
        <f t="shared" si="28"/>
        <v>0</v>
      </c>
      <c r="D295" s="106">
        <f t="shared" si="29"/>
        <v>0</v>
      </c>
      <c r="E295" s="107">
        <f t="shared" si="30"/>
        <v>0</v>
      </c>
      <c r="F295" s="106">
        <f t="shared" si="31"/>
        <v>0</v>
      </c>
      <c r="G295" s="88">
        <f t="shared" si="32"/>
        <v>0</v>
      </c>
    </row>
    <row r="296" spans="1:7" ht="13.5" hidden="1" thickBot="1">
      <c r="A296" s="91">
        <f t="shared" si="33"/>
        <v>274</v>
      </c>
      <c r="B296" s="106">
        <f t="shared" si="34"/>
        <v>0</v>
      </c>
      <c r="C296" s="106">
        <f t="shared" si="28"/>
        <v>0</v>
      </c>
      <c r="D296" s="106">
        <f t="shared" si="29"/>
        <v>0</v>
      </c>
      <c r="E296" s="107">
        <f t="shared" si="30"/>
        <v>0</v>
      </c>
      <c r="F296" s="106">
        <f t="shared" si="31"/>
        <v>0</v>
      </c>
      <c r="G296" s="88">
        <f t="shared" si="32"/>
        <v>0</v>
      </c>
    </row>
    <row r="297" spans="1:7" ht="13.5" hidden="1" thickBot="1">
      <c r="A297" s="91">
        <f t="shared" si="33"/>
        <v>275</v>
      </c>
      <c r="B297" s="106">
        <f t="shared" si="34"/>
        <v>0</v>
      </c>
      <c r="C297" s="106">
        <f t="shared" si="28"/>
        <v>0</v>
      </c>
      <c r="D297" s="106">
        <f t="shared" si="29"/>
        <v>0</v>
      </c>
      <c r="E297" s="107">
        <f t="shared" si="30"/>
        <v>0</v>
      </c>
      <c r="F297" s="106">
        <f t="shared" si="31"/>
        <v>0</v>
      </c>
      <c r="G297" s="88">
        <f t="shared" si="32"/>
        <v>0</v>
      </c>
    </row>
    <row r="298" spans="1:7" ht="13.5" hidden="1" thickBot="1">
      <c r="A298" s="91">
        <f t="shared" si="33"/>
        <v>276</v>
      </c>
      <c r="B298" s="106">
        <f t="shared" si="34"/>
        <v>0</v>
      </c>
      <c r="C298" s="106">
        <f t="shared" si="28"/>
        <v>0</v>
      </c>
      <c r="D298" s="106">
        <f t="shared" si="29"/>
        <v>0</v>
      </c>
      <c r="E298" s="107">
        <f t="shared" si="30"/>
        <v>0</v>
      </c>
      <c r="F298" s="106">
        <f t="shared" si="31"/>
        <v>0</v>
      </c>
      <c r="G298" s="88">
        <f t="shared" si="32"/>
        <v>0</v>
      </c>
    </row>
    <row r="299" spans="1:7" ht="13.5" hidden="1" thickBot="1">
      <c r="A299" s="91">
        <f t="shared" si="33"/>
        <v>277</v>
      </c>
      <c r="B299" s="106">
        <f t="shared" si="34"/>
        <v>0</v>
      </c>
      <c r="C299" s="106">
        <f t="shared" si="28"/>
        <v>0</v>
      </c>
      <c r="D299" s="106">
        <f t="shared" si="29"/>
        <v>0</v>
      </c>
      <c r="E299" s="107">
        <f t="shared" si="30"/>
        <v>0</v>
      </c>
      <c r="F299" s="106">
        <f t="shared" si="31"/>
        <v>0</v>
      </c>
      <c r="G299" s="88">
        <f t="shared" si="32"/>
        <v>0</v>
      </c>
    </row>
    <row r="300" spans="1:7" ht="13.5" hidden="1" thickBot="1">
      <c r="A300" s="91">
        <f t="shared" si="33"/>
        <v>278</v>
      </c>
      <c r="B300" s="106">
        <f t="shared" si="34"/>
        <v>0</v>
      </c>
      <c r="C300" s="106">
        <f t="shared" si="28"/>
        <v>0</v>
      </c>
      <c r="D300" s="106">
        <f t="shared" si="29"/>
        <v>0</v>
      </c>
      <c r="E300" s="107">
        <f t="shared" si="30"/>
        <v>0</v>
      </c>
      <c r="F300" s="106">
        <f t="shared" si="31"/>
        <v>0</v>
      </c>
      <c r="G300" s="88">
        <f t="shared" si="32"/>
        <v>0</v>
      </c>
    </row>
    <row r="301" spans="1:7" ht="13.5" hidden="1" thickBot="1">
      <c r="A301" s="91">
        <f t="shared" si="33"/>
        <v>279</v>
      </c>
      <c r="B301" s="106">
        <f t="shared" si="34"/>
        <v>0</v>
      </c>
      <c r="C301" s="106">
        <f t="shared" si="28"/>
        <v>0</v>
      </c>
      <c r="D301" s="106">
        <f t="shared" si="29"/>
        <v>0</v>
      </c>
      <c r="E301" s="107">
        <f t="shared" si="30"/>
        <v>0</v>
      </c>
      <c r="F301" s="106">
        <f t="shared" si="31"/>
        <v>0</v>
      </c>
      <c r="G301" s="88">
        <f t="shared" si="32"/>
        <v>0</v>
      </c>
    </row>
    <row r="302" spans="1:7" ht="13.5" hidden="1" thickBot="1">
      <c r="A302" s="91">
        <f t="shared" si="33"/>
        <v>280</v>
      </c>
      <c r="B302" s="106">
        <f t="shared" si="34"/>
        <v>0</v>
      </c>
      <c r="C302" s="106">
        <f t="shared" si="28"/>
        <v>0</v>
      </c>
      <c r="D302" s="106">
        <f t="shared" si="29"/>
        <v>0</v>
      </c>
      <c r="E302" s="107">
        <f t="shared" si="30"/>
        <v>0</v>
      </c>
      <c r="F302" s="106">
        <f t="shared" si="31"/>
        <v>0</v>
      </c>
      <c r="G302" s="88">
        <f t="shared" si="32"/>
        <v>0</v>
      </c>
    </row>
    <row r="303" spans="1:7" ht="13.5" hidden="1" thickBot="1">
      <c r="A303" s="91">
        <f t="shared" si="33"/>
        <v>281</v>
      </c>
      <c r="B303" s="106">
        <f t="shared" si="34"/>
        <v>0</v>
      </c>
      <c r="C303" s="106">
        <f t="shared" si="28"/>
        <v>0</v>
      </c>
      <c r="D303" s="106">
        <f t="shared" si="29"/>
        <v>0</v>
      </c>
      <c r="E303" s="107">
        <f t="shared" si="30"/>
        <v>0</v>
      </c>
      <c r="F303" s="106">
        <f t="shared" si="31"/>
        <v>0</v>
      </c>
      <c r="G303" s="88">
        <f t="shared" si="32"/>
        <v>0</v>
      </c>
    </row>
    <row r="304" spans="1:7" ht="13.5" hidden="1" thickBot="1">
      <c r="A304" s="91">
        <f t="shared" si="33"/>
        <v>282</v>
      </c>
      <c r="B304" s="106">
        <f t="shared" si="34"/>
        <v>0</v>
      </c>
      <c r="C304" s="106">
        <f t="shared" si="28"/>
        <v>0</v>
      </c>
      <c r="D304" s="106">
        <f t="shared" si="29"/>
        <v>0</v>
      </c>
      <c r="E304" s="107">
        <f t="shared" si="30"/>
        <v>0</v>
      </c>
      <c r="F304" s="106">
        <f t="shared" si="31"/>
        <v>0</v>
      </c>
      <c r="G304" s="88">
        <f t="shared" si="32"/>
        <v>0</v>
      </c>
    </row>
    <row r="305" spans="1:7" ht="13.5" hidden="1" thickBot="1">
      <c r="A305" s="91">
        <f t="shared" si="33"/>
        <v>283</v>
      </c>
      <c r="B305" s="106">
        <f t="shared" si="34"/>
        <v>0</v>
      </c>
      <c r="C305" s="106">
        <f t="shared" si="28"/>
        <v>0</v>
      </c>
      <c r="D305" s="106">
        <f t="shared" si="29"/>
        <v>0</v>
      </c>
      <c r="E305" s="107">
        <f t="shared" si="30"/>
        <v>0</v>
      </c>
      <c r="F305" s="106">
        <f t="shared" si="31"/>
        <v>0</v>
      </c>
      <c r="G305" s="88">
        <f t="shared" si="32"/>
        <v>0</v>
      </c>
    </row>
    <row r="306" spans="1:7" ht="13.5" hidden="1" thickBot="1">
      <c r="A306" s="91">
        <f t="shared" si="33"/>
        <v>284</v>
      </c>
      <c r="B306" s="106">
        <f t="shared" si="34"/>
        <v>0</v>
      </c>
      <c r="C306" s="106">
        <f t="shared" si="28"/>
        <v>0</v>
      </c>
      <c r="D306" s="106">
        <f t="shared" si="29"/>
        <v>0</v>
      </c>
      <c r="E306" s="107">
        <f t="shared" si="30"/>
        <v>0</v>
      </c>
      <c r="F306" s="106">
        <f t="shared" si="31"/>
        <v>0</v>
      </c>
      <c r="G306" s="88">
        <f t="shared" si="32"/>
        <v>0</v>
      </c>
    </row>
    <row r="307" spans="1:7" ht="13.5" hidden="1" thickBot="1">
      <c r="A307" s="91">
        <f t="shared" si="33"/>
        <v>285</v>
      </c>
      <c r="B307" s="106">
        <f t="shared" si="34"/>
        <v>0</v>
      </c>
      <c r="C307" s="106">
        <f t="shared" si="28"/>
        <v>0</v>
      </c>
      <c r="D307" s="106">
        <f t="shared" si="29"/>
        <v>0</v>
      </c>
      <c r="E307" s="107">
        <f t="shared" si="30"/>
        <v>0</v>
      </c>
      <c r="F307" s="106">
        <f t="shared" si="31"/>
        <v>0</v>
      </c>
      <c r="G307" s="88">
        <f t="shared" si="32"/>
        <v>0</v>
      </c>
    </row>
    <row r="308" spans="1:7" ht="13.5" hidden="1" thickBot="1">
      <c r="A308" s="91">
        <f t="shared" si="33"/>
        <v>286</v>
      </c>
      <c r="B308" s="106">
        <f t="shared" si="34"/>
        <v>0</v>
      </c>
      <c r="C308" s="106">
        <f t="shared" si="28"/>
        <v>0</v>
      </c>
      <c r="D308" s="106">
        <f t="shared" si="29"/>
        <v>0</v>
      </c>
      <c r="E308" s="107">
        <f t="shared" si="30"/>
        <v>0</v>
      </c>
      <c r="F308" s="106">
        <f t="shared" si="31"/>
        <v>0</v>
      </c>
      <c r="G308" s="88">
        <f t="shared" si="32"/>
        <v>0</v>
      </c>
    </row>
    <row r="309" spans="1:7" ht="13.5" hidden="1" thickBot="1">
      <c r="A309" s="91">
        <f t="shared" si="33"/>
        <v>287</v>
      </c>
      <c r="B309" s="106">
        <f t="shared" si="34"/>
        <v>0</v>
      </c>
      <c r="C309" s="106">
        <f t="shared" si="28"/>
        <v>0</v>
      </c>
      <c r="D309" s="106">
        <f t="shared" si="29"/>
        <v>0</v>
      </c>
      <c r="E309" s="107">
        <f t="shared" si="30"/>
        <v>0</v>
      </c>
      <c r="F309" s="106">
        <f t="shared" si="31"/>
        <v>0</v>
      </c>
      <c r="G309" s="88">
        <f t="shared" si="32"/>
        <v>0</v>
      </c>
    </row>
    <row r="310" spans="1:7" ht="13.5" hidden="1" thickBot="1">
      <c r="A310" s="91">
        <f t="shared" si="33"/>
        <v>288</v>
      </c>
      <c r="B310" s="106">
        <f t="shared" si="34"/>
        <v>0</v>
      </c>
      <c r="C310" s="106">
        <f t="shared" si="28"/>
        <v>0</v>
      </c>
      <c r="D310" s="106">
        <f t="shared" si="29"/>
        <v>0</v>
      </c>
      <c r="E310" s="107">
        <f t="shared" si="30"/>
        <v>0</v>
      </c>
      <c r="F310" s="106">
        <f t="shared" si="31"/>
        <v>0</v>
      </c>
      <c r="G310" s="88">
        <f t="shared" si="32"/>
        <v>0</v>
      </c>
    </row>
    <row r="311" spans="1:7" ht="13.5" hidden="1" thickBot="1">
      <c r="A311" s="91">
        <f t="shared" si="33"/>
        <v>289</v>
      </c>
      <c r="B311" s="106">
        <f t="shared" si="34"/>
        <v>0</v>
      </c>
      <c r="C311" s="106">
        <f t="shared" si="28"/>
        <v>0</v>
      </c>
      <c r="D311" s="106">
        <f t="shared" si="29"/>
        <v>0</v>
      </c>
      <c r="E311" s="107">
        <f t="shared" si="30"/>
        <v>0</v>
      </c>
      <c r="F311" s="106">
        <f t="shared" si="31"/>
        <v>0</v>
      </c>
      <c r="G311" s="88">
        <f t="shared" si="32"/>
        <v>0</v>
      </c>
    </row>
    <row r="312" spans="1:7" ht="13.5" hidden="1" thickBot="1">
      <c r="A312" s="91">
        <f t="shared" si="33"/>
        <v>290</v>
      </c>
      <c r="B312" s="106">
        <f t="shared" si="34"/>
        <v>0</v>
      </c>
      <c r="C312" s="106">
        <f t="shared" si="28"/>
        <v>0</v>
      </c>
      <c r="D312" s="106">
        <f t="shared" si="29"/>
        <v>0</v>
      </c>
      <c r="E312" s="107">
        <f t="shared" si="30"/>
        <v>0</v>
      </c>
      <c r="F312" s="106">
        <f t="shared" si="31"/>
        <v>0</v>
      </c>
      <c r="G312" s="88">
        <f t="shared" si="32"/>
        <v>0</v>
      </c>
    </row>
    <row r="313" spans="1:7" ht="13.5" hidden="1" thickBot="1">
      <c r="A313" s="91">
        <f t="shared" si="33"/>
        <v>291</v>
      </c>
      <c r="B313" s="106">
        <f t="shared" si="34"/>
        <v>0</v>
      </c>
      <c r="C313" s="106">
        <f t="shared" si="28"/>
        <v>0</v>
      </c>
      <c r="D313" s="106">
        <f t="shared" si="29"/>
        <v>0</v>
      </c>
      <c r="E313" s="107">
        <f t="shared" si="30"/>
        <v>0</v>
      </c>
      <c r="F313" s="106">
        <f t="shared" si="31"/>
        <v>0</v>
      </c>
      <c r="G313" s="88">
        <f t="shared" si="32"/>
        <v>0</v>
      </c>
    </row>
    <row r="314" spans="1:7" ht="13.5" hidden="1" thickBot="1">
      <c r="A314" s="91">
        <f t="shared" si="33"/>
        <v>292</v>
      </c>
      <c r="B314" s="106">
        <f t="shared" si="34"/>
        <v>0</v>
      </c>
      <c r="C314" s="106">
        <f t="shared" si="28"/>
        <v>0</v>
      </c>
      <c r="D314" s="106">
        <f t="shared" si="29"/>
        <v>0</v>
      </c>
      <c r="E314" s="107">
        <f t="shared" si="30"/>
        <v>0</v>
      </c>
      <c r="F314" s="106">
        <f t="shared" si="31"/>
        <v>0</v>
      </c>
      <c r="G314" s="88">
        <f t="shared" si="32"/>
        <v>0</v>
      </c>
    </row>
    <row r="315" spans="1:7" ht="13.5" hidden="1" thickBot="1">
      <c r="A315" s="91">
        <f t="shared" si="33"/>
        <v>293</v>
      </c>
      <c r="B315" s="106">
        <f t="shared" si="34"/>
        <v>0</v>
      </c>
      <c r="C315" s="106">
        <f t="shared" si="28"/>
        <v>0</v>
      </c>
      <c r="D315" s="106">
        <f t="shared" si="29"/>
        <v>0</v>
      </c>
      <c r="E315" s="107">
        <f t="shared" si="30"/>
        <v>0</v>
      </c>
      <c r="F315" s="106">
        <f t="shared" si="31"/>
        <v>0</v>
      </c>
      <c r="G315" s="88">
        <f t="shared" si="32"/>
        <v>0</v>
      </c>
    </row>
    <row r="316" spans="1:7" ht="13.5" hidden="1" thickBot="1">
      <c r="A316" s="91">
        <f t="shared" si="33"/>
        <v>294</v>
      </c>
      <c r="B316" s="106">
        <f t="shared" si="34"/>
        <v>0</v>
      </c>
      <c r="C316" s="106">
        <f t="shared" si="28"/>
        <v>0</v>
      </c>
      <c r="D316" s="106">
        <f t="shared" si="29"/>
        <v>0</v>
      </c>
      <c r="E316" s="107">
        <f t="shared" si="30"/>
        <v>0</v>
      </c>
      <c r="F316" s="106">
        <f t="shared" si="31"/>
        <v>0</v>
      </c>
      <c r="G316" s="88">
        <f t="shared" si="32"/>
        <v>0</v>
      </c>
    </row>
    <row r="317" spans="1:7" ht="13.5" hidden="1" thickBot="1">
      <c r="A317" s="91">
        <f t="shared" si="33"/>
        <v>295</v>
      </c>
      <c r="B317" s="106">
        <f t="shared" si="34"/>
        <v>0</v>
      </c>
      <c r="C317" s="106">
        <f t="shared" si="28"/>
        <v>0</v>
      </c>
      <c r="D317" s="106">
        <f t="shared" si="29"/>
        <v>0</v>
      </c>
      <c r="E317" s="107">
        <f t="shared" si="30"/>
        <v>0</v>
      </c>
      <c r="F317" s="106">
        <f t="shared" si="31"/>
        <v>0</v>
      </c>
      <c r="G317" s="88">
        <f t="shared" si="32"/>
        <v>0</v>
      </c>
    </row>
    <row r="318" spans="1:7" ht="13.5" hidden="1" thickBot="1">
      <c r="A318" s="91">
        <f t="shared" si="33"/>
        <v>296</v>
      </c>
      <c r="B318" s="106">
        <f t="shared" si="34"/>
        <v>0</v>
      </c>
      <c r="C318" s="106">
        <f t="shared" si="28"/>
        <v>0</v>
      </c>
      <c r="D318" s="106">
        <f t="shared" si="29"/>
        <v>0</v>
      </c>
      <c r="E318" s="107">
        <f t="shared" si="30"/>
        <v>0</v>
      </c>
      <c r="F318" s="106">
        <f t="shared" si="31"/>
        <v>0</v>
      </c>
      <c r="G318" s="88">
        <f t="shared" si="32"/>
        <v>0</v>
      </c>
    </row>
    <row r="319" spans="1:7" ht="13.5" hidden="1" thickBot="1">
      <c r="A319" s="91">
        <f t="shared" si="33"/>
        <v>297</v>
      </c>
      <c r="B319" s="106">
        <f t="shared" si="34"/>
        <v>0</v>
      </c>
      <c r="C319" s="106">
        <f t="shared" si="28"/>
        <v>0</v>
      </c>
      <c r="D319" s="106">
        <f t="shared" si="29"/>
        <v>0</v>
      </c>
      <c r="E319" s="107">
        <f t="shared" si="30"/>
        <v>0</v>
      </c>
      <c r="F319" s="106">
        <f t="shared" si="31"/>
        <v>0</v>
      </c>
      <c r="G319" s="88">
        <f t="shared" si="32"/>
        <v>0</v>
      </c>
    </row>
    <row r="320" spans="1:7" ht="13.5" hidden="1" thickBot="1">
      <c r="A320" s="91">
        <f t="shared" si="33"/>
        <v>298</v>
      </c>
      <c r="B320" s="106">
        <f t="shared" si="34"/>
        <v>0</v>
      </c>
      <c r="C320" s="106">
        <f t="shared" si="28"/>
        <v>0</v>
      </c>
      <c r="D320" s="106">
        <f t="shared" si="29"/>
        <v>0</v>
      </c>
      <c r="E320" s="107">
        <f t="shared" si="30"/>
        <v>0</v>
      </c>
      <c r="F320" s="106">
        <f t="shared" si="31"/>
        <v>0</v>
      </c>
      <c r="G320" s="88">
        <f t="shared" si="32"/>
        <v>0</v>
      </c>
    </row>
    <row r="321" spans="1:7" ht="13.5" hidden="1" thickBot="1">
      <c r="A321" s="91">
        <f t="shared" si="33"/>
        <v>299</v>
      </c>
      <c r="B321" s="106">
        <f t="shared" si="34"/>
        <v>0</v>
      </c>
      <c r="C321" s="106">
        <f t="shared" si="28"/>
        <v>0</v>
      </c>
      <c r="D321" s="106">
        <f t="shared" si="29"/>
        <v>0</v>
      </c>
      <c r="E321" s="107">
        <f t="shared" si="30"/>
        <v>0</v>
      </c>
      <c r="F321" s="106">
        <f t="shared" si="31"/>
        <v>0</v>
      </c>
      <c r="G321" s="88">
        <f t="shared" si="32"/>
        <v>0</v>
      </c>
    </row>
    <row r="322" spans="1:7" ht="13.5" hidden="1" thickBot="1">
      <c r="A322" s="91">
        <f t="shared" si="33"/>
        <v>300</v>
      </c>
      <c r="B322" s="106">
        <f t="shared" si="34"/>
        <v>0</v>
      </c>
      <c r="C322" s="106">
        <f t="shared" si="28"/>
        <v>0</v>
      </c>
      <c r="D322" s="106">
        <f t="shared" si="29"/>
        <v>0</v>
      </c>
      <c r="E322" s="107">
        <f t="shared" si="30"/>
        <v>0</v>
      </c>
      <c r="F322" s="106">
        <f t="shared" si="31"/>
        <v>0</v>
      </c>
      <c r="G322" s="88">
        <f t="shared" si="32"/>
        <v>0</v>
      </c>
    </row>
    <row r="323" spans="1:7" ht="13.5" hidden="1" thickBot="1">
      <c r="A323" s="91">
        <f t="shared" si="33"/>
        <v>301</v>
      </c>
      <c r="B323" s="106">
        <f t="shared" si="34"/>
        <v>0</v>
      </c>
      <c r="C323" s="106">
        <f t="shared" si="28"/>
        <v>0</v>
      </c>
      <c r="D323" s="106">
        <f t="shared" si="29"/>
        <v>0</v>
      </c>
      <c r="E323" s="107">
        <f t="shared" si="30"/>
        <v>0</v>
      </c>
      <c r="F323" s="106">
        <f t="shared" si="31"/>
        <v>0</v>
      </c>
      <c r="G323" s="88">
        <f t="shared" si="32"/>
        <v>0</v>
      </c>
    </row>
    <row r="324" spans="1:7" ht="13.5" hidden="1" thickBot="1">
      <c r="A324" s="91">
        <f t="shared" si="33"/>
        <v>302</v>
      </c>
      <c r="B324" s="106">
        <f t="shared" si="34"/>
        <v>0</v>
      </c>
      <c r="C324" s="106">
        <f t="shared" si="28"/>
        <v>0</v>
      </c>
      <c r="D324" s="106">
        <f t="shared" si="29"/>
        <v>0</v>
      </c>
      <c r="E324" s="107">
        <f t="shared" si="30"/>
        <v>0</v>
      </c>
      <c r="F324" s="106">
        <f t="shared" si="31"/>
        <v>0</v>
      </c>
      <c r="G324" s="88">
        <f t="shared" si="32"/>
        <v>0</v>
      </c>
    </row>
    <row r="325" spans="1:7" ht="13.5" hidden="1" thickBot="1">
      <c r="A325" s="91">
        <f t="shared" si="33"/>
        <v>303</v>
      </c>
      <c r="B325" s="106">
        <f t="shared" si="34"/>
        <v>0</v>
      </c>
      <c r="C325" s="106">
        <f t="shared" si="28"/>
        <v>0</v>
      </c>
      <c r="D325" s="106">
        <f t="shared" si="29"/>
        <v>0</v>
      </c>
      <c r="E325" s="107">
        <f t="shared" si="30"/>
        <v>0</v>
      </c>
      <c r="F325" s="106">
        <f t="shared" si="31"/>
        <v>0</v>
      </c>
      <c r="G325" s="88">
        <f t="shared" si="32"/>
        <v>0</v>
      </c>
    </row>
    <row r="326" spans="1:7" ht="13.5" hidden="1" thickBot="1">
      <c r="A326" s="91">
        <f t="shared" si="33"/>
        <v>304</v>
      </c>
      <c r="B326" s="106">
        <f t="shared" si="34"/>
        <v>0</v>
      </c>
      <c r="C326" s="106">
        <f t="shared" si="28"/>
        <v>0</v>
      </c>
      <c r="D326" s="106">
        <f t="shared" si="29"/>
        <v>0</v>
      </c>
      <c r="E326" s="107">
        <f t="shared" si="30"/>
        <v>0</v>
      </c>
      <c r="F326" s="106">
        <f t="shared" si="31"/>
        <v>0</v>
      </c>
      <c r="G326" s="88">
        <f t="shared" si="32"/>
        <v>0</v>
      </c>
    </row>
    <row r="327" spans="1:7" ht="13.5" hidden="1" thickBot="1">
      <c r="A327" s="91">
        <f t="shared" si="33"/>
        <v>305</v>
      </c>
      <c r="B327" s="106">
        <f t="shared" si="34"/>
        <v>0</v>
      </c>
      <c r="C327" s="106">
        <f t="shared" si="28"/>
        <v>0</v>
      </c>
      <c r="D327" s="106">
        <f t="shared" si="29"/>
        <v>0</v>
      </c>
      <c r="E327" s="107">
        <f t="shared" si="30"/>
        <v>0</v>
      </c>
      <c r="F327" s="106">
        <f t="shared" si="31"/>
        <v>0</v>
      </c>
      <c r="G327" s="88">
        <f t="shared" si="32"/>
        <v>0</v>
      </c>
    </row>
    <row r="328" spans="1:7" ht="13.5" hidden="1" thickBot="1">
      <c r="A328" s="91">
        <f t="shared" si="33"/>
        <v>306</v>
      </c>
      <c r="B328" s="106">
        <f t="shared" si="34"/>
        <v>0</v>
      </c>
      <c r="C328" s="106">
        <f t="shared" si="28"/>
        <v>0</v>
      </c>
      <c r="D328" s="106">
        <f t="shared" si="29"/>
        <v>0</v>
      </c>
      <c r="E328" s="107">
        <f t="shared" si="30"/>
        <v>0</v>
      </c>
      <c r="F328" s="106">
        <f t="shared" si="31"/>
        <v>0</v>
      </c>
      <c r="G328" s="88">
        <f t="shared" si="32"/>
        <v>0</v>
      </c>
    </row>
    <row r="329" spans="1:7" ht="13.5" hidden="1" thickBot="1">
      <c r="A329" s="91">
        <f t="shared" si="33"/>
        <v>307</v>
      </c>
      <c r="B329" s="106">
        <f t="shared" si="34"/>
        <v>0</v>
      </c>
      <c r="C329" s="106">
        <f t="shared" si="28"/>
        <v>0</v>
      </c>
      <c r="D329" s="106">
        <f t="shared" si="29"/>
        <v>0</v>
      </c>
      <c r="E329" s="107">
        <f t="shared" si="30"/>
        <v>0</v>
      </c>
      <c r="F329" s="106">
        <f t="shared" si="31"/>
        <v>0</v>
      </c>
      <c r="G329" s="88">
        <f t="shared" si="32"/>
        <v>0</v>
      </c>
    </row>
    <row r="330" spans="1:7" ht="13.5" hidden="1" thickBot="1">
      <c r="A330" s="91">
        <f t="shared" si="33"/>
        <v>308</v>
      </c>
      <c r="B330" s="106">
        <f t="shared" si="34"/>
        <v>0</v>
      </c>
      <c r="C330" s="106">
        <f t="shared" si="28"/>
        <v>0</v>
      </c>
      <c r="D330" s="106">
        <f t="shared" si="29"/>
        <v>0</v>
      </c>
      <c r="E330" s="107">
        <f t="shared" si="30"/>
        <v>0</v>
      </c>
      <c r="F330" s="106">
        <f t="shared" si="31"/>
        <v>0</v>
      </c>
      <c r="G330" s="88">
        <f t="shared" si="32"/>
        <v>0</v>
      </c>
    </row>
    <row r="331" spans="1:7" ht="13.5" hidden="1" thickBot="1">
      <c r="A331" s="91">
        <f t="shared" si="33"/>
        <v>309</v>
      </c>
      <c r="B331" s="106">
        <f t="shared" si="34"/>
        <v>0</v>
      </c>
      <c r="C331" s="106">
        <f t="shared" si="28"/>
        <v>0</v>
      </c>
      <c r="D331" s="106">
        <f t="shared" si="29"/>
        <v>0</v>
      </c>
      <c r="E331" s="107">
        <f t="shared" si="30"/>
        <v>0</v>
      </c>
      <c r="F331" s="106">
        <f t="shared" si="31"/>
        <v>0</v>
      </c>
      <c r="G331" s="88">
        <f t="shared" si="32"/>
        <v>0</v>
      </c>
    </row>
    <row r="332" spans="1:7" ht="13.5" hidden="1" thickBot="1">
      <c r="A332" s="91">
        <f t="shared" si="33"/>
        <v>310</v>
      </c>
      <c r="B332" s="106">
        <f t="shared" si="34"/>
        <v>0</v>
      </c>
      <c r="C332" s="106">
        <f t="shared" si="28"/>
        <v>0</v>
      </c>
      <c r="D332" s="106">
        <f t="shared" si="29"/>
        <v>0</v>
      </c>
      <c r="E332" s="107">
        <f t="shared" si="30"/>
        <v>0</v>
      </c>
      <c r="F332" s="106">
        <f t="shared" si="31"/>
        <v>0</v>
      </c>
      <c r="G332" s="88">
        <f t="shared" si="32"/>
        <v>0</v>
      </c>
    </row>
    <row r="333" spans="1:7" ht="13.5" hidden="1" thickBot="1">
      <c r="A333" s="91">
        <f t="shared" si="33"/>
        <v>311</v>
      </c>
      <c r="B333" s="106">
        <f t="shared" si="34"/>
        <v>0</v>
      </c>
      <c r="C333" s="106">
        <f t="shared" si="28"/>
        <v>0</v>
      </c>
      <c r="D333" s="106">
        <f t="shared" si="29"/>
        <v>0</v>
      </c>
      <c r="E333" s="107">
        <f t="shared" si="30"/>
        <v>0</v>
      </c>
      <c r="F333" s="106">
        <f t="shared" si="31"/>
        <v>0</v>
      </c>
      <c r="G333" s="88">
        <f t="shared" si="32"/>
        <v>0</v>
      </c>
    </row>
    <row r="334" spans="1:7" ht="13.5" hidden="1" thickBot="1">
      <c r="A334" s="91">
        <f t="shared" si="33"/>
        <v>312</v>
      </c>
      <c r="B334" s="106">
        <f t="shared" si="34"/>
        <v>0</v>
      </c>
      <c r="C334" s="106">
        <f t="shared" si="28"/>
        <v>0</v>
      </c>
      <c r="D334" s="106">
        <f t="shared" si="29"/>
        <v>0</v>
      </c>
      <c r="E334" s="107">
        <f t="shared" si="30"/>
        <v>0</v>
      </c>
      <c r="F334" s="106">
        <f t="shared" si="31"/>
        <v>0</v>
      </c>
      <c r="G334" s="88">
        <f t="shared" si="32"/>
        <v>0</v>
      </c>
    </row>
    <row r="335" spans="1:7" ht="13.5" hidden="1" thickBot="1">
      <c r="A335" s="91">
        <f t="shared" si="33"/>
        <v>313</v>
      </c>
      <c r="B335" s="106">
        <f t="shared" si="34"/>
        <v>0</v>
      </c>
      <c r="C335" s="106">
        <f t="shared" si="28"/>
        <v>0</v>
      </c>
      <c r="D335" s="106">
        <f t="shared" si="29"/>
        <v>0</v>
      </c>
      <c r="E335" s="107">
        <f t="shared" si="30"/>
        <v>0</v>
      </c>
      <c r="F335" s="106">
        <f t="shared" si="31"/>
        <v>0</v>
      </c>
      <c r="G335" s="88">
        <f t="shared" si="32"/>
        <v>0</v>
      </c>
    </row>
    <row r="336" spans="1:7" ht="13.5" hidden="1" thickBot="1">
      <c r="A336" s="91">
        <f t="shared" si="33"/>
        <v>314</v>
      </c>
      <c r="B336" s="106">
        <f t="shared" si="34"/>
        <v>0</v>
      </c>
      <c r="C336" s="106">
        <f t="shared" si="28"/>
        <v>0</v>
      </c>
      <c r="D336" s="106">
        <f t="shared" si="29"/>
        <v>0</v>
      </c>
      <c r="E336" s="107">
        <f t="shared" si="30"/>
        <v>0</v>
      </c>
      <c r="F336" s="106">
        <f t="shared" si="31"/>
        <v>0</v>
      </c>
      <c r="G336" s="88">
        <f t="shared" si="32"/>
        <v>0</v>
      </c>
    </row>
    <row r="337" spans="1:7" ht="13.5" hidden="1" thickBot="1">
      <c r="A337" s="91">
        <f t="shared" si="33"/>
        <v>315</v>
      </c>
      <c r="B337" s="106">
        <f t="shared" si="34"/>
        <v>0</v>
      </c>
      <c r="C337" s="106">
        <f t="shared" si="28"/>
        <v>0</v>
      </c>
      <c r="D337" s="106">
        <f t="shared" si="29"/>
        <v>0</v>
      </c>
      <c r="E337" s="107">
        <f t="shared" si="30"/>
        <v>0</v>
      </c>
      <c r="F337" s="106">
        <f t="shared" si="31"/>
        <v>0</v>
      </c>
      <c r="G337" s="88">
        <f t="shared" si="32"/>
        <v>0</v>
      </c>
    </row>
    <row r="338" spans="1:7" ht="13.5" hidden="1" thickBot="1">
      <c r="A338" s="91">
        <f t="shared" si="33"/>
        <v>316</v>
      </c>
      <c r="B338" s="106">
        <f t="shared" si="34"/>
        <v>0</v>
      </c>
      <c r="C338" s="106">
        <f t="shared" si="28"/>
        <v>0</v>
      </c>
      <c r="D338" s="106">
        <f t="shared" si="29"/>
        <v>0</v>
      </c>
      <c r="E338" s="107">
        <f t="shared" si="30"/>
        <v>0</v>
      </c>
      <c r="F338" s="106">
        <f t="shared" si="31"/>
        <v>0</v>
      </c>
      <c r="G338" s="88">
        <f t="shared" si="32"/>
        <v>0</v>
      </c>
    </row>
    <row r="339" spans="1:7" ht="13.5" hidden="1" thickBot="1">
      <c r="A339" s="91">
        <f t="shared" si="33"/>
        <v>317</v>
      </c>
      <c r="B339" s="106">
        <f t="shared" si="34"/>
        <v>0</v>
      </c>
      <c r="C339" s="106">
        <f t="shared" si="28"/>
        <v>0</v>
      </c>
      <c r="D339" s="106">
        <f t="shared" si="29"/>
        <v>0</v>
      </c>
      <c r="E339" s="107">
        <f t="shared" si="30"/>
        <v>0</v>
      </c>
      <c r="F339" s="106">
        <f t="shared" si="31"/>
        <v>0</v>
      </c>
      <c r="G339" s="88">
        <f t="shared" si="32"/>
        <v>0</v>
      </c>
    </row>
    <row r="340" spans="1:7" ht="13.5" hidden="1" thickBot="1">
      <c r="A340" s="91">
        <f t="shared" si="33"/>
        <v>318</v>
      </c>
      <c r="B340" s="106">
        <f t="shared" si="34"/>
        <v>0</v>
      </c>
      <c r="C340" s="106">
        <f t="shared" si="28"/>
        <v>0</v>
      </c>
      <c r="D340" s="106">
        <f t="shared" si="29"/>
        <v>0</v>
      </c>
      <c r="E340" s="107">
        <f t="shared" si="30"/>
        <v>0</v>
      </c>
      <c r="F340" s="106">
        <f t="shared" si="31"/>
        <v>0</v>
      </c>
      <c r="G340" s="88">
        <f t="shared" si="32"/>
        <v>0</v>
      </c>
    </row>
    <row r="341" spans="1:7" ht="13.5" hidden="1" thickBot="1">
      <c r="A341" s="91">
        <f t="shared" si="33"/>
        <v>319</v>
      </c>
      <c r="B341" s="106">
        <f t="shared" si="34"/>
        <v>0</v>
      </c>
      <c r="C341" s="106">
        <f t="shared" si="28"/>
        <v>0</v>
      </c>
      <c r="D341" s="106">
        <f t="shared" si="29"/>
        <v>0</v>
      </c>
      <c r="E341" s="107">
        <f t="shared" si="30"/>
        <v>0</v>
      </c>
      <c r="F341" s="106">
        <f t="shared" si="31"/>
        <v>0</v>
      </c>
      <c r="G341" s="88">
        <f t="shared" si="32"/>
        <v>0</v>
      </c>
    </row>
    <row r="342" spans="1:7" ht="13.5" hidden="1" thickBot="1">
      <c r="A342" s="91">
        <f t="shared" si="33"/>
        <v>320</v>
      </c>
      <c r="B342" s="106">
        <f t="shared" si="34"/>
        <v>0</v>
      </c>
      <c r="C342" s="106">
        <f t="shared" si="28"/>
        <v>0</v>
      </c>
      <c r="D342" s="106">
        <f t="shared" si="29"/>
        <v>0</v>
      </c>
      <c r="E342" s="107">
        <f t="shared" si="30"/>
        <v>0</v>
      </c>
      <c r="F342" s="106">
        <f t="shared" si="31"/>
        <v>0</v>
      </c>
      <c r="G342" s="88">
        <f t="shared" si="32"/>
        <v>0</v>
      </c>
    </row>
    <row r="343" spans="1:7" ht="13.5" hidden="1" thickBot="1">
      <c r="A343" s="91">
        <f t="shared" si="33"/>
        <v>321</v>
      </c>
      <c r="B343" s="106">
        <f t="shared" si="34"/>
        <v>0</v>
      </c>
      <c r="C343" s="106">
        <f t="shared" ref="C343:C382" si="35">IF(A343&lt;=$D$11,$D$16*-1,0)</f>
        <v>0</v>
      </c>
      <c r="D343" s="106">
        <f t="shared" ref="D343:D382" si="36">IF(A343&gt;$D$11,0,$D$13*-1)</f>
        <v>0</v>
      </c>
      <c r="E343" s="107">
        <f t="shared" ref="E343:E382" si="37">B343*$D$12</f>
        <v>0</v>
      </c>
      <c r="F343" s="106">
        <f t="shared" ref="F343:F382" si="38">D343-E343</f>
        <v>0</v>
      </c>
      <c r="G343" s="88">
        <f t="shared" ref="G343:G382" si="39">B343-F343</f>
        <v>0</v>
      </c>
    </row>
    <row r="344" spans="1:7" ht="13.5" hidden="1" thickBot="1">
      <c r="A344" s="91">
        <f t="shared" ref="A344:A382" si="40">A343+1</f>
        <v>322</v>
      </c>
      <c r="B344" s="106">
        <f t="shared" ref="B344:B382" si="41">IF(A344&lt;=$D$11,G343,0)</f>
        <v>0</v>
      </c>
      <c r="C344" s="106">
        <f t="shared" si="35"/>
        <v>0</v>
      </c>
      <c r="D344" s="106">
        <f t="shared" si="36"/>
        <v>0</v>
      </c>
      <c r="E344" s="107">
        <f t="shared" si="37"/>
        <v>0</v>
      </c>
      <c r="F344" s="106">
        <f t="shared" si="38"/>
        <v>0</v>
      </c>
      <c r="G344" s="88">
        <f t="shared" si="39"/>
        <v>0</v>
      </c>
    </row>
    <row r="345" spans="1:7" ht="13.5" hidden="1" thickBot="1">
      <c r="A345" s="91">
        <f t="shared" si="40"/>
        <v>323</v>
      </c>
      <c r="B345" s="106">
        <f t="shared" si="41"/>
        <v>0</v>
      </c>
      <c r="C345" s="106">
        <f t="shared" si="35"/>
        <v>0</v>
      </c>
      <c r="D345" s="106">
        <f t="shared" si="36"/>
        <v>0</v>
      </c>
      <c r="E345" s="107">
        <f t="shared" si="37"/>
        <v>0</v>
      </c>
      <c r="F345" s="106">
        <f t="shared" si="38"/>
        <v>0</v>
      </c>
      <c r="G345" s="88">
        <f t="shared" si="39"/>
        <v>0</v>
      </c>
    </row>
    <row r="346" spans="1:7" ht="13.5" hidden="1" thickBot="1">
      <c r="A346" s="91">
        <f t="shared" si="40"/>
        <v>324</v>
      </c>
      <c r="B346" s="106">
        <f t="shared" si="41"/>
        <v>0</v>
      </c>
      <c r="C346" s="106">
        <f t="shared" si="35"/>
        <v>0</v>
      </c>
      <c r="D346" s="106">
        <f t="shared" si="36"/>
        <v>0</v>
      </c>
      <c r="E346" s="107">
        <f t="shared" si="37"/>
        <v>0</v>
      </c>
      <c r="F346" s="106">
        <f t="shared" si="38"/>
        <v>0</v>
      </c>
      <c r="G346" s="88">
        <f t="shared" si="39"/>
        <v>0</v>
      </c>
    </row>
    <row r="347" spans="1:7" ht="13.5" hidden="1" thickBot="1">
      <c r="A347" s="91">
        <f t="shared" si="40"/>
        <v>325</v>
      </c>
      <c r="B347" s="106">
        <f t="shared" si="41"/>
        <v>0</v>
      </c>
      <c r="C347" s="106">
        <f t="shared" si="35"/>
        <v>0</v>
      </c>
      <c r="D347" s="106">
        <f t="shared" si="36"/>
        <v>0</v>
      </c>
      <c r="E347" s="107">
        <f t="shared" si="37"/>
        <v>0</v>
      </c>
      <c r="F347" s="106">
        <f t="shared" si="38"/>
        <v>0</v>
      </c>
      <c r="G347" s="88">
        <f t="shared" si="39"/>
        <v>0</v>
      </c>
    </row>
    <row r="348" spans="1:7" ht="13.5" hidden="1" thickBot="1">
      <c r="A348" s="91">
        <f t="shared" si="40"/>
        <v>326</v>
      </c>
      <c r="B348" s="106">
        <f t="shared" si="41"/>
        <v>0</v>
      </c>
      <c r="C348" s="106">
        <f t="shared" si="35"/>
        <v>0</v>
      </c>
      <c r="D348" s="106">
        <f t="shared" si="36"/>
        <v>0</v>
      </c>
      <c r="E348" s="107">
        <f t="shared" si="37"/>
        <v>0</v>
      </c>
      <c r="F348" s="106">
        <f t="shared" si="38"/>
        <v>0</v>
      </c>
      <c r="G348" s="88">
        <f t="shared" si="39"/>
        <v>0</v>
      </c>
    </row>
    <row r="349" spans="1:7" ht="13.5" hidden="1" thickBot="1">
      <c r="A349" s="91">
        <f t="shared" si="40"/>
        <v>327</v>
      </c>
      <c r="B349" s="106">
        <f t="shared" si="41"/>
        <v>0</v>
      </c>
      <c r="C349" s="106">
        <f t="shared" si="35"/>
        <v>0</v>
      </c>
      <c r="D349" s="106">
        <f t="shared" si="36"/>
        <v>0</v>
      </c>
      <c r="E349" s="107">
        <f t="shared" si="37"/>
        <v>0</v>
      </c>
      <c r="F349" s="106">
        <f t="shared" si="38"/>
        <v>0</v>
      </c>
      <c r="G349" s="88">
        <f t="shared" si="39"/>
        <v>0</v>
      </c>
    </row>
    <row r="350" spans="1:7" ht="13.5" hidden="1" thickBot="1">
      <c r="A350" s="91">
        <f t="shared" si="40"/>
        <v>328</v>
      </c>
      <c r="B350" s="106">
        <f t="shared" si="41"/>
        <v>0</v>
      </c>
      <c r="C350" s="106">
        <f t="shared" si="35"/>
        <v>0</v>
      </c>
      <c r="D350" s="106">
        <f t="shared" si="36"/>
        <v>0</v>
      </c>
      <c r="E350" s="107">
        <f t="shared" si="37"/>
        <v>0</v>
      </c>
      <c r="F350" s="106">
        <f t="shared" si="38"/>
        <v>0</v>
      </c>
      <c r="G350" s="88">
        <f t="shared" si="39"/>
        <v>0</v>
      </c>
    </row>
    <row r="351" spans="1:7" ht="13.5" hidden="1" thickBot="1">
      <c r="A351" s="91">
        <f t="shared" si="40"/>
        <v>329</v>
      </c>
      <c r="B351" s="106">
        <f t="shared" si="41"/>
        <v>0</v>
      </c>
      <c r="C351" s="106">
        <f t="shared" si="35"/>
        <v>0</v>
      </c>
      <c r="D351" s="106">
        <f t="shared" si="36"/>
        <v>0</v>
      </c>
      <c r="E351" s="107">
        <f t="shared" si="37"/>
        <v>0</v>
      </c>
      <c r="F351" s="106">
        <f t="shared" si="38"/>
        <v>0</v>
      </c>
      <c r="G351" s="88">
        <f t="shared" si="39"/>
        <v>0</v>
      </c>
    </row>
    <row r="352" spans="1:7" ht="13.5" hidden="1" thickBot="1">
      <c r="A352" s="91">
        <f t="shared" si="40"/>
        <v>330</v>
      </c>
      <c r="B352" s="106">
        <f t="shared" si="41"/>
        <v>0</v>
      </c>
      <c r="C352" s="106">
        <f t="shared" si="35"/>
        <v>0</v>
      </c>
      <c r="D352" s="106">
        <f t="shared" si="36"/>
        <v>0</v>
      </c>
      <c r="E352" s="107">
        <f t="shared" si="37"/>
        <v>0</v>
      </c>
      <c r="F352" s="106">
        <f t="shared" si="38"/>
        <v>0</v>
      </c>
      <c r="G352" s="88">
        <f t="shared" si="39"/>
        <v>0</v>
      </c>
    </row>
    <row r="353" spans="1:7" ht="13.5" hidden="1" thickBot="1">
      <c r="A353" s="91">
        <f t="shared" si="40"/>
        <v>331</v>
      </c>
      <c r="B353" s="106">
        <f t="shared" si="41"/>
        <v>0</v>
      </c>
      <c r="C353" s="106">
        <f t="shared" si="35"/>
        <v>0</v>
      </c>
      <c r="D353" s="106">
        <f t="shared" si="36"/>
        <v>0</v>
      </c>
      <c r="E353" s="107">
        <f t="shared" si="37"/>
        <v>0</v>
      </c>
      <c r="F353" s="106">
        <f t="shared" si="38"/>
        <v>0</v>
      </c>
      <c r="G353" s="88">
        <f t="shared" si="39"/>
        <v>0</v>
      </c>
    </row>
    <row r="354" spans="1:7" ht="13.5" hidden="1" thickBot="1">
      <c r="A354" s="91">
        <f t="shared" si="40"/>
        <v>332</v>
      </c>
      <c r="B354" s="106">
        <f t="shared" si="41"/>
        <v>0</v>
      </c>
      <c r="C354" s="106">
        <f t="shared" si="35"/>
        <v>0</v>
      </c>
      <c r="D354" s="106">
        <f t="shared" si="36"/>
        <v>0</v>
      </c>
      <c r="E354" s="107">
        <f t="shared" si="37"/>
        <v>0</v>
      </c>
      <c r="F354" s="106">
        <f t="shared" si="38"/>
        <v>0</v>
      </c>
      <c r="G354" s="88">
        <f t="shared" si="39"/>
        <v>0</v>
      </c>
    </row>
    <row r="355" spans="1:7" ht="13.5" hidden="1" thickBot="1">
      <c r="A355" s="91">
        <f t="shared" si="40"/>
        <v>333</v>
      </c>
      <c r="B355" s="106">
        <f t="shared" si="41"/>
        <v>0</v>
      </c>
      <c r="C355" s="106">
        <f t="shared" si="35"/>
        <v>0</v>
      </c>
      <c r="D355" s="106">
        <f t="shared" si="36"/>
        <v>0</v>
      </c>
      <c r="E355" s="107">
        <f t="shared" si="37"/>
        <v>0</v>
      </c>
      <c r="F355" s="106">
        <f t="shared" si="38"/>
        <v>0</v>
      </c>
      <c r="G355" s="88">
        <f t="shared" si="39"/>
        <v>0</v>
      </c>
    </row>
    <row r="356" spans="1:7" ht="13.5" hidden="1" thickBot="1">
      <c r="A356" s="91">
        <f t="shared" si="40"/>
        <v>334</v>
      </c>
      <c r="B356" s="106">
        <f t="shared" si="41"/>
        <v>0</v>
      </c>
      <c r="C356" s="106">
        <f t="shared" si="35"/>
        <v>0</v>
      </c>
      <c r="D356" s="106">
        <f t="shared" si="36"/>
        <v>0</v>
      </c>
      <c r="E356" s="107">
        <f t="shared" si="37"/>
        <v>0</v>
      </c>
      <c r="F356" s="106">
        <f t="shared" si="38"/>
        <v>0</v>
      </c>
      <c r="G356" s="88">
        <f t="shared" si="39"/>
        <v>0</v>
      </c>
    </row>
    <row r="357" spans="1:7" ht="13.5" hidden="1" thickBot="1">
      <c r="A357" s="91">
        <f t="shared" si="40"/>
        <v>335</v>
      </c>
      <c r="B357" s="106">
        <f t="shared" si="41"/>
        <v>0</v>
      </c>
      <c r="C357" s="106">
        <f t="shared" si="35"/>
        <v>0</v>
      </c>
      <c r="D357" s="106">
        <f t="shared" si="36"/>
        <v>0</v>
      </c>
      <c r="E357" s="107">
        <f t="shared" si="37"/>
        <v>0</v>
      </c>
      <c r="F357" s="106">
        <f t="shared" si="38"/>
        <v>0</v>
      </c>
      <c r="G357" s="88">
        <f t="shared" si="39"/>
        <v>0</v>
      </c>
    </row>
    <row r="358" spans="1:7" ht="13.5" hidden="1" thickBot="1">
      <c r="A358" s="91">
        <f t="shared" si="40"/>
        <v>336</v>
      </c>
      <c r="B358" s="106">
        <f t="shared" si="41"/>
        <v>0</v>
      </c>
      <c r="C358" s="106">
        <f t="shared" si="35"/>
        <v>0</v>
      </c>
      <c r="D358" s="106">
        <f t="shared" si="36"/>
        <v>0</v>
      </c>
      <c r="E358" s="107">
        <f t="shared" si="37"/>
        <v>0</v>
      </c>
      <c r="F358" s="106">
        <f t="shared" si="38"/>
        <v>0</v>
      </c>
      <c r="G358" s="88">
        <f t="shared" si="39"/>
        <v>0</v>
      </c>
    </row>
    <row r="359" spans="1:7" ht="13.5" hidden="1" thickBot="1">
      <c r="A359" s="91">
        <f t="shared" si="40"/>
        <v>337</v>
      </c>
      <c r="B359" s="106">
        <f t="shared" si="41"/>
        <v>0</v>
      </c>
      <c r="C359" s="106">
        <f t="shared" si="35"/>
        <v>0</v>
      </c>
      <c r="D359" s="106">
        <f t="shared" si="36"/>
        <v>0</v>
      </c>
      <c r="E359" s="107">
        <f t="shared" si="37"/>
        <v>0</v>
      </c>
      <c r="F359" s="106">
        <f t="shared" si="38"/>
        <v>0</v>
      </c>
      <c r="G359" s="88">
        <f t="shared" si="39"/>
        <v>0</v>
      </c>
    </row>
    <row r="360" spans="1:7" ht="13.5" hidden="1" thickBot="1">
      <c r="A360" s="91">
        <f t="shared" si="40"/>
        <v>338</v>
      </c>
      <c r="B360" s="106">
        <f t="shared" si="41"/>
        <v>0</v>
      </c>
      <c r="C360" s="106">
        <f t="shared" si="35"/>
        <v>0</v>
      </c>
      <c r="D360" s="106">
        <f t="shared" si="36"/>
        <v>0</v>
      </c>
      <c r="E360" s="107">
        <f t="shared" si="37"/>
        <v>0</v>
      </c>
      <c r="F360" s="106">
        <f t="shared" si="38"/>
        <v>0</v>
      </c>
      <c r="G360" s="88">
        <f t="shared" si="39"/>
        <v>0</v>
      </c>
    </row>
    <row r="361" spans="1:7" ht="13.5" hidden="1" thickBot="1">
      <c r="A361" s="91">
        <f t="shared" si="40"/>
        <v>339</v>
      </c>
      <c r="B361" s="106">
        <f t="shared" si="41"/>
        <v>0</v>
      </c>
      <c r="C361" s="106">
        <f t="shared" si="35"/>
        <v>0</v>
      </c>
      <c r="D361" s="106">
        <f t="shared" si="36"/>
        <v>0</v>
      </c>
      <c r="E361" s="107">
        <f t="shared" si="37"/>
        <v>0</v>
      </c>
      <c r="F361" s="106">
        <f t="shared" si="38"/>
        <v>0</v>
      </c>
      <c r="G361" s="88">
        <f t="shared" si="39"/>
        <v>0</v>
      </c>
    </row>
    <row r="362" spans="1:7" ht="13.5" hidden="1" thickBot="1">
      <c r="A362" s="91">
        <f t="shared" si="40"/>
        <v>340</v>
      </c>
      <c r="B362" s="106">
        <f t="shared" si="41"/>
        <v>0</v>
      </c>
      <c r="C362" s="106">
        <f t="shared" si="35"/>
        <v>0</v>
      </c>
      <c r="D362" s="106">
        <f t="shared" si="36"/>
        <v>0</v>
      </c>
      <c r="E362" s="107">
        <f t="shared" si="37"/>
        <v>0</v>
      </c>
      <c r="F362" s="106">
        <f t="shared" si="38"/>
        <v>0</v>
      </c>
      <c r="G362" s="88">
        <f t="shared" si="39"/>
        <v>0</v>
      </c>
    </row>
    <row r="363" spans="1:7" ht="13.5" hidden="1" thickBot="1">
      <c r="A363" s="91">
        <f t="shared" si="40"/>
        <v>341</v>
      </c>
      <c r="B363" s="106">
        <f t="shared" si="41"/>
        <v>0</v>
      </c>
      <c r="C363" s="106">
        <f t="shared" si="35"/>
        <v>0</v>
      </c>
      <c r="D363" s="106">
        <f t="shared" si="36"/>
        <v>0</v>
      </c>
      <c r="E363" s="107">
        <f t="shared" si="37"/>
        <v>0</v>
      </c>
      <c r="F363" s="106">
        <f t="shared" si="38"/>
        <v>0</v>
      </c>
      <c r="G363" s="88">
        <f t="shared" si="39"/>
        <v>0</v>
      </c>
    </row>
    <row r="364" spans="1:7" ht="13.5" hidden="1" thickBot="1">
      <c r="A364" s="91">
        <f t="shared" si="40"/>
        <v>342</v>
      </c>
      <c r="B364" s="106">
        <f t="shared" si="41"/>
        <v>0</v>
      </c>
      <c r="C364" s="106">
        <f t="shared" si="35"/>
        <v>0</v>
      </c>
      <c r="D364" s="106">
        <f t="shared" si="36"/>
        <v>0</v>
      </c>
      <c r="E364" s="107">
        <f t="shared" si="37"/>
        <v>0</v>
      </c>
      <c r="F364" s="106">
        <f t="shared" si="38"/>
        <v>0</v>
      </c>
      <c r="G364" s="88">
        <f t="shared" si="39"/>
        <v>0</v>
      </c>
    </row>
    <row r="365" spans="1:7" ht="13.5" hidden="1" thickBot="1">
      <c r="A365" s="91">
        <f t="shared" si="40"/>
        <v>343</v>
      </c>
      <c r="B365" s="106">
        <f t="shared" si="41"/>
        <v>0</v>
      </c>
      <c r="C365" s="106">
        <f t="shared" si="35"/>
        <v>0</v>
      </c>
      <c r="D365" s="106">
        <f t="shared" si="36"/>
        <v>0</v>
      </c>
      <c r="E365" s="107">
        <f t="shared" si="37"/>
        <v>0</v>
      </c>
      <c r="F365" s="106">
        <f t="shared" si="38"/>
        <v>0</v>
      </c>
      <c r="G365" s="88">
        <f t="shared" si="39"/>
        <v>0</v>
      </c>
    </row>
    <row r="366" spans="1:7" ht="13.5" hidden="1" thickBot="1">
      <c r="A366" s="91">
        <f t="shared" si="40"/>
        <v>344</v>
      </c>
      <c r="B366" s="106">
        <f t="shared" si="41"/>
        <v>0</v>
      </c>
      <c r="C366" s="106">
        <f t="shared" si="35"/>
        <v>0</v>
      </c>
      <c r="D366" s="106">
        <f t="shared" si="36"/>
        <v>0</v>
      </c>
      <c r="E366" s="107">
        <f t="shared" si="37"/>
        <v>0</v>
      </c>
      <c r="F366" s="106">
        <f t="shared" si="38"/>
        <v>0</v>
      </c>
      <c r="G366" s="88">
        <f t="shared" si="39"/>
        <v>0</v>
      </c>
    </row>
    <row r="367" spans="1:7" ht="13.5" hidden="1" thickBot="1">
      <c r="A367" s="91">
        <f t="shared" si="40"/>
        <v>345</v>
      </c>
      <c r="B367" s="106">
        <f t="shared" si="41"/>
        <v>0</v>
      </c>
      <c r="C367" s="106">
        <f t="shared" si="35"/>
        <v>0</v>
      </c>
      <c r="D367" s="106">
        <f t="shared" si="36"/>
        <v>0</v>
      </c>
      <c r="E367" s="107">
        <f t="shared" si="37"/>
        <v>0</v>
      </c>
      <c r="F367" s="106">
        <f t="shared" si="38"/>
        <v>0</v>
      </c>
      <c r="G367" s="88">
        <f t="shared" si="39"/>
        <v>0</v>
      </c>
    </row>
    <row r="368" spans="1:7" ht="13.5" hidden="1" thickBot="1">
      <c r="A368" s="91">
        <f t="shared" si="40"/>
        <v>346</v>
      </c>
      <c r="B368" s="106">
        <f t="shared" si="41"/>
        <v>0</v>
      </c>
      <c r="C368" s="106">
        <f t="shared" si="35"/>
        <v>0</v>
      </c>
      <c r="D368" s="106">
        <f t="shared" si="36"/>
        <v>0</v>
      </c>
      <c r="E368" s="107">
        <f t="shared" si="37"/>
        <v>0</v>
      </c>
      <c r="F368" s="106">
        <f t="shared" si="38"/>
        <v>0</v>
      </c>
      <c r="G368" s="88">
        <f t="shared" si="39"/>
        <v>0</v>
      </c>
    </row>
    <row r="369" spans="1:7" ht="13.5" hidden="1" thickBot="1">
      <c r="A369" s="91">
        <f t="shared" si="40"/>
        <v>347</v>
      </c>
      <c r="B369" s="106">
        <f t="shared" si="41"/>
        <v>0</v>
      </c>
      <c r="C369" s="106">
        <f t="shared" si="35"/>
        <v>0</v>
      </c>
      <c r="D369" s="106">
        <f t="shared" si="36"/>
        <v>0</v>
      </c>
      <c r="E369" s="107">
        <f t="shared" si="37"/>
        <v>0</v>
      </c>
      <c r="F369" s="106">
        <f t="shared" si="38"/>
        <v>0</v>
      </c>
      <c r="G369" s="88">
        <f t="shared" si="39"/>
        <v>0</v>
      </c>
    </row>
    <row r="370" spans="1:7" ht="13.5" hidden="1" thickBot="1">
      <c r="A370" s="91">
        <f t="shared" si="40"/>
        <v>348</v>
      </c>
      <c r="B370" s="106">
        <f t="shared" si="41"/>
        <v>0</v>
      </c>
      <c r="C370" s="106">
        <f t="shared" si="35"/>
        <v>0</v>
      </c>
      <c r="D370" s="106">
        <f t="shared" si="36"/>
        <v>0</v>
      </c>
      <c r="E370" s="107">
        <f t="shared" si="37"/>
        <v>0</v>
      </c>
      <c r="F370" s="106">
        <f t="shared" si="38"/>
        <v>0</v>
      </c>
      <c r="G370" s="88">
        <f t="shared" si="39"/>
        <v>0</v>
      </c>
    </row>
    <row r="371" spans="1:7" ht="13.5" hidden="1" thickBot="1">
      <c r="A371" s="91">
        <f t="shared" si="40"/>
        <v>349</v>
      </c>
      <c r="B371" s="106">
        <f t="shared" si="41"/>
        <v>0</v>
      </c>
      <c r="C371" s="106">
        <f t="shared" si="35"/>
        <v>0</v>
      </c>
      <c r="D371" s="106">
        <f t="shared" si="36"/>
        <v>0</v>
      </c>
      <c r="E371" s="107">
        <f t="shared" si="37"/>
        <v>0</v>
      </c>
      <c r="F371" s="106">
        <f t="shared" si="38"/>
        <v>0</v>
      </c>
      <c r="G371" s="88">
        <f t="shared" si="39"/>
        <v>0</v>
      </c>
    </row>
    <row r="372" spans="1:7" ht="13.5" hidden="1" thickBot="1">
      <c r="A372" s="91">
        <f t="shared" si="40"/>
        <v>350</v>
      </c>
      <c r="B372" s="106">
        <f t="shared" si="41"/>
        <v>0</v>
      </c>
      <c r="C372" s="106">
        <f t="shared" si="35"/>
        <v>0</v>
      </c>
      <c r="D372" s="106">
        <f t="shared" si="36"/>
        <v>0</v>
      </c>
      <c r="E372" s="107">
        <f t="shared" si="37"/>
        <v>0</v>
      </c>
      <c r="F372" s="106">
        <f t="shared" si="38"/>
        <v>0</v>
      </c>
      <c r="G372" s="88">
        <f t="shared" si="39"/>
        <v>0</v>
      </c>
    </row>
    <row r="373" spans="1:7" ht="13.5" hidden="1" thickBot="1">
      <c r="A373" s="91">
        <f t="shared" si="40"/>
        <v>351</v>
      </c>
      <c r="B373" s="106">
        <f t="shared" si="41"/>
        <v>0</v>
      </c>
      <c r="C373" s="106">
        <f t="shared" si="35"/>
        <v>0</v>
      </c>
      <c r="D373" s="106">
        <f t="shared" si="36"/>
        <v>0</v>
      </c>
      <c r="E373" s="107">
        <f t="shared" si="37"/>
        <v>0</v>
      </c>
      <c r="F373" s="106">
        <f t="shared" si="38"/>
        <v>0</v>
      </c>
      <c r="G373" s="88">
        <f t="shared" si="39"/>
        <v>0</v>
      </c>
    </row>
    <row r="374" spans="1:7" ht="13.5" hidden="1" thickBot="1">
      <c r="A374" s="91">
        <f t="shared" si="40"/>
        <v>352</v>
      </c>
      <c r="B374" s="106">
        <f t="shared" si="41"/>
        <v>0</v>
      </c>
      <c r="C374" s="106">
        <f t="shared" si="35"/>
        <v>0</v>
      </c>
      <c r="D374" s="106">
        <f t="shared" si="36"/>
        <v>0</v>
      </c>
      <c r="E374" s="107">
        <f t="shared" si="37"/>
        <v>0</v>
      </c>
      <c r="F374" s="106">
        <f t="shared" si="38"/>
        <v>0</v>
      </c>
      <c r="G374" s="88">
        <f t="shared" si="39"/>
        <v>0</v>
      </c>
    </row>
    <row r="375" spans="1:7" ht="13.5" hidden="1" thickBot="1">
      <c r="A375" s="91">
        <f t="shared" si="40"/>
        <v>353</v>
      </c>
      <c r="B375" s="106">
        <f t="shared" si="41"/>
        <v>0</v>
      </c>
      <c r="C375" s="106">
        <f t="shared" si="35"/>
        <v>0</v>
      </c>
      <c r="D375" s="106">
        <f t="shared" si="36"/>
        <v>0</v>
      </c>
      <c r="E375" s="107">
        <f t="shared" si="37"/>
        <v>0</v>
      </c>
      <c r="F375" s="106">
        <f t="shared" si="38"/>
        <v>0</v>
      </c>
      <c r="G375" s="88">
        <f t="shared" si="39"/>
        <v>0</v>
      </c>
    </row>
    <row r="376" spans="1:7" ht="13.5" hidden="1" thickBot="1">
      <c r="A376" s="91">
        <f t="shared" si="40"/>
        <v>354</v>
      </c>
      <c r="B376" s="106">
        <f t="shared" si="41"/>
        <v>0</v>
      </c>
      <c r="C376" s="106">
        <f t="shared" si="35"/>
        <v>0</v>
      </c>
      <c r="D376" s="106">
        <f t="shared" si="36"/>
        <v>0</v>
      </c>
      <c r="E376" s="107">
        <f t="shared" si="37"/>
        <v>0</v>
      </c>
      <c r="F376" s="106">
        <f t="shared" si="38"/>
        <v>0</v>
      </c>
      <c r="G376" s="88">
        <f t="shared" si="39"/>
        <v>0</v>
      </c>
    </row>
    <row r="377" spans="1:7" ht="13.5" hidden="1" thickBot="1">
      <c r="A377" s="91">
        <f t="shared" si="40"/>
        <v>355</v>
      </c>
      <c r="B377" s="106">
        <f t="shared" si="41"/>
        <v>0</v>
      </c>
      <c r="C377" s="106">
        <f t="shared" si="35"/>
        <v>0</v>
      </c>
      <c r="D377" s="106">
        <f t="shared" si="36"/>
        <v>0</v>
      </c>
      <c r="E377" s="107">
        <f t="shared" si="37"/>
        <v>0</v>
      </c>
      <c r="F377" s="106">
        <f t="shared" si="38"/>
        <v>0</v>
      </c>
      <c r="G377" s="88">
        <f t="shared" si="39"/>
        <v>0</v>
      </c>
    </row>
    <row r="378" spans="1:7" ht="13.5" hidden="1" thickBot="1">
      <c r="A378" s="91">
        <f t="shared" si="40"/>
        <v>356</v>
      </c>
      <c r="B378" s="106">
        <f t="shared" si="41"/>
        <v>0</v>
      </c>
      <c r="C378" s="106">
        <f t="shared" si="35"/>
        <v>0</v>
      </c>
      <c r="D378" s="106">
        <f t="shared" si="36"/>
        <v>0</v>
      </c>
      <c r="E378" s="107">
        <f t="shared" si="37"/>
        <v>0</v>
      </c>
      <c r="F378" s="106">
        <f t="shared" si="38"/>
        <v>0</v>
      </c>
      <c r="G378" s="88">
        <f t="shared" si="39"/>
        <v>0</v>
      </c>
    </row>
    <row r="379" spans="1:7" ht="13.5" hidden="1" thickBot="1">
      <c r="A379" s="91">
        <f t="shared" si="40"/>
        <v>357</v>
      </c>
      <c r="B379" s="106">
        <f t="shared" si="41"/>
        <v>0</v>
      </c>
      <c r="C379" s="106">
        <f t="shared" si="35"/>
        <v>0</v>
      </c>
      <c r="D379" s="106">
        <f t="shared" si="36"/>
        <v>0</v>
      </c>
      <c r="E379" s="107">
        <f t="shared" si="37"/>
        <v>0</v>
      </c>
      <c r="F379" s="106">
        <f t="shared" si="38"/>
        <v>0</v>
      </c>
      <c r="G379" s="88">
        <f t="shared" si="39"/>
        <v>0</v>
      </c>
    </row>
    <row r="380" spans="1:7" ht="13.5" hidden="1" thickBot="1">
      <c r="A380" s="91">
        <f t="shared" si="40"/>
        <v>358</v>
      </c>
      <c r="B380" s="106">
        <f t="shared" si="41"/>
        <v>0</v>
      </c>
      <c r="C380" s="106">
        <f t="shared" si="35"/>
        <v>0</v>
      </c>
      <c r="D380" s="106">
        <f t="shared" si="36"/>
        <v>0</v>
      </c>
      <c r="E380" s="107">
        <f t="shared" si="37"/>
        <v>0</v>
      </c>
      <c r="F380" s="106">
        <f t="shared" si="38"/>
        <v>0</v>
      </c>
      <c r="G380" s="88">
        <f t="shared" si="39"/>
        <v>0</v>
      </c>
    </row>
    <row r="381" spans="1:7" ht="13.5" hidden="1" thickBot="1">
      <c r="A381" s="91">
        <f t="shared" si="40"/>
        <v>359</v>
      </c>
      <c r="B381" s="106">
        <f t="shared" si="41"/>
        <v>0</v>
      </c>
      <c r="C381" s="106">
        <f t="shared" si="35"/>
        <v>0</v>
      </c>
      <c r="D381" s="106">
        <f t="shared" si="36"/>
        <v>0</v>
      </c>
      <c r="E381" s="107">
        <f t="shared" si="37"/>
        <v>0</v>
      </c>
      <c r="F381" s="106">
        <f t="shared" si="38"/>
        <v>0</v>
      </c>
      <c r="G381" s="88">
        <f t="shared" si="39"/>
        <v>0</v>
      </c>
    </row>
    <row r="382" spans="1:7" ht="13.5" hidden="1" thickBot="1">
      <c r="A382" s="91">
        <f t="shared" si="40"/>
        <v>360</v>
      </c>
      <c r="B382" s="106">
        <f t="shared" si="41"/>
        <v>0</v>
      </c>
      <c r="C382" s="106">
        <f t="shared" si="35"/>
        <v>0</v>
      </c>
      <c r="D382" s="106">
        <f t="shared" si="36"/>
        <v>0</v>
      </c>
      <c r="E382" s="107">
        <f t="shared" si="37"/>
        <v>0</v>
      </c>
      <c r="F382" s="106">
        <f t="shared" si="38"/>
        <v>0</v>
      </c>
      <c r="G382" s="88">
        <f t="shared" si="39"/>
        <v>0</v>
      </c>
    </row>
    <row r="383" spans="1:7" ht="13.5" thickBot="1">
      <c r="A383" s="108" t="s">
        <v>57</v>
      </c>
      <c r="B383" s="109"/>
      <c r="C383" s="109">
        <f>SUM(C23:C382)</f>
        <v>5043706.7509229816</v>
      </c>
      <c r="D383" s="109">
        <f>SUM(D23:D382)</f>
        <v>5043706.7509229816</v>
      </c>
      <c r="E383" s="109">
        <f>SUM(E23:E382)</f>
        <v>543706.75092298083</v>
      </c>
      <c r="F383" s="109">
        <f>SUM(F23:F382)</f>
        <v>4500000.0000000009</v>
      </c>
      <c r="G383" s="110"/>
    </row>
    <row r="384" spans="1:7">
      <c r="A384" s="77"/>
      <c r="B384" s="106"/>
      <c r="C384" s="106"/>
      <c r="D384" s="106"/>
      <c r="E384" s="107"/>
      <c r="F384" s="106"/>
      <c r="G384" s="106"/>
    </row>
    <row r="385" spans="1:1">
      <c r="A385" s="77"/>
    </row>
    <row r="386" spans="1:1">
      <c r="A386" s="77"/>
    </row>
    <row r="387" spans="1:1">
      <c r="A387" s="77"/>
    </row>
    <row r="388" spans="1:1">
      <c r="A388" s="77"/>
    </row>
    <row r="389" spans="1:1">
      <c r="A389" s="77"/>
    </row>
  </sheetData>
  <mergeCells count="16">
    <mergeCell ref="A8:C8"/>
    <mergeCell ref="A2:G2"/>
    <mergeCell ref="A3:C3"/>
    <mergeCell ref="A4:C4"/>
    <mergeCell ref="A6:C6"/>
    <mergeCell ref="A7:C7"/>
    <mergeCell ref="A15:D15"/>
    <mergeCell ref="A18:C18"/>
    <mergeCell ref="E18:G18"/>
    <mergeCell ref="A19:D19"/>
    <mergeCell ref="A9:C9"/>
    <mergeCell ref="A10:C10"/>
    <mergeCell ref="A11:C11"/>
    <mergeCell ref="A12:C12"/>
    <mergeCell ref="A13:C13"/>
    <mergeCell ref="A14:C14"/>
  </mergeCells>
  <pageMargins left="0.59055118110236227" right="0.39370078740157483" top="0.39370078740157483" bottom="0.39370078740157483" header="0.51181102362204722" footer="0.51181102362204722"/>
  <pageSetup paperSize="9" scale="98" orientation="portrait" horizontalDpi="360"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zoomScale="140" workbookViewId="0">
      <selection activeCell="A21" sqref="A21:G21"/>
    </sheetView>
  </sheetViews>
  <sheetFormatPr defaultRowHeight="12.75"/>
  <cols>
    <col min="1" max="1" width="21.7109375" style="75" customWidth="1"/>
    <col min="2" max="2" width="5.28515625" style="75" customWidth="1"/>
    <col min="3" max="3" width="3.28515625" style="75" customWidth="1"/>
    <col min="4" max="4" width="19.7109375" style="75" customWidth="1"/>
    <col min="5" max="5" width="9.7109375" style="75" customWidth="1"/>
    <col min="6" max="6" width="4.28515625" style="75" customWidth="1"/>
    <col min="7" max="7" width="22" style="75" customWidth="1"/>
    <col min="8" max="16384" width="9.140625" style="75"/>
  </cols>
  <sheetData>
    <row r="1" spans="1:8" ht="50.25" customHeight="1">
      <c r="A1" s="434" t="s">
        <v>58</v>
      </c>
      <c r="B1" s="435"/>
      <c r="C1" s="435"/>
      <c r="D1" s="435"/>
      <c r="E1" s="435"/>
      <c r="F1" s="435"/>
      <c r="G1" s="435"/>
    </row>
    <row r="2" spans="1:8" ht="54.75" customHeight="1">
      <c r="A2" s="435" t="s">
        <v>59</v>
      </c>
      <c r="B2" s="435"/>
      <c r="C2" s="435"/>
      <c r="D2" s="435"/>
      <c r="E2" s="435"/>
      <c r="F2" s="435"/>
      <c r="G2" s="435"/>
    </row>
    <row r="3" spans="1:8" ht="20.25" customHeight="1">
      <c r="A3" s="434" t="s">
        <v>60</v>
      </c>
      <c r="B3" s="434"/>
      <c r="C3" s="434"/>
      <c r="D3" s="434"/>
      <c r="E3" s="434"/>
      <c r="F3" s="434"/>
      <c r="G3" s="434"/>
    </row>
    <row r="4" spans="1:8" ht="42" customHeight="1" thickBot="1">
      <c r="A4" s="436" t="s">
        <v>61</v>
      </c>
      <c r="B4" s="423" t="s">
        <v>62</v>
      </c>
      <c r="C4" s="111"/>
      <c r="D4" s="112" t="s">
        <v>63</v>
      </c>
      <c r="E4" s="113" t="s">
        <v>64</v>
      </c>
      <c r="F4" s="431" t="s">
        <v>65</v>
      </c>
      <c r="G4" s="432" t="s">
        <v>66</v>
      </c>
    </row>
    <row r="5" spans="1:8" ht="27.75" customHeight="1">
      <c r="A5" s="437"/>
      <c r="B5" s="423"/>
      <c r="C5" s="111"/>
      <c r="D5" s="427" t="s">
        <v>67</v>
      </c>
      <c r="E5" s="427"/>
      <c r="F5" s="431"/>
      <c r="G5" s="432"/>
    </row>
    <row r="6" spans="1:8" ht="39" customHeight="1" thickBot="1">
      <c r="A6" s="438">
        <f>'Effektiv rente annuitetslån'!D3</f>
        <v>4500000</v>
      </c>
      <c r="B6" s="423" t="s">
        <v>62</v>
      </c>
      <c r="C6" s="111"/>
      <c r="D6" s="112" t="str">
        <f>CONCATENATE("1-(1+",D7,")")</f>
        <v>1-(1+0.018)</v>
      </c>
      <c r="E6" s="114">
        <f>-'Effektiv rente annuitetslån'!D11</f>
        <v>-12</v>
      </c>
      <c r="F6" s="431" t="s">
        <v>65</v>
      </c>
      <c r="G6" s="432" t="s">
        <v>66</v>
      </c>
    </row>
    <row r="7" spans="1:8" ht="20.25" customHeight="1">
      <c r="A7" s="430"/>
      <c r="B7" s="423"/>
      <c r="C7" s="111"/>
      <c r="D7" s="439">
        <f>'Effektiv rente annuitetslån'!D12</f>
        <v>1.7999999999999999E-2</v>
      </c>
      <c r="E7" s="439"/>
      <c r="F7" s="431"/>
      <c r="G7" s="432"/>
    </row>
    <row r="8" spans="1:8" ht="30" customHeight="1">
      <c r="A8" s="115">
        <f>A6</f>
        <v>4500000</v>
      </c>
      <c r="B8" s="111" t="s">
        <v>62</v>
      </c>
      <c r="C8" s="111"/>
      <c r="D8" s="433">
        <f>ROUNDUP(A6/'Effektiv rente annuitetslån'!D13*-1,6)</f>
        <v>10.706411999999998</v>
      </c>
      <c r="E8" s="433"/>
      <c r="F8" s="116" t="s">
        <v>65</v>
      </c>
      <c r="G8" s="117" t="s">
        <v>66</v>
      </c>
    </row>
    <row r="9" spans="1:8" ht="33.75" customHeight="1">
      <c r="A9" s="118" t="s">
        <v>66</v>
      </c>
      <c r="B9" s="111" t="s">
        <v>62</v>
      </c>
      <c r="C9" s="111"/>
      <c r="D9" s="119">
        <f>'Effektiv rente annuitetslån'!D13*-1</f>
        <v>420308.89591024845</v>
      </c>
      <c r="E9" s="119"/>
      <c r="F9" s="119"/>
      <c r="G9" s="119"/>
    </row>
    <row r="10" spans="1:8" ht="23.25" customHeight="1">
      <c r="A10" s="428" t="s">
        <v>68</v>
      </c>
      <c r="B10" s="428"/>
      <c r="C10" s="428"/>
      <c r="D10" s="428"/>
      <c r="E10" s="428"/>
      <c r="F10" s="428"/>
      <c r="G10" s="428"/>
    </row>
    <row r="11" spans="1:8" ht="42" customHeight="1" thickBot="1">
      <c r="A11" s="429" t="s">
        <v>69</v>
      </c>
      <c r="B11" s="423" t="s">
        <v>62</v>
      </c>
      <c r="C11" s="111"/>
      <c r="D11" s="112" t="s">
        <v>63</v>
      </c>
      <c r="E11" s="113" t="s">
        <v>64</v>
      </c>
      <c r="F11" s="431" t="s">
        <v>65</v>
      </c>
      <c r="G11" s="432" t="str">
        <f>IF('Effektiv rente annuitetslån'!D14=0,"b","b+gebyr")</f>
        <v>b</v>
      </c>
      <c r="H11" s="120"/>
    </row>
    <row r="12" spans="1:8" ht="21.6" customHeight="1">
      <c r="A12" s="430"/>
      <c r="B12" s="423"/>
      <c r="C12" s="111"/>
      <c r="D12" s="427" t="s">
        <v>67</v>
      </c>
      <c r="E12" s="427"/>
      <c r="F12" s="431"/>
      <c r="G12" s="432"/>
      <c r="H12" s="120"/>
    </row>
    <row r="13" spans="1:8" ht="21.6" customHeight="1">
      <c r="A13" s="421" t="s">
        <v>70</v>
      </c>
      <c r="B13" s="421"/>
      <c r="C13" s="421"/>
      <c r="D13" s="421"/>
      <c r="E13" s="421"/>
      <c r="F13" s="421"/>
      <c r="G13" s="421"/>
    </row>
    <row r="14" spans="1:8" ht="27.75" thickBot="1">
      <c r="A14" s="422">
        <f>'Effektiv rente annuitetslån'!D7</f>
        <v>4386000</v>
      </c>
      <c r="B14" s="423" t="s">
        <v>62</v>
      </c>
      <c r="C14" s="111"/>
      <c r="D14" s="112" t="str">
        <f>D11</f>
        <v>1-(1+ r)</v>
      </c>
      <c r="E14" s="121">
        <f>-'Effektiv rente annuitetslån'!D11</f>
        <v>-12</v>
      </c>
      <c r="F14" s="424" t="str">
        <f>F11</f>
        <v>*</v>
      </c>
      <c r="G14" s="426">
        <f>('Effektiv rente annuitetslån'!D13-'Effektiv rente annuitetslån'!D14)*-1</f>
        <v>420308.89591024845</v>
      </c>
    </row>
    <row r="15" spans="1:8" ht="27">
      <c r="A15" s="422"/>
      <c r="B15" s="423"/>
      <c r="C15" s="111"/>
      <c r="D15" s="427" t="str">
        <f>D12</f>
        <v>r</v>
      </c>
      <c r="E15" s="427"/>
      <c r="F15" s="425"/>
      <c r="G15" s="426"/>
    </row>
    <row r="16" spans="1:8" ht="15.75">
      <c r="A16" s="413" t="s">
        <v>71</v>
      </c>
      <c r="B16" s="413"/>
      <c r="C16" s="413"/>
      <c r="D16" s="413"/>
      <c r="E16" s="413"/>
      <c r="F16" s="413"/>
      <c r="G16" s="413"/>
    </row>
    <row r="17" spans="1:7" ht="38.450000000000003" customHeight="1" thickBot="1">
      <c r="A17" s="414">
        <f>A14/G14</f>
        <v>10.435182416259336</v>
      </c>
      <c r="B17" s="415" t="str">
        <f>B14</f>
        <v>=</v>
      </c>
      <c r="C17" s="122"/>
      <c r="D17" s="112" t="str">
        <f>D14</f>
        <v>1-(1+ r)</v>
      </c>
      <c r="E17" s="121">
        <f>E14</f>
        <v>-12</v>
      </c>
    </row>
    <row r="18" spans="1:7" ht="31.9" customHeight="1">
      <c r="A18" s="414"/>
      <c r="B18" s="415"/>
      <c r="C18" s="122"/>
      <c r="D18" s="416" t="str">
        <f>D15</f>
        <v>r</v>
      </c>
      <c r="E18" s="416"/>
    </row>
    <row r="19" spans="1:7" ht="15.75">
      <c r="A19" s="413" t="s">
        <v>72</v>
      </c>
      <c r="B19" s="413"/>
      <c r="C19" s="413"/>
      <c r="D19" s="413"/>
      <c r="E19" s="413"/>
      <c r="F19" s="413"/>
      <c r="G19" s="413"/>
    </row>
    <row r="20" spans="1:7" ht="27">
      <c r="A20" s="123" t="str">
        <f>D18</f>
        <v>r</v>
      </c>
      <c r="B20" s="124" t="str">
        <f>B17</f>
        <v>=</v>
      </c>
      <c r="C20" s="124"/>
      <c r="D20" s="125">
        <f>RATE('Effektiv rente annuitetslån'!D11,'Effektiv rente annuitetslån'!D16,'Effektiv rente annuitetslån'!D7)</f>
        <v>2.2179189057836952E-2</v>
      </c>
    </row>
    <row r="21" spans="1:7" ht="15.75">
      <c r="A21" s="413" t="s">
        <v>73</v>
      </c>
      <c r="B21" s="413"/>
      <c r="C21" s="413"/>
      <c r="D21" s="413"/>
      <c r="E21" s="413"/>
      <c r="F21" s="413"/>
      <c r="G21" s="413"/>
    </row>
    <row r="22" spans="1:7" ht="28.5" thickBot="1">
      <c r="A22" s="126" t="str">
        <f>A20</f>
        <v>r</v>
      </c>
      <c r="B22" s="127" t="str">
        <f>B20</f>
        <v>=</v>
      </c>
      <c r="C22" s="127"/>
      <c r="D22" s="128">
        <f>D20</f>
        <v>2.2179189057836952E-2</v>
      </c>
      <c r="E22" s="417" t="str">
        <f>IF('Effektiv rente annuitetslån'!D10=1,"Årlig rente"," ")</f>
        <v xml:space="preserve"> </v>
      </c>
      <c r="F22" s="417"/>
      <c r="G22" s="417"/>
    </row>
    <row r="23" spans="1:7" ht="13.5" thickTop="1"/>
    <row r="24" spans="1:7" ht="18.600000000000001" customHeight="1">
      <c r="A24" s="413" t="str">
        <f>IF('Effektiv rente annuitetslån'!D10=1," ",CONCATENATE("Da terminerne på lånet er ",'Effektiv rente annuitetslån'!D10," gange pr. år skal følgende beregning foretages:"))</f>
        <v>Da terminerne på lånet er 2 gange pr. år skal følgende beregning foretages:</v>
      </c>
      <c r="B24" s="413"/>
      <c r="C24" s="413"/>
      <c r="D24" s="413"/>
      <c r="E24" s="413"/>
      <c r="F24" s="413"/>
      <c r="G24" s="413"/>
    </row>
    <row r="25" spans="1:7" ht="21">
      <c r="A25" s="129" t="str">
        <f>IF('Effektiv rente annuitetslån'!$D$10=1,"","(1+r)")</f>
        <v>(1+r)</v>
      </c>
      <c r="B25" s="130">
        <f>IF('Effektiv rente annuitetslån'!D10=1,"",'Effektiv rente annuitetslån'!D10)</f>
        <v>2</v>
      </c>
      <c r="C25" s="129" t="str">
        <f>IF('Effektiv rente annuitetslån'!$D$10=1,"","-1")</f>
        <v>-1</v>
      </c>
      <c r="D25" s="131" t="str">
        <f>IF('Effektiv rente annuitetslån'!$D$10=1,"",CONCATENATE("="," Årlig rente"))</f>
        <v>= Årlig rente</v>
      </c>
      <c r="E25" s="131"/>
      <c r="F25" s="131"/>
      <c r="G25" s="131"/>
    </row>
    <row r="26" spans="1:7" ht="22.15" customHeight="1">
      <c r="A26" s="418" t="str">
        <f>IF('Effektiv rente annuitetslån'!$D$10=1,"","Ved at indsætte fås:")</f>
        <v>Ved at indsætte fås:</v>
      </c>
      <c r="B26" s="418"/>
      <c r="C26" s="418"/>
      <c r="D26" s="418"/>
      <c r="E26" s="418"/>
      <c r="F26" s="418"/>
      <c r="G26" s="418"/>
    </row>
    <row r="27" spans="1:7" ht="33" customHeight="1">
      <c r="A27" s="132" t="str">
        <f>IF('Effektiv rente annuitetslån'!D10=1,"",CONCATENATE("(1+",ROUND(D20,4),")"))</f>
        <v>(1+0.0222)</v>
      </c>
      <c r="B27" s="133">
        <f>B25</f>
        <v>2</v>
      </c>
      <c r="C27" s="129" t="str">
        <f>IF('Effektiv rente annuitetslån'!$D$10=1,"","-1")</f>
        <v>-1</v>
      </c>
      <c r="D27" s="131" t="str">
        <f>D25</f>
        <v>= Årlig rente</v>
      </c>
      <c r="E27" s="131"/>
      <c r="F27" s="131"/>
      <c r="G27" s="131"/>
    </row>
    <row r="28" spans="1:7" ht="33.6" customHeight="1">
      <c r="A28" s="419">
        <f>IF('Effektiv rente annuitetslån'!D10=1,"",'Effektiv rente annuitetslån'!D18)</f>
        <v>4.4850294542936986E-2</v>
      </c>
      <c r="B28" s="419"/>
      <c r="C28" s="419"/>
      <c r="D28" s="131" t="str">
        <f>D27</f>
        <v>= Årlig rente</v>
      </c>
      <c r="E28" s="134"/>
      <c r="G28" s="135"/>
    </row>
    <row r="29" spans="1:7" ht="15.75">
      <c r="A29" s="420" t="str">
        <f>IF('Effektiv rente annuitetslån'!D10=1,"","Eller udtrykt i procent:")</f>
        <v>Eller udtrykt i procent:</v>
      </c>
      <c r="B29" s="420"/>
      <c r="C29" s="420"/>
      <c r="D29" s="420"/>
      <c r="E29" s="420"/>
      <c r="F29" s="420"/>
      <c r="G29" s="420"/>
    </row>
    <row r="30" spans="1:7" ht="21" customHeight="1">
      <c r="A30" s="412" t="str">
        <f>IF('Effektiv rente annuitetslån'!$D$10=1,"",CONCATENATE("Årlig rente = ",ROUND('Effektiv rente annuitetslån'!D18*100,2),"%"))</f>
        <v>Årlig rente = 4.49%</v>
      </c>
      <c r="B30" s="412"/>
      <c r="C30" s="412"/>
      <c r="D30" s="412"/>
    </row>
  </sheetData>
  <mergeCells count="38">
    <mergeCell ref="D8:E8"/>
    <mergeCell ref="A1:G1"/>
    <mergeCell ref="A2:G2"/>
    <mergeCell ref="A3:G3"/>
    <mergeCell ref="A4:A5"/>
    <mergeCell ref="B4:B5"/>
    <mergeCell ref="F4:F5"/>
    <mergeCell ref="G4:G5"/>
    <mergeCell ref="D5:E5"/>
    <mergeCell ref="A6:A7"/>
    <mergeCell ref="B6:B7"/>
    <mergeCell ref="F6:F7"/>
    <mergeCell ref="G6:G7"/>
    <mergeCell ref="D7:E7"/>
    <mergeCell ref="A10:G10"/>
    <mergeCell ref="A11:A12"/>
    <mergeCell ref="B11:B12"/>
    <mergeCell ref="F11:F12"/>
    <mergeCell ref="G11:G12"/>
    <mergeCell ref="D12:E12"/>
    <mergeCell ref="A13:G13"/>
    <mergeCell ref="A14:A15"/>
    <mergeCell ref="B14:B15"/>
    <mergeCell ref="F14:F15"/>
    <mergeCell ref="G14:G15"/>
    <mergeCell ref="D15:E15"/>
    <mergeCell ref="A30:D30"/>
    <mergeCell ref="A16:G16"/>
    <mergeCell ref="A17:A18"/>
    <mergeCell ref="B17:B18"/>
    <mergeCell ref="D18:E18"/>
    <mergeCell ref="A19:G19"/>
    <mergeCell ref="A21:G21"/>
    <mergeCell ref="E22:G22"/>
    <mergeCell ref="A24:G24"/>
    <mergeCell ref="A26:G26"/>
    <mergeCell ref="A28:C28"/>
    <mergeCell ref="A29:G29"/>
  </mergeCells>
  <pageMargins left="0.75" right="0.75" top="1" bottom="1" header="0" footer="0"/>
  <pageSetup paperSize="9" scale="86"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K397"/>
  <sheetViews>
    <sheetView zoomScale="150" workbookViewId="0">
      <selection activeCell="A2" sqref="A2:G2"/>
    </sheetView>
  </sheetViews>
  <sheetFormatPr defaultRowHeight="12.75"/>
  <cols>
    <col min="1" max="1" width="6" style="75" customWidth="1"/>
    <col min="2" max="2" width="14.5703125" style="75" customWidth="1"/>
    <col min="3" max="3" width="16.140625" style="75" customWidth="1"/>
    <col min="4" max="4" width="13.42578125" style="75" customWidth="1"/>
    <col min="5" max="5" width="11.7109375" style="75" customWidth="1"/>
    <col min="6" max="6" width="12.140625" style="75" customWidth="1"/>
    <col min="7" max="7" width="14.28515625" style="75" customWidth="1"/>
    <col min="8" max="16384" width="9.140625" style="75"/>
  </cols>
  <sheetData>
    <row r="1" spans="1:7" ht="13.5" thickBot="1">
      <c r="A1" s="75" t="s">
        <v>284</v>
      </c>
    </row>
    <row r="2" spans="1:7" ht="27" thickBot="1">
      <c r="A2" s="407" t="s">
        <v>74</v>
      </c>
      <c r="B2" s="408"/>
      <c r="C2" s="408"/>
      <c r="D2" s="408"/>
      <c r="E2" s="408"/>
      <c r="F2" s="408"/>
      <c r="G2" s="409"/>
    </row>
    <row r="3" spans="1:7">
      <c r="A3" s="410" t="s">
        <v>75</v>
      </c>
      <c r="B3" s="411"/>
      <c r="C3" s="411"/>
      <c r="D3" s="136">
        <v>4500000</v>
      </c>
      <c r="E3" s="77"/>
      <c r="F3" s="77"/>
      <c r="G3" s="78"/>
    </row>
    <row r="4" spans="1:7" hidden="1">
      <c r="A4" s="89" t="s">
        <v>13</v>
      </c>
      <c r="B4" s="81"/>
      <c r="C4" s="81"/>
      <c r="D4" s="137">
        <f>D3*-1</f>
        <v>-4500000</v>
      </c>
      <c r="E4" s="77"/>
      <c r="F4" s="77"/>
      <c r="G4" s="78"/>
    </row>
    <row r="5" spans="1:7">
      <c r="A5" s="405" t="s">
        <v>37</v>
      </c>
      <c r="B5" s="406"/>
      <c r="C5" s="406"/>
      <c r="D5" s="138">
        <v>97</v>
      </c>
      <c r="E5" s="77"/>
      <c r="F5" s="77"/>
      <c r="G5" s="78"/>
    </row>
    <row r="6" spans="1:7">
      <c r="A6" s="80" t="s">
        <v>38</v>
      </c>
      <c r="B6" s="81"/>
      <c r="C6" s="81"/>
      <c r="D6" s="139">
        <f>D3*(100-D5)/100</f>
        <v>135000</v>
      </c>
      <c r="E6" s="77"/>
      <c r="F6" s="77"/>
      <c r="G6" s="78"/>
    </row>
    <row r="7" spans="1:7">
      <c r="A7" s="405" t="s">
        <v>76</v>
      </c>
      <c r="B7" s="406"/>
      <c r="C7" s="406"/>
      <c r="D7" s="138">
        <v>25000</v>
      </c>
      <c r="E7" s="77"/>
      <c r="F7" s="77"/>
      <c r="G7" s="78"/>
    </row>
    <row r="8" spans="1:7" ht="13.5" thickBot="1">
      <c r="A8" s="405" t="s">
        <v>40</v>
      </c>
      <c r="B8" s="406"/>
      <c r="C8" s="406"/>
      <c r="D8" s="140">
        <f>(D3*(D5/100))-D7</f>
        <v>4340000</v>
      </c>
      <c r="E8" s="77"/>
      <c r="F8" s="77"/>
      <c r="G8" s="78"/>
    </row>
    <row r="9" spans="1:7" ht="13.5" thickTop="1">
      <c r="A9" s="399" t="s">
        <v>41</v>
      </c>
      <c r="B9" s="400"/>
      <c r="C9" s="400"/>
      <c r="D9" s="141">
        <v>3.5000000000000003E-2</v>
      </c>
      <c r="E9" s="77"/>
      <c r="F9" s="77"/>
      <c r="G9" s="78"/>
    </row>
    <row r="10" spans="1:7">
      <c r="A10" s="405" t="s">
        <v>42</v>
      </c>
      <c r="B10" s="406"/>
      <c r="C10" s="406"/>
      <c r="D10" s="137">
        <v>6</v>
      </c>
      <c r="E10" s="77"/>
      <c r="F10" s="77"/>
      <c r="G10" s="78"/>
    </row>
    <row r="11" spans="1:7">
      <c r="A11" s="405" t="s">
        <v>43</v>
      </c>
      <c r="B11" s="406"/>
      <c r="C11" s="406"/>
      <c r="D11" s="137">
        <v>1</v>
      </c>
      <c r="E11" s="77"/>
      <c r="F11" s="77"/>
      <c r="G11" s="78"/>
    </row>
    <row r="12" spans="1:7">
      <c r="A12" s="405" t="s">
        <v>77</v>
      </c>
      <c r="B12" s="406"/>
      <c r="C12" s="406"/>
      <c r="D12" s="139">
        <f>D10*D11</f>
        <v>6</v>
      </c>
      <c r="E12" s="77"/>
      <c r="F12" s="77"/>
      <c r="G12" s="78"/>
    </row>
    <row r="13" spans="1:7">
      <c r="A13" s="405" t="s">
        <v>45</v>
      </c>
      <c r="B13" s="406"/>
      <c r="C13" s="406"/>
      <c r="D13" s="87">
        <f>D9/D11</f>
        <v>3.5000000000000003E-2</v>
      </c>
      <c r="E13" s="77"/>
      <c r="F13" s="77"/>
      <c r="G13" s="78"/>
    </row>
    <row r="14" spans="1:7">
      <c r="A14" s="405" t="s">
        <v>55</v>
      </c>
      <c r="B14" s="406"/>
      <c r="C14" s="406"/>
      <c r="D14" s="88">
        <f>D4/D12</f>
        <v>-750000</v>
      </c>
      <c r="E14" s="89" t="s">
        <v>78</v>
      </c>
      <c r="F14" s="81"/>
      <c r="G14" s="90"/>
    </row>
    <row r="15" spans="1:7" hidden="1">
      <c r="A15" s="405" t="s">
        <v>48</v>
      </c>
      <c r="B15" s="406"/>
      <c r="C15" s="406"/>
      <c r="D15" s="138">
        <v>0</v>
      </c>
      <c r="E15" s="77"/>
      <c r="F15" s="77"/>
      <c r="G15" s="78"/>
    </row>
    <row r="16" spans="1:7">
      <c r="A16" s="396"/>
      <c r="B16" s="397"/>
      <c r="C16" s="397"/>
      <c r="D16" s="398"/>
      <c r="E16" s="77"/>
      <c r="F16" s="77"/>
      <c r="G16" s="78"/>
    </row>
    <row r="17" spans="1:11" ht="18">
      <c r="A17" s="399" t="s">
        <v>79</v>
      </c>
      <c r="B17" s="400"/>
      <c r="C17" s="400"/>
      <c r="D17" s="142">
        <f>(POWER(IRR(C22:C382)+1,D11)-1)</f>
        <v>4.6440105554629518E-2</v>
      </c>
      <c r="E17" s="143" t="str">
        <f>E14</f>
        <v>(Beregning: se note til serielån)</v>
      </c>
      <c r="F17" s="144"/>
      <c r="G17" s="145"/>
      <c r="H17" s="93"/>
      <c r="I17" s="93"/>
      <c r="J17" s="93"/>
      <c r="K17" s="93"/>
    </row>
    <row r="18" spans="1:11" ht="13.5" thickBot="1">
      <c r="A18" s="402"/>
      <c r="B18" s="403"/>
      <c r="C18" s="403"/>
      <c r="D18" s="404"/>
      <c r="E18" s="94"/>
      <c r="F18" s="94"/>
      <c r="G18" s="95"/>
      <c r="H18" s="93"/>
      <c r="I18" s="93"/>
      <c r="J18" s="93"/>
      <c r="K18" s="93"/>
    </row>
    <row r="19" spans="1:11" ht="13.5" thickBot="1">
      <c r="A19" s="96"/>
      <c r="B19" s="146"/>
      <c r="C19" s="146"/>
      <c r="D19" s="98"/>
      <c r="E19" s="98"/>
      <c r="F19" s="98"/>
      <c r="G19" s="99"/>
      <c r="H19" s="93"/>
      <c r="I19" s="93"/>
      <c r="J19" s="93"/>
      <c r="K19" s="93"/>
    </row>
    <row r="20" spans="1:11">
      <c r="A20" s="147" t="str">
        <f>CONCATENATE("Amortisationstabel for serielån (",D12," terminer)")</f>
        <v>Amortisationstabel for serielån (6 terminer)</v>
      </c>
      <c r="B20" s="148"/>
      <c r="C20" s="148"/>
      <c r="D20" s="148"/>
      <c r="E20" s="148"/>
      <c r="F20" s="148"/>
      <c r="G20" s="149"/>
      <c r="H20" s="93"/>
      <c r="I20" s="93"/>
      <c r="J20" s="93"/>
      <c r="K20" s="93"/>
    </row>
    <row r="21" spans="1:11">
      <c r="A21" s="150" t="s">
        <v>50</v>
      </c>
      <c r="B21" s="94" t="s">
        <v>51</v>
      </c>
      <c r="C21" s="94" t="s">
        <v>80</v>
      </c>
      <c r="D21" s="151" t="s">
        <v>81</v>
      </c>
      <c r="E21" s="94" t="s">
        <v>54</v>
      </c>
      <c r="F21" s="94" t="s">
        <v>55</v>
      </c>
      <c r="G21" s="95" t="s">
        <v>56</v>
      </c>
      <c r="H21" s="93"/>
      <c r="I21" s="93"/>
      <c r="J21" s="93"/>
      <c r="K21" s="93"/>
    </row>
    <row r="22" spans="1:11">
      <c r="A22" s="150"/>
      <c r="B22" s="152"/>
      <c r="C22" s="152">
        <f>D22</f>
        <v>-4340000</v>
      </c>
      <c r="D22" s="152">
        <f>D8*-1</f>
        <v>-4340000</v>
      </c>
      <c r="E22" s="152"/>
      <c r="F22" s="152"/>
      <c r="G22" s="153"/>
      <c r="H22" s="93"/>
      <c r="I22" s="93"/>
      <c r="J22" s="93"/>
      <c r="K22" s="93"/>
    </row>
    <row r="23" spans="1:11">
      <c r="A23" s="150">
        <v>1</v>
      </c>
      <c r="B23" s="152">
        <f>D3</f>
        <v>4500000</v>
      </c>
      <c r="C23" s="152">
        <f t="shared" ref="C23:C86" si="0">IF(A23&lt;=$D$12,D23+$D$15,0)</f>
        <v>907500</v>
      </c>
      <c r="D23" s="152">
        <f t="shared" ref="D23:D86" si="1">E23+F23</f>
        <v>907500</v>
      </c>
      <c r="E23" s="152">
        <f t="shared" ref="E23:E86" si="2">B23*$D$13</f>
        <v>157500.00000000003</v>
      </c>
      <c r="F23" s="106">
        <f t="shared" ref="F23:F86" si="3">IF(A23&lt;=$D$12,$D$14*-1,0)</f>
        <v>750000</v>
      </c>
      <c r="G23" s="153">
        <f t="shared" ref="G23:G86" si="4">B23-F23</f>
        <v>3750000</v>
      </c>
      <c r="H23" s="93"/>
      <c r="I23" s="93"/>
      <c r="J23" s="93"/>
      <c r="K23" s="93"/>
    </row>
    <row r="24" spans="1:11">
      <c r="A24" s="91">
        <f t="shared" ref="A24:A87" si="5">A23+1</f>
        <v>2</v>
      </c>
      <c r="B24" s="106">
        <f t="shared" ref="B24:B87" si="6">B23-F23</f>
        <v>3750000</v>
      </c>
      <c r="C24" s="152">
        <f t="shared" si="0"/>
        <v>881250</v>
      </c>
      <c r="D24" s="152">
        <f t="shared" si="1"/>
        <v>881250</v>
      </c>
      <c r="E24" s="152">
        <f t="shared" si="2"/>
        <v>131250</v>
      </c>
      <c r="F24" s="106">
        <f t="shared" si="3"/>
        <v>750000</v>
      </c>
      <c r="G24" s="153">
        <f t="shared" si="4"/>
        <v>3000000</v>
      </c>
    </row>
    <row r="25" spans="1:11">
      <c r="A25" s="91">
        <f t="shared" si="5"/>
        <v>3</v>
      </c>
      <c r="B25" s="106">
        <f t="shared" si="6"/>
        <v>3000000</v>
      </c>
      <c r="C25" s="152">
        <f t="shared" si="0"/>
        <v>855000</v>
      </c>
      <c r="D25" s="152">
        <f t="shared" si="1"/>
        <v>855000</v>
      </c>
      <c r="E25" s="152">
        <f t="shared" si="2"/>
        <v>105000.00000000001</v>
      </c>
      <c r="F25" s="106">
        <f t="shared" si="3"/>
        <v>750000</v>
      </c>
      <c r="G25" s="153">
        <f t="shared" si="4"/>
        <v>2250000</v>
      </c>
    </row>
    <row r="26" spans="1:11">
      <c r="A26" s="91">
        <f t="shared" si="5"/>
        <v>4</v>
      </c>
      <c r="B26" s="106">
        <f t="shared" si="6"/>
        <v>2250000</v>
      </c>
      <c r="C26" s="152">
        <f t="shared" si="0"/>
        <v>828750</v>
      </c>
      <c r="D26" s="152">
        <f t="shared" si="1"/>
        <v>828750</v>
      </c>
      <c r="E26" s="152">
        <f t="shared" si="2"/>
        <v>78750.000000000015</v>
      </c>
      <c r="F26" s="106">
        <f t="shared" si="3"/>
        <v>750000</v>
      </c>
      <c r="G26" s="153">
        <f t="shared" si="4"/>
        <v>1500000</v>
      </c>
    </row>
    <row r="27" spans="1:11">
      <c r="A27" s="91">
        <f t="shared" si="5"/>
        <v>5</v>
      </c>
      <c r="B27" s="106">
        <f t="shared" si="6"/>
        <v>1500000</v>
      </c>
      <c r="C27" s="152">
        <f t="shared" si="0"/>
        <v>802500</v>
      </c>
      <c r="D27" s="152">
        <f t="shared" si="1"/>
        <v>802500</v>
      </c>
      <c r="E27" s="152">
        <f t="shared" si="2"/>
        <v>52500.000000000007</v>
      </c>
      <c r="F27" s="106">
        <f t="shared" si="3"/>
        <v>750000</v>
      </c>
      <c r="G27" s="153">
        <f t="shared" si="4"/>
        <v>750000</v>
      </c>
    </row>
    <row r="28" spans="1:11" ht="13.5" thickBot="1">
      <c r="A28" s="91">
        <f t="shared" si="5"/>
        <v>6</v>
      </c>
      <c r="B28" s="106">
        <f t="shared" si="6"/>
        <v>750000</v>
      </c>
      <c r="C28" s="152">
        <f t="shared" si="0"/>
        <v>776250</v>
      </c>
      <c r="D28" s="152">
        <f t="shared" si="1"/>
        <v>776250</v>
      </c>
      <c r="E28" s="152">
        <f t="shared" si="2"/>
        <v>26250.000000000004</v>
      </c>
      <c r="F28" s="106">
        <f t="shared" si="3"/>
        <v>750000</v>
      </c>
      <c r="G28" s="153">
        <f t="shared" si="4"/>
        <v>0</v>
      </c>
    </row>
    <row r="29" spans="1:11" hidden="1">
      <c r="A29" s="91">
        <f t="shared" si="5"/>
        <v>7</v>
      </c>
      <c r="B29" s="106">
        <f t="shared" si="6"/>
        <v>0</v>
      </c>
      <c r="C29" s="152">
        <f t="shared" si="0"/>
        <v>0</v>
      </c>
      <c r="D29" s="152">
        <f t="shared" si="1"/>
        <v>0</v>
      </c>
      <c r="E29" s="152">
        <f t="shared" si="2"/>
        <v>0</v>
      </c>
      <c r="F29" s="106">
        <f t="shared" si="3"/>
        <v>0</v>
      </c>
      <c r="G29" s="153">
        <f t="shared" si="4"/>
        <v>0</v>
      </c>
    </row>
    <row r="30" spans="1:11" hidden="1">
      <c r="A30" s="91">
        <f t="shared" si="5"/>
        <v>8</v>
      </c>
      <c r="B30" s="106">
        <f t="shared" si="6"/>
        <v>0</v>
      </c>
      <c r="C30" s="152">
        <f t="shared" si="0"/>
        <v>0</v>
      </c>
      <c r="D30" s="152">
        <f t="shared" si="1"/>
        <v>0</v>
      </c>
      <c r="E30" s="152">
        <f t="shared" si="2"/>
        <v>0</v>
      </c>
      <c r="F30" s="106">
        <f t="shared" si="3"/>
        <v>0</v>
      </c>
      <c r="G30" s="153">
        <f t="shared" si="4"/>
        <v>0</v>
      </c>
    </row>
    <row r="31" spans="1:11" hidden="1">
      <c r="A31" s="91">
        <f t="shared" si="5"/>
        <v>9</v>
      </c>
      <c r="B31" s="106">
        <f t="shared" si="6"/>
        <v>0</v>
      </c>
      <c r="C31" s="152">
        <f t="shared" si="0"/>
        <v>0</v>
      </c>
      <c r="D31" s="152">
        <f t="shared" si="1"/>
        <v>0</v>
      </c>
      <c r="E31" s="152">
        <f t="shared" si="2"/>
        <v>0</v>
      </c>
      <c r="F31" s="106">
        <f t="shared" si="3"/>
        <v>0</v>
      </c>
      <c r="G31" s="153">
        <f t="shared" si="4"/>
        <v>0</v>
      </c>
    </row>
    <row r="32" spans="1:11" hidden="1">
      <c r="A32" s="91">
        <f t="shared" si="5"/>
        <v>10</v>
      </c>
      <c r="B32" s="106">
        <f t="shared" si="6"/>
        <v>0</v>
      </c>
      <c r="C32" s="152">
        <f t="shared" si="0"/>
        <v>0</v>
      </c>
      <c r="D32" s="152">
        <f t="shared" si="1"/>
        <v>0</v>
      </c>
      <c r="E32" s="152">
        <f t="shared" si="2"/>
        <v>0</v>
      </c>
      <c r="F32" s="106">
        <f t="shared" si="3"/>
        <v>0</v>
      </c>
      <c r="G32" s="153">
        <f t="shared" si="4"/>
        <v>0</v>
      </c>
    </row>
    <row r="33" spans="1:7" hidden="1">
      <c r="A33" s="91">
        <f t="shared" si="5"/>
        <v>11</v>
      </c>
      <c r="B33" s="106">
        <f t="shared" si="6"/>
        <v>0</v>
      </c>
      <c r="C33" s="152">
        <f t="shared" si="0"/>
        <v>0</v>
      </c>
      <c r="D33" s="152">
        <f t="shared" si="1"/>
        <v>0</v>
      </c>
      <c r="E33" s="152">
        <f t="shared" si="2"/>
        <v>0</v>
      </c>
      <c r="F33" s="106">
        <f t="shared" si="3"/>
        <v>0</v>
      </c>
      <c r="G33" s="153">
        <f t="shared" si="4"/>
        <v>0</v>
      </c>
    </row>
    <row r="34" spans="1:7" hidden="1">
      <c r="A34" s="91">
        <f t="shared" si="5"/>
        <v>12</v>
      </c>
      <c r="B34" s="106">
        <f t="shared" si="6"/>
        <v>0</v>
      </c>
      <c r="C34" s="152">
        <f t="shared" si="0"/>
        <v>0</v>
      </c>
      <c r="D34" s="152">
        <f t="shared" si="1"/>
        <v>0</v>
      </c>
      <c r="E34" s="152">
        <f t="shared" si="2"/>
        <v>0</v>
      </c>
      <c r="F34" s="106">
        <f t="shared" si="3"/>
        <v>0</v>
      </c>
      <c r="G34" s="153">
        <f t="shared" si="4"/>
        <v>0</v>
      </c>
    </row>
    <row r="35" spans="1:7" hidden="1">
      <c r="A35" s="91">
        <f t="shared" si="5"/>
        <v>13</v>
      </c>
      <c r="B35" s="106">
        <f t="shared" si="6"/>
        <v>0</v>
      </c>
      <c r="C35" s="152">
        <f t="shared" si="0"/>
        <v>0</v>
      </c>
      <c r="D35" s="152">
        <f t="shared" si="1"/>
        <v>0</v>
      </c>
      <c r="E35" s="152">
        <f t="shared" si="2"/>
        <v>0</v>
      </c>
      <c r="F35" s="106">
        <f t="shared" si="3"/>
        <v>0</v>
      </c>
      <c r="G35" s="153">
        <f t="shared" si="4"/>
        <v>0</v>
      </c>
    </row>
    <row r="36" spans="1:7" hidden="1">
      <c r="A36" s="91">
        <f t="shared" si="5"/>
        <v>14</v>
      </c>
      <c r="B36" s="106">
        <f t="shared" si="6"/>
        <v>0</v>
      </c>
      <c r="C36" s="152">
        <f t="shared" si="0"/>
        <v>0</v>
      </c>
      <c r="D36" s="152">
        <f t="shared" si="1"/>
        <v>0</v>
      </c>
      <c r="E36" s="152">
        <f t="shared" si="2"/>
        <v>0</v>
      </c>
      <c r="F36" s="106">
        <f t="shared" si="3"/>
        <v>0</v>
      </c>
      <c r="G36" s="153">
        <f t="shared" si="4"/>
        <v>0</v>
      </c>
    </row>
    <row r="37" spans="1:7" hidden="1">
      <c r="A37" s="91">
        <f t="shared" si="5"/>
        <v>15</v>
      </c>
      <c r="B37" s="106">
        <f t="shared" si="6"/>
        <v>0</v>
      </c>
      <c r="C37" s="152">
        <f t="shared" si="0"/>
        <v>0</v>
      </c>
      <c r="D37" s="152">
        <f t="shared" si="1"/>
        <v>0</v>
      </c>
      <c r="E37" s="152">
        <f t="shared" si="2"/>
        <v>0</v>
      </c>
      <c r="F37" s="106">
        <f t="shared" si="3"/>
        <v>0</v>
      </c>
      <c r="G37" s="153">
        <f t="shared" si="4"/>
        <v>0</v>
      </c>
    </row>
    <row r="38" spans="1:7" hidden="1">
      <c r="A38" s="91">
        <f t="shared" si="5"/>
        <v>16</v>
      </c>
      <c r="B38" s="106">
        <f t="shared" si="6"/>
        <v>0</v>
      </c>
      <c r="C38" s="152">
        <f t="shared" si="0"/>
        <v>0</v>
      </c>
      <c r="D38" s="152">
        <f t="shared" si="1"/>
        <v>0</v>
      </c>
      <c r="E38" s="152">
        <f t="shared" si="2"/>
        <v>0</v>
      </c>
      <c r="F38" s="106">
        <f t="shared" si="3"/>
        <v>0</v>
      </c>
      <c r="G38" s="153">
        <f t="shared" si="4"/>
        <v>0</v>
      </c>
    </row>
    <row r="39" spans="1:7" hidden="1">
      <c r="A39" s="91">
        <f t="shared" si="5"/>
        <v>17</v>
      </c>
      <c r="B39" s="106">
        <f t="shared" si="6"/>
        <v>0</v>
      </c>
      <c r="C39" s="152">
        <f t="shared" si="0"/>
        <v>0</v>
      </c>
      <c r="D39" s="152">
        <f t="shared" si="1"/>
        <v>0</v>
      </c>
      <c r="E39" s="152">
        <f t="shared" si="2"/>
        <v>0</v>
      </c>
      <c r="F39" s="106">
        <f t="shared" si="3"/>
        <v>0</v>
      </c>
      <c r="G39" s="153">
        <f t="shared" si="4"/>
        <v>0</v>
      </c>
    </row>
    <row r="40" spans="1:7" hidden="1">
      <c r="A40" s="91">
        <f t="shared" si="5"/>
        <v>18</v>
      </c>
      <c r="B40" s="106">
        <f t="shared" si="6"/>
        <v>0</v>
      </c>
      <c r="C40" s="152">
        <f t="shared" si="0"/>
        <v>0</v>
      </c>
      <c r="D40" s="152">
        <f t="shared" si="1"/>
        <v>0</v>
      </c>
      <c r="E40" s="152">
        <f t="shared" si="2"/>
        <v>0</v>
      </c>
      <c r="F40" s="106">
        <f t="shared" si="3"/>
        <v>0</v>
      </c>
      <c r="G40" s="153">
        <f t="shared" si="4"/>
        <v>0</v>
      </c>
    </row>
    <row r="41" spans="1:7" hidden="1">
      <c r="A41" s="91">
        <f t="shared" si="5"/>
        <v>19</v>
      </c>
      <c r="B41" s="106">
        <f t="shared" si="6"/>
        <v>0</v>
      </c>
      <c r="C41" s="152">
        <f t="shared" si="0"/>
        <v>0</v>
      </c>
      <c r="D41" s="152">
        <f t="shared" si="1"/>
        <v>0</v>
      </c>
      <c r="E41" s="152">
        <f t="shared" si="2"/>
        <v>0</v>
      </c>
      <c r="F41" s="106">
        <f t="shared" si="3"/>
        <v>0</v>
      </c>
      <c r="G41" s="153">
        <f t="shared" si="4"/>
        <v>0</v>
      </c>
    </row>
    <row r="42" spans="1:7" hidden="1">
      <c r="A42" s="91">
        <f t="shared" si="5"/>
        <v>20</v>
      </c>
      <c r="B42" s="106">
        <f t="shared" si="6"/>
        <v>0</v>
      </c>
      <c r="C42" s="152">
        <f t="shared" si="0"/>
        <v>0</v>
      </c>
      <c r="D42" s="152">
        <f t="shared" si="1"/>
        <v>0</v>
      </c>
      <c r="E42" s="152">
        <f t="shared" si="2"/>
        <v>0</v>
      </c>
      <c r="F42" s="106">
        <f t="shared" si="3"/>
        <v>0</v>
      </c>
      <c r="G42" s="153">
        <f t="shared" si="4"/>
        <v>0</v>
      </c>
    </row>
    <row r="43" spans="1:7" hidden="1">
      <c r="A43" s="91">
        <f t="shared" si="5"/>
        <v>21</v>
      </c>
      <c r="B43" s="106">
        <f t="shared" si="6"/>
        <v>0</v>
      </c>
      <c r="C43" s="152">
        <f t="shared" si="0"/>
        <v>0</v>
      </c>
      <c r="D43" s="152">
        <f t="shared" si="1"/>
        <v>0</v>
      </c>
      <c r="E43" s="152">
        <f t="shared" si="2"/>
        <v>0</v>
      </c>
      <c r="F43" s="106">
        <f t="shared" si="3"/>
        <v>0</v>
      </c>
      <c r="G43" s="153">
        <f t="shared" si="4"/>
        <v>0</v>
      </c>
    </row>
    <row r="44" spans="1:7" hidden="1">
      <c r="A44" s="91">
        <f t="shared" si="5"/>
        <v>22</v>
      </c>
      <c r="B44" s="106">
        <f t="shared" si="6"/>
        <v>0</v>
      </c>
      <c r="C44" s="152">
        <f t="shared" si="0"/>
        <v>0</v>
      </c>
      <c r="D44" s="152">
        <f t="shared" si="1"/>
        <v>0</v>
      </c>
      <c r="E44" s="152">
        <f t="shared" si="2"/>
        <v>0</v>
      </c>
      <c r="F44" s="106">
        <f t="shared" si="3"/>
        <v>0</v>
      </c>
      <c r="G44" s="153">
        <f t="shared" si="4"/>
        <v>0</v>
      </c>
    </row>
    <row r="45" spans="1:7" hidden="1">
      <c r="A45" s="91">
        <f t="shared" si="5"/>
        <v>23</v>
      </c>
      <c r="B45" s="106">
        <f t="shared" si="6"/>
        <v>0</v>
      </c>
      <c r="C45" s="152">
        <f t="shared" si="0"/>
        <v>0</v>
      </c>
      <c r="D45" s="152">
        <f t="shared" si="1"/>
        <v>0</v>
      </c>
      <c r="E45" s="152">
        <f t="shared" si="2"/>
        <v>0</v>
      </c>
      <c r="F45" s="106">
        <f t="shared" si="3"/>
        <v>0</v>
      </c>
      <c r="G45" s="153">
        <f t="shared" si="4"/>
        <v>0</v>
      </c>
    </row>
    <row r="46" spans="1:7" hidden="1">
      <c r="A46" s="91">
        <f t="shared" si="5"/>
        <v>24</v>
      </c>
      <c r="B46" s="106">
        <f t="shared" si="6"/>
        <v>0</v>
      </c>
      <c r="C46" s="152">
        <f t="shared" si="0"/>
        <v>0</v>
      </c>
      <c r="D46" s="152">
        <f t="shared" si="1"/>
        <v>0</v>
      </c>
      <c r="E46" s="152">
        <f t="shared" si="2"/>
        <v>0</v>
      </c>
      <c r="F46" s="106">
        <f t="shared" si="3"/>
        <v>0</v>
      </c>
      <c r="G46" s="153">
        <f t="shared" si="4"/>
        <v>0</v>
      </c>
    </row>
    <row r="47" spans="1:7" hidden="1">
      <c r="A47" s="91">
        <f t="shared" si="5"/>
        <v>25</v>
      </c>
      <c r="B47" s="106">
        <f t="shared" si="6"/>
        <v>0</v>
      </c>
      <c r="C47" s="152">
        <f t="shared" si="0"/>
        <v>0</v>
      </c>
      <c r="D47" s="152">
        <f t="shared" si="1"/>
        <v>0</v>
      </c>
      <c r="E47" s="152">
        <f t="shared" si="2"/>
        <v>0</v>
      </c>
      <c r="F47" s="106">
        <f t="shared" si="3"/>
        <v>0</v>
      </c>
      <c r="G47" s="153">
        <f t="shared" si="4"/>
        <v>0</v>
      </c>
    </row>
    <row r="48" spans="1:7" hidden="1">
      <c r="A48" s="91">
        <f t="shared" si="5"/>
        <v>26</v>
      </c>
      <c r="B48" s="106">
        <f t="shared" si="6"/>
        <v>0</v>
      </c>
      <c r="C48" s="152">
        <f t="shared" si="0"/>
        <v>0</v>
      </c>
      <c r="D48" s="152">
        <f t="shared" si="1"/>
        <v>0</v>
      </c>
      <c r="E48" s="152">
        <f t="shared" si="2"/>
        <v>0</v>
      </c>
      <c r="F48" s="106">
        <f t="shared" si="3"/>
        <v>0</v>
      </c>
      <c r="G48" s="153">
        <f t="shared" si="4"/>
        <v>0</v>
      </c>
    </row>
    <row r="49" spans="1:7" hidden="1">
      <c r="A49" s="91">
        <f t="shared" si="5"/>
        <v>27</v>
      </c>
      <c r="B49" s="106">
        <f t="shared" si="6"/>
        <v>0</v>
      </c>
      <c r="C49" s="152">
        <f t="shared" si="0"/>
        <v>0</v>
      </c>
      <c r="D49" s="152">
        <f t="shared" si="1"/>
        <v>0</v>
      </c>
      <c r="E49" s="152">
        <f t="shared" si="2"/>
        <v>0</v>
      </c>
      <c r="F49" s="106">
        <f t="shared" si="3"/>
        <v>0</v>
      </c>
      <c r="G49" s="153">
        <f t="shared" si="4"/>
        <v>0</v>
      </c>
    </row>
    <row r="50" spans="1:7" hidden="1">
      <c r="A50" s="91">
        <f t="shared" si="5"/>
        <v>28</v>
      </c>
      <c r="B50" s="106">
        <f t="shared" si="6"/>
        <v>0</v>
      </c>
      <c r="C50" s="152">
        <f t="shared" si="0"/>
        <v>0</v>
      </c>
      <c r="D50" s="152">
        <f t="shared" si="1"/>
        <v>0</v>
      </c>
      <c r="E50" s="152">
        <f t="shared" si="2"/>
        <v>0</v>
      </c>
      <c r="F50" s="106">
        <f t="shared" si="3"/>
        <v>0</v>
      </c>
      <c r="G50" s="153">
        <f t="shared" si="4"/>
        <v>0</v>
      </c>
    </row>
    <row r="51" spans="1:7" hidden="1">
      <c r="A51" s="91">
        <f t="shared" si="5"/>
        <v>29</v>
      </c>
      <c r="B51" s="106">
        <f t="shared" si="6"/>
        <v>0</v>
      </c>
      <c r="C51" s="152">
        <f t="shared" si="0"/>
        <v>0</v>
      </c>
      <c r="D51" s="152">
        <f t="shared" si="1"/>
        <v>0</v>
      </c>
      <c r="E51" s="152">
        <f t="shared" si="2"/>
        <v>0</v>
      </c>
      <c r="F51" s="106">
        <f t="shared" si="3"/>
        <v>0</v>
      </c>
      <c r="G51" s="153">
        <f t="shared" si="4"/>
        <v>0</v>
      </c>
    </row>
    <row r="52" spans="1:7" hidden="1">
      <c r="A52" s="91">
        <f t="shared" si="5"/>
        <v>30</v>
      </c>
      <c r="B52" s="106">
        <f t="shared" si="6"/>
        <v>0</v>
      </c>
      <c r="C52" s="152">
        <f t="shared" si="0"/>
        <v>0</v>
      </c>
      <c r="D52" s="152">
        <f t="shared" si="1"/>
        <v>0</v>
      </c>
      <c r="E52" s="152">
        <f t="shared" si="2"/>
        <v>0</v>
      </c>
      <c r="F52" s="106">
        <f t="shared" si="3"/>
        <v>0</v>
      </c>
      <c r="G52" s="153">
        <f t="shared" si="4"/>
        <v>0</v>
      </c>
    </row>
    <row r="53" spans="1:7" hidden="1">
      <c r="A53" s="91">
        <f t="shared" si="5"/>
        <v>31</v>
      </c>
      <c r="B53" s="106">
        <f t="shared" si="6"/>
        <v>0</v>
      </c>
      <c r="C53" s="152">
        <f t="shared" si="0"/>
        <v>0</v>
      </c>
      <c r="D53" s="152">
        <f t="shared" si="1"/>
        <v>0</v>
      </c>
      <c r="E53" s="152">
        <f t="shared" si="2"/>
        <v>0</v>
      </c>
      <c r="F53" s="106">
        <f t="shared" si="3"/>
        <v>0</v>
      </c>
      <c r="G53" s="153">
        <f t="shared" si="4"/>
        <v>0</v>
      </c>
    </row>
    <row r="54" spans="1:7" hidden="1">
      <c r="A54" s="91">
        <f t="shared" si="5"/>
        <v>32</v>
      </c>
      <c r="B54" s="106">
        <f t="shared" si="6"/>
        <v>0</v>
      </c>
      <c r="C54" s="152">
        <f t="shared" si="0"/>
        <v>0</v>
      </c>
      <c r="D54" s="152">
        <f t="shared" si="1"/>
        <v>0</v>
      </c>
      <c r="E54" s="152">
        <f t="shared" si="2"/>
        <v>0</v>
      </c>
      <c r="F54" s="106">
        <f t="shared" si="3"/>
        <v>0</v>
      </c>
      <c r="G54" s="153">
        <f t="shared" si="4"/>
        <v>0</v>
      </c>
    </row>
    <row r="55" spans="1:7" hidden="1">
      <c r="A55" s="91">
        <f t="shared" si="5"/>
        <v>33</v>
      </c>
      <c r="B55" s="106">
        <f t="shared" si="6"/>
        <v>0</v>
      </c>
      <c r="C55" s="152">
        <f t="shared" si="0"/>
        <v>0</v>
      </c>
      <c r="D55" s="152">
        <f t="shared" si="1"/>
        <v>0</v>
      </c>
      <c r="E55" s="152">
        <f t="shared" si="2"/>
        <v>0</v>
      </c>
      <c r="F55" s="106">
        <f t="shared" si="3"/>
        <v>0</v>
      </c>
      <c r="G55" s="153">
        <f t="shared" si="4"/>
        <v>0</v>
      </c>
    </row>
    <row r="56" spans="1:7" hidden="1">
      <c r="A56" s="91">
        <f t="shared" si="5"/>
        <v>34</v>
      </c>
      <c r="B56" s="106">
        <f t="shared" si="6"/>
        <v>0</v>
      </c>
      <c r="C56" s="152">
        <f t="shared" si="0"/>
        <v>0</v>
      </c>
      <c r="D56" s="152">
        <f t="shared" si="1"/>
        <v>0</v>
      </c>
      <c r="E56" s="152">
        <f t="shared" si="2"/>
        <v>0</v>
      </c>
      <c r="F56" s="106">
        <f t="shared" si="3"/>
        <v>0</v>
      </c>
      <c r="G56" s="153">
        <f t="shared" si="4"/>
        <v>0</v>
      </c>
    </row>
    <row r="57" spans="1:7" hidden="1">
      <c r="A57" s="91">
        <f t="shared" si="5"/>
        <v>35</v>
      </c>
      <c r="B57" s="106">
        <f t="shared" si="6"/>
        <v>0</v>
      </c>
      <c r="C57" s="152">
        <f t="shared" si="0"/>
        <v>0</v>
      </c>
      <c r="D57" s="152">
        <f t="shared" si="1"/>
        <v>0</v>
      </c>
      <c r="E57" s="152">
        <f t="shared" si="2"/>
        <v>0</v>
      </c>
      <c r="F57" s="106">
        <f t="shared" si="3"/>
        <v>0</v>
      </c>
      <c r="G57" s="153">
        <f t="shared" si="4"/>
        <v>0</v>
      </c>
    </row>
    <row r="58" spans="1:7" hidden="1">
      <c r="A58" s="91">
        <f t="shared" si="5"/>
        <v>36</v>
      </c>
      <c r="B58" s="106">
        <f t="shared" si="6"/>
        <v>0</v>
      </c>
      <c r="C58" s="152">
        <f t="shared" si="0"/>
        <v>0</v>
      </c>
      <c r="D58" s="152">
        <f t="shared" si="1"/>
        <v>0</v>
      </c>
      <c r="E58" s="152">
        <f t="shared" si="2"/>
        <v>0</v>
      </c>
      <c r="F58" s="106">
        <f t="shared" si="3"/>
        <v>0</v>
      </c>
      <c r="G58" s="153">
        <f t="shared" si="4"/>
        <v>0</v>
      </c>
    </row>
    <row r="59" spans="1:7" hidden="1">
      <c r="A59" s="91">
        <f t="shared" si="5"/>
        <v>37</v>
      </c>
      <c r="B59" s="106">
        <f t="shared" si="6"/>
        <v>0</v>
      </c>
      <c r="C59" s="152">
        <f t="shared" si="0"/>
        <v>0</v>
      </c>
      <c r="D59" s="152">
        <f t="shared" si="1"/>
        <v>0</v>
      </c>
      <c r="E59" s="152">
        <f t="shared" si="2"/>
        <v>0</v>
      </c>
      <c r="F59" s="106">
        <f t="shared" si="3"/>
        <v>0</v>
      </c>
      <c r="G59" s="153">
        <f t="shared" si="4"/>
        <v>0</v>
      </c>
    </row>
    <row r="60" spans="1:7" hidden="1">
      <c r="A60" s="91">
        <f t="shared" si="5"/>
        <v>38</v>
      </c>
      <c r="B60" s="106">
        <f t="shared" si="6"/>
        <v>0</v>
      </c>
      <c r="C60" s="152">
        <f t="shared" si="0"/>
        <v>0</v>
      </c>
      <c r="D60" s="152">
        <f t="shared" si="1"/>
        <v>0</v>
      </c>
      <c r="E60" s="152">
        <f t="shared" si="2"/>
        <v>0</v>
      </c>
      <c r="F60" s="106">
        <f t="shared" si="3"/>
        <v>0</v>
      </c>
      <c r="G60" s="153">
        <f t="shared" si="4"/>
        <v>0</v>
      </c>
    </row>
    <row r="61" spans="1:7" hidden="1">
      <c r="A61" s="91">
        <f t="shared" si="5"/>
        <v>39</v>
      </c>
      <c r="B61" s="106">
        <f t="shared" si="6"/>
        <v>0</v>
      </c>
      <c r="C61" s="152">
        <f t="shared" si="0"/>
        <v>0</v>
      </c>
      <c r="D61" s="152">
        <f t="shared" si="1"/>
        <v>0</v>
      </c>
      <c r="E61" s="152">
        <f t="shared" si="2"/>
        <v>0</v>
      </c>
      <c r="F61" s="106">
        <f t="shared" si="3"/>
        <v>0</v>
      </c>
      <c r="G61" s="153">
        <f t="shared" si="4"/>
        <v>0</v>
      </c>
    </row>
    <row r="62" spans="1:7" ht="13.5" hidden="1" thickBot="1">
      <c r="A62" s="91">
        <f t="shared" si="5"/>
        <v>40</v>
      </c>
      <c r="B62" s="106">
        <f t="shared" si="6"/>
        <v>0</v>
      </c>
      <c r="C62" s="152">
        <f t="shared" si="0"/>
        <v>0</v>
      </c>
      <c r="D62" s="152">
        <f t="shared" si="1"/>
        <v>0</v>
      </c>
      <c r="E62" s="152">
        <f t="shared" si="2"/>
        <v>0</v>
      </c>
      <c r="F62" s="106">
        <f t="shared" si="3"/>
        <v>0</v>
      </c>
      <c r="G62" s="153">
        <f t="shared" si="4"/>
        <v>0</v>
      </c>
    </row>
    <row r="63" spans="1:7" ht="13.5" hidden="1" thickBot="1">
      <c r="A63" s="91">
        <f t="shared" si="5"/>
        <v>41</v>
      </c>
      <c r="B63" s="106">
        <f t="shared" si="6"/>
        <v>0</v>
      </c>
      <c r="C63" s="152">
        <f t="shared" si="0"/>
        <v>0</v>
      </c>
      <c r="D63" s="152">
        <f t="shared" si="1"/>
        <v>0</v>
      </c>
      <c r="E63" s="152">
        <f t="shared" si="2"/>
        <v>0</v>
      </c>
      <c r="F63" s="106">
        <f t="shared" si="3"/>
        <v>0</v>
      </c>
      <c r="G63" s="153">
        <f t="shared" si="4"/>
        <v>0</v>
      </c>
    </row>
    <row r="64" spans="1:7" ht="13.5" hidden="1" thickBot="1">
      <c r="A64" s="91">
        <f t="shared" si="5"/>
        <v>42</v>
      </c>
      <c r="B64" s="106">
        <f t="shared" si="6"/>
        <v>0</v>
      </c>
      <c r="C64" s="152">
        <f t="shared" si="0"/>
        <v>0</v>
      </c>
      <c r="D64" s="152">
        <f t="shared" si="1"/>
        <v>0</v>
      </c>
      <c r="E64" s="152">
        <f t="shared" si="2"/>
        <v>0</v>
      </c>
      <c r="F64" s="106">
        <f t="shared" si="3"/>
        <v>0</v>
      </c>
      <c r="G64" s="153">
        <f t="shared" si="4"/>
        <v>0</v>
      </c>
    </row>
    <row r="65" spans="1:7" ht="13.5" hidden="1" thickBot="1">
      <c r="A65" s="91">
        <f t="shared" si="5"/>
        <v>43</v>
      </c>
      <c r="B65" s="106">
        <f t="shared" si="6"/>
        <v>0</v>
      </c>
      <c r="C65" s="152">
        <f t="shared" si="0"/>
        <v>0</v>
      </c>
      <c r="D65" s="152">
        <f t="shared" si="1"/>
        <v>0</v>
      </c>
      <c r="E65" s="152">
        <f t="shared" si="2"/>
        <v>0</v>
      </c>
      <c r="F65" s="106">
        <f t="shared" si="3"/>
        <v>0</v>
      </c>
      <c r="G65" s="153">
        <f t="shared" si="4"/>
        <v>0</v>
      </c>
    </row>
    <row r="66" spans="1:7" ht="13.5" hidden="1" thickBot="1">
      <c r="A66" s="91">
        <f t="shared" si="5"/>
        <v>44</v>
      </c>
      <c r="B66" s="106">
        <f t="shared" si="6"/>
        <v>0</v>
      </c>
      <c r="C66" s="152">
        <f t="shared" si="0"/>
        <v>0</v>
      </c>
      <c r="D66" s="152">
        <f t="shared" si="1"/>
        <v>0</v>
      </c>
      <c r="E66" s="152">
        <f t="shared" si="2"/>
        <v>0</v>
      </c>
      <c r="F66" s="106">
        <f t="shared" si="3"/>
        <v>0</v>
      </c>
      <c r="G66" s="153">
        <f t="shared" si="4"/>
        <v>0</v>
      </c>
    </row>
    <row r="67" spans="1:7" ht="13.5" hidden="1" thickBot="1">
      <c r="A67" s="91">
        <f t="shared" si="5"/>
        <v>45</v>
      </c>
      <c r="B67" s="106">
        <f t="shared" si="6"/>
        <v>0</v>
      </c>
      <c r="C67" s="152">
        <f t="shared" si="0"/>
        <v>0</v>
      </c>
      <c r="D67" s="152">
        <f t="shared" si="1"/>
        <v>0</v>
      </c>
      <c r="E67" s="152">
        <f t="shared" si="2"/>
        <v>0</v>
      </c>
      <c r="F67" s="106">
        <f t="shared" si="3"/>
        <v>0</v>
      </c>
      <c r="G67" s="153">
        <f t="shared" si="4"/>
        <v>0</v>
      </c>
    </row>
    <row r="68" spans="1:7" ht="13.5" hidden="1" thickBot="1">
      <c r="A68" s="91">
        <f t="shared" si="5"/>
        <v>46</v>
      </c>
      <c r="B68" s="106">
        <f t="shared" si="6"/>
        <v>0</v>
      </c>
      <c r="C68" s="152">
        <f t="shared" si="0"/>
        <v>0</v>
      </c>
      <c r="D68" s="152">
        <f t="shared" si="1"/>
        <v>0</v>
      </c>
      <c r="E68" s="152">
        <f t="shared" si="2"/>
        <v>0</v>
      </c>
      <c r="F68" s="106">
        <f t="shared" si="3"/>
        <v>0</v>
      </c>
      <c r="G68" s="153">
        <f t="shared" si="4"/>
        <v>0</v>
      </c>
    </row>
    <row r="69" spans="1:7" ht="13.5" hidden="1" thickBot="1">
      <c r="A69" s="91">
        <f t="shared" si="5"/>
        <v>47</v>
      </c>
      <c r="B69" s="106">
        <f t="shared" si="6"/>
        <v>0</v>
      </c>
      <c r="C69" s="152">
        <f t="shared" si="0"/>
        <v>0</v>
      </c>
      <c r="D69" s="152">
        <f t="shared" si="1"/>
        <v>0</v>
      </c>
      <c r="E69" s="152">
        <f t="shared" si="2"/>
        <v>0</v>
      </c>
      <c r="F69" s="106">
        <f t="shared" si="3"/>
        <v>0</v>
      </c>
      <c r="G69" s="153">
        <f t="shared" si="4"/>
        <v>0</v>
      </c>
    </row>
    <row r="70" spans="1:7" ht="13.5" hidden="1" thickBot="1">
      <c r="A70" s="91">
        <f t="shared" si="5"/>
        <v>48</v>
      </c>
      <c r="B70" s="106">
        <f t="shared" si="6"/>
        <v>0</v>
      </c>
      <c r="C70" s="152">
        <f t="shared" si="0"/>
        <v>0</v>
      </c>
      <c r="D70" s="152">
        <f t="shared" si="1"/>
        <v>0</v>
      </c>
      <c r="E70" s="152">
        <f t="shared" si="2"/>
        <v>0</v>
      </c>
      <c r="F70" s="106">
        <f t="shared" si="3"/>
        <v>0</v>
      </c>
      <c r="G70" s="153">
        <f t="shared" si="4"/>
        <v>0</v>
      </c>
    </row>
    <row r="71" spans="1:7" ht="13.5" hidden="1" thickBot="1">
      <c r="A71" s="91">
        <f t="shared" si="5"/>
        <v>49</v>
      </c>
      <c r="B71" s="106">
        <f t="shared" si="6"/>
        <v>0</v>
      </c>
      <c r="C71" s="152">
        <f t="shared" si="0"/>
        <v>0</v>
      </c>
      <c r="D71" s="152">
        <f t="shared" si="1"/>
        <v>0</v>
      </c>
      <c r="E71" s="152">
        <f t="shared" si="2"/>
        <v>0</v>
      </c>
      <c r="F71" s="106">
        <f t="shared" si="3"/>
        <v>0</v>
      </c>
      <c r="G71" s="153">
        <f t="shared" si="4"/>
        <v>0</v>
      </c>
    </row>
    <row r="72" spans="1:7" ht="13.5" hidden="1" thickBot="1">
      <c r="A72" s="91">
        <f t="shared" si="5"/>
        <v>50</v>
      </c>
      <c r="B72" s="106">
        <f t="shared" si="6"/>
        <v>0</v>
      </c>
      <c r="C72" s="152">
        <f t="shared" si="0"/>
        <v>0</v>
      </c>
      <c r="D72" s="152">
        <f t="shared" si="1"/>
        <v>0</v>
      </c>
      <c r="E72" s="152">
        <f t="shared" si="2"/>
        <v>0</v>
      </c>
      <c r="F72" s="106">
        <f t="shared" si="3"/>
        <v>0</v>
      </c>
      <c r="G72" s="153">
        <f t="shared" si="4"/>
        <v>0</v>
      </c>
    </row>
    <row r="73" spans="1:7" ht="13.5" hidden="1" thickBot="1">
      <c r="A73" s="91">
        <f t="shared" si="5"/>
        <v>51</v>
      </c>
      <c r="B73" s="106">
        <f t="shared" si="6"/>
        <v>0</v>
      </c>
      <c r="C73" s="152">
        <f t="shared" si="0"/>
        <v>0</v>
      </c>
      <c r="D73" s="152">
        <f t="shared" si="1"/>
        <v>0</v>
      </c>
      <c r="E73" s="152">
        <f t="shared" si="2"/>
        <v>0</v>
      </c>
      <c r="F73" s="106">
        <f t="shared" si="3"/>
        <v>0</v>
      </c>
      <c r="G73" s="153">
        <f t="shared" si="4"/>
        <v>0</v>
      </c>
    </row>
    <row r="74" spans="1:7" ht="13.5" hidden="1" thickBot="1">
      <c r="A74" s="91">
        <f t="shared" si="5"/>
        <v>52</v>
      </c>
      <c r="B74" s="106">
        <f t="shared" si="6"/>
        <v>0</v>
      </c>
      <c r="C74" s="152">
        <f t="shared" si="0"/>
        <v>0</v>
      </c>
      <c r="D74" s="152">
        <f t="shared" si="1"/>
        <v>0</v>
      </c>
      <c r="E74" s="152">
        <f t="shared" si="2"/>
        <v>0</v>
      </c>
      <c r="F74" s="106">
        <f t="shared" si="3"/>
        <v>0</v>
      </c>
      <c r="G74" s="153">
        <f t="shared" si="4"/>
        <v>0</v>
      </c>
    </row>
    <row r="75" spans="1:7" ht="13.5" hidden="1" thickBot="1">
      <c r="A75" s="91">
        <f t="shared" si="5"/>
        <v>53</v>
      </c>
      <c r="B75" s="106">
        <f t="shared" si="6"/>
        <v>0</v>
      </c>
      <c r="C75" s="152">
        <f t="shared" si="0"/>
        <v>0</v>
      </c>
      <c r="D75" s="152">
        <f t="shared" si="1"/>
        <v>0</v>
      </c>
      <c r="E75" s="152">
        <f t="shared" si="2"/>
        <v>0</v>
      </c>
      <c r="F75" s="106">
        <f t="shared" si="3"/>
        <v>0</v>
      </c>
      <c r="G75" s="153">
        <f t="shared" si="4"/>
        <v>0</v>
      </c>
    </row>
    <row r="76" spans="1:7" ht="13.5" hidden="1" thickBot="1">
      <c r="A76" s="91">
        <f t="shared" si="5"/>
        <v>54</v>
      </c>
      <c r="B76" s="106">
        <f t="shared" si="6"/>
        <v>0</v>
      </c>
      <c r="C76" s="152">
        <f t="shared" si="0"/>
        <v>0</v>
      </c>
      <c r="D76" s="152">
        <f t="shared" si="1"/>
        <v>0</v>
      </c>
      <c r="E76" s="152">
        <f t="shared" si="2"/>
        <v>0</v>
      </c>
      <c r="F76" s="106">
        <f t="shared" si="3"/>
        <v>0</v>
      </c>
      <c r="G76" s="153">
        <f t="shared" si="4"/>
        <v>0</v>
      </c>
    </row>
    <row r="77" spans="1:7" ht="13.5" hidden="1" thickBot="1">
      <c r="A77" s="91">
        <f t="shared" si="5"/>
        <v>55</v>
      </c>
      <c r="B77" s="106">
        <f t="shared" si="6"/>
        <v>0</v>
      </c>
      <c r="C77" s="152">
        <f t="shared" si="0"/>
        <v>0</v>
      </c>
      <c r="D77" s="152">
        <f t="shared" si="1"/>
        <v>0</v>
      </c>
      <c r="E77" s="152">
        <f t="shared" si="2"/>
        <v>0</v>
      </c>
      <c r="F77" s="106">
        <f t="shared" si="3"/>
        <v>0</v>
      </c>
      <c r="G77" s="153">
        <f t="shared" si="4"/>
        <v>0</v>
      </c>
    </row>
    <row r="78" spans="1:7" ht="13.5" hidden="1" thickBot="1">
      <c r="A78" s="91">
        <f t="shared" si="5"/>
        <v>56</v>
      </c>
      <c r="B78" s="106">
        <f t="shared" si="6"/>
        <v>0</v>
      </c>
      <c r="C78" s="152">
        <f t="shared" si="0"/>
        <v>0</v>
      </c>
      <c r="D78" s="152">
        <f t="shared" si="1"/>
        <v>0</v>
      </c>
      <c r="E78" s="152">
        <f t="shared" si="2"/>
        <v>0</v>
      </c>
      <c r="F78" s="106">
        <f t="shared" si="3"/>
        <v>0</v>
      </c>
      <c r="G78" s="153">
        <f t="shared" si="4"/>
        <v>0</v>
      </c>
    </row>
    <row r="79" spans="1:7" ht="13.5" hidden="1" thickBot="1">
      <c r="A79" s="91">
        <f t="shared" si="5"/>
        <v>57</v>
      </c>
      <c r="B79" s="106">
        <f t="shared" si="6"/>
        <v>0</v>
      </c>
      <c r="C79" s="152">
        <f t="shared" si="0"/>
        <v>0</v>
      </c>
      <c r="D79" s="152">
        <f t="shared" si="1"/>
        <v>0</v>
      </c>
      <c r="E79" s="152">
        <f t="shared" si="2"/>
        <v>0</v>
      </c>
      <c r="F79" s="106">
        <f t="shared" si="3"/>
        <v>0</v>
      </c>
      <c r="G79" s="153">
        <f t="shared" si="4"/>
        <v>0</v>
      </c>
    </row>
    <row r="80" spans="1:7" ht="13.5" hidden="1" thickBot="1">
      <c r="A80" s="91">
        <f t="shared" si="5"/>
        <v>58</v>
      </c>
      <c r="B80" s="106">
        <f t="shared" si="6"/>
        <v>0</v>
      </c>
      <c r="C80" s="152">
        <f t="shared" si="0"/>
        <v>0</v>
      </c>
      <c r="D80" s="152">
        <f t="shared" si="1"/>
        <v>0</v>
      </c>
      <c r="E80" s="152">
        <f t="shared" si="2"/>
        <v>0</v>
      </c>
      <c r="F80" s="106">
        <f t="shared" si="3"/>
        <v>0</v>
      </c>
      <c r="G80" s="153">
        <f t="shared" si="4"/>
        <v>0</v>
      </c>
    </row>
    <row r="81" spans="1:7" ht="13.5" hidden="1" thickBot="1">
      <c r="A81" s="91">
        <f t="shared" si="5"/>
        <v>59</v>
      </c>
      <c r="B81" s="106">
        <f t="shared" si="6"/>
        <v>0</v>
      </c>
      <c r="C81" s="152">
        <f t="shared" si="0"/>
        <v>0</v>
      </c>
      <c r="D81" s="152">
        <f t="shared" si="1"/>
        <v>0</v>
      </c>
      <c r="E81" s="152">
        <f t="shared" si="2"/>
        <v>0</v>
      </c>
      <c r="F81" s="106">
        <f t="shared" si="3"/>
        <v>0</v>
      </c>
      <c r="G81" s="153">
        <f t="shared" si="4"/>
        <v>0</v>
      </c>
    </row>
    <row r="82" spans="1:7" ht="13.5" hidden="1" thickBot="1">
      <c r="A82" s="91">
        <f t="shared" si="5"/>
        <v>60</v>
      </c>
      <c r="B82" s="106">
        <f t="shared" si="6"/>
        <v>0</v>
      </c>
      <c r="C82" s="152">
        <f t="shared" si="0"/>
        <v>0</v>
      </c>
      <c r="D82" s="152">
        <f t="shared" si="1"/>
        <v>0</v>
      </c>
      <c r="E82" s="152">
        <f t="shared" si="2"/>
        <v>0</v>
      </c>
      <c r="F82" s="106">
        <f t="shared" si="3"/>
        <v>0</v>
      </c>
      <c r="G82" s="153">
        <f t="shared" si="4"/>
        <v>0</v>
      </c>
    </row>
    <row r="83" spans="1:7" ht="13.5" hidden="1" thickBot="1">
      <c r="A83" s="91">
        <f t="shared" si="5"/>
        <v>61</v>
      </c>
      <c r="B83" s="106">
        <f t="shared" si="6"/>
        <v>0</v>
      </c>
      <c r="C83" s="152">
        <f t="shared" si="0"/>
        <v>0</v>
      </c>
      <c r="D83" s="152">
        <f t="shared" si="1"/>
        <v>0</v>
      </c>
      <c r="E83" s="152">
        <f t="shared" si="2"/>
        <v>0</v>
      </c>
      <c r="F83" s="106">
        <f t="shared" si="3"/>
        <v>0</v>
      </c>
      <c r="G83" s="153">
        <f t="shared" si="4"/>
        <v>0</v>
      </c>
    </row>
    <row r="84" spans="1:7" ht="13.5" hidden="1" thickBot="1">
      <c r="A84" s="91">
        <f t="shared" si="5"/>
        <v>62</v>
      </c>
      <c r="B84" s="106">
        <f t="shared" si="6"/>
        <v>0</v>
      </c>
      <c r="C84" s="152">
        <f t="shared" si="0"/>
        <v>0</v>
      </c>
      <c r="D84" s="152">
        <f t="shared" si="1"/>
        <v>0</v>
      </c>
      <c r="E84" s="152">
        <f t="shared" si="2"/>
        <v>0</v>
      </c>
      <c r="F84" s="106">
        <f t="shared" si="3"/>
        <v>0</v>
      </c>
      <c r="G84" s="153">
        <f t="shared" si="4"/>
        <v>0</v>
      </c>
    </row>
    <row r="85" spans="1:7" ht="13.5" hidden="1" thickBot="1">
      <c r="A85" s="91">
        <f t="shared" si="5"/>
        <v>63</v>
      </c>
      <c r="B85" s="106">
        <f t="shared" si="6"/>
        <v>0</v>
      </c>
      <c r="C85" s="152">
        <f t="shared" si="0"/>
        <v>0</v>
      </c>
      <c r="D85" s="152">
        <f t="shared" si="1"/>
        <v>0</v>
      </c>
      <c r="E85" s="152">
        <f t="shared" si="2"/>
        <v>0</v>
      </c>
      <c r="F85" s="106">
        <f t="shared" si="3"/>
        <v>0</v>
      </c>
      <c r="G85" s="153">
        <f t="shared" si="4"/>
        <v>0</v>
      </c>
    </row>
    <row r="86" spans="1:7" ht="13.5" hidden="1" thickBot="1">
      <c r="A86" s="91">
        <f t="shared" si="5"/>
        <v>64</v>
      </c>
      <c r="B86" s="106">
        <f t="shared" si="6"/>
        <v>0</v>
      </c>
      <c r="C86" s="152">
        <f t="shared" si="0"/>
        <v>0</v>
      </c>
      <c r="D86" s="152">
        <f t="shared" si="1"/>
        <v>0</v>
      </c>
      <c r="E86" s="152">
        <f t="shared" si="2"/>
        <v>0</v>
      </c>
      <c r="F86" s="106">
        <f t="shared" si="3"/>
        <v>0</v>
      </c>
      <c r="G86" s="153">
        <f t="shared" si="4"/>
        <v>0</v>
      </c>
    </row>
    <row r="87" spans="1:7" ht="13.5" hidden="1" thickBot="1">
      <c r="A87" s="91">
        <f t="shared" si="5"/>
        <v>65</v>
      </c>
      <c r="B87" s="106">
        <f t="shared" si="6"/>
        <v>0</v>
      </c>
      <c r="C87" s="152">
        <f t="shared" ref="C87:C150" si="7">IF(A87&lt;=$D$12,D87+$D$15,0)</f>
        <v>0</v>
      </c>
      <c r="D87" s="152">
        <f t="shared" ref="D87:D150" si="8">E87+F87</f>
        <v>0</v>
      </c>
      <c r="E87" s="152">
        <f t="shared" ref="E87:E150" si="9">B87*$D$13</f>
        <v>0</v>
      </c>
      <c r="F87" s="106">
        <f t="shared" ref="F87:F150" si="10">IF(A87&lt;=$D$12,$D$14*-1,0)</f>
        <v>0</v>
      </c>
      <c r="G87" s="153">
        <f t="shared" ref="G87:G150" si="11">B87-F87</f>
        <v>0</v>
      </c>
    </row>
    <row r="88" spans="1:7" ht="13.5" hidden="1" thickBot="1">
      <c r="A88" s="91">
        <f t="shared" ref="A88:A151" si="12">A87+1</f>
        <v>66</v>
      </c>
      <c r="B88" s="106">
        <f t="shared" ref="B88:B151" si="13">B87-F87</f>
        <v>0</v>
      </c>
      <c r="C88" s="152">
        <f t="shared" si="7"/>
        <v>0</v>
      </c>
      <c r="D88" s="152">
        <f t="shared" si="8"/>
        <v>0</v>
      </c>
      <c r="E88" s="152">
        <f t="shared" si="9"/>
        <v>0</v>
      </c>
      <c r="F88" s="106">
        <f t="shared" si="10"/>
        <v>0</v>
      </c>
      <c r="G88" s="153">
        <f t="shared" si="11"/>
        <v>0</v>
      </c>
    </row>
    <row r="89" spans="1:7" ht="13.5" hidden="1" thickBot="1">
      <c r="A89" s="91">
        <f t="shared" si="12"/>
        <v>67</v>
      </c>
      <c r="B89" s="106">
        <f t="shared" si="13"/>
        <v>0</v>
      </c>
      <c r="C89" s="152">
        <f t="shared" si="7"/>
        <v>0</v>
      </c>
      <c r="D89" s="152">
        <f t="shared" si="8"/>
        <v>0</v>
      </c>
      <c r="E89" s="152">
        <f t="shared" si="9"/>
        <v>0</v>
      </c>
      <c r="F89" s="106">
        <f t="shared" si="10"/>
        <v>0</v>
      </c>
      <c r="G89" s="153">
        <f t="shared" si="11"/>
        <v>0</v>
      </c>
    </row>
    <row r="90" spans="1:7" ht="13.5" hidden="1" thickBot="1">
      <c r="A90" s="91">
        <f t="shared" si="12"/>
        <v>68</v>
      </c>
      <c r="B90" s="106">
        <f t="shared" si="13"/>
        <v>0</v>
      </c>
      <c r="C90" s="152">
        <f t="shared" si="7"/>
        <v>0</v>
      </c>
      <c r="D90" s="152">
        <f t="shared" si="8"/>
        <v>0</v>
      </c>
      <c r="E90" s="152">
        <f t="shared" si="9"/>
        <v>0</v>
      </c>
      <c r="F90" s="106">
        <f t="shared" si="10"/>
        <v>0</v>
      </c>
      <c r="G90" s="153">
        <f t="shared" si="11"/>
        <v>0</v>
      </c>
    </row>
    <row r="91" spans="1:7" ht="13.5" hidden="1" thickBot="1">
      <c r="A91" s="91">
        <f t="shared" si="12"/>
        <v>69</v>
      </c>
      <c r="B91" s="106">
        <f t="shared" si="13"/>
        <v>0</v>
      </c>
      <c r="C91" s="152">
        <f t="shared" si="7"/>
        <v>0</v>
      </c>
      <c r="D91" s="152">
        <f t="shared" si="8"/>
        <v>0</v>
      </c>
      <c r="E91" s="152">
        <f t="shared" si="9"/>
        <v>0</v>
      </c>
      <c r="F91" s="106">
        <f t="shared" si="10"/>
        <v>0</v>
      </c>
      <c r="G91" s="153">
        <f t="shared" si="11"/>
        <v>0</v>
      </c>
    </row>
    <row r="92" spans="1:7" ht="13.5" hidden="1" thickBot="1">
      <c r="A92" s="91">
        <f t="shared" si="12"/>
        <v>70</v>
      </c>
      <c r="B92" s="106">
        <f t="shared" si="13"/>
        <v>0</v>
      </c>
      <c r="C92" s="152">
        <f t="shared" si="7"/>
        <v>0</v>
      </c>
      <c r="D92" s="152">
        <f t="shared" si="8"/>
        <v>0</v>
      </c>
      <c r="E92" s="152">
        <f t="shared" si="9"/>
        <v>0</v>
      </c>
      <c r="F92" s="106">
        <f t="shared" si="10"/>
        <v>0</v>
      </c>
      <c r="G92" s="153">
        <f t="shared" si="11"/>
        <v>0</v>
      </c>
    </row>
    <row r="93" spans="1:7" ht="13.5" hidden="1" thickBot="1">
      <c r="A93" s="91">
        <f t="shared" si="12"/>
        <v>71</v>
      </c>
      <c r="B93" s="106">
        <f t="shared" si="13"/>
        <v>0</v>
      </c>
      <c r="C93" s="152">
        <f t="shared" si="7"/>
        <v>0</v>
      </c>
      <c r="D93" s="152">
        <f t="shared" si="8"/>
        <v>0</v>
      </c>
      <c r="E93" s="152">
        <f t="shared" si="9"/>
        <v>0</v>
      </c>
      <c r="F93" s="106">
        <f t="shared" si="10"/>
        <v>0</v>
      </c>
      <c r="G93" s="153">
        <f t="shared" si="11"/>
        <v>0</v>
      </c>
    </row>
    <row r="94" spans="1:7" ht="13.5" hidden="1" thickBot="1">
      <c r="A94" s="91">
        <f t="shared" si="12"/>
        <v>72</v>
      </c>
      <c r="B94" s="106">
        <f t="shared" si="13"/>
        <v>0</v>
      </c>
      <c r="C94" s="152">
        <f t="shared" si="7"/>
        <v>0</v>
      </c>
      <c r="D94" s="152">
        <f t="shared" si="8"/>
        <v>0</v>
      </c>
      <c r="E94" s="152">
        <f t="shared" si="9"/>
        <v>0</v>
      </c>
      <c r="F94" s="106">
        <f t="shared" si="10"/>
        <v>0</v>
      </c>
      <c r="G94" s="153">
        <f t="shared" si="11"/>
        <v>0</v>
      </c>
    </row>
    <row r="95" spans="1:7" ht="13.5" hidden="1" thickBot="1">
      <c r="A95" s="91">
        <f t="shared" si="12"/>
        <v>73</v>
      </c>
      <c r="B95" s="106">
        <f t="shared" si="13"/>
        <v>0</v>
      </c>
      <c r="C95" s="152">
        <f t="shared" si="7"/>
        <v>0</v>
      </c>
      <c r="D95" s="152">
        <f t="shared" si="8"/>
        <v>0</v>
      </c>
      <c r="E95" s="152">
        <f t="shared" si="9"/>
        <v>0</v>
      </c>
      <c r="F95" s="106">
        <f t="shared" si="10"/>
        <v>0</v>
      </c>
      <c r="G95" s="153">
        <f t="shared" si="11"/>
        <v>0</v>
      </c>
    </row>
    <row r="96" spans="1:7" ht="13.5" hidden="1" thickBot="1">
      <c r="A96" s="91">
        <f t="shared" si="12"/>
        <v>74</v>
      </c>
      <c r="B96" s="106">
        <f t="shared" si="13"/>
        <v>0</v>
      </c>
      <c r="C96" s="152">
        <f t="shared" si="7"/>
        <v>0</v>
      </c>
      <c r="D96" s="152">
        <f t="shared" si="8"/>
        <v>0</v>
      </c>
      <c r="E96" s="152">
        <f t="shared" si="9"/>
        <v>0</v>
      </c>
      <c r="F96" s="106">
        <f t="shared" si="10"/>
        <v>0</v>
      </c>
      <c r="G96" s="153">
        <f t="shared" si="11"/>
        <v>0</v>
      </c>
    </row>
    <row r="97" spans="1:7" ht="13.5" hidden="1" thickBot="1">
      <c r="A97" s="91">
        <f t="shared" si="12"/>
        <v>75</v>
      </c>
      <c r="B97" s="106">
        <f t="shared" si="13"/>
        <v>0</v>
      </c>
      <c r="C97" s="152">
        <f t="shared" si="7"/>
        <v>0</v>
      </c>
      <c r="D97" s="152">
        <f t="shared" si="8"/>
        <v>0</v>
      </c>
      <c r="E97" s="152">
        <f t="shared" si="9"/>
        <v>0</v>
      </c>
      <c r="F97" s="106">
        <f t="shared" si="10"/>
        <v>0</v>
      </c>
      <c r="G97" s="153">
        <f t="shared" si="11"/>
        <v>0</v>
      </c>
    </row>
    <row r="98" spans="1:7" ht="13.5" hidden="1" thickBot="1">
      <c r="A98" s="91">
        <f t="shared" si="12"/>
        <v>76</v>
      </c>
      <c r="B98" s="106">
        <f t="shared" si="13"/>
        <v>0</v>
      </c>
      <c r="C98" s="152">
        <f t="shared" si="7"/>
        <v>0</v>
      </c>
      <c r="D98" s="152">
        <f t="shared" si="8"/>
        <v>0</v>
      </c>
      <c r="E98" s="152">
        <f t="shared" si="9"/>
        <v>0</v>
      </c>
      <c r="F98" s="106">
        <f t="shared" si="10"/>
        <v>0</v>
      </c>
      <c r="G98" s="153">
        <f t="shared" si="11"/>
        <v>0</v>
      </c>
    </row>
    <row r="99" spans="1:7" ht="13.5" hidden="1" thickBot="1">
      <c r="A99" s="91">
        <f t="shared" si="12"/>
        <v>77</v>
      </c>
      <c r="B99" s="106">
        <f t="shared" si="13"/>
        <v>0</v>
      </c>
      <c r="C99" s="152">
        <f t="shared" si="7"/>
        <v>0</v>
      </c>
      <c r="D99" s="152">
        <f t="shared" si="8"/>
        <v>0</v>
      </c>
      <c r="E99" s="152">
        <f t="shared" si="9"/>
        <v>0</v>
      </c>
      <c r="F99" s="106">
        <f t="shared" si="10"/>
        <v>0</v>
      </c>
      <c r="G99" s="153">
        <f t="shared" si="11"/>
        <v>0</v>
      </c>
    </row>
    <row r="100" spans="1:7" ht="13.5" hidden="1" thickBot="1">
      <c r="A100" s="91">
        <f t="shared" si="12"/>
        <v>78</v>
      </c>
      <c r="B100" s="106">
        <f t="shared" si="13"/>
        <v>0</v>
      </c>
      <c r="C100" s="152">
        <f t="shared" si="7"/>
        <v>0</v>
      </c>
      <c r="D100" s="152">
        <f t="shared" si="8"/>
        <v>0</v>
      </c>
      <c r="E100" s="152">
        <f t="shared" si="9"/>
        <v>0</v>
      </c>
      <c r="F100" s="106">
        <f t="shared" si="10"/>
        <v>0</v>
      </c>
      <c r="G100" s="153">
        <f t="shared" si="11"/>
        <v>0</v>
      </c>
    </row>
    <row r="101" spans="1:7" ht="13.5" hidden="1" thickBot="1">
      <c r="A101" s="91">
        <f t="shared" si="12"/>
        <v>79</v>
      </c>
      <c r="B101" s="106">
        <f t="shared" si="13"/>
        <v>0</v>
      </c>
      <c r="C101" s="152">
        <f t="shared" si="7"/>
        <v>0</v>
      </c>
      <c r="D101" s="152">
        <f t="shared" si="8"/>
        <v>0</v>
      </c>
      <c r="E101" s="152">
        <f t="shared" si="9"/>
        <v>0</v>
      </c>
      <c r="F101" s="106">
        <f t="shared" si="10"/>
        <v>0</v>
      </c>
      <c r="G101" s="153">
        <f t="shared" si="11"/>
        <v>0</v>
      </c>
    </row>
    <row r="102" spans="1:7" ht="13.5" hidden="1" thickBot="1">
      <c r="A102" s="91">
        <f t="shared" si="12"/>
        <v>80</v>
      </c>
      <c r="B102" s="106">
        <f t="shared" si="13"/>
        <v>0</v>
      </c>
      <c r="C102" s="152">
        <f t="shared" si="7"/>
        <v>0</v>
      </c>
      <c r="D102" s="152">
        <f t="shared" si="8"/>
        <v>0</v>
      </c>
      <c r="E102" s="152">
        <f t="shared" si="9"/>
        <v>0</v>
      </c>
      <c r="F102" s="106">
        <f t="shared" si="10"/>
        <v>0</v>
      </c>
      <c r="G102" s="153">
        <f t="shared" si="11"/>
        <v>0</v>
      </c>
    </row>
    <row r="103" spans="1:7" ht="13.5" hidden="1" thickBot="1">
      <c r="A103" s="91">
        <f t="shared" si="12"/>
        <v>81</v>
      </c>
      <c r="B103" s="106">
        <f t="shared" si="13"/>
        <v>0</v>
      </c>
      <c r="C103" s="152">
        <f t="shared" si="7"/>
        <v>0</v>
      </c>
      <c r="D103" s="152">
        <f t="shared" si="8"/>
        <v>0</v>
      </c>
      <c r="E103" s="152">
        <f t="shared" si="9"/>
        <v>0</v>
      </c>
      <c r="F103" s="106">
        <f t="shared" si="10"/>
        <v>0</v>
      </c>
      <c r="G103" s="153">
        <f t="shared" si="11"/>
        <v>0</v>
      </c>
    </row>
    <row r="104" spans="1:7" ht="13.5" hidden="1" thickBot="1">
      <c r="A104" s="91">
        <f t="shared" si="12"/>
        <v>82</v>
      </c>
      <c r="B104" s="106">
        <f t="shared" si="13"/>
        <v>0</v>
      </c>
      <c r="C104" s="152">
        <f t="shared" si="7"/>
        <v>0</v>
      </c>
      <c r="D104" s="152">
        <f t="shared" si="8"/>
        <v>0</v>
      </c>
      <c r="E104" s="152">
        <f t="shared" si="9"/>
        <v>0</v>
      </c>
      <c r="F104" s="106">
        <f t="shared" si="10"/>
        <v>0</v>
      </c>
      <c r="G104" s="153">
        <f t="shared" si="11"/>
        <v>0</v>
      </c>
    </row>
    <row r="105" spans="1:7" ht="13.5" hidden="1" thickBot="1">
      <c r="A105" s="91">
        <f t="shared" si="12"/>
        <v>83</v>
      </c>
      <c r="B105" s="106">
        <f t="shared" si="13"/>
        <v>0</v>
      </c>
      <c r="C105" s="152">
        <f t="shared" si="7"/>
        <v>0</v>
      </c>
      <c r="D105" s="152">
        <f t="shared" si="8"/>
        <v>0</v>
      </c>
      <c r="E105" s="152">
        <f t="shared" si="9"/>
        <v>0</v>
      </c>
      <c r="F105" s="106">
        <f t="shared" si="10"/>
        <v>0</v>
      </c>
      <c r="G105" s="153">
        <f t="shared" si="11"/>
        <v>0</v>
      </c>
    </row>
    <row r="106" spans="1:7" ht="13.5" hidden="1" thickBot="1">
      <c r="A106" s="91">
        <f t="shared" si="12"/>
        <v>84</v>
      </c>
      <c r="B106" s="106">
        <f t="shared" si="13"/>
        <v>0</v>
      </c>
      <c r="C106" s="152">
        <f t="shared" si="7"/>
        <v>0</v>
      </c>
      <c r="D106" s="152">
        <f t="shared" si="8"/>
        <v>0</v>
      </c>
      <c r="E106" s="152">
        <f t="shared" si="9"/>
        <v>0</v>
      </c>
      <c r="F106" s="106">
        <f t="shared" si="10"/>
        <v>0</v>
      </c>
      <c r="G106" s="153">
        <f t="shared" si="11"/>
        <v>0</v>
      </c>
    </row>
    <row r="107" spans="1:7" ht="13.5" hidden="1" thickBot="1">
      <c r="A107" s="91">
        <f t="shared" si="12"/>
        <v>85</v>
      </c>
      <c r="B107" s="106">
        <f t="shared" si="13"/>
        <v>0</v>
      </c>
      <c r="C107" s="152">
        <f t="shared" si="7"/>
        <v>0</v>
      </c>
      <c r="D107" s="152">
        <f t="shared" si="8"/>
        <v>0</v>
      </c>
      <c r="E107" s="152">
        <f t="shared" si="9"/>
        <v>0</v>
      </c>
      <c r="F107" s="106">
        <f t="shared" si="10"/>
        <v>0</v>
      </c>
      <c r="G107" s="153">
        <f t="shared" si="11"/>
        <v>0</v>
      </c>
    </row>
    <row r="108" spans="1:7" ht="13.5" hidden="1" thickBot="1">
      <c r="A108" s="91">
        <f t="shared" si="12"/>
        <v>86</v>
      </c>
      <c r="B108" s="106">
        <f t="shared" si="13"/>
        <v>0</v>
      </c>
      <c r="C108" s="152">
        <f t="shared" si="7"/>
        <v>0</v>
      </c>
      <c r="D108" s="152">
        <f t="shared" si="8"/>
        <v>0</v>
      </c>
      <c r="E108" s="152">
        <f t="shared" si="9"/>
        <v>0</v>
      </c>
      <c r="F108" s="106">
        <f t="shared" si="10"/>
        <v>0</v>
      </c>
      <c r="G108" s="153">
        <f t="shared" si="11"/>
        <v>0</v>
      </c>
    </row>
    <row r="109" spans="1:7" ht="13.5" hidden="1" thickBot="1">
      <c r="A109" s="91">
        <f t="shared" si="12"/>
        <v>87</v>
      </c>
      <c r="B109" s="106">
        <f t="shared" si="13"/>
        <v>0</v>
      </c>
      <c r="C109" s="152">
        <f t="shared" si="7"/>
        <v>0</v>
      </c>
      <c r="D109" s="152">
        <f t="shared" si="8"/>
        <v>0</v>
      </c>
      <c r="E109" s="152">
        <f t="shared" si="9"/>
        <v>0</v>
      </c>
      <c r="F109" s="106">
        <f t="shared" si="10"/>
        <v>0</v>
      </c>
      <c r="G109" s="153">
        <f t="shared" si="11"/>
        <v>0</v>
      </c>
    </row>
    <row r="110" spans="1:7" ht="13.5" hidden="1" thickBot="1">
      <c r="A110" s="91">
        <f t="shared" si="12"/>
        <v>88</v>
      </c>
      <c r="B110" s="106">
        <f t="shared" si="13"/>
        <v>0</v>
      </c>
      <c r="C110" s="152">
        <f t="shared" si="7"/>
        <v>0</v>
      </c>
      <c r="D110" s="152">
        <f t="shared" si="8"/>
        <v>0</v>
      </c>
      <c r="E110" s="152">
        <f t="shared" si="9"/>
        <v>0</v>
      </c>
      <c r="F110" s="106">
        <f t="shared" si="10"/>
        <v>0</v>
      </c>
      <c r="G110" s="153">
        <f t="shared" si="11"/>
        <v>0</v>
      </c>
    </row>
    <row r="111" spans="1:7" ht="13.5" hidden="1" thickBot="1">
      <c r="A111" s="91">
        <f t="shared" si="12"/>
        <v>89</v>
      </c>
      <c r="B111" s="106">
        <f t="shared" si="13"/>
        <v>0</v>
      </c>
      <c r="C111" s="152">
        <f t="shared" si="7"/>
        <v>0</v>
      </c>
      <c r="D111" s="152">
        <f t="shared" si="8"/>
        <v>0</v>
      </c>
      <c r="E111" s="152">
        <f t="shared" si="9"/>
        <v>0</v>
      </c>
      <c r="F111" s="106">
        <f t="shared" si="10"/>
        <v>0</v>
      </c>
      <c r="G111" s="153">
        <f t="shared" si="11"/>
        <v>0</v>
      </c>
    </row>
    <row r="112" spans="1:7" ht="13.5" hidden="1" thickBot="1">
      <c r="A112" s="91">
        <f t="shared" si="12"/>
        <v>90</v>
      </c>
      <c r="B112" s="106">
        <f t="shared" si="13"/>
        <v>0</v>
      </c>
      <c r="C112" s="152">
        <f t="shared" si="7"/>
        <v>0</v>
      </c>
      <c r="D112" s="152">
        <f t="shared" si="8"/>
        <v>0</v>
      </c>
      <c r="E112" s="152">
        <f t="shared" si="9"/>
        <v>0</v>
      </c>
      <c r="F112" s="106">
        <f t="shared" si="10"/>
        <v>0</v>
      </c>
      <c r="G112" s="153">
        <f t="shared" si="11"/>
        <v>0</v>
      </c>
    </row>
    <row r="113" spans="1:7" ht="13.5" hidden="1" thickBot="1">
      <c r="A113" s="91">
        <f t="shared" si="12"/>
        <v>91</v>
      </c>
      <c r="B113" s="106">
        <f t="shared" si="13"/>
        <v>0</v>
      </c>
      <c r="C113" s="152">
        <f t="shared" si="7"/>
        <v>0</v>
      </c>
      <c r="D113" s="152">
        <f t="shared" si="8"/>
        <v>0</v>
      </c>
      <c r="E113" s="152">
        <f t="shared" si="9"/>
        <v>0</v>
      </c>
      <c r="F113" s="106">
        <f t="shared" si="10"/>
        <v>0</v>
      </c>
      <c r="G113" s="153">
        <f t="shared" si="11"/>
        <v>0</v>
      </c>
    </row>
    <row r="114" spans="1:7" ht="13.5" hidden="1" thickBot="1">
      <c r="A114" s="91">
        <f t="shared" si="12"/>
        <v>92</v>
      </c>
      <c r="B114" s="106">
        <f t="shared" si="13"/>
        <v>0</v>
      </c>
      <c r="C114" s="152">
        <f t="shared" si="7"/>
        <v>0</v>
      </c>
      <c r="D114" s="152">
        <f t="shared" si="8"/>
        <v>0</v>
      </c>
      <c r="E114" s="152">
        <f t="shared" si="9"/>
        <v>0</v>
      </c>
      <c r="F114" s="106">
        <f t="shared" si="10"/>
        <v>0</v>
      </c>
      <c r="G114" s="153">
        <f t="shared" si="11"/>
        <v>0</v>
      </c>
    </row>
    <row r="115" spans="1:7" ht="13.5" hidden="1" thickBot="1">
      <c r="A115" s="91">
        <f t="shared" si="12"/>
        <v>93</v>
      </c>
      <c r="B115" s="106">
        <f t="shared" si="13"/>
        <v>0</v>
      </c>
      <c r="C115" s="152">
        <f t="shared" si="7"/>
        <v>0</v>
      </c>
      <c r="D115" s="152">
        <f t="shared" si="8"/>
        <v>0</v>
      </c>
      <c r="E115" s="152">
        <f t="shared" si="9"/>
        <v>0</v>
      </c>
      <c r="F115" s="106">
        <f t="shared" si="10"/>
        <v>0</v>
      </c>
      <c r="G115" s="153">
        <f t="shared" si="11"/>
        <v>0</v>
      </c>
    </row>
    <row r="116" spans="1:7" ht="13.5" hidden="1" thickBot="1">
      <c r="A116" s="91">
        <f t="shared" si="12"/>
        <v>94</v>
      </c>
      <c r="B116" s="106">
        <f t="shared" si="13"/>
        <v>0</v>
      </c>
      <c r="C116" s="152">
        <f t="shared" si="7"/>
        <v>0</v>
      </c>
      <c r="D116" s="152">
        <f t="shared" si="8"/>
        <v>0</v>
      </c>
      <c r="E116" s="152">
        <f t="shared" si="9"/>
        <v>0</v>
      </c>
      <c r="F116" s="106">
        <f t="shared" si="10"/>
        <v>0</v>
      </c>
      <c r="G116" s="153">
        <f t="shared" si="11"/>
        <v>0</v>
      </c>
    </row>
    <row r="117" spans="1:7" ht="13.5" hidden="1" thickBot="1">
      <c r="A117" s="91">
        <f t="shared" si="12"/>
        <v>95</v>
      </c>
      <c r="B117" s="106">
        <f t="shared" si="13"/>
        <v>0</v>
      </c>
      <c r="C117" s="152">
        <f t="shared" si="7"/>
        <v>0</v>
      </c>
      <c r="D117" s="152">
        <f t="shared" si="8"/>
        <v>0</v>
      </c>
      <c r="E117" s="152">
        <f t="shared" si="9"/>
        <v>0</v>
      </c>
      <c r="F117" s="106">
        <f t="shared" si="10"/>
        <v>0</v>
      </c>
      <c r="G117" s="153">
        <f t="shared" si="11"/>
        <v>0</v>
      </c>
    </row>
    <row r="118" spans="1:7" ht="13.5" hidden="1" thickBot="1">
      <c r="A118" s="91">
        <f t="shared" si="12"/>
        <v>96</v>
      </c>
      <c r="B118" s="106">
        <f t="shared" si="13"/>
        <v>0</v>
      </c>
      <c r="C118" s="152">
        <f t="shared" si="7"/>
        <v>0</v>
      </c>
      <c r="D118" s="152">
        <f t="shared" si="8"/>
        <v>0</v>
      </c>
      <c r="E118" s="152">
        <f t="shared" si="9"/>
        <v>0</v>
      </c>
      <c r="F118" s="106">
        <f t="shared" si="10"/>
        <v>0</v>
      </c>
      <c r="G118" s="153">
        <f t="shared" si="11"/>
        <v>0</v>
      </c>
    </row>
    <row r="119" spans="1:7" ht="13.5" hidden="1" thickBot="1">
      <c r="A119" s="91">
        <f t="shared" si="12"/>
        <v>97</v>
      </c>
      <c r="B119" s="106">
        <f t="shared" si="13"/>
        <v>0</v>
      </c>
      <c r="C119" s="152">
        <f t="shared" si="7"/>
        <v>0</v>
      </c>
      <c r="D119" s="152">
        <f t="shared" si="8"/>
        <v>0</v>
      </c>
      <c r="E119" s="152">
        <f t="shared" si="9"/>
        <v>0</v>
      </c>
      <c r="F119" s="106">
        <f t="shared" si="10"/>
        <v>0</v>
      </c>
      <c r="G119" s="153">
        <f t="shared" si="11"/>
        <v>0</v>
      </c>
    </row>
    <row r="120" spans="1:7" ht="13.5" hidden="1" thickBot="1">
      <c r="A120" s="91">
        <f t="shared" si="12"/>
        <v>98</v>
      </c>
      <c r="B120" s="106">
        <f t="shared" si="13"/>
        <v>0</v>
      </c>
      <c r="C120" s="152">
        <f t="shared" si="7"/>
        <v>0</v>
      </c>
      <c r="D120" s="152">
        <f t="shared" si="8"/>
        <v>0</v>
      </c>
      <c r="E120" s="152">
        <f t="shared" si="9"/>
        <v>0</v>
      </c>
      <c r="F120" s="106">
        <f t="shared" si="10"/>
        <v>0</v>
      </c>
      <c r="G120" s="153">
        <f t="shared" si="11"/>
        <v>0</v>
      </c>
    </row>
    <row r="121" spans="1:7" ht="13.5" hidden="1" thickBot="1">
      <c r="A121" s="91">
        <f t="shared" si="12"/>
        <v>99</v>
      </c>
      <c r="B121" s="106">
        <f t="shared" si="13"/>
        <v>0</v>
      </c>
      <c r="C121" s="152">
        <f t="shared" si="7"/>
        <v>0</v>
      </c>
      <c r="D121" s="152">
        <f t="shared" si="8"/>
        <v>0</v>
      </c>
      <c r="E121" s="152">
        <f t="shared" si="9"/>
        <v>0</v>
      </c>
      <c r="F121" s="106">
        <f t="shared" si="10"/>
        <v>0</v>
      </c>
      <c r="G121" s="153">
        <f t="shared" si="11"/>
        <v>0</v>
      </c>
    </row>
    <row r="122" spans="1:7" ht="13.5" hidden="1" thickBot="1">
      <c r="A122" s="91">
        <f t="shared" si="12"/>
        <v>100</v>
      </c>
      <c r="B122" s="106">
        <f t="shared" si="13"/>
        <v>0</v>
      </c>
      <c r="C122" s="152">
        <f t="shared" si="7"/>
        <v>0</v>
      </c>
      <c r="D122" s="152">
        <f t="shared" si="8"/>
        <v>0</v>
      </c>
      <c r="E122" s="152">
        <f t="shared" si="9"/>
        <v>0</v>
      </c>
      <c r="F122" s="106">
        <f t="shared" si="10"/>
        <v>0</v>
      </c>
      <c r="G122" s="153">
        <f t="shared" si="11"/>
        <v>0</v>
      </c>
    </row>
    <row r="123" spans="1:7" ht="13.5" hidden="1" thickBot="1">
      <c r="A123" s="91">
        <f t="shared" si="12"/>
        <v>101</v>
      </c>
      <c r="B123" s="106">
        <f t="shared" si="13"/>
        <v>0</v>
      </c>
      <c r="C123" s="152">
        <f t="shared" si="7"/>
        <v>0</v>
      </c>
      <c r="D123" s="152">
        <f t="shared" si="8"/>
        <v>0</v>
      </c>
      <c r="E123" s="152">
        <f t="shared" si="9"/>
        <v>0</v>
      </c>
      <c r="F123" s="106">
        <f t="shared" si="10"/>
        <v>0</v>
      </c>
      <c r="G123" s="153">
        <f t="shared" si="11"/>
        <v>0</v>
      </c>
    </row>
    <row r="124" spans="1:7" ht="13.5" hidden="1" thickBot="1">
      <c r="A124" s="91">
        <f t="shared" si="12"/>
        <v>102</v>
      </c>
      <c r="B124" s="106">
        <f t="shared" si="13"/>
        <v>0</v>
      </c>
      <c r="C124" s="152">
        <f t="shared" si="7"/>
        <v>0</v>
      </c>
      <c r="D124" s="152">
        <f t="shared" si="8"/>
        <v>0</v>
      </c>
      <c r="E124" s="152">
        <f t="shared" si="9"/>
        <v>0</v>
      </c>
      <c r="F124" s="106">
        <f t="shared" si="10"/>
        <v>0</v>
      </c>
      <c r="G124" s="153">
        <f t="shared" si="11"/>
        <v>0</v>
      </c>
    </row>
    <row r="125" spans="1:7" ht="13.5" hidden="1" thickBot="1">
      <c r="A125" s="91">
        <f t="shared" si="12"/>
        <v>103</v>
      </c>
      <c r="B125" s="106">
        <f t="shared" si="13"/>
        <v>0</v>
      </c>
      <c r="C125" s="152">
        <f t="shared" si="7"/>
        <v>0</v>
      </c>
      <c r="D125" s="152">
        <f t="shared" si="8"/>
        <v>0</v>
      </c>
      <c r="E125" s="152">
        <f t="shared" si="9"/>
        <v>0</v>
      </c>
      <c r="F125" s="106">
        <f t="shared" si="10"/>
        <v>0</v>
      </c>
      <c r="G125" s="153">
        <f t="shared" si="11"/>
        <v>0</v>
      </c>
    </row>
    <row r="126" spans="1:7" ht="13.5" hidden="1" thickBot="1">
      <c r="A126" s="91">
        <f t="shared" si="12"/>
        <v>104</v>
      </c>
      <c r="B126" s="106">
        <f t="shared" si="13"/>
        <v>0</v>
      </c>
      <c r="C126" s="152">
        <f t="shared" si="7"/>
        <v>0</v>
      </c>
      <c r="D126" s="152">
        <f t="shared" si="8"/>
        <v>0</v>
      </c>
      <c r="E126" s="152">
        <f t="shared" si="9"/>
        <v>0</v>
      </c>
      <c r="F126" s="106">
        <f t="shared" si="10"/>
        <v>0</v>
      </c>
      <c r="G126" s="153">
        <f t="shared" si="11"/>
        <v>0</v>
      </c>
    </row>
    <row r="127" spans="1:7" ht="13.5" hidden="1" thickBot="1">
      <c r="A127" s="91">
        <f t="shared" si="12"/>
        <v>105</v>
      </c>
      <c r="B127" s="106">
        <f t="shared" si="13"/>
        <v>0</v>
      </c>
      <c r="C127" s="152">
        <f t="shared" si="7"/>
        <v>0</v>
      </c>
      <c r="D127" s="152">
        <f t="shared" si="8"/>
        <v>0</v>
      </c>
      <c r="E127" s="152">
        <f t="shared" si="9"/>
        <v>0</v>
      </c>
      <c r="F127" s="106">
        <f t="shared" si="10"/>
        <v>0</v>
      </c>
      <c r="G127" s="153">
        <f t="shared" si="11"/>
        <v>0</v>
      </c>
    </row>
    <row r="128" spans="1:7" ht="13.5" hidden="1" thickBot="1">
      <c r="A128" s="91">
        <f t="shared" si="12"/>
        <v>106</v>
      </c>
      <c r="B128" s="106">
        <f t="shared" si="13"/>
        <v>0</v>
      </c>
      <c r="C128" s="152">
        <f t="shared" si="7"/>
        <v>0</v>
      </c>
      <c r="D128" s="152">
        <f t="shared" si="8"/>
        <v>0</v>
      </c>
      <c r="E128" s="152">
        <f t="shared" si="9"/>
        <v>0</v>
      </c>
      <c r="F128" s="106">
        <f t="shared" si="10"/>
        <v>0</v>
      </c>
      <c r="G128" s="153">
        <f t="shared" si="11"/>
        <v>0</v>
      </c>
    </row>
    <row r="129" spans="1:7" ht="13.5" hidden="1" thickBot="1">
      <c r="A129" s="91">
        <f t="shared" si="12"/>
        <v>107</v>
      </c>
      <c r="B129" s="106">
        <f t="shared" si="13"/>
        <v>0</v>
      </c>
      <c r="C129" s="152">
        <f t="shared" si="7"/>
        <v>0</v>
      </c>
      <c r="D129" s="152">
        <f t="shared" si="8"/>
        <v>0</v>
      </c>
      <c r="E129" s="152">
        <f t="shared" si="9"/>
        <v>0</v>
      </c>
      <c r="F129" s="106">
        <f t="shared" si="10"/>
        <v>0</v>
      </c>
      <c r="G129" s="153">
        <f t="shared" si="11"/>
        <v>0</v>
      </c>
    </row>
    <row r="130" spans="1:7" ht="13.5" hidden="1" thickBot="1">
      <c r="A130" s="91">
        <f t="shared" si="12"/>
        <v>108</v>
      </c>
      <c r="B130" s="106">
        <f t="shared" si="13"/>
        <v>0</v>
      </c>
      <c r="C130" s="152">
        <f t="shared" si="7"/>
        <v>0</v>
      </c>
      <c r="D130" s="152">
        <f t="shared" si="8"/>
        <v>0</v>
      </c>
      <c r="E130" s="152">
        <f t="shared" si="9"/>
        <v>0</v>
      </c>
      <c r="F130" s="106">
        <f t="shared" si="10"/>
        <v>0</v>
      </c>
      <c r="G130" s="153">
        <f t="shared" si="11"/>
        <v>0</v>
      </c>
    </row>
    <row r="131" spans="1:7" ht="13.5" hidden="1" thickBot="1">
      <c r="A131" s="91">
        <f t="shared" si="12"/>
        <v>109</v>
      </c>
      <c r="B131" s="106">
        <f t="shared" si="13"/>
        <v>0</v>
      </c>
      <c r="C131" s="152">
        <f t="shared" si="7"/>
        <v>0</v>
      </c>
      <c r="D131" s="152">
        <f t="shared" si="8"/>
        <v>0</v>
      </c>
      <c r="E131" s="152">
        <f t="shared" si="9"/>
        <v>0</v>
      </c>
      <c r="F131" s="106">
        <f t="shared" si="10"/>
        <v>0</v>
      </c>
      <c r="G131" s="153">
        <f t="shared" si="11"/>
        <v>0</v>
      </c>
    </row>
    <row r="132" spans="1:7" ht="13.5" hidden="1" thickBot="1">
      <c r="A132" s="91">
        <f t="shared" si="12"/>
        <v>110</v>
      </c>
      <c r="B132" s="106">
        <f t="shared" si="13"/>
        <v>0</v>
      </c>
      <c r="C132" s="152">
        <f t="shared" si="7"/>
        <v>0</v>
      </c>
      <c r="D132" s="152">
        <f t="shared" si="8"/>
        <v>0</v>
      </c>
      <c r="E132" s="152">
        <f t="shared" si="9"/>
        <v>0</v>
      </c>
      <c r="F132" s="106">
        <f t="shared" si="10"/>
        <v>0</v>
      </c>
      <c r="G132" s="153">
        <f t="shared" si="11"/>
        <v>0</v>
      </c>
    </row>
    <row r="133" spans="1:7" ht="13.5" hidden="1" thickBot="1">
      <c r="A133" s="91">
        <f t="shared" si="12"/>
        <v>111</v>
      </c>
      <c r="B133" s="106">
        <f t="shared" si="13"/>
        <v>0</v>
      </c>
      <c r="C133" s="152">
        <f t="shared" si="7"/>
        <v>0</v>
      </c>
      <c r="D133" s="152">
        <f t="shared" si="8"/>
        <v>0</v>
      </c>
      <c r="E133" s="152">
        <f t="shared" si="9"/>
        <v>0</v>
      </c>
      <c r="F133" s="106">
        <f t="shared" si="10"/>
        <v>0</v>
      </c>
      <c r="G133" s="153">
        <f t="shared" si="11"/>
        <v>0</v>
      </c>
    </row>
    <row r="134" spans="1:7" ht="13.5" hidden="1" thickBot="1">
      <c r="A134" s="91">
        <f t="shared" si="12"/>
        <v>112</v>
      </c>
      <c r="B134" s="106">
        <f t="shared" si="13"/>
        <v>0</v>
      </c>
      <c r="C134" s="152">
        <f t="shared" si="7"/>
        <v>0</v>
      </c>
      <c r="D134" s="152">
        <f t="shared" si="8"/>
        <v>0</v>
      </c>
      <c r="E134" s="152">
        <f t="shared" si="9"/>
        <v>0</v>
      </c>
      <c r="F134" s="106">
        <f t="shared" si="10"/>
        <v>0</v>
      </c>
      <c r="G134" s="153">
        <f t="shared" si="11"/>
        <v>0</v>
      </c>
    </row>
    <row r="135" spans="1:7" ht="13.5" hidden="1" thickBot="1">
      <c r="A135" s="91">
        <f t="shared" si="12"/>
        <v>113</v>
      </c>
      <c r="B135" s="106">
        <f t="shared" si="13"/>
        <v>0</v>
      </c>
      <c r="C135" s="152">
        <f t="shared" si="7"/>
        <v>0</v>
      </c>
      <c r="D135" s="152">
        <f t="shared" si="8"/>
        <v>0</v>
      </c>
      <c r="E135" s="152">
        <f t="shared" si="9"/>
        <v>0</v>
      </c>
      <c r="F135" s="106">
        <f t="shared" si="10"/>
        <v>0</v>
      </c>
      <c r="G135" s="153">
        <f t="shared" si="11"/>
        <v>0</v>
      </c>
    </row>
    <row r="136" spans="1:7" ht="13.5" hidden="1" thickBot="1">
      <c r="A136" s="91">
        <f t="shared" si="12"/>
        <v>114</v>
      </c>
      <c r="B136" s="106">
        <f t="shared" si="13"/>
        <v>0</v>
      </c>
      <c r="C136" s="152">
        <f t="shared" si="7"/>
        <v>0</v>
      </c>
      <c r="D136" s="152">
        <f t="shared" si="8"/>
        <v>0</v>
      </c>
      <c r="E136" s="152">
        <f t="shared" si="9"/>
        <v>0</v>
      </c>
      <c r="F136" s="106">
        <f t="shared" si="10"/>
        <v>0</v>
      </c>
      <c r="G136" s="153">
        <f t="shared" si="11"/>
        <v>0</v>
      </c>
    </row>
    <row r="137" spans="1:7" ht="13.5" hidden="1" thickBot="1">
      <c r="A137" s="91">
        <f t="shared" si="12"/>
        <v>115</v>
      </c>
      <c r="B137" s="106">
        <f t="shared" si="13"/>
        <v>0</v>
      </c>
      <c r="C137" s="152">
        <f t="shared" si="7"/>
        <v>0</v>
      </c>
      <c r="D137" s="152">
        <f t="shared" si="8"/>
        <v>0</v>
      </c>
      <c r="E137" s="152">
        <f t="shared" si="9"/>
        <v>0</v>
      </c>
      <c r="F137" s="106">
        <f t="shared" si="10"/>
        <v>0</v>
      </c>
      <c r="G137" s="153">
        <f t="shared" si="11"/>
        <v>0</v>
      </c>
    </row>
    <row r="138" spans="1:7" ht="13.5" hidden="1" thickBot="1">
      <c r="A138" s="91">
        <f t="shared" si="12"/>
        <v>116</v>
      </c>
      <c r="B138" s="106">
        <f t="shared" si="13"/>
        <v>0</v>
      </c>
      <c r="C138" s="152">
        <f t="shared" si="7"/>
        <v>0</v>
      </c>
      <c r="D138" s="152">
        <f t="shared" si="8"/>
        <v>0</v>
      </c>
      <c r="E138" s="152">
        <f t="shared" si="9"/>
        <v>0</v>
      </c>
      <c r="F138" s="106">
        <f t="shared" si="10"/>
        <v>0</v>
      </c>
      <c r="G138" s="153">
        <f t="shared" si="11"/>
        <v>0</v>
      </c>
    </row>
    <row r="139" spans="1:7" ht="13.5" hidden="1" thickBot="1">
      <c r="A139" s="91">
        <f t="shared" si="12"/>
        <v>117</v>
      </c>
      <c r="B139" s="106">
        <f t="shared" si="13"/>
        <v>0</v>
      </c>
      <c r="C139" s="152">
        <f t="shared" si="7"/>
        <v>0</v>
      </c>
      <c r="D139" s="152">
        <f t="shared" si="8"/>
        <v>0</v>
      </c>
      <c r="E139" s="152">
        <f t="shared" si="9"/>
        <v>0</v>
      </c>
      <c r="F139" s="106">
        <f t="shared" si="10"/>
        <v>0</v>
      </c>
      <c r="G139" s="153">
        <f t="shared" si="11"/>
        <v>0</v>
      </c>
    </row>
    <row r="140" spans="1:7" ht="13.5" hidden="1" thickBot="1">
      <c r="A140" s="91">
        <f t="shared" si="12"/>
        <v>118</v>
      </c>
      <c r="B140" s="106">
        <f t="shared" si="13"/>
        <v>0</v>
      </c>
      <c r="C140" s="152">
        <f t="shared" si="7"/>
        <v>0</v>
      </c>
      <c r="D140" s="152">
        <f t="shared" si="8"/>
        <v>0</v>
      </c>
      <c r="E140" s="152">
        <f t="shared" si="9"/>
        <v>0</v>
      </c>
      <c r="F140" s="106">
        <f t="shared" si="10"/>
        <v>0</v>
      </c>
      <c r="G140" s="153">
        <f t="shared" si="11"/>
        <v>0</v>
      </c>
    </row>
    <row r="141" spans="1:7" ht="13.5" hidden="1" thickBot="1">
      <c r="A141" s="91">
        <f t="shared" si="12"/>
        <v>119</v>
      </c>
      <c r="B141" s="106">
        <f t="shared" si="13"/>
        <v>0</v>
      </c>
      <c r="C141" s="152">
        <f t="shared" si="7"/>
        <v>0</v>
      </c>
      <c r="D141" s="152">
        <f t="shared" si="8"/>
        <v>0</v>
      </c>
      <c r="E141" s="152">
        <f t="shared" si="9"/>
        <v>0</v>
      </c>
      <c r="F141" s="106">
        <f t="shared" si="10"/>
        <v>0</v>
      </c>
      <c r="G141" s="153">
        <f t="shared" si="11"/>
        <v>0</v>
      </c>
    </row>
    <row r="142" spans="1:7" ht="13.5" hidden="1" thickBot="1">
      <c r="A142" s="91">
        <f t="shared" si="12"/>
        <v>120</v>
      </c>
      <c r="B142" s="106">
        <f t="shared" si="13"/>
        <v>0</v>
      </c>
      <c r="C142" s="152">
        <f t="shared" si="7"/>
        <v>0</v>
      </c>
      <c r="D142" s="152">
        <f t="shared" si="8"/>
        <v>0</v>
      </c>
      <c r="E142" s="152">
        <f t="shared" si="9"/>
        <v>0</v>
      </c>
      <c r="F142" s="106">
        <f t="shared" si="10"/>
        <v>0</v>
      </c>
      <c r="G142" s="153">
        <f t="shared" si="11"/>
        <v>0</v>
      </c>
    </row>
    <row r="143" spans="1:7" ht="13.5" hidden="1" thickBot="1">
      <c r="A143" s="91">
        <f t="shared" si="12"/>
        <v>121</v>
      </c>
      <c r="B143" s="106">
        <f t="shared" si="13"/>
        <v>0</v>
      </c>
      <c r="C143" s="152">
        <f t="shared" si="7"/>
        <v>0</v>
      </c>
      <c r="D143" s="152">
        <f t="shared" si="8"/>
        <v>0</v>
      </c>
      <c r="E143" s="152">
        <f t="shared" si="9"/>
        <v>0</v>
      </c>
      <c r="F143" s="106">
        <f t="shared" si="10"/>
        <v>0</v>
      </c>
      <c r="G143" s="153">
        <f t="shared" si="11"/>
        <v>0</v>
      </c>
    </row>
    <row r="144" spans="1:7" ht="13.5" hidden="1" thickBot="1">
      <c r="A144" s="91">
        <f t="shared" si="12"/>
        <v>122</v>
      </c>
      <c r="B144" s="106">
        <f t="shared" si="13"/>
        <v>0</v>
      </c>
      <c r="C144" s="152">
        <f t="shared" si="7"/>
        <v>0</v>
      </c>
      <c r="D144" s="152">
        <f t="shared" si="8"/>
        <v>0</v>
      </c>
      <c r="E144" s="152">
        <f t="shared" si="9"/>
        <v>0</v>
      </c>
      <c r="F144" s="106">
        <f t="shared" si="10"/>
        <v>0</v>
      </c>
      <c r="G144" s="153">
        <f t="shared" si="11"/>
        <v>0</v>
      </c>
    </row>
    <row r="145" spans="1:7" ht="13.5" hidden="1" thickBot="1">
      <c r="A145" s="91">
        <f t="shared" si="12"/>
        <v>123</v>
      </c>
      <c r="B145" s="106">
        <f t="shared" si="13"/>
        <v>0</v>
      </c>
      <c r="C145" s="152">
        <f t="shared" si="7"/>
        <v>0</v>
      </c>
      <c r="D145" s="152">
        <f t="shared" si="8"/>
        <v>0</v>
      </c>
      <c r="E145" s="152">
        <f t="shared" si="9"/>
        <v>0</v>
      </c>
      <c r="F145" s="106">
        <f t="shared" si="10"/>
        <v>0</v>
      </c>
      <c r="G145" s="153">
        <f t="shared" si="11"/>
        <v>0</v>
      </c>
    </row>
    <row r="146" spans="1:7" ht="13.5" hidden="1" thickBot="1">
      <c r="A146" s="91">
        <f t="shared" si="12"/>
        <v>124</v>
      </c>
      <c r="B146" s="106">
        <f t="shared" si="13"/>
        <v>0</v>
      </c>
      <c r="C146" s="152">
        <f t="shared" si="7"/>
        <v>0</v>
      </c>
      <c r="D146" s="152">
        <f t="shared" si="8"/>
        <v>0</v>
      </c>
      <c r="E146" s="152">
        <f t="shared" si="9"/>
        <v>0</v>
      </c>
      <c r="F146" s="106">
        <f t="shared" si="10"/>
        <v>0</v>
      </c>
      <c r="G146" s="153">
        <f t="shared" si="11"/>
        <v>0</v>
      </c>
    </row>
    <row r="147" spans="1:7" ht="13.5" hidden="1" thickBot="1">
      <c r="A147" s="91">
        <f t="shared" si="12"/>
        <v>125</v>
      </c>
      <c r="B147" s="106">
        <f t="shared" si="13"/>
        <v>0</v>
      </c>
      <c r="C147" s="152">
        <f t="shared" si="7"/>
        <v>0</v>
      </c>
      <c r="D147" s="152">
        <f t="shared" si="8"/>
        <v>0</v>
      </c>
      <c r="E147" s="152">
        <f t="shared" si="9"/>
        <v>0</v>
      </c>
      <c r="F147" s="106">
        <f t="shared" si="10"/>
        <v>0</v>
      </c>
      <c r="G147" s="153">
        <f t="shared" si="11"/>
        <v>0</v>
      </c>
    </row>
    <row r="148" spans="1:7" ht="13.5" hidden="1" thickBot="1">
      <c r="A148" s="91">
        <f t="shared" si="12"/>
        <v>126</v>
      </c>
      <c r="B148" s="106">
        <f t="shared" si="13"/>
        <v>0</v>
      </c>
      <c r="C148" s="152">
        <f t="shared" si="7"/>
        <v>0</v>
      </c>
      <c r="D148" s="152">
        <f t="shared" si="8"/>
        <v>0</v>
      </c>
      <c r="E148" s="152">
        <f t="shared" si="9"/>
        <v>0</v>
      </c>
      <c r="F148" s="106">
        <f t="shared" si="10"/>
        <v>0</v>
      </c>
      <c r="G148" s="153">
        <f t="shared" si="11"/>
        <v>0</v>
      </c>
    </row>
    <row r="149" spans="1:7" ht="13.5" hidden="1" thickBot="1">
      <c r="A149" s="91">
        <f t="shared" si="12"/>
        <v>127</v>
      </c>
      <c r="B149" s="106">
        <f t="shared" si="13"/>
        <v>0</v>
      </c>
      <c r="C149" s="152">
        <f t="shared" si="7"/>
        <v>0</v>
      </c>
      <c r="D149" s="152">
        <f t="shared" si="8"/>
        <v>0</v>
      </c>
      <c r="E149" s="152">
        <f t="shared" si="9"/>
        <v>0</v>
      </c>
      <c r="F149" s="106">
        <f t="shared" si="10"/>
        <v>0</v>
      </c>
      <c r="G149" s="153">
        <f t="shared" si="11"/>
        <v>0</v>
      </c>
    </row>
    <row r="150" spans="1:7" ht="13.5" hidden="1" thickBot="1">
      <c r="A150" s="91">
        <f t="shared" si="12"/>
        <v>128</v>
      </c>
      <c r="B150" s="106">
        <f t="shared" si="13"/>
        <v>0</v>
      </c>
      <c r="C150" s="152">
        <f t="shared" si="7"/>
        <v>0</v>
      </c>
      <c r="D150" s="152">
        <f t="shared" si="8"/>
        <v>0</v>
      </c>
      <c r="E150" s="152">
        <f t="shared" si="9"/>
        <v>0</v>
      </c>
      <c r="F150" s="106">
        <f t="shared" si="10"/>
        <v>0</v>
      </c>
      <c r="G150" s="153">
        <f t="shared" si="11"/>
        <v>0</v>
      </c>
    </row>
    <row r="151" spans="1:7" ht="13.5" hidden="1" thickBot="1">
      <c r="A151" s="91">
        <f t="shared" si="12"/>
        <v>129</v>
      </c>
      <c r="B151" s="106">
        <f t="shared" si="13"/>
        <v>0</v>
      </c>
      <c r="C151" s="152">
        <f t="shared" ref="C151:C214" si="14">IF(A151&lt;=$D$12,D151+$D$15,0)</f>
        <v>0</v>
      </c>
      <c r="D151" s="152">
        <f t="shared" ref="D151:D214" si="15">E151+F151</f>
        <v>0</v>
      </c>
      <c r="E151" s="152">
        <f t="shared" ref="E151:E214" si="16">B151*$D$13</f>
        <v>0</v>
      </c>
      <c r="F151" s="106">
        <f t="shared" ref="F151:F214" si="17">IF(A151&lt;=$D$12,$D$14*-1,0)</f>
        <v>0</v>
      </c>
      <c r="G151" s="153">
        <f t="shared" ref="G151:G214" si="18">B151-F151</f>
        <v>0</v>
      </c>
    </row>
    <row r="152" spans="1:7" ht="13.5" hidden="1" thickBot="1">
      <c r="A152" s="91">
        <f t="shared" ref="A152:A215" si="19">A151+1</f>
        <v>130</v>
      </c>
      <c r="B152" s="106">
        <f t="shared" ref="B152:B215" si="20">B151-F151</f>
        <v>0</v>
      </c>
      <c r="C152" s="152">
        <f t="shared" si="14"/>
        <v>0</v>
      </c>
      <c r="D152" s="152">
        <f t="shared" si="15"/>
        <v>0</v>
      </c>
      <c r="E152" s="152">
        <f t="shared" si="16"/>
        <v>0</v>
      </c>
      <c r="F152" s="106">
        <f t="shared" si="17"/>
        <v>0</v>
      </c>
      <c r="G152" s="153">
        <f t="shared" si="18"/>
        <v>0</v>
      </c>
    </row>
    <row r="153" spans="1:7" ht="13.5" hidden="1" thickBot="1">
      <c r="A153" s="91">
        <f t="shared" si="19"/>
        <v>131</v>
      </c>
      <c r="B153" s="106">
        <f t="shared" si="20"/>
        <v>0</v>
      </c>
      <c r="C153" s="152">
        <f t="shared" si="14"/>
        <v>0</v>
      </c>
      <c r="D153" s="152">
        <f t="shared" si="15"/>
        <v>0</v>
      </c>
      <c r="E153" s="152">
        <f t="shared" si="16"/>
        <v>0</v>
      </c>
      <c r="F153" s="106">
        <f t="shared" si="17"/>
        <v>0</v>
      </c>
      <c r="G153" s="153">
        <f t="shared" si="18"/>
        <v>0</v>
      </c>
    </row>
    <row r="154" spans="1:7" ht="13.5" hidden="1" thickBot="1">
      <c r="A154" s="91">
        <f t="shared" si="19"/>
        <v>132</v>
      </c>
      <c r="B154" s="106">
        <f t="shared" si="20"/>
        <v>0</v>
      </c>
      <c r="C154" s="152">
        <f t="shared" si="14"/>
        <v>0</v>
      </c>
      <c r="D154" s="152">
        <f t="shared" si="15"/>
        <v>0</v>
      </c>
      <c r="E154" s="152">
        <f t="shared" si="16"/>
        <v>0</v>
      </c>
      <c r="F154" s="106">
        <f t="shared" si="17"/>
        <v>0</v>
      </c>
      <c r="G154" s="153">
        <f t="shared" si="18"/>
        <v>0</v>
      </c>
    </row>
    <row r="155" spans="1:7" ht="13.5" hidden="1" thickBot="1">
      <c r="A155" s="91">
        <f t="shared" si="19"/>
        <v>133</v>
      </c>
      <c r="B155" s="106">
        <f t="shared" si="20"/>
        <v>0</v>
      </c>
      <c r="C155" s="152">
        <f t="shared" si="14"/>
        <v>0</v>
      </c>
      <c r="D155" s="152">
        <f t="shared" si="15"/>
        <v>0</v>
      </c>
      <c r="E155" s="152">
        <f t="shared" si="16"/>
        <v>0</v>
      </c>
      <c r="F155" s="106">
        <f t="shared" si="17"/>
        <v>0</v>
      </c>
      <c r="G155" s="153">
        <f t="shared" si="18"/>
        <v>0</v>
      </c>
    </row>
    <row r="156" spans="1:7" ht="13.5" hidden="1" thickBot="1">
      <c r="A156" s="91">
        <f t="shared" si="19"/>
        <v>134</v>
      </c>
      <c r="B156" s="106">
        <f t="shared" si="20"/>
        <v>0</v>
      </c>
      <c r="C156" s="152">
        <f t="shared" si="14"/>
        <v>0</v>
      </c>
      <c r="D156" s="152">
        <f t="shared" si="15"/>
        <v>0</v>
      </c>
      <c r="E156" s="152">
        <f t="shared" si="16"/>
        <v>0</v>
      </c>
      <c r="F156" s="106">
        <f t="shared" si="17"/>
        <v>0</v>
      </c>
      <c r="G156" s="153">
        <f t="shared" si="18"/>
        <v>0</v>
      </c>
    </row>
    <row r="157" spans="1:7" ht="13.5" hidden="1" thickBot="1">
      <c r="A157" s="91">
        <f t="shared" si="19"/>
        <v>135</v>
      </c>
      <c r="B157" s="106">
        <f t="shared" si="20"/>
        <v>0</v>
      </c>
      <c r="C157" s="152">
        <f t="shared" si="14"/>
        <v>0</v>
      </c>
      <c r="D157" s="152">
        <f t="shared" si="15"/>
        <v>0</v>
      </c>
      <c r="E157" s="152">
        <f t="shared" si="16"/>
        <v>0</v>
      </c>
      <c r="F157" s="106">
        <f t="shared" si="17"/>
        <v>0</v>
      </c>
      <c r="G157" s="153">
        <f t="shared" si="18"/>
        <v>0</v>
      </c>
    </row>
    <row r="158" spans="1:7" ht="13.5" hidden="1" thickBot="1">
      <c r="A158" s="91">
        <f t="shared" si="19"/>
        <v>136</v>
      </c>
      <c r="B158" s="106">
        <f t="shared" si="20"/>
        <v>0</v>
      </c>
      <c r="C158" s="152">
        <f t="shared" si="14"/>
        <v>0</v>
      </c>
      <c r="D158" s="152">
        <f t="shared" si="15"/>
        <v>0</v>
      </c>
      <c r="E158" s="152">
        <f t="shared" si="16"/>
        <v>0</v>
      </c>
      <c r="F158" s="106">
        <f t="shared" si="17"/>
        <v>0</v>
      </c>
      <c r="G158" s="153">
        <f t="shared" si="18"/>
        <v>0</v>
      </c>
    </row>
    <row r="159" spans="1:7" ht="13.5" hidden="1" thickBot="1">
      <c r="A159" s="91">
        <f t="shared" si="19"/>
        <v>137</v>
      </c>
      <c r="B159" s="106">
        <f t="shared" si="20"/>
        <v>0</v>
      </c>
      <c r="C159" s="152">
        <f t="shared" si="14"/>
        <v>0</v>
      </c>
      <c r="D159" s="152">
        <f t="shared" si="15"/>
        <v>0</v>
      </c>
      <c r="E159" s="152">
        <f t="shared" si="16"/>
        <v>0</v>
      </c>
      <c r="F159" s="106">
        <f t="shared" si="17"/>
        <v>0</v>
      </c>
      <c r="G159" s="153">
        <f t="shared" si="18"/>
        <v>0</v>
      </c>
    </row>
    <row r="160" spans="1:7" ht="13.5" hidden="1" thickBot="1">
      <c r="A160" s="91">
        <f t="shared" si="19"/>
        <v>138</v>
      </c>
      <c r="B160" s="106">
        <f t="shared" si="20"/>
        <v>0</v>
      </c>
      <c r="C160" s="152">
        <f t="shared" si="14"/>
        <v>0</v>
      </c>
      <c r="D160" s="152">
        <f t="shared" si="15"/>
        <v>0</v>
      </c>
      <c r="E160" s="152">
        <f t="shared" si="16"/>
        <v>0</v>
      </c>
      <c r="F160" s="106">
        <f t="shared" si="17"/>
        <v>0</v>
      </c>
      <c r="G160" s="153">
        <f t="shared" si="18"/>
        <v>0</v>
      </c>
    </row>
    <row r="161" spans="1:7" ht="13.5" hidden="1" thickBot="1">
      <c r="A161" s="91">
        <f t="shared" si="19"/>
        <v>139</v>
      </c>
      <c r="B161" s="106">
        <f t="shared" si="20"/>
        <v>0</v>
      </c>
      <c r="C161" s="152">
        <f t="shared" si="14"/>
        <v>0</v>
      </c>
      <c r="D161" s="152">
        <f t="shared" si="15"/>
        <v>0</v>
      </c>
      <c r="E161" s="152">
        <f t="shared" si="16"/>
        <v>0</v>
      </c>
      <c r="F161" s="106">
        <f t="shared" si="17"/>
        <v>0</v>
      </c>
      <c r="G161" s="153">
        <f t="shared" si="18"/>
        <v>0</v>
      </c>
    </row>
    <row r="162" spans="1:7" ht="13.5" hidden="1" thickBot="1">
      <c r="A162" s="91">
        <f t="shared" si="19"/>
        <v>140</v>
      </c>
      <c r="B162" s="106">
        <f t="shared" si="20"/>
        <v>0</v>
      </c>
      <c r="C162" s="152">
        <f t="shared" si="14"/>
        <v>0</v>
      </c>
      <c r="D162" s="152">
        <f t="shared" si="15"/>
        <v>0</v>
      </c>
      <c r="E162" s="152">
        <f t="shared" si="16"/>
        <v>0</v>
      </c>
      <c r="F162" s="106">
        <f t="shared" si="17"/>
        <v>0</v>
      </c>
      <c r="G162" s="153">
        <f t="shared" si="18"/>
        <v>0</v>
      </c>
    </row>
    <row r="163" spans="1:7" ht="13.5" hidden="1" thickBot="1">
      <c r="A163" s="91">
        <f t="shared" si="19"/>
        <v>141</v>
      </c>
      <c r="B163" s="106">
        <f t="shared" si="20"/>
        <v>0</v>
      </c>
      <c r="C163" s="152">
        <f t="shared" si="14"/>
        <v>0</v>
      </c>
      <c r="D163" s="152">
        <f t="shared" si="15"/>
        <v>0</v>
      </c>
      <c r="E163" s="152">
        <f t="shared" si="16"/>
        <v>0</v>
      </c>
      <c r="F163" s="106">
        <f t="shared" si="17"/>
        <v>0</v>
      </c>
      <c r="G163" s="153">
        <f t="shared" si="18"/>
        <v>0</v>
      </c>
    </row>
    <row r="164" spans="1:7" ht="13.5" hidden="1" thickBot="1">
      <c r="A164" s="91">
        <f t="shared" si="19"/>
        <v>142</v>
      </c>
      <c r="B164" s="106">
        <f t="shared" si="20"/>
        <v>0</v>
      </c>
      <c r="C164" s="152">
        <f t="shared" si="14"/>
        <v>0</v>
      </c>
      <c r="D164" s="152">
        <f t="shared" si="15"/>
        <v>0</v>
      </c>
      <c r="E164" s="152">
        <f t="shared" si="16"/>
        <v>0</v>
      </c>
      <c r="F164" s="106">
        <f t="shared" si="17"/>
        <v>0</v>
      </c>
      <c r="G164" s="153">
        <f t="shared" si="18"/>
        <v>0</v>
      </c>
    </row>
    <row r="165" spans="1:7" ht="13.5" hidden="1" thickBot="1">
      <c r="A165" s="91">
        <f t="shared" si="19"/>
        <v>143</v>
      </c>
      <c r="B165" s="106">
        <f t="shared" si="20"/>
        <v>0</v>
      </c>
      <c r="C165" s="152">
        <f t="shared" si="14"/>
        <v>0</v>
      </c>
      <c r="D165" s="152">
        <f t="shared" si="15"/>
        <v>0</v>
      </c>
      <c r="E165" s="152">
        <f t="shared" si="16"/>
        <v>0</v>
      </c>
      <c r="F165" s="106">
        <f t="shared" si="17"/>
        <v>0</v>
      </c>
      <c r="G165" s="153">
        <f t="shared" si="18"/>
        <v>0</v>
      </c>
    </row>
    <row r="166" spans="1:7" ht="13.5" hidden="1" thickBot="1">
      <c r="A166" s="91">
        <f t="shared" si="19"/>
        <v>144</v>
      </c>
      <c r="B166" s="106">
        <f t="shared" si="20"/>
        <v>0</v>
      </c>
      <c r="C166" s="152">
        <f t="shared" si="14"/>
        <v>0</v>
      </c>
      <c r="D166" s="152">
        <f t="shared" si="15"/>
        <v>0</v>
      </c>
      <c r="E166" s="152">
        <f t="shared" si="16"/>
        <v>0</v>
      </c>
      <c r="F166" s="106">
        <f t="shared" si="17"/>
        <v>0</v>
      </c>
      <c r="G166" s="153">
        <f t="shared" si="18"/>
        <v>0</v>
      </c>
    </row>
    <row r="167" spans="1:7" ht="13.5" hidden="1" thickBot="1">
      <c r="A167" s="91">
        <f t="shared" si="19"/>
        <v>145</v>
      </c>
      <c r="B167" s="106">
        <f t="shared" si="20"/>
        <v>0</v>
      </c>
      <c r="C167" s="152">
        <f t="shared" si="14"/>
        <v>0</v>
      </c>
      <c r="D167" s="152">
        <f t="shared" si="15"/>
        <v>0</v>
      </c>
      <c r="E167" s="152">
        <f t="shared" si="16"/>
        <v>0</v>
      </c>
      <c r="F167" s="106">
        <f t="shared" si="17"/>
        <v>0</v>
      </c>
      <c r="G167" s="153">
        <f t="shared" si="18"/>
        <v>0</v>
      </c>
    </row>
    <row r="168" spans="1:7" ht="13.5" hidden="1" thickBot="1">
      <c r="A168" s="91">
        <f t="shared" si="19"/>
        <v>146</v>
      </c>
      <c r="B168" s="106">
        <f t="shared" si="20"/>
        <v>0</v>
      </c>
      <c r="C168" s="152">
        <f t="shared" si="14"/>
        <v>0</v>
      </c>
      <c r="D168" s="152">
        <f t="shared" si="15"/>
        <v>0</v>
      </c>
      <c r="E168" s="152">
        <f t="shared" si="16"/>
        <v>0</v>
      </c>
      <c r="F168" s="106">
        <f t="shared" si="17"/>
        <v>0</v>
      </c>
      <c r="G168" s="153">
        <f t="shared" si="18"/>
        <v>0</v>
      </c>
    </row>
    <row r="169" spans="1:7" ht="13.5" hidden="1" thickBot="1">
      <c r="A169" s="91">
        <f t="shared" si="19"/>
        <v>147</v>
      </c>
      <c r="B169" s="106">
        <f t="shared" si="20"/>
        <v>0</v>
      </c>
      <c r="C169" s="152">
        <f t="shared" si="14"/>
        <v>0</v>
      </c>
      <c r="D169" s="152">
        <f t="shared" si="15"/>
        <v>0</v>
      </c>
      <c r="E169" s="152">
        <f t="shared" si="16"/>
        <v>0</v>
      </c>
      <c r="F169" s="106">
        <f t="shared" si="17"/>
        <v>0</v>
      </c>
      <c r="G169" s="153">
        <f t="shared" si="18"/>
        <v>0</v>
      </c>
    </row>
    <row r="170" spans="1:7" ht="13.5" hidden="1" thickBot="1">
      <c r="A170" s="91">
        <f t="shared" si="19"/>
        <v>148</v>
      </c>
      <c r="B170" s="106">
        <f t="shared" si="20"/>
        <v>0</v>
      </c>
      <c r="C170" s="152">
        <f t="shared" si="14"/>
        <v>0</v>
      </c>
      <c r="D170" s="152">
        <f t="shared" si="15"/>
        <v>0</v>
      </c>
      <c r="E170" s="152">
        <f t="shared" si="16"/>
        <v>0</v>
      </c>
      <c r="F170" s="106">
        <f t="shared" si="17"/>
        <v>0</v>
      </c>
      <c r="G170" s="153">
        <f t="shared" si="18"/>
        <v>0</v>
      </c>
    </row>
    <row r="171" spans="1:7" ht="13.5" hidden="1" thickBot="1">
      <c r="A171" s="91">
        <f t="shared" si="19"/>
        <v>149</v>
      </c>
      <c r="B171" s="106">
        <f t="shared" si="20"/>
        <v>0</v>
      </c>
      <c r="C171" s="152">
        <f t="shared" si="14"/>
        <v>0</v>
      </c>
      <c r="D171" s="152">
        <f t="shared" si="15"/>
        <v>0</v>
      </c>
      <c r="E171" s="152">
        <f t="shared" si="16"/>
        <v>0</v>
      </c>
      <c r="F171" s="106">
        <f t="shared" si="17"/>
        <v>0</v>
      </c>
      <c r="G171" s="153">
        <f t="shared" si="18"/>
        <v>0</v>
      </c>
    </row>
    <row r="172" spans="1:7" ht="13.5" hidden="1" thickBot="1">
      <c r="A172" s="91">
        <f t="shared" si="19"/>
        <v>150</v>
      </c>
      <c r="B172" s="106">
        <f t="shared" si="20"/>
        <v>0</v>
      </c>
      <c r="C172" s="152">
        <f t="shared" si="14"/>
        <v>0</v>
      </c>
      <c r="D172" s="152">
        <f t="shared" si="15"/>
        <v>0</v>
      </c>
      <c r="E172" s="152">
        <f t="shared" si="16"/>
        <v>0</v>
      </c>
      <c r="F172" s="106">
        <f t="shared" si="17"/>
        <v>0</v>
      </c>
      <c r="G172" s="153">
        <f t="shared" si="18"/>
        <v>0</v>
      </c>
    </row>
    <row r="173" spans="1:7" ht="13.5" hidden="1" thickBot="1">
      <c r="A173" s="91">
        <f t="shared" si="19"/>
        <v>151</v>
      </c>
      <c r="B173" s="106">
        <f t="shared" si="20"/>
        <v>0</v>
      </c>
      <c r="C173" s="152">
        <f t="shared" si="14"/>
        <v>0</v>
      </c>
      <c r="D173" s="152">
        <f t="shared" si="15"/>
        <v>0</v>
      </c>
      <c r="E173" s="152">
        <f t="shared" si="16"/>
        <v>0</v>
      </c>
      <c r="F173" s="106">
        <f t="shared" si="17"/>
        <v>0</v>
      </c>
      <c r="G173" s="153">
        <f t="shared" si="18"/>
        <v>0</v>
      </c>
    </row>
    <row r="174" spans="1:7" ht="13.5" hidden="1" thickBot="1">
      <c r="A174" s="91">
        <f t="shared" si="19"/>
        <v>152</v>
      </c>
      <c r="B174" s="106">
        <f t="shared" si="20"/>
        <v>0</v>
      </c>
      <c r="C174" s="152">
        <f t="shared" si="14"/>
        <v>0</v>
      </c>
      <c r="D174" s="152">
        <f t="shared" si="15"/>
        <v>0</v>
      </c>
      <c r="E174" s="152">
        <f t="shared" si="16"/>
        <v>0</v>
      </c>
      <c r="F174" s="106">
        <f t="shared" si="17"/>
        <v>0</v>
      </c>
      <c r="G174" s="153">
        <f t="shared" si="18"/>
        <v>0</v>
      </c>
    </row>
    <row r="175" spans="1:7" ht="13.5" hidden="1" thickBot="1">
      <c r="A175" s="91">
        <f t="shared" si="19"/>
        <v>153</v>
      </c>
      <c r="B175" s="106">
        <f t="shared" si="20"/>
        <v>0</v>
      </c>
      <c r="C175" s="152">
        <f t="shared" si="14"/>
        <v>0</v>
      </c>
      <c r="D175" s="152">
        <f t="shared" si="15"/>
        <v>0</v>
      </c>
      <c r="E175" s="152">
        <f t="shared" si="16"/>
        <v>0</v>
      </c>
      <c r="F175" s="106">
        <f t="shared" si="17"/>
        <v>0</v>
      </c>
      <c r="G175" s="153">
        <f t="shared" si="18"/>
        <v>0</v>
      </c>
    </row>
    <row r="176" spans="1:7" ht="13.5" hidden="1" thickBot="1">
      <c r="A176" s="91">
        <f t="shared" si="19"/>
        <v>154</v>
      </c>
      <c r="B176" s="106">
        <f t="shared" si="20"/>
        <v>0</v>
      </c>
      <c r="C176" s="152">
        <f t="shared" si="14"/>
        <v>0</v>
      </c>
      <c r="D176" s="152">
        <f t="shared" si="15"/>
        <v>0</v>
      </c>
      <c r="E176" s="152">
        <f t="shared" si="16"/>
        <v>0</v>
      </c>
      <c r="F176" s="106">
        <f t="shared" si="17"/>
        <v>0</v>
      </c>
      <c r="G176" s="153">
        <f t="shared" si="18"/>
        <v>0</v>
      </c>
    </row>
    <row r="177" spans="1:7" ht="13.5" hidden="1" thickBot="1">
      <c r="A177" s="91">
        <f t="shared" si="19"/>
        <v>155</v>
      </c>
      <c r="B177" s="106">
        <f t="shared" si="20"/>
        <v>0</v>
      </c>
      <c r="C177" s="152">
        <f t="shared" si="14"/>
        <v>0</v>
      </c>
      <c r="D177" s="152">
        <f t="shared" si="15"/>
        <v>0</v>
      </c>
      <c r="E177" s="152">
        <f t="shared" si="16"/>
        <v>0</v>
      </c>
      <c r="F177" s="106">
        <f t="shared" si="17"/>
        <v>0</v>
      </c>
      <c r="G177" s="153">
        <f t="shared" si="18"/>
        <v>0</v>
      </c>
    </row>
    <row r="178" spans="1:7" ht="13.5" hidden="1" thickBot="1">
      <c r="A178" s="91">
        <f t="shared" si="19"/>
        <v>156</v>
      </c>
      <c r="B178" s="106">
        <f t="shared" si="20"/>
        <v>0</v>
      </c>
      <c r="C178" s="152">
        <f t="shared" si="14"/>
        <v>0</v>
      </c>
      <c r="D178" s="152">
        <f t="shared" si="15"/>
        <v>0</v>
      </c>
      <c r="E178" s="152">
        <f t="shared" si="16"/>
        <v>0</v>
      </c>
      <c r="F178" s="106">
        <f t="shared" si="17"/>
        <v>0</v>
      </c>
      <c r="G178" s="153">
        <f t="shared" si="18"/>
        <v>0</v>
      </c>
    </row>
    <row r="179" spans="1:7" ht="13.5" hidden="1" thickBot="1">
      <c r="A179" s="91">
        <f t="shared" si="19"/>
        <v>157</v>
      </c>
      <c r="B179" s="106">
        <f t="shared" si="20"/>
        <v>0</v>
      </c>
      <c r="C179" s="152">
        <f t="shared" si="14"/>
        <v>0</v>
      </c>
      <c r="D179" s="152">
        <f t="shared" si="15"/>
        <v>0</v>
      </c>
      <c r="E179" s="152">
        <f t="shared" si="16"/>
        <v>0</v>
      </c>
      <c r="F179" s="106">
        <f t="shared" si="17"/>
        <v>0</v>
      </c>
      <c r="G179" s="153">
        <f t="shared" si="18"/>
        <v>0</v>
      </c>
    </row>
    <row r="180" spans="1:7" ht="13.5" hidden="1" thickBot="1">
      <c r="A180" s="91">
        <f t="shared" si="19"/>
        <v>158</v>
      </c>
      <c r="B180" s="106">
        <f t="shared" si="20"/>
        <v>0</v>
      </c>
      <c r="C180" s="152">
        <f t="shared" si="14"/>
        <v>0</v>
      </c>
      <c r="D180" s="152">
        <f t="shared" si="15"/>
        <v>0</v>
      </c>
      <c r="E180" s="152">
        <f t="shared" si="16"/>
        <v>0</v>
      </c>
      <c r="F180" s="106">
        <f t="shared" si="17"/>
        <v>0</v>
      </c>
      <c r="G180" s="153">
        <f t="shared" si="18"/>
        <v>0</v>
      </c>
    </row>
    <row r="181" spans="1:7" ht="13.5" hidden="1" thickBot="1">
      <c r="A181" s="91">
        <f t="shared" si="19"/>
        <v>159</v>
      </c>
      <c r="B181" s="106">
        <f t="shared" si="20"/>
        <v>0</v>
      </c>
      <c r="C181" s="152">
        <f t="shared" si="14"/>
        <v>0</v>
      </c>
      <c r="D181" s="152">
        <f t="shared" si="15"/>
        <v>0</v>
      </c>
      <c r="E181" s="152">
        <f t="shared" si="16"/>
        <v>0</v>
      </c>
      <c r="F181" s="106">
        <f t="shared" si="17"/>
        <v>0</v>
      </c>
      <c r="G181" s="153">
        <f t="shared" si="18"/>
        <v>0</v>
      </c>
    </row>
    <row r="182" spans="1:7" ht="13.5" hidden="1" thickBot="1">
      <c r="A182" s="91">
        <f t="shared" si="19"/>
        <v>160</v>
      </c>
      <c r="B182" s="106">
        <f t="shared" si="20"/>
        <v>0</v>
      </c>
      <c r="C182" s="152">
        <f t="shared" si="14"/>
        <v>0</v>
      </c>
      <c r="D182" s="152">
        <f t="shared" si="15"/>
        <v>0</v>
      </c>
      <c r="E182" s="152">
        <f t="shared" si="16"/>
        <v>0</v>
      </c>
      <c r="F182" s="106">
        <f t="shared" si="17"/>
        <v>0</v>
      </c>
      <c r="G182" s="153">
        <f t="shared" si="18"/>
        <v>0</v>
      </c>
    </row>
    <row r="183" spans="1:7" ht="13.5" hidden="1" thickBot="1">
      <c r="A183" s="91">
        <f t="shared" si="19"/>
        <v>161</v>
      </c>
      <c r="B183" s="106">
        <f t="shared" si="20"/>
        <v>0</v>
      </c>
      <c r="C183" s="152">
        <f t="shared" si="14"/>
        <v>0</v>
      </c>
      <c r="D183" s="152">
        <f t="shared" si="15"/>
        <v>0</v>
      </c>
      <c r="E183" s="152">
        <f t="shared" si="16"/>
        <v>0</v>
      </c>
      <c r="F183" s="106">
        <f t="shared" si="17"/>
        <v>0</v>
      </c>
      <c r="G183" s="153">
        <f t="shared" si="18"/>
        <v>0</v>
      </c>
    </row>
    <row r="184" spans="1:7" ht="13.5" hidden="1" thickBot="1">
      <c r="A184" s="91">
        <f t="shared" si="19"/>
        <v>162</v>
      </c>
      <c r="B184" s="106">
        <f t="shared" si="20"/>
        <v>0</v>
      </c>
      <c r="C184" s="152">
        <f t="shared" si="14"/>
        <v>0</v>
      </c>
      <c r="D184" s="152">
        <f t="shared" si="15"/>
        <v>0</v>
      </c>
      <c r="E184" s="152">
        <f t="shared" si="16"/>
        <v>0</v>
      </c>
      <c r="F184" s="106">
        <f t="shared" si="17"/>
        <v>0</v>
      </c>
      <c r="G184" s="153">
        <f t="shared" si="18"/>
        <v>0</v>
      </c>
    </row>
    <row r="185" spans="1:7" ht="13.5" hidden="1" thickBot="1">
      <c r="A185" s="91">
        <f t="shared" si="19"/>
        <v>163</v>
      </c>
      <c r="B185" s="106">
        <f t="shared" si="20"/>
        <v>0</v>
      </c>
      <c r="C185" s="152">
        <f t="shared" si="14"/>
        <v>0</v>
      </c>
      <c r="D185" s="152">
        <f t="shared" si="15"/>
        <v>0</v>
      </c>
      <c r="E185" s="152">
        <f t="shared" si="16"/>
        <v>0</v>
      </c>
      <c r="F185" s="106">
        <f t="shared" si="17"/>
        <v>0</v>
      </c>
      <c r="G185" s="153">
        <f t="shared" si="18"/>
        <v>0</v>
      </c>
    </row>
    <row r="186" spans="1:7" ht="13.5" hidden="1" thickBot="1">
      <c r="A186" s="91">
        <f t="shared" si="19"/>
        <v>164</v>
      </c>
      <c r="B186" s="106">
        <f t="shared" si="20"/>
        <v>0</v>
      </c>
      <c r="C186" s="152">
        <f t="shared" si="14"/>
        <v>0</v>
      </c>
      <c r="D186" s="152">
        <f t="shared" si="15"/>
        <v>0</v>
      </c>
      <c r="E186" s="152">
        <f t="shared" si="16"/>
        <v>0</v>
      </c>
      <c r="F186" s="106">
        <f t="shared" si="17"/>
        <v>0</v>
      </c>
      <c r="G186" s="153">
        <f t="shared" si="18"/>
        <v>0</v>
      </c>
    </row>
    <row r="187" spans="1:7" ht="13.5" hidden="1" thickBot="1">
      <c r="A187" s="91">
        <f t="shared" si="19"/>
        <v>165</v>
      </c>
      <c r="B187" s="106">
        <f t="shared" si="20"/>
        <v>0</v>
      </c>
      <c r="C187" s="152">
        <f t="shared" si="14"/>
        <v>0</v>
      </c>
      <c r="D187" s="152">
        <f t="shared" si="15"/>
        <v>0</v>
      </c>
      <c r="E187" s="152">
        <f t="shared" si="16"/>
        <v>0</v>
      </c>
      <c r="F187" s="106">
        <f t="shared" si="17"/>
        <v>0</v>
      </c>
      <c r="G187" s="153">
        <f t="shared" si="18"/>
        <v>0</v>
      </c>
    </row>
    <row r="188" spans="1:7" ht="13.5" hidden="1" thickBot="1">
      <c r="A188" s="91">
        <f t="shared" si="19"/>
        <v>166</v>
      </c>
      <c r="B188" s="106">
        <f t="shared" si="20"/>
        <v>0</v>
      </c>
      <c r="C188" s="152">
        <f t="shared" si="14"/>
        <v>0</v>
      </c>
      <c r="D188" s="152">
        <f t="shared" si="15"/>
        <v>0</v>
      </c>
      <c r="E188" s="152">
        <f t="shared" si="16"/>
        <v>0</v>
      </c>
      <c r="F188" s="106">
        <f t="shared" si="17"/>
        <v>0</v>
      </c>
      <c r="G188" s="153">
        <f t="shared" si="18"/>
        <v>0</v>
      </c>
    </row>
    <row r="189" spans="1:7" ht="13.5" hidden="1" thickBot="1">
      <c r="A189" s="91">
        <f t="shared" si="19"/>
        <v>167</v>
      </c>
      <c r="B189" s="106">
        <f t="shared" si="20"/>
        <v>0</v>
      </c>
      <c r="C189" s="152">
        <f t="shared" si="14"/>
        <v>0</v>
      </c>
      <c r="D189" s="152">
        <f t="shared" si="15"/>
        <v>0</v>
      </c>
      <c r="E189" s="152">
        <f t="shared" si="16"/>
        <v>0</v>
      </c>
      <c r="F189" s="106">
        <f t="shared" si="17"/>
        <v>0</v>
      </c>
      <c r="G189" s="153">
        <f t="shared" si="18"/>
        <v>0</v>
      </c>
    </row>
    <row r="190" spans="1:7" ht="13.5" hidden="1" thickBot="1">
      <c r="A190" s="91">
        <f t="shared" si="19"/>
        <v>168</v>
      </c>
      <c r="B190" s="106">
        <f t="shared" si="20"/>
        <v>0</v>
      </c>
      <c r="C190" s="152">
        <f t="shared" si="14"/>
        <v>0</v>
      </c>
      <c r="D190" s="152">
        <f t="shared" si="15"/>
        <v>0</v>
      </c>
      <c r="E190" s="152">
        <f t="shared" si="16"/>
        <v>0</v>
      </c>
      <c r="F190" s="106">
        <f t="shared" si="17"/>
        <v>0</v>
      </c>
      <c r="G190" s="153">
        <f t="shared" si="18"/>
        <v>0</v>
      </c>
    </row>
    <row r="191" spans="1:7" ht="13.5" hidden="1" thickBot="1">
      <c r="A191" s="91">
        <f t="shared" si="19"/>
        <v>169</v>
      </c>
      <c r="B191" s="106">
        <f t="shared" si="20"/>
        <v>0</v>
      </c>
      <c r="C191" s="152">
        <f t="shared" si="14"/>
        <v>0</v>
      </c>
      <c r="D191" s="152">
        <f t="shared" si="15"/>
        <v>0</v>
      </c>
      <c r="E191" s="152">
        <f t="shared" si="16"/>
        <v>0</v>
      </c>
      <c r="F191" s="106">
        <f t="shared" si="17"/>
        <v>0</v>
      </c>
      <c r="G191" s="153">
        <f t="shared" si="18"/>
        <v>0</v>
      </c>
    </row>
    <row r="192" spans="1:7" ht="13.5" hidden="1" thickBot="1">
      <c r="A192" s="91">
        <f t="shared" si="19"/>
        <v>170</v>
      </c>
      <c r="B192" s="106">
        <f t="shared" si="20"/>
        <v>0</v>
      </c>
      <c r="C192" s="152">
        <f t="shared" si="14"/>
        <v>0</v>
      </c>
      <c r="D192" s="152">
        <f t="shared" si="15"/>
        <v>0</v>
      </c>
      <c r="E192" s="152">
        <f t="shared" si="16"/>
        <v>0</v>
      </c>
      <c r="F192" s="106">
        <f t="shared" si="17"/>
        <v>0</v>
      </c>
      <c r="G192" s="153">
        <f t="shared" si="18"/>
        <v>0</v>
      </c>
    </row>
    <row r="193" spans="1:7" ht="13.5" hidden="1" thickBot="1">
      <c r="A193" s="91">
        <f t="shared" si="19"/>
        <v>171</v>
      </c>
      <c r="B193" s="106">
        <f t="shared" si="20"/>
        <v>0</v>
      </c>
      <c r="C193" s="152">
        <f t="shared" si="14"/>
        <v>0</v>
      </c>
      <c r="D193" s="152">
        <f t="shared" si="15"/>
        <v>0</v>
      </c>
      <c r="E193" s="152">
        <f t="shared" si="16"/>
        <v>0</v>
      </c>
      <c r="F193" s="106">
        <f t="shared" si="17"/>
        <v>0</v>
      </c>
      <c r="G193" s="153">
        <f t="shared" si="18"/>
        <v>0</v>
      </c>
    </row>
    <row r="194" spans="1:7" ht="13.5" hidden="1" thickBot="1">
      <c r="A194" s="91">
        <f t="shared" si="19"/>
        <v>172</v>
      </c>
      <c r="B194" s="106">
        <f t="shared" si="20"/>
        <v>0</v>
      </c>
      <c r="C194" s="152">
        <f t="shared" si="14"/>
        <v>0</v>
      </c>
      <c r="D194" s="152">
        <f t="shared" si="15"/>
        <v>0</v>
      </c>
      <c r="E194" s="152">
        <f t="shared" si="16"/>
        <v>0</v>
      </c>
      <c r="F194" s="106">
        <f t="shared" si="17"/>
        <v>0</v>
      </c>
      <c r="G194" s="153">
        <f t="shared" si="18"/>
        <v>0</v>
      </c>
    </row>
    <row r="195" spans="1:7" ht="13.5" hidden="1" thickBot="1">
      <c r="A195" s="91">
        <f t="shared" si="19"/>
        <v>173</v>
      </c>
      <c r="B195" s="106">
        <f t="shared" si="20"/>
        <v>0</v>
      </c>
      <c r="C195" s="152">
        <f t="shared" si="14"/>
        <v>0</v>
      </c>
      <c r="D195" s="152">
        <f t="shared" si="15"/>
        <v>0</v>
      </c>
      <c r="E195" s="152">
        <f t="shared" si="16"/>
        <v>0</v>
      </c>
      <c r="F195" s="106">
        <f t="shared" si="17"/>
        <v>0</v>
      </c>
      <c r="G195" s="153">
        <f t="shared" si="18"/>
        <v>0</v>
      </c>
    </row>
    <row r="196" spans="1:7" ht="13.5" hidden="1" thickBot="1">
      <c r="A196" s="91">
        <f t="shared" si="19"/>
        <v>174</v>
      </c>
      <c r="B196" s="106">
        <f t="shared" si="20"/>
        <v>0</v>
      </c>
      <c r="C196" s="152">
        <f t="shared" si="14"/>
        <v>0</v>
      </c>
      <c r="D196" s="152">
        <f t="shared" si="15"/>
        <v>0</v>
      </c>
      <c r="E196" s="152">
        <f t="shared" si="16"/>
        <v>0</v>
      </c>
      <c r="F196" s="106">
        <f t="shared" si="17"/>
        <v>0</v>
      </c>
      <c r="G196" s="153">
        <f t="shared" si="18"/>
        <v>0</v>
      </c>
    </row>
    <row r="197" spans="1:7" ht="13.5" hidden="1" thickBot="1">
      <c r="A197" s="91">
        <f t="shared" si="19"/>
        <v>175</v>
      </c>
      <c r="B197" s="106">
        <f t="shared" si="20"/>
        <v>0</v>
      </c>
      <c r="C197" s="152">
        <f t="shared" si="14"/>
        <v>0</v>
      </c>
      <c r="D197" s="152">
        <f t="shared" si="15"/>
        <v>0</v>
      </c>
      <c r="E197" s="152">
        <f t="shared" si="16"/>
        <v>0</v>
      </c>
      <c r="F197" s="106">
        <f t="shared" si="17"/>
        <v>0</v>
      </c>
      <c r="G197" s="153">
        <f t="shared" si="18"/>
        <v>0</v>
      </c>
    </row>
    <row r="198" spans="1:7" ht="13.5" hidden="1" thickBot="1">
      <c r="A198" s="91">
        <f t="shared" si="19"/>
        <v>176</v>
      </c>
      <c r="B198" s="106">
        <f t="shared" si="20"/>
        <v>0</v>
      </c>
      <c r="C198" s="152">
        <f t="shared" si="14"/>
        <v>0</v>
      </c>
      <c r="D198" s="152">
        <f t="shared" si="15"/>
        <v>0</v>
      </c>
      <c r="E198" s="152">
        <f t="shared" si="16"/>
        <v>0</v>
      </c>
      <c r="F198" s="106">
        <f t="shared" si="17"/>
        <v>0</v>
      </c>
      <c r="G198" s="153">
        <f t="shared" si="18"/>
        <v>0</v>
      </c>
    </row>
    <row r="199" spans="1:7" ht="13.5" hidden="1" thickBot="1">
      <c r="A199" s="91">
        <f t="shared" si="19"/>
        <v>177</v>
      </c>
      <c r="B199" s="106">
        <f t="shared" si="20"/>
        <v>0</v>
      </c>
      <c r="C199" s="152">
        <f t="shared" si="14"/>
        <v>0</v>
      </c>
      <c r="D199" s="152">
        <f t="shared" si="15"/>
        <v>0</v>
      </c>
      <c r="E199" s="152">
        <f t="shared" si="16"/>
        <v>0</v>
      </c>
      <c r="F199" s="106">
        <f t="shared" si="17"/>
        <v>0</v>
      </c>
      <c r="G199" s="153">
        <f t="shared" si="18"/>
        <v>0</v>
      </c>
    </row>
    <row r="200" spans="1:7" ht="13.5" hidden="1" thickBot="1">
      <c r="A200" s="91">
        <f t="shared" si="19"/>
        <v>178</v>
      </c>
      <c r="B200" s="106">
        <f t="shared" si="20"/>
        <v>0</v>
      </c>
      <c r="C200" s="152">
        <f t="shared" si="14"/>
        <v>0</v>
      </c>
      <c r="D200" s="152">
        <f t="shared" si="15"/>
        <v>0</v>
      </c>
      <c r="E200" s="152">
        <f t="shared" si="16"/>
        <v>0</v>
      </c>
      <c r="F200" s="106">
        <f t="shared" si="17"/>
        <v>0</v>
      </c>
      <c r="G200" s="153">
        <f t="shared" si="18"/>
        <v>0</v>
      </c>
    </row>
    <row r="201" spans="1:7" ht="13.5" hidden="1" thickBot="1">
      <c r="A201" s="91">
        <f t="shared" si="19"/>
        <v>179</v>
      </c>
      <c r="B201" s="106">
        <f t="shared" si="20"/>
        <v>0</v>
      </c>
      <c r="C201" s="152">
        <f t="shared" si="14"/>
        <v>0</v>
      </c>
      <c r="D201" s="152">
        <f t="shared" si="15"/>
        <v>0</v>
      </c>
      <c r="E201" s="152">
        <f t="shared" si="16"/>
        <v>0</v>
      </c>
      <c r="F201" s="106">
        <f t="shared" si="17"/>
        <v>0</v>
      </c>
      <c r="G201" s="153">
        <f t="shared" si="18"/>
        <v>0</v>
      </c>
    </row>
    <row r="202" spans="1:7" ht="13.5" hidden="1" thickBot="1">
      <c r="A202" s="91">
        <f t="shared" si="19"/>
        <v>180</v>
      </c>
      <c r="B202" s="106">
        <f t="shared" si="20"/>
        <v>0</v>
      </c>
      <c r="C202" s="152">
        <f t="shared" si="14"/>
        <v>0</v>
      </c>
      <c r="D202" s="152">
        <f t="shared" si="15"/>
        <v>0</v>
      </c>
      <c r="E202" s="152">
        <f t="shared" si="16"/>
        <v>0</v>
      </c>
      <c r="F202" s="106">
        <f t="shared" si="17"/>
        <v>0</v>
      </c>
      <c r="G202" s="153">
        <f t="shared" si="18"/>
        <v>0</v>
      </c>
    </row>
    <row r="203" spans="1:7" ht="13.5" hidden="1" thickBot="1">
      <c r="A203" s="91">
        <f t="shared" si="19"/>
        <v>181</v>
      </c>
      <c r="B203" s="106">
        <f t="shared" si="20"/>
        <v>0</v>
      </c>
      <c r="C203" s="152">
        <f t="shared" si="14"/>
        <v>0</v>
      </c>
      <c r="D203" s="152">
        <f t="shared" si="15"/>
        <v>0</v>
      </c>
      <c r="E203" s="152">
        <f t="shared" si="16"/>
        <v>0</v>
      </c>
      <c r="F203" s="106">
        <f t="shared" si="17"/>
        <v>0</v>
      </c>
      <c r="G203" s="153">
        <f t="shared" si="18"/>
        <v>0</v>
      </c>
    </row>
    <row r="204" spans="1:7" ht="13.5" hidden="1" thickBot="1">
      <c r="A204" s="91">
        <f t="shared" si="19"/>
        <v>182</v>
      </c>
      <c r="B204" s="106">
        <f t="shared" si="20"/>
        <v>0</v>
      </c>
      <c r="C204" s="152">
        <f t="shared" si="14"/>
        <v>0</v>
      </c>
      <c r="D204" s="152">
        <f t="shared" si="15"/>
        <v>0</v>
      </c>
      <c r="E204" s="152">
        <f t="shared" si="16"/>
        <v>0</v>
      </c>
      <c r="F204" s="106">
        <f t="shared" si="17"/>
        <v>0</v>
      </c>
      <c r="G204" s="153">
        <f t="shared" si="18"/>
        <v>0</v>
      </c>
    </row>
    <row r="205" spans="1:7" ht="13.5" hidden="1" thickBot="1">
      <c r="A205" s="91">
        <f t="shared" si="19"/>
        <v>183</v>
      </c>
      <c r="B205" s="106">
        <f t="shared" si="20"/>
        <v>0</v>
      </c>
      <c r="C205" s="152">
        <f t="shared" si="14"/>
        <v>0</v>
      </c>
      <c r="D205" s="152">
        <f t="shared" si="15"/>
        <v>0</v>
      </c>
      <c r="E205" s="152">
        <f t="shared" si="16"/>
        <v>0</v>
      </c>
      <c r="F205" s="106">
        <f t="shared" si="17"/>
        <v>0</v>
      </c>
      <c r="G205" s="153">
        <f t="shared" si="18"/>
        <v>0</v>
      </c>
    </row>
    <row r="206" spans="1:7" ht="13.5" hidden="1" thickBot="1">
      <c r="A206" s="91">
        <f t="shared" si="19"/>
        <v>184</v>
      </c>
      <c r="B206" s="106">
        <f t="shared" si="20"/>
        <v>0</v>
      </c>
      <c r="C206" s="152">
        <f t="shared" si="14"/>
        <v>0</v>
      </c>
      <c r="D206" s="152">
        <f t="shared" si="15"/>
        <v>0</v>
      </c>
      <c r="E206" s="152">
        <f t="shared" si="16"/>
        <v>0</v>
      </c>
      <c r="F206" s="106">
        <f t="shared" si="17"/>
        <v>0</v>
      </c>
      <c r="G206" s="153">
        <f t="shared" si="18"/>
        <v>0</v>
      </c>
    </row>
    <row r="207" spans="1:7" ht="13.5" hidden="1" thickBot="1">
      <c r="A207" s="91">
        <f t="shared" si="19"/>
        <v>185</v>
      </c>
      <c r="B207" s="106">
        <f t="shared" si="20"/>
        <v>0</v>
      </c>
      <c r="C207" s="152">
        <f t="shared" si="14"/>
        <v>0</v>
      </c>
      <c r="D207" s="152">
        <f t="shared" si="15"/>
        <v>0</v>
      </c>
      <c r="E207" s="152">
        <f t="shared" si="16"/>
        <v>0</v>
      </c>
      <c r="F207" s="106">
        <f t="shared" si="17"/>
        <v>0</v>
      </c>
      <c r="G207" s="153">
        <f t="shared" si="18"/>
        <v>0</v>
      </c>
    </row>
    <row r="208" spans="1:7" ht="13.5" hidden="1" thickBot="1">
      <c r="A208" s="91">
        <f t="shared" si="19"/>
        <v>186</v>
      </c>
      <c r="B208" s="106">
        <f t="shared" si="20"/>
        <v>0</v>
      </c>
      <c r="C208" s="152">
        <f t="shared" si="14"/>
        <v>0</v>
      </c>
      <c r="D208" s="152">
        <f t="shared" si="15"/>
        <v>0</v>
      </c>
      <c r="E208" s="152">
        <f t="shared" si="16"/>
        <v>0</v>
      </c>
      <c r="F208" s="106">
        <f t="shared" si="17"/>
        <v>0</v>
      </c>
      <c r="G208" s="153">
        <f t="shared" si="18"/>
        <v>0</v>
      </c>
    </row>
    <row r="209" spans="1:7" ht="13.5" hidden="1" thickBot="1">
      <c r="A209" s="91">
        <f t="shared" si="19"/>
        <v>187</v>
      </c>
      <c r="B209" s="106">
        <f t="shared" si="20"/>
        <v>0</v>
      </c>
      <c r="C209" s="152">
        <f t="shared" si="14"/>
        <v>0</v>
      </c>
      <c r="D209" s="152">
        <f t="shared" si="15"/>
        <v>0</v>
      </c>
      <c r="E209" s="152">
        <f t="shared" si="16"/>
        <v>0</v>
      </c>
      <c r="F209" s="106">
        <f t="shared" si="17"/>
        <v>0</v>
      </c>
      <c r="G209" s="153">
        <f t="shared" si="18"/>
        <v>0</v>
      </c>
    </row>
    <row r="210" spans="1:7" ht="13.5" hidden="1" thickBot="1">
      <c r="A210" s="91">
        <f t="shared" si="19"/>
        <v>188</v>
      </c>
      <c r="B210" s="106">
        <f t="shared" si="20"/>
        <v>0</v>
      </c>
      <c r="C210" s="152">
        <f t="shared" si="14"/>
        <v>0</v>
      </c>
      <c r="D210" s="152">
        <f t="shared" si="15"/>
        <v>0</v>
      </c>
      <c r="E210" s="152">
        <f t="shared" si="16"/>
        <v>0</v>
      </c>
      <c r="F210" s="106">
        <f t="shared" si="17"/>
        <v>0</v>
      </c>
      <c r="G210" s="153">
        <f t="shared" si="18"/>
        <v>0</v>
      </c>
    </row>
    <row r="211" spans="1:7" ht="13.5" hidden="1" thickBot="1">
      <c r="A211" s="91">
        <f t="shared" si="19"/>
        <v>189</v>
      </c>
      <c r="B211" s="106">
        <f t="shared" si="20"/>
        <v>0</v>
      </c>
      <c r="C211" s="152">
        <f t="shared" si="14"/>
        <v>0</v>
      </c>
      <c r="D211" s="152">
        <f t="shared" si="15"/>
        <v>0</v>
      </c>
      <c r="E211" s="152">
        <f t="shared" si="16"/>
        <v>0</v>
      </c>
      <c r="F211" s="106">
        <f t="shared" si="17"/>
        <v>0</v>
      </c>
      <c r="G211" s="153">
        <f t="shared" si="18"/>
        <v>0</v>
      </c>
    </row>
    <row r="212" spans="1:7" ht="13.5" hidden="1" thickBot="1">
      <c r="A212" s="91">
        <f t="shared" si="19"/>
        <v>190</v>
      </c>
      <c r="B212" s="106">
        <f t="shared" si="20"/>
        <v>0</v>
      </c>
      <c r="C212" s="152">
        <f t="shared" si="14"/>
        <v>0</v>
      </c>
      <c r="D212" s="152">
        <f t="shared" si="15"/>
        <v>0</v>
      </c>
      <c r="E212" s="152">
        <f t="shared" si="16"/>
        <v>0</v>
      </c>
      <c r="F212" s="106">
        <f t="shared" si="17"/>
        <v>0</v>
      </c>
      <c r="G212" s="153">
        <f t="shared" si="18"/>
        <v>0</v>
      </c>
    </row>
    <row r="213" spans="1:7" ht="13.5" hidden="1" thickBot="1">
      <c r="A213" s="91">
        <f t="shared" si="19"/>
        <v>191</v>
      </c>
      <c r="B213" s="106">
        <f t="shared" si="20"/>
        <v>0</v>
      </c>
      <c r="C213" s="152">
        <f t="shared" si="14"/>
        <v>0</v>
      </c>
      <c r="D213" s="152">
        <f t="shared" si="15"/>
        <v>0</v>
      </c>
      <c r="E213" s="152">
        <f t="shared" si="16"/>
        <v>0</v>
      </c>
      <c r="F213" s="106">
        <f t="shared" si="17"/>
        <v>0</v>
      </c>
      <c r="G213" s="153">
        <f t="shared" si="18"/>
        <v>0</v>
      </c>
    </row>
    <row r="214" spans="1:7" ht="13.5" hidden="1" thickBot="1">
      <c r="A214" s="91">
        <f t="shared" si="19"/>
        <v>192</v>
      </c>
      <c r="B214" s="106">
        <f t="shared" si="20"/>
        <v>0</v>
      </c>
      <c r="C214" s="152">
        <f t="shared" si="14"/>
        <v>0</v>
      </c>
      <c r="D214" s="152">
        <f t="shared" si="15"/>
        <v>0</v>
      </c>
      <c r="E214" s="152">
        <f t="shared" si="16"/>
        <v>0</v>
      </c>
      <c r="F214" s="106">
        <f t="shared" si="17"/>
        <v>0</v>
      </c>
      <c r="G214" s="153">
        <f t="shared" si="18"/>
        <v>0</v>
      </c>
    </row>
    <row r="215" spans="1:7" ht="13.5" hidden="1" thickBot="1">
      <c r="A215" s="91">
        <f t="shared" si="19"/>
        <v>193</v>
      </c>
      <c r="B215" s="106">
        <f t="shared" si="20"/>
        <v>0</v>
      </c>
      <c r="C215" s="152">
        <f t="shared" ref="C215:C278" si="21">IF(A215&lt;=$D$12,D215+$D$15,0)</f>
        <v>0</v>
      </c>
      <c r="D215" s="152">
        <f t="shared" ref="D215:D278" si="22">E215+F215</f>
        <v>0</v>
      </c>
      <c r="E215" s="152">
        <f t="shared" ref="E215:E278" si="23">B215*$D$13</f>
        <v>0</v>
      </c>
      <c r="F215" s="106">
        <f t="shared" ref="F215:F278" si="24">IF(A215&lt;=$D$12,$D$14*-1,0)</f>
        <v>0</v>
      </c>
      <c r="G215" s="153">
        <f t="shared" ref="G215:G278" si="25">B215-F215</f>
        <v>0</v>
      </c>
    </row>
    <row r="216" spans="1:7" ht="13.5" hidden="1" thickBot="1">
      <c r="A216" s="91">
        <f t="shared" ref="A216:A279" si="26">A215+1</f>
        <v>194</v>
      </c>
      <c r="B216" s="106">
        <f t="shared" ref="B216:B279" si="27">B215-F215</f>
        <v>0</v>
      </c>
      <c r="C216" s="152">
        <f t="shared" si="21"/>
        <v>0</v>
      </c>
      <c r="D216" s="152">
        <f t="shared" si="22"/>
        <v>0</v>
      </c>
      <c r="E216" s="152">
        <f t="shared" si="23"/>
        <v>0</v>
      </c>
      <c r="F216" s="106">
        <f t="shared" si="24"/>
        <v>0</v>
      </c>
      <c r="G216" s="153">
        <f t="shared" si="25"/>
        <v>0</v>
      </c>
    </row>
    <row r="217" spans="1:7" ht="13.5" hidden="1" thickBot="1">
      <c r="A217" s="91">
        <f t="shared" si="26"/>
        <v>195</v>
      </c>
      <c r="B217" s="106">
        <f t="shared" si="27"/>
        <v>0</v>
      </c>
      <c r="C217" s="152">
        <f t="shared" si="21"/>
        <v>0</v>
      </c>
      <c r="D217" s="152">
        <f t="shared" si="22"/>
        <v>0</v>
      </c>
      <c r="E217" s="152">
        <f t="shared" si="23"/>
        <v>0</v>
      </c>
      <c r="F217" s="106">
        <f t="shared" si="24"/>
        <v>0</v>
      </c>
      <c r="G217" s="153">
        <f t="shared" si="25"/>
        <v>0</v>
      </c>
    </row>
    <row r="218" spans="1:7" ht="13.5" hidden="1" thickBot="1">
      <c r="A218" s="91">
        <f t="shared" si="26"/>
        <v>196</v>
      </c>
      <c r="B218" s="106">
        <f t="shared" si="27"/>
        <v>0</v>
      </c>
      <c r="C218" s="152">
        <f t="shared" si="21"/>
        <v>0</v>
      </c>
      <c r="D218" s="152">
        <f t="shared" si="22"/>
        <v>0</v>
      </c>
      <c r="E218" s="152">
        <f t="shared" si="23"/>
        <v>0</v>
      </c>
      <c r="F218" s="106">
        <f t="shared" si="24"/>
        <v>0</v>
      </c>
      <c r="G218" s="153">
        <f t="shared" si="25"/>
        <v>0</v>
      </c>
    </row>
    <row r="219" spans="1:7" ht="13.5" hidden="1" thickBot="1">
      <c r="A219" s="91">
        <f t="shared" si="26"/>
        <v>197</v>
      </c>
      <c r="B219" s="106">
        <f t="shared" si="27"/>
        <v>0</v>
      </c>
      <c r="C219" s="152">
        <f t="shared" si="21"/>
        <v>0</v>
      </c>
      <c r="D219" s="152">
        <f t="shared" si="22"/>
        <v>0</v>
      </c>
      <c r="E219" s="152">
        <f t="shared" si="23"/>
        <v>0</v>
      </c>
      <c r="F219" s="106">
        <f t="shared" si="24"/>
        <v>0</v>
      </c>
      <c r="G219" s="153">
        <f t="shared" si="25"/>
        <v>0</v>
      </c>
    </row>
    <row r="220" spans="1:7" ht="13.5" hidden="1" thickBot="1">
      <c r="A220" s="91">
        <f t="shared" si="26"/>
        <v>198</v>
      </c>
      <c r="B220" s="106">
        <f t="shared" si="27"/>
        <v>0</v>
      </c>
      <c r="C220" s="152">
        <f t="shared" si="21"/>
        <v>0</v>
      </c>
      <c r="D220" s="152">
        <f t="shared" si="22"/>
        <v>0</v>
      </c>
      <c r="E220" s="152">
        <f t="shared" si="23"/>
        <v>0</v>
      </c>
      <c r="F220" s="106">
        <f t="shared" si="24"/>
        <v>0</v>
      </c>
      <c r="G220" s="153">
        <f t="shared" si="25"/>
        <v>0</v>
      </c>
    </row>
    <row r="221" spans="1:7" ht="13.5" hidden="1" thickBot="1">
      <c r="A221" s="91">
        <f t="shared" si="26"/>
        <v>199</v>
      </c>
      <c r="B221" s="106">
        <f t="shared" si="27"/>
        <v>0</v>
      </c>
      <c r="C221" s="152">
        <f t="shared" si="21"/>
        <v>0</v>
      </c>
      <c r="D221" s="152">
        <f t="shared" si="22"/>
        <v>0</v>
      </c>
      <c r="E221" s="152">
        <f t="shared" si="23"/>
        <v>0</v>
      </c>
      <c r="F221" s="106">
        <f t="shared" si="24"/>
        <v>0</v>
      </c>
      <c r="G221" s="153">
        <f t="shared" si="25"/>
        <v>0</v>
      </c>
    </row>
    <row r="222" spans="1:7" ht="13.5" hidden="1" thickBot="1">
      <c r="A222" s="91">
        <f t="shared" si="26"/>
        <v>200</v>
      </c>
      <c r="B222" s="106">
        <f t="shared" si="27"/>
        <v>0</v>
      </c>
      <c r="C222" s="152">
        <f t="shared" si="21"/>
        <v>0</v>
      </c>
      <c r="D222" s="152">
        <f t="shared" si="22"/>
        <v>0</v>
      </c>
      <c r="E222" s="152">
        <f t="shared" si="23"/>
        <v>0</v>
      </c>
      <c r="F222" s="106">
        <f t="shared" si="24"/>
        <v>0</v>
      </c>
      <c r="G222" s="153">
        <f t="shared" si="25"/>
        <v>0</v>
      </c>
    </row>
    <row r="223" spans="1:7" ht="13.5" hidden="1" thickBot="1">
      <c r="A223" s="91">
        <f t="shared" si="26"/>
        <v>201</v>
      </c>
      <c r="B223" s="106">
        <f t="shared" si="27"/>
        <v>0</v>
      </c>
      <c r="C223" s="152">
        <f t="shared" si="21"/>
        <v>0</v>
      </c>
      <c r="D223" s="152">
        <f t="shared" si="22"/>
        <v>0</v>
      </c>
      <c r="E223" s="152">
        <f t="shared" si="23"/>
        <v>0</v>
      </c>
      <c r="F223" s="106">
        <f t="shared" si="24"/>
        <v>0</v>
      </c>
      <c r="G223" s="153">
        <f t="shared" si="25"/>
        <v>0</v>
      </c>
    </row>
    <row r="224" spans="1:7" ht="13.5" hidden="1" thickBot="1">
      <c r="A224" s="91">
        <f t="shared" si="26"/>
        <v>202</v>
      </c>
      <c r="B224" s="106">
        <f t="shared" si="27"/>
        <v>0</v>
      </c>
      <c r="C224" s="152">
        <f t="shared" si="21"/>
        <v>0</v>
      </c>
      <c r="D224" s="152">
        <f t="shared" si="22"/>
        <v>0</v>
      </c>
      <c r="E224" s="152">
        <f t="shared" si="23"/>
        <v>0</v>
      </c>
      <c r="F224" s="106">
        <f t="shared" si="24"/>
        <v>0</v>
      </c>
      <c r="G224" s="153">
        <f t="shared" si="25"/>
        <v>0</v>
      </c>
    </row>
    <row r="225" spans="1:7" ht="13.5" hidden="1" thickBot="1">
      <c r="A225" s="91">
        <f t="shared" si="26"/>
        <v>203</v>
      </c>
      <c r="B225" s="106">
        <f t="shared" si="27"/>
        <v>0</v>
      </c>
      <c r="C225" s="152">
        <f t="shared" si="21"/>
        <v>0</v>
      </c>
      <c r="D225" s="152">
        <f t="shared" si="22"/>
        <v>0</v>
      </c>
      <c r="E225" s="152">
        <f t="shared" si="23"/>
        <v>0</v>
      </c>
      <c r="F225" s="106">
        <f t="shared" si="24"/>
        <v>0</v>
      </c>
      <c r="G225" s="153">
        <f t="shared" si="25"/>
        <v>0</v>
      </c>
    </row>
    <row r="226" spans="1:7" ht="13.5" hidden="1" thickBot="1">
      <c r="A226" s="91">
        <f t="shared" si="26"/>
        <v>204</v>
      </c>
      <c r="B226" s="106">
        <f t="shared" si="27"/>
        <v>0</v>
      </c>
      <c r="C226" s="152">
        <f t="shared" si="21"/>
        <v>0</v>
      </c>
      <c r="D226" s="152">
        <f t="shared" si="22"/>
        <v>0</v>
      </c>
      <c r="E226" s="152">
        <f t="shared" si="23"/>
        <v>0</v>
      </c>
      <c r="F226" s="106">
        <f t="shared" si="24"/>
        <v>0</v>
      </c>
      <c r="G226" s="153">
        <f t="shared" si="25"/>
        <v>0</v>
      </c>
    </row>
    <row r="227" spans="1:7" ht="13.5" hidden="1" thickBot="1">
      <c r="A227" s="91">
        <f t="shared" si="26"/>
        <v>205</v>
      </c>
      <c r="B227" s="106">
        <f t="shared" si="27"/>
        <v>0</v>
      </c>
      <c r="C227" s="152">
        <f t="shared" si="21"/>
        <v>0</v>
      </c>
      <c r="D227" s="152">
        <f t="shared" si="22"/>
        <v>0</v>
      </c>
      <c r="E227" s="152">
        <f t="shared" si="23"/>
        <v>0</v>
      </c>
      <c r="F227" s="106">
        <f t="shared" si="24"/>
        <v>0</v>
      </c>
      <c r="G227" s="153">
        <f t="shared" si="25"/>
        <v>0</v>
      </c>
    </row>
    <row r="228" spans="1:7" ht="13.5" hidden="1" thickBot="1">
      <c r="A228" s="91">
        <f t="shared" si="26"/>
        <v>206</v>
      </c>
      <c r="B228" s="106">
        <f t="shared" si="27"/>
        <v>0</v>
      </c>
      <c r="C228" s="152">
        <f t="shared" si="21"/>
        <v>0</v>
      </c>
      <c r="D228" s="152">
        <f t="shared" si="22"/>
        <v>0</v>
      </c>
      <c r="E228" s="152">
        <f t="shared" si="23"/>
        <v>0</v>
      </c>
      <c r="F228" s="106">
        <f t="shared" si="24"/>
        <v>0</v>
      </c>
      <c r="G228" s="153">
        <f t="shared" si="25"/>
        <v>0</v>
      </c>
    </row>
    <row r="229" spans="1:7" ht="13.5" hidden="1" thickBot="1">
      <c r="A229" s="91">
        <f t="shared" si="26"/>
        <v>207</v>
      </c>
      <c r="B229" s="106">
        <f t="shared" si="27"/>
        <v>0</v>
      </c>
      <c r="C229" s="152">
        <f t="shared" si="21"/>
        <v>0</v>
      </c>
      <c r="D229" s="152">
        <f t="shared" si="22"/>
        <v>0</v>
      </c>
      <c r="E229" s="152">
        <f t="shared" si="23"/>
        <v>0</v>
      </c>
      <c r="F229" s="106">
        <f t="shared" si="24"/>
        <v>0</v>
      </c>
      <c r="G229" s="153">
        <f t="shared" si="25"/>
        <v>0</v>
      </c>
    </row>
    <row r="230" spans="1:7" ht="13.5" hidden="1" thickBot="1">
      <c r="A230" s="91">
        <f t="shared" si="26"/>
        <v>208</v>
      </c>
      <c r="B230" s="106">
        <f t="shared" si="27"/>
        <v>0</v>
      </c>
      <c r="C230" s="152">
        <f t="shared" si="21"/>
        <v>0</v>
      </c>
      <c r="D230" s="152">
        <f t="shared" si="22"/>
        <v>0</v>
      </c>
      <c r="E230" s="152">
        <f t="shared" si="23"/>
        <v>0</v>
      </c>
      <c r="F230" s="106">
        <f t="shared" si="24"/>
        <v>0</v>
      </c>
      <c r="G230" s="153">
        <f t="shared" si="25"/>
        <v>0</v>
      </c>
    </row>
    <row r="231" spans="1:7" ht="13.5" hidden="1" thickBot="1">
      <c r="A231" s="91">
        <f t="shared" si="26"/>
        <v>209</v>
      </c>
      <c r="B231" s="106">
        <f t="shared" si="27"/>
        <v>0</v>
      </c>
      <c r="C231" s="152">
        <f t="shared" si="21"/>
        <v>0</v>
      </c>
      <c r="D231" s="152">
        <f t="shared" si="22"/>
        <v>0</v>
      </c>
      <c r="E231" s="152">
        <f t="shared" si="23"/>
        <v>0</v>
      </c>
      <c r="F231" s="106">
        <f t="shared" si="24"/>
        <v>0</v>
      </c>
      <c r="G231" s="153">
        <f t="shared" si="25"/>
        <v>0</v>
      </c>
    </row>
    <row r="232" spans="1:7" ht="13.5" hidden="1" thickBot="1">
      <c r="A232" s="91">
        <f t="shared" si="26"/>
        <v>210</v>
      </c>
      <c r="B232" s="106">
        <f t="shared" si="27"/>
        <v>0</v>
      </c>
      <c r="C232" s="152">
        <f t="shared" si="21"/>
        <v>0</v>
      </c>
      <c r="D232" s="152">
        <f t="shared" si="22"/>
        <v>0</v>
      </c>
      <c r="E232" s="152">
        <f t="shared" si="23"/>
        <v>0</v>
      </c>
      <c r="F232" s="106">
        <f t="shared" si="24"/>
        <v>0</v>
      </c>
      <c r="G232" s="153">
        <f t="shared" si="25"/>
        <v>0</v>
      </c>
    </row>
    <row r="233" spans="1:7" ht="13.5" hidden="1" thickBot="1">
      <c r="A233" s="91">
        <f t="shared" si="26"/>
        <v>211</v>
      </c>
      <c r="B233" s="106">
        <f t="shared" si="27"/>
        <v>0</v>
      </c>
      <c r="C233" s="152">
        <f t="shared" si="21"/>
        <v>0</v>
      </c>
      <c r="D233" s="152">
        <f t="shared" si="22"/>
        <v>0</v>
      </c>
      <c r="E233" s="152">
        <f t="shared" si="23"/>
        <v>0</v>
      </c>
      <c r="F233" s="106">
        <f t="shared" si="24"/>
        <v>0</v>
      </c>
      <c r="G233" s="153">
        <f t="shared" si="25"/>
        <v>0</v>
      </c>
    </row>
    <row r="234" spans="1:7" ht="13.5" hidden="1" thickBot="1">
      <c r="A234" s="91">
        <f t="shared" si="26"/>
        <v>212</v>
      </c>
      <c r="B234" s="106">
        <f t="shared" si="27"/>
        <v>0</v>
      </c>
      <c r="C234" s="152">
        <f t="shared" si="21"/>
        <v>0</v>
      </c>
      <c r="D234" s="152">
        <f t="shared" si="22"/>
        <v>0</v>
      </c>
      <c r="E234" s="152">
        <f t="shared" si="23"/>
        <v>0</v>
      </c>
      <c r="F234" s="106">
        <f t="shared" si="24"/>
        <v>0</v>
      </c>
      <c r="G234" s="153">
        <f t="shared" si="25"/>
        <v>0</v>
      </c>
    </row>
    <row r="235" spans="1:7" ht="13.5" hidden="1" thickBot="1">
      <c r="A235" s="91">
        <f t="shared" si="26"/>
        <v>213</v>
      </c>
      <c r="B235" s="106">
        <f t="shared" si="27"/>
        <v>0</v>
      </c>
      <c r="C235" s="152">
        <f t="shared" si="21"/>
        <v>0</v>
      </c>
      <c r="D235" s="152">
        <f t="shared" si="22"/>
        <v>0</v>
      </c>
      <c r="E235" s="152">
        <f t="shared" si="23"/>
        <v>0</v>
      </c>
      <c r="F235" s="106">
        <f t="shared" si="24"/>
        <v>0</v>
      </c>
      <c r="G235" s="153">
        <f t="shared" si="25"/>
        <v>0</v>
      </c>
    </row>
    <row r="236" spans="1:7" ht="13.5" hidden="1" thickBot="1">
      <c r="A236" s="91">
        <f t="shared" si="26"/>
        <v>214</v>
      </c>
      <c r="B236" s="106">
        <f t="shared" si="27"/>
        <v>0</v>
      </c>
      <c r="C236" s="152">
        <f t="shared" si="21"/>
        <v>0</v>
      </c>
      <c r="D236" s="152">
        <f t="shared" si="22"/>
        <v>0</v>
      </c>
      <c r="E236" s="152">
        <f t="shared" si="23"/>
        <v>0</v>
      </c>
      <c r="F236" s="106">
        <f t="shared" si="24"/>
        <v>0</v>
      </c>
      <c r="G236" s="153">
        <f t="shared" si="25"/>
        <v>0</v>
      </c>
    </row>
    <row r="237" spans="1:7" ht="13.5" hidden="1" thickBot="1">
      <c r="A237" s="91">
        <f t="shared" si="26"/>
        <v>215</v>
      </c>
      <c r="B237" s="106">
        <f t="shared" si="27"/>
        <v>0</v>
      </c>
      <c r="C237" s="152">
        <f t="shared" si="21"/>
        <v>0</v>
      </c>
      <c r="D237" s="152">
        <f t="shared" si="22"/>
        <v>0</v>
      </c>
      <c r="E237" s="152">
        <f t="shared" si="23"/>
        <v>0</v>
      </c>
      <c r="F237" s="106">
        <f t="shared" si="24"/>
        <v>0</v>
      </c>
      <c r="G237" s="153">
        <f t="shared" si="25"/>
        <v>0</v>
      </c>
    </row>
    <row r="238" spans="1:7" ht="13.5" hidden="1" thickBot="1">
      <c r="A238" s="91">
        <f t="shared" si="26"/>
        <v>216</v>
      </c>
      <c r="B238" s="106">
        <f t="shared" si="27"/>
        <v>0</v>
      </c>
      <c r="C238" s="152">
        <f t="shared" si="21"/>
        <v>0</v>
      </c>
      <c r="D238" s="152">
        <f t="shared" si="22"/>
        <v>0</v>
      </c>
      <c r="E238" s="152">
        <f t="shared" si="23"/>
        <v>0</v>
      </c>
      <c r="F238" s="106">
        <f t="shared" si="24"/>
        <v>0</v>
      </c>
      <c r="G238" s="153">
        <f t="shared" si="25"/>
        <v>0</v>
      </c>
    </row>
    <row r="239" spans="1:7" ht="13.5" hidden="1" thickBot="1">
      <c r="A239" s="91">
        <f t="shared" si="26"/>
        <v>217</v>
      </c>
      <c r="B239" s="106">
        <f t="shared" si="27"/>
        <v>0</v>
      </c>
      <c r="C239" s="152">
        <f t="shared" si="21"/>
        <v>0</v>
      </c>
      <c r="D239" s="152">
        <f t="shared" si="22"/>
        <v>0</v>
      </c>
      <c r="E239" s="152">
        <f t="shared" si="23"/>
        <v>0</v>
      </c>
      <c r="F239" s="106">
        <f t="shared" si="24"/>
        <v>0</v>
      </c>
      <c r="G239" s="153">
        <f t="shared" si="25"/>
        <v>0</v>
      </c>
    </row>
    <row r="240" spans="1:7" ht="13.5" hidden="1" thickBot="1">
      <c r="A240" s="91">
        <f t="shared" si="26"/>
        <v>218</v>
      </c>
      <c r="B240" s="106">
        <f t="shared" si="27"/>
        <v>0</v>
      </c>
      <c r="C240" s="152">
        <f t="shared" si="21"/>
        <v>0</v>
      </c>
      <c r="D240" s="152">
        <f t="shared" si="22"/>
        <v>0</v>
      </c>
      <c r="E240" s="152">
        <f t="shared" si="23"/>
        <v>0</v>
      </c>
      <c r="F240" s="106">
        <f t="shared" si="24"/>
        <v>0</v>
      </c>
      <c r="G240" s="153">
        <f t="shared" si="25"/>
        <v>0</v>
      </c>
    </row>
    <row r="241" spans="1:7" ht="13.5" hidden="1" thickBot="1">
      <c r="A241" s="91">
        <f t="shared" si="26"/>
        <v>219</v>
      </c>
      <c r="B241" s="106">
        <f t="shared" si="27"/>
        <v>0</v>
      </c>
      <c r="C241" s="152">
        <f t="shared" si="21"/>
        <v>0</v>
      </c>
      <c r="D241" s="152">
        <f t="shared" si="22"/>
        <v>0</v>
      </c>
      <c r="E241" s="152">
        <f t="shared" si="23"/>
        <v>0</v>
      </c>
      <c r="F241" s="106">
        <f t="shared" si="24"/>
        <v>0</v>
      </c>
      <c r="G241" s="153">
        <f t="shared" si="25"/>
        <v>0</v>
      </c>
    </row>
    <row r="242" spans="1:7" ht="13.5" hidden="1" thickBot="1">
      <c r="A242" s="91">
        <f t="shared" si="26"/>
        <v>220</v>
      </c>
      <c r="B242" s="106">
        <f t="shared" si="27"/>
        <v>0</v>
      </c>
      <c r="C242" s="152">
        <f t="shared" si="21"/>
        <v>0</v>
      </c>
      <c r="D242" s="152">
        <f t="shared" si="22"/>
        <v>0</v>
      </c>
      <c r="E242" s="152">
        <f t="shared" si="23"/>
        <v>0</v>
      </c>
      <c r="F242" s="106">
        <f t="shared" si="24"/>
        <v>0</v>
      </c>
      <c r="G242" s="153">
        <f t="shared" si="25"/>
        <v>0</v>
      </c>
    </row>
    <row r="243" spans="1:7" ht="13.5" hidden="1" thickBot="1">
      <c r="A243" s="91">
        <f t="shared" si="26"/>
        <v>221</v>
      </c>
      <c r="B243" s="106">
        <f t="shared" si="27"/>
        <v>0</v>
      </c>
      <c r="C243" s="152">
        <f t="shared" si="21"/>
        <v>0</v>
      </c>
      <c r="D243" s="152">
        <f t="shared" si="22"/>
        <v>0</v>
      </c>
      <c r="E243" s="152">
        <f t="shared" si="23"/>
        <v>0</v>
      </c>
      <c r="F243" s="106">
        <f t="shared" si="24"/>
        <v>0</v>
      </c>
      <c r="G243" s="153">
        <f t="shared" si="25"/>
        <v>0</v>
      </c>
    </row>
    <row r="244" spans="1:7" ht="13.5" hidden="1" thickBot="1">
      <c r="A244" s="91">
        <f t="shared" si="26"/>
        <v>222</v>
      </c>
      <c r="B244" s="106">
        <f t="shared" si="27"/>
        <v>0</v>
      </c>
      <c r="C244" s="152">
        <f t="shared" si="21"/>
        <v>0</v>
      </c>
      <c r="D244" s="152">
        <f t="shared" si="22"/>
        <v>0</v>
      </c>
      <c r="E244" s="152">
        <f t="shared" si="23"/>
        <v>0</v>
      </c>
      <c r="F244" s="106">
        <f t="shared" si="24"/>
        <v>0</v>
      </c>
      <c r="G244" s="153">
        <f t="shared" si="25"/>
        <v>0</v>
      </c>
    </row>
    <row r="245" spans="1:7" ht="13.5" hidden="1" thickBot="1">
      <c r="A245" s="91">
        <f t="shared" si="26"/>
        <v>223</v>
      </c>
      <c r="B245" s="106">
        <f t="shared" si="27"/>
        <v>0</v>
      </c>
      <c r="C245" s="152">
        <f t="shared" si="21"/>
        <v>0</v>
      </c>
      <c r="D245" s="152">
        <f t="shared" si="22"/>
        <v>0</v>
      </c>
      <c r="E245" s="152">
        <f t="shared" si="23"/>
        <v>0</v>
      </c>
      <c r="F245" s="106">
        <f t="shared" si="24"/>
        <v>0</v>
      </c>
      <c r="G245" s="153">
        <f t="shared" si="25"/>
        <v>0</v>
      </c>
    </row>
    <row r="246" spans="1:7" ht="13.5" hidden="1" thickBot="1">
      <c r="A246" s="91">
        <f t="shared" si="26"/>
        <v>224</v>
      </c>
      <c r="B246" s="106">
        <f t="shared" si="27"/>
        <v>0</v>
      </c>
      <c r="C246" s="152">
        <f t="shared" si="21"/>
        <v>0</v>
      </c>
      <c r="D246" s="152">
        <f t="shared" si="22"/>
        <v>0</v>
      </c>
      <c r="E246" s="152">
        <f t="shared" si="23"/>
        <v>0</v>
      </c>
      <c r="F246" s="106">
        <f t="shared" si="24"/>
        <v>0</v>
      </c>
      <c r="G246" s="153">
        <f t="shared" si="25"/>
        <v>0</v>
      </c>
    </row>
    <row r="247" spans="1:7" ht="13.5" hidden="1" thickBot="1">
      <c r="A247" s="91">
        <f t="shared" si="26"/>
        <v>225</v>
      </c>
      <c r="B247" s="106">
        <f t="shared" si="27"/>
        <v>0</v>
      </c>
      <c r="C247" s="152">
        <f t="shared" si="21"/>
        <v>0</v>
      </c>
      <c r="D247" s="152">
        <f t="shared" si="22"/>
        <v>0</v>
      </c>
      <c r="E247" s="152">
        <f t="shared" si="23"/>
        <v>0</v>
      </c>
      <c r="F247" s="106">
        <f t="shared" si="24"/>
        <v>0</v>
      </c>
      <c r="G247" s="153">
        <f t="shared" si="25"/>
        <v>0</v>
      </c>
    </row>
    <row r="248" spans="1:7" ht="13.5" hidden="1" thickBot="1">
      <c r="A248" s="91">
        <f t="shared" si="26"/>
        <v>226</v>
      </c>
      <c r="B248" s="106">
        <f t="shared" si="27"/>
        <v>0</v>
      </c>
      <c r="C248" s="152">
        <f t="shared" si="21"/>
        <v>0</v>
      </c>
      <c r="D248" s="152">
        <f t="shared" si="22"/>
        <v>0</v>
      </c>
      <c r="E248" s="152">
        <f t="shared" si="23"/>
        <v>0</v>
      </c>
      <c r="F248" s="106">
        <f t="shared" si="24"/>
        <v>0</v>
      </c>
      <c r="G248" s="153">
        <f t="shared" si="25"/>
        <v>0</v>
      </c>
    </row>
    <row r="249" spans="1:7" ht="13.5" hidden="1" thickBot="1">
      <c r="A249" s="91">
        <f t="shared" si="26"/>
        <v>227</v>
      </c>
      <c r="B249" s="106">
        <f t="shared" si="27"/>
        <v>0</v>
      </c>
      <c r="C249" s="152">
        <f t="shared" si="21"/>
        <v>0</v>
      </c>
      <c r="D249" s="152">
        <f t="shared" si="22"/>
        <v>0</v>
      </c>
      <c r="E249" s="152">
        <f t="shared" si="23"/>
        <v>0</v>
      </c>
      <c r="F249" s="106">
        <f t="shared" si="24"/>
        <v>0</v>
      </c>
      <c r="G249" s="153">
        <f t="shared" si="25"/>
        <v>0</v>
      </c>
    </row>
    <row r="250" spans="1:7" ht="13.5" hidden="1" thickBot="1">
      <c r="A250" s="91">
        <f t="shared" si="26"/>
        <v>228</v>
      </c>
      <c r="B250" s="106">
        <f t="shared" si="27"/>
        <v>0</v>
      </c>
      <c r="C250" s="152">
        <f t="shared" si="21"/>
        <v>0</v>
      </c>
      <c r="D250" s="152">
        <f t="shared" si="22"/>
        <v>0</v>
      </c>
      <c r="E250" s="152">
        <f t="shared" si="23"/>
        <v>0</v>
      </c>
      <c r="F250" s="106">
        <f t="shared" si="24"/>
        <v>0</v>
      </c>
      <c r="G250" s="153">
        <f t="shared" si="25"/>
        <v>0</v>
      </c>
    </row>
    <row r="251" spans="1:7" ht="13.5" hidden="1" thickBot="1">
      <c r="A251" s="91">
        <f t="shared" si="26"/>
        <v>229</v>
      </c>
      <c r="B251" s="106">
        <f t="shared" si="27"/>
        <v>0</v>
      </c>
      <c r="C251" s="152">
        <f t="shared" si="21"/>
        <v>0</v>
      </c>
      <c r="D251" s="152">
        <f t="shared" si="22"/>
        <v>0</v>
      </c>
      <c r="E251" s="152">
        <f t="shared" si="23"/>
        <v>0</v>
      </c>
      <c r="F251" s="106">
        <f t="shared" si="24"/>
        <v>0</v>
      </c>
      <c r="G251" s="153">
        <f t="shared" si="25"/>
        <v>0</v>
      </c>
    </row>
    <row r="252" spans="1:7" ht="13.5" hidden="1" thickBot="1">
      <c r="A252" s="91">
        <f t="shared" si="26"/>
        <v>230</v>
      </c>
      <c r="B252" s="106">
        <f t="shared" si="27"/>
        <v>0</v>
      </c>
      <c r="C252" s="152">
        <f t="shared" si="21"/>
        <v>0</v>
      </c>
      <c r="D252" s="152">
        <f t="shared" si="22"/>
        <v>0</v>
      </c>
      <c r="E252" s="152">
        <f t="shared" si="23"/>
        <v>0</v>
      </c>
      <c r="F252" s="106">
        <f t="shared" si="24"/>
        <v>0</v>
      </c>
      <c r="G252" s="153">
        <f t="shared" si="25"/>
        <v>0</v>
      </c>
    </row>
    <row r="253" spans="1:7" ht="13.5" hidden="1" thickBot="1">
      <c r="A253" s="91">
        <f t="shared" si="26"/>
        <v>231</v>
      </c>
      <c r="B253" s="106">
        <f t="shared" si="27"/>
        <v>0</v>
      </c>
      <c r="C253" s="152">
        <f t="shared" si="21"/>
        <v>0</v>
      </c>
      <c r="D253" s="152">
        <f t="shared" si="22"/>
        <v>0</v>
      </c>
      <c r="E253" s="152">
        <f t="shared" si="23"/>
        <v>0</v>
      </c>
      <c r="F253" s="106">
        <f t="shared" si="24"/>
        <v>0</v>
      </c>
      <c r="G253" s="153">
        <f t="shared" si="25"/>
        <v>0</v>
      </c>
    </row>
    <row r="254" spans="1:7" ht="13.5" hidden="1" thickBot="1">
      <c r="A254" s="91">
        <f t="shared" si="26"/>
        <v>232</v>
      </c>
      <c r="B254" s="106">
        <f t="shared" si="27"/>
        <v>0</v>
      </c>
      <c r="C254" s="152">
        <f t="shared" si="21"/>
        <v>0</v>
      </c>
      <c r="D254" s="152">
        <f t="shared" si="22"/>
        <v>0</v>
      </c>
      <c r="E254" s="152">
        <f t="shared" si="23"/>
        <v>0</v>
      </c>
      <c r="F254" s="106">
        <f t="shared" si="24"/>
        <v>0</v>
      </c>
      <c r="G254" s="153">
        <f t="shared" si="25"/>
        <v>0</v>
      </c>
    </row>
    <row r="255" spans="1:7" ht="13.5" hidden="1" thickBot="1">
      <c r="A255" s="91">
        <f t="shared" si="26"/>
        <v>233</v>
      </c>
      <c r="B255" s="106">
        <f t="shared" si="27"/>
        <v>0</v>
      </c>
      <c r="C255" s="152">
        <f t="shared" si="21"/>
        <v>0</v>
      </c>
      <c r="D255" s="152">
        <f t="shared" si="22"/>
        <v>0</v>
      </c>
      <c r="E255" s="152">
        <f t="shared" si="23"/>
        <v>0</v>
      </c>
      <c r="F255" s="106">
        <f t="shared" si="24"/>
        <v>0</v>
      </c>
      <c r="G255" s="153">
        <f t="shared" si="25"/>
        <v>0</v>
      </c>
    </row>
    <row r="256" spans="1:7" ht="13.5" hidden="1" thickBot="1">
      <c r="A256" s="91">
        <f t="shared" si="26"/>
        <v>234</v>
      </c>
      <c r="B256" s="106">
        <f t="shared" si="27"/>
        <v>0</v>
      </c>
      <c r="C256" s="152">
        <f t="shared" si="21"/>
        <v>0</v>
      </c>
      <c r="D256" s="152">
        <f t="shared" si="22"/>
        <v>0</v>
      </c>
      <c r="E256" s="152">
        <f t="shared" si="23"/>
        <v>0</v>
      </c>
      <c r="F256" s="106">
        <f t="shared" si="24"/>
        <v>0</v>
      </c>
      <c r="G256" s="153">
        <f t="shared" si="25"/>
        <v>0</v>
      </c>
    </row>
    <row r="257" spans="1:7" ht="13.5" hidden="1" thickBot="1">
      <c r="A257" s="91">
        <f t="shared" si="26"/>
        <v>235</v>
      </c>
      <c r="B257" s="106">
        <f t="shared" si="27"/>
        <v>0</v>
      </c>
      <c r="C257" s="152">
        <f t="shared" si="21"/>
        <v>0</v>
      </c>
      <c r="D257" s="152">
        <f t="shared" si="22"/>
        <v>0</v>
      </c>
      <c r="E257" s="152">
        <f t="shared" si="23"/>
        <v>0</v>
      </c>
      <c r="F257" s="106">
        <f t="shared" si="24"/>
        <v>0</v>
      </c>
      <c r="G257" s="153">
        <f t="shared" si="25"/>
        <v>0</v>
      </c>
    </row>
    <row r="258" spans="1:7" ht="13.5" hidden="1" thickBot="1">
      <c r="A258" s="91">
        <f t="shared" si="26"/>
        <v>236</v>
      </c>
      <c r="B258" s="106">
        <f t="shared" si="27"/>
        <v>0</v>
      </c>
      <c r="C258" s="152">
        <f t="shared" si="21"/>
        <v>0</v>
      </c>
      <c r="D258" s="152">
        <f t="shared" si="22"/>
        <v>0</v>
      </c>
      <c r="E258" s="152">
        <f t="shared" si="23"/>
        <v>0</v>
      </c>
      <c r="F258" s="106">
        <f t="shared" si="24"/>
        <v>0</v>
      </c>
      <c r="G258" s="153">
        <f t="shared" si="25"/>
        <v>0</v>
      </c>
    </row>
    <row r="259" spans="1:7" ht="13.5" hidden="1" thickBot="1">
      <c r="A259" s="91">
        <f t="shared" si="26"/>
        <v>237</v>
      </c>
      <c r="B259" s="106">
        <f t="shared" si="27"/>
        <v>0</v>
      </c>
      <c r="C259" s="152">
        <f t="shared" si="21"/>
        <v>0</v>
      </c>
      <c r="D259" s="152">
        <f t="shared" si="22"/>
        <v>0</v>
      </c>
      <c r="E259" s="152">
        <f t="shared" si="23"/>
        <v>0</v>
      </c>
      <c r="F259" s="106">
        <f t="shared" si="24"/>
        <v>0</v>
      </c>
      <c r="G259" s="153">
        <f t="shared" si="25"/>
        <v>0</v>
      </c>
    </row>
    <row r="260" spans="1:7" ht="13.5" hidden="1" thickBot="1">
      <c r="A260" s="91">
        <f t="shared" si="26"/>
        <v>238</v>
      </c>
      <c r="B260" s="106">
        <f t="shared" si="27"/>
        <v>0</v>
      </c>
      <c r="C260" s="152">
        <f t="shared" si="21"/>
        <v>0</v>
      </c>
      <c r="D260" s="152">
        <f t="shared" si="22"/>
        <v>0</v>
      </c>
      <c r="E260" s="152">
        <f t="shared" si="23"/>
        <v>0</v>
      </c>
      <c r="F260" s="106">
        <f t="shared" si="24"/>
        <v>0</v>
      </c>
      <c r="G260" s="153">
        <f t="shared" si="25"/>
        <v>0</v>
      </c>
    </row>
    <row r="261" spans="1:7" ht="13.5" hidden="1" thickBot="1">
      <c r="A261" s="91">
        <f t="shared" si="26"/>
        <v>239</v>
      </c>
      <c r="B261" s="106">
        <f t="shared" si="27"/>
        <v>0</v>
      </c>
      <c r="C261" s="152">
        <f t="shared" si="21"/>
        <v>0</v>
      </c>
      <c r="D261" s="152">
        <f t="shared" si="22"/>
        <v>0</v>
      </c>
      <c r="E261" s="152">
        <f t="shared" si="23"/>
        <v>0</v>
      </c>
      <c r="F261" s="106">
        <f t="shared" si="24"/>
        <v>0</v>
      </c>
      <c r="G261" s="153">
        <f t="shared" si="25"/>
        <v>0</v>
      </c>
    </row>
    <row r="262" spans="1:7" ht="13.5" hidden="1" thickBot="1">
      <c r="A262" s="91">
        <f t="shared" si="26"/>
        <v>240</v>
      </c>
      <c r="B262" s="106">
        <f t="shared" si="27"/>
        <v>0</v>
      </c>
      <c r="C262" s="152">
        <f t="shared" si="21"/>
        <v>0</v>
      </c>
      <c r="D262" s="152">
        <f t="shared" si="22"/>
        <v>0</v>
      </c>
      <c r="E262" s="152">
        <f t="shared" si="23"/>
        <v>0</v>
      </c>
      <c r="F262" s="106">
        <f t="shared" si="24"/>
        <v>0</v>
      </c>
      <c r="G262" s="153">
        <f t="shared" si="25"/>
        <v>0</v>
      </c>
    </row>
    <row r="263" spans="1:7" ht="13.5" hidden="1" thickBot="1">
      <c r="A263" s="91">
        <f t="shared" si="26"/>
        <v>241</v>
      </c>
      <c r="B263" s="106">
        <f t="shared" si="27"/>
        <v>0</v>
      </c>
      <c r="C263" s="152">
        <f t="shared" si="21"/>
        <v>0</v>
      </c>
      <c r="D263" s="152">
        <f t="shared" si="22"/>
        <v>0</v>
      </c>
      <c r="E263" s="152">
        <f t="shared" si="23"/>
        <v>0</v>
      </c>
      <c r="F263" s="106">
        <f t="shared" si="24"/>
        <v>0</v>
      </c>
      <c r="G263" s="153">
        <f t="shared" si="25"/>
        <v>0</v>
      </c>
    </row>
    <row r="264" spans="1:7" ht="13.5" hidden="1" thickBot="1">
      <c r="A264" s="91">
        <f t="shared" si="26"/>
        <v>242</v>
      </c>
      <c r="B264" s="106">
        <f t="shared" si="27"/>
        <v>0</v>
      </c>
      <c r="C264" s="152">
        <f t="shared" si="21"/>
        <v>0</v>
      </c>
      <c r="D264" s="152">
        <f t="shared" si="22"/>
        <v>0</v>
      </c>
      <c r="E264" s="152">
        <f t="shared" si="23"/>
        <v>0</v>
      </c>
      <c r="F264" s="106">
        <f t="shared" si="24"/>
        <v>0</v>
      </c>
      <c r="G264" s="153">
        <f t="shared" si="25"/>
        <v>0</v>
      </c>
    </row>
    <row r="265" spans="1:7" ht="13.5" hidden="1" thickBot="1">
      <c r="A265" s="91">
        <f t="shared" si="26"/>
        <v>243</v>
      </c>
      <c r="B265" s="106">
        <f t="shared" si="27"/>
        <v>0</v>
      </c>
      <c r="C265" s="152">
        <f t="shared" si="21"/>
        <v>0</v>
      </c>
      <c r="D265" s="152">
        <f t="shared" si="22"/>
        <v>0</v>
      </c>
      <c r="E265" s="152">
        <f t="shared" si="23"/>
        <v>0</v>
      </c>
      <c r="F265" s="106">
        <f t="shared" si="24"/>
        <v>0</v>
      </c>
      <c r="G265" s="153">
        <f t="shared" si="25"/>
        <v>0</v>
      </c>
    </row>
    <row r="266" spans="1:7" ht="13.5" hidden="1" thickBot="1">
      <c r="A266" s="91">
        <f t="shared" si="26"/>
        <v>244</v>
      </c>
      <c r="B266" s="106">
        <f t="shared" si="27"/>
        <v>0</v>
      </c>
      <c r="C266" s="152">
        <f t="shared" si="21"/>
        <v>0</v>
      </c>
      <c r="D266" s="152">
        <f t="shared" si="22"/>
        <v>0</v>
      </c>
      <c r="E266" s="152">
        <f t="shared" si="23"/>
        <v>0</v>
      </c>
      <c r="F266" s="106">
        <f t="shared" si="24"/>
        <v>0</v>
      </c>
      <c r="G266" s="153">
        <f t="shared" si="25"/>
        <v>0</v>
      </c>
    </row>
    <row r="267" spans="1:7" ht="13.5" hidden="1" thickBot="1">
      <c r="A267" s="91">
        <f t="shared" si="26"/>
        <v>245</v>
      </c>
      <c r="B267" s="106">
        <f t="shared" si="27"/>
        <v>0</v>
      </c>
      <c r="C267" s="152">
        <f t="shared" si="21"/>
        <v>0</v>
      </c>
      <c r="D267" s="152">
        <f t="shared" si="22"/>
        <v>0</v>
      </c>
      <c r="E267" s="152">
        <f t="shared" si="23"/>
        <v>0</v>
      </c>
      <c r="F267" s="106">
        <f t="shared" si="24"/>
        <v>0</v>
      </c>
      <c r="G267" s="153">
        <f t="shared" si="25"/>
        <v>0</v>
      </c>
    </row>
    <row r="268" spans="1:7" ht="13.5" hidden="1" thickBot="1">
      <c r="A268" s="91">
        <f t="shared" si="26"/>
        <v>246</v>
      </c>
      <c r="B268" s="106">
        <f t="shared" si="27"/>
        <v>0</v>
      </c>
      <c r="C268" s="152">
        <f t="shared" si="21"/>
        <v>0</v>
      </c>
      <c r="D268" s="152">
        <f t="shared" si="22"/>
        <v>0</v>
      </c>
      <c r="E268" s="152">
        <f t="shared" si="23"/>
        <v>0</v>
      </c>
      <c r="F268" s="106">
        <f t="shared" si="24"/>
        <v>0</v>
      </c>
      <c r="G268" s="153">
        <f t="shared" si="25"/>
        <v>0</v>
      </c>
    </row>
    <row r="269" spans="1:7" ht="13.5" hidden="1" thickBot="1">
      <c r="A269" s="91">
        <f t="shared" si="26"/>
        <v>247</v>
      </c>
      <c r="B269" s="106">
        <f t="shared" si="27"/>
        <v>0</v>
      </c>
      <c r="C269" s="152">
        <f t="shared" si="21"/>
        <v>0</v>
      </c>
      <c r="D269" s="152">
        <f t="shared" si="22"/>
        <v>0</v>
      </c>
      <c r="E269" s="152">
        <f t="shared" si="23"/>
        <v>0</v>
      </c>
      <c r="F269" s="106">
        <f t="shared" si="24"/>
        <v>0</v>
      </c>
      <c r="G269" s="153">
        <f t="shared" si="25"/>
        <v>0</v>
      </c>
    </row>
    <row r="270" spans="1:7" ht="13.5" hidden="1" thickBot="1">
      <c r="A270" s="91">
        <f t="shared" si="26"/>
        <v>248</v>
      </c>
      <c r="B270" s="106">
        <f t="shared" si="27"/>
        <v>0</v>
      </c>
      <c r="C270" s="152">
        <f t="shared" si="21"/>
        <v>0</v>
      </c>
      <c r="D270" s="152">
        <f t="shared" si="22"/>
        <v>0</v>
      </c>
      <c r="E270" s="152">
        <f t="shared" si="23"/>
        <v>0</v>
      </c>
      <c r="F270" s="106">
        <f t="shared" si="24"/>
        <v>0</v>
      </c>
      <c r="G270" s="153">
        <f t="shared" si="25"/>
        <v>0</v>
      </c>
    </row>
    <row r="271" spans="1:7" ht="13.5" hidden="1" thickBot="1">
      <c r="A271" s="91">
        <f t="shared" si="26"/>
        <v>249</v>
      </c>
      <c r="B271" s="106">
        <f t="shared" si="27"/>
        <v>0</v>
      </c>
      <c r="C271" s="152">
        <f t="shared" si="21"/>
        <v>0</v>
      </c>
      <c r="D271" s="152">
        <f t="shared" si="22"/>
        <v>0</v>
      </c>
      <c r="E271" s="152">
        <f t="shared" si="23"/>
        <v>0</v>
      </c>
      <c r="F271" s="106">
        <f t="shared" si="24"/>
        <v>0</v>
      </c>
      <c r="G271" s="153">
        <f t="shared" si="25"/>
        <v>0</v>
      </c>
    </row>
    <row r="272" spans="1:7" ht="13.5" hidden="1" thickBot="1">
      <c r="A272" s="91">
        <f t="shared" si="26"/>
        <v>250</v>
      </c>
      <c r="B272" s="106">
        <f t="shared" si="27"/>
        <v>0</v>
      </c>
      <c r="C272" s="152">
        <f t="shared" si="21"/>
        <v>0</v>
      </c>
      <c r="D272" s="152">
        <f t="shared" si="22"/>
        <v>0</v>
      </c>
      <c r="E272" s="152">
        <f t="shared" si="23"/>
        <v>0</v>
      </c>
      <c r="F272" s="106">
        <f t="shared" si="24"/>
        <v>0</v>
      </c>
      <c r="G272" s="153">
        <f t="shared" si="25"/>
        <v>0</v>
      </c>
    </row>
    <row r="273" spans="1:7" ht="13.5" hidden="1" thickBot="1">
      <c r="A273" s="91">
        <f t="shared" si="26"/>
        <v>251</v>
      </c>
      <c r="B273" s="106">
        <f t="shared" si="27"/>
        <v>0</v>
      </c>
      <c r="C273" s="152">
        <f t="shared" si="21"/>
        <v>0</v>
      </c>
      <c r="D273" s="152">
        <f t="shared" si="22"/>
        <v>0</v>
      </c>
      <c r="E273" s="152">
        <f t="shared" si="23"/>
        <v>0</v>
      </c>
      <c r="F273" s="106">
        <f t="shared" si="24"/>
        <v>0</v>
      </c>
      <c r="G273" s="153">
        <f t="shared" si="25"/>
        <v>0</v>
      </c>
    </row>
    <row r="274" spans="1:7" ht="13.5" hidden="1" thickBot="1">
      <c r="A274" s="91">
        <f t="shared" si="26"/>
        <v>252</v>
      </c>
      <c r="B274" s="106">
        <f t="shared" si="27"/>
        <v>0</v>
      </c>
      <c r="C274" s="152">
        <f t="shared" si="21"/>
        <v>0</v>
      </c>
      <c r="D274" s="152">
        <f t="shared" si="22"/>
        <v>0</v>
      </c>
      <c r="E274" s="152">
        <f t="shared" si="23"/>
        <v>0</v>
      </c>
      <c r="F274" s="106">
        <f t="shared" si="24"/>
        <v>0</v>
      </c>
      <c r="G274" s="153">
        <f t="shared" si="25"/>
        <v>0</v>
      </c>
    </row>
    <row r="275" spans="1:7" ht="13.5" hidden="1" thickBot="1">
      <c r="A275" s="91">
        <f t="shared" si="26"/>
        <v>253</v>
      </c>
      <c r="B275" s="106">
        <f t="shared" si="27"/>
        <v>0</v>
      </c>
      <c r="C275" s="152">
        <f t="shared" si="21"/>
        <v>0</v>
      </c>
      <c r="D275" s="152">
        <f t="shared" si="22"/>
        <v>0</v>
      </c>
      <c r="E275" s="152">
        <f t="shared" si="23"/>
        <v>0</v>
      </c>
      <c r="F275" s="106">
        <f t="shared" si="24"/>
        <v>0</v>
      </c>
      <c r="G275" s="153">
        <f t="shared" si="25"/>
        <v>0</v>
      </c>
    </row>
    <row r="276" spans="1:7" ht="13.5" hidden="1" thickBot="1">
      <c r="A276" s="91">
        <f t="shared" si="26"/>
        <v>254</v>
      </c>
      <c r="B276" s="106">
        <f t="shared" si="27"/>
        <v>0</v>
      </c>
      <c r="C276" s="152">
        <f t="shared" si="21"/>
        <v>0</v>
      </c>
      <c r="D276" s="152">
        <f t="shared" si="22"/>
        <v>0</v>
      </c>
      <c r="E276" s="152">
        <f t="shared" si="23"/>
        <v>0</v>
      </c>
      <c r="F276" s="106">
        <f t="shared" si="24"/>
        <v>0</v>
      </c>
      <c r="G276" s="153">
        <f t="shared" si="25"/>
        <v>0</v>
      </c>
    </row>
    <row r="277" spans="1:7" ht="13.5" hidden="1" thickBot="1">
      <c r="A277" s="91">
        <f t="shared" si="26"/>
        <v>255</v>
      </c>
      <c r="B277" s="106">
        <f t="shared" si="27"/>
        <v>0</v>
      </c>
      <c r="C277" s="152">
        <f t="shared" si="21"/>
        <v>0</v>
      </c>
      <c r="D277" s="152">
        <f t="shared" si="22"/>
        <v>0</v>
      </c>
      <c r="E277" s="152">
        <f t="shared" si="23"/>
        <v>0</v>
      </c>
      <c r="F277" s="106">
        <f t="shared" si="24"/>
        <v>0</v>
      </c>
      <c r="G277" s="153">
        <f t="shared" si="25"/>
        <v>0</v>
      </c>
    </row>
    <row r="278" spans="1:7" ht="13.5" hidden="1" thickBot="1">
      <c r="A278" s="91">
        <f t="shared" si="26"/>
        <v>256</v>
      </c>
      <c r="B278" s="106">
        <f t="shared" si="27"/>
        <v>0</v>
      </c>
      <c r="C278" s="152">
        <f t="shared" si="21"/>
        <v>0</v>
      </c>
      <c r="D278" s="152">
        <f t="shared" si="22"/>
        <v>0</v>
      </c>
      <c r="E278" s="152">
        <f t="shared" si="23"/>
        <v>0</v>
      </c>
      <c r="F278" s="106">
        <f t="shared" si="24"/>
        <v>0</v>
      </c>
      <c r="G278" s="153">
        <f t="shared" si="25"/>
        <v>0</v>
      </c>
    </row>
    <row r="279" spans="1:7" ht="13.5" hidden="1" thickBot="1">
      <c r="A279" s="91">
        <f t="shared" si="26"/>
        <v>257</v>
      </c>
      <c r="B279" s="106">
        <f t="shared" si="27"/>
        <v>0</v>
      </c>
      <c r="C279" s="152">
        <f t="shared" ref="C279:C342" si="28">IF(A279&lt;=$D$12,D279+$D$15,0)</f>
        <v>0</v>
      </c>
      <c r="D279" s="152">
        <f t="shared" ref="D279:D342" si="29">E279+F279</f>
        <v>0</v>
      </c>
      <c r="E279" s="152">
        <f t="shared" ref="E279:E342" si="30">B279*$D$13</f>
        <v>0</v>
      </c>
      <c r="F279" s="106">
        <f t="shared" ref="F279:F342" si="31">IF(A279&lt;=$D$12,$D$14*-1,0)</f>
        <v>0</v>
      </c>
      <c r="G279" s="153">
        <f t="shared" ref="G279:G342" si="32">B279-F279</f>
        <v>0</v>
      </c>
    </row>
    <row r="280" spans="1:7" ht="13.5" hidden="1" thickBot="1">
      <c r="A280" s="91">
        <f t="shared" ref="A280:A343" si="33">A279+1</f>
        <v>258</v>
      </c>
      <c r="B280" s="106">
        <f t="shared" ref="B280:B343" si="34">B279-F279</f>
        <v>0</v>
      </c>
      <c r="C280" s="152">
        <f t="shared" si="28"/>
        <v>0</v>
      </c>
      <c r="D280" s="152">
        <f t="shared" si="29"/>
        <v>0</v>
      </c>
      <c r="E280" s="152">
        <f t="shared" si="30"/>
        <v>0</v>
      </c>
      <c r="F280" s="106">
        <f t="shared" si="31"/>
        <v>0</v>
      </c>
      <c r="G280" s="153">
        <f t="shared" si="32"/>
        <v>0</v>
      </c>
    </row>
    <row r="281" spans="1:7" ht="13.5" hidden="1" thickBot="1">
      <c r="A281" s="91">
        <f t="shared" si="33"/>
        <v>259</v>
      </c>
      <c r="B281" s="106">
        <f t="shared" si="34"/>
        <v>0</v>
      </c>
      <c r="C281" s="152">
        <f t="shared" si="28"/>
        <v>0</v>
      </c>
      <c r="D281" s="152">
        <f t="shared" si="29"/>
        <v>0</v>
      </c>
      <c r="E281" s="152">
        <f t="shared" si="30"/>
        <v>0</v>
      </c>
      <c r="F281" s="106">
        <f t="shared" si="31"/>
        <v>0</v>
      </c>
      <c r="G281" s="153">
        <f t="shared" si="32"/>
        <v>0</v>
      </c>
    </row>
    <row r="282" spans="1:7" ht="13.5" hidden="1" thickBot="1">
      <c r="A282" s="91">
        <f t="shared" si="33"/>
        <v>260</v>
      </c>
      <c r="B282" s="106">
        <f t="shared" si="34"/>
        <v>0</v>
      </c>
      <c r="C282" s="152">
        <f t="shared" si="28"/>
        <v>0</v>
      </c>
      <c r="D282" s="152">
        <f t="shared" si="29"/>
        <v>0</v>
      </c>
      <c r="E282" s="152">
        <f t="shared" si="30"/>
        <v>0</v>
      </c>
      <c r="F282" s="106">
        <f t="shared" si="31"/>
        <v>0</v>
      </c>
      <c r="G282" s="153">
        <f t="shared" si="32"/>
        <v>0</v>
      </c>
    </row>
    <row r="283" spans="1:7" ht="13.5" hidden="1" thickBot="1">
      <c r="A283" s="91">
        <f t="shared" si="33"/>
        <v>261</v>
      </c>
      <c r="B283" s="106">
        <f t="shared" si="34"/>
        <v>0</v>
      </c>
      <c r="C283" s="152">
        <f t="shared" si="28"/>
        <v>0</v>
      </c>
      <c r="D283" s="152">
        <f t="shared" si="29"/>
        <v>0</v>
      </c>
      <c r="E283" s="152">
        <f t="shared" si="30"/>
        <v>0</v>
      </c>
      <c r="F283" s="106">
        <f t="shared" si="31"/>
        <v>0</v>
      </c>
      <c r="G283" s="153">
        <f t="shared" si="32"/>
        <v>0</v>
      </c>
    </row>
    <row r="284" spans="1:7" ht="13.5" hidden="1" thickBot="1">
      <c r="A284" s="91">
        <f t="shared" si="33"/>
        <v>262</v>
      </c>
      <c r="B284" s="106">
        <f t="shared" si="34"/>
        <v>0</v>
      </c>
      <c r="C284" s="152">
        <f t="shared" si="28"/>
        <v>0</v>
      </c>
      <c r="D284" s="152">
        <f t="shared" si="29"/>
        <v>0</v>
      </c>
      <c r="E284" s="152">
        <f t="shared" si="30"/>
        <v>0</v>
      </c>
      <c r="F284" s="106">
        <f t="shared" si="31"/>
        <v>0</v>
      </c>
      <c r="G284" s="153">
        <f t="shared" si="32"/>
        <v>0</v>
      </c>
    </row>
    <row r="285" spans="1:7" ht="13.5" hidden="1" thickBot="1">
      <c r="A285" s="91">
        <f t="shared" si="33"/>
        <v>263</v>
      </c>
      <c r="B285" s="106">
        <f t="shared" si="34"/>
        <v>0</v>
      </c>
      <c r="C285" s="152">
        <f t="shared" si="28"/>
        <v>0</v>
      </c>
      <c r="D285" s="152">
        <f t="shared" si="29"/>
        <v>0</v>
      </c>
      <c r="E285" s="152">
        <f t="shared" si="30"/>
        <v>0</v>
      </c>
      <c r="F285" s="106">
        <f t="shared" si="31"/>
        <v>0</v>
      </c>
      <c r="G285" s="153">
        <f t="shared" si="32"/>
        <v>0</v>
      </c>
    </row>
    <row r="286" spans="1:7" ht="13.5" hidden="1" thickBot="1">
      <c r="A286" s="91">
        <f t="shared" si="33"/>
        <v>264</v>
      </c>
      <c r="B286" s="106">
        <f t="shared" si="34"/>
        <v>0</v>
      </c>
      <c r="C286" s="152">
        <f t="shared" si="28"/>
        <v>0</v>
      </c>
      <c r="D286" s="152">
        <f t="shared" si="29"/>
        <v>0</v>
      </c>
      <c r="E286" s="152">
        <f t="shared" si="30"/>
        <v>0</v>
      </c>
      <c r="F286" s="106">
        <f t="shared" si="31"/>
        <v>0</v>
      </c>
      <c r="G286" s="153">
        <f t="shared" si="32"/>
        <v>0</v>
      </c>
    </row>
    <row r="287" spans="1:7" ht="13.5" hidden="1" thickBot="1">
      <c r="A287" s="91">
        <f t="shared" si="33"/>
        <v>265</v>
      </c>
      <c r="B287" s="106">
        <f t="shared" si="34"/>
        <v>0</v>
      </c>
      <c r="C287" s="152">
        <f t="shared" si="28"/>
        <v>0</v>
      </c>
      <c r="D287" s="152">
        <f t="shared" si="29"/>
        <v>0</v>
      </c>
      <c r="E287" s="152">
        <f t="shared" si="30"/>
        <v>0</v>
      </c>
      <c r="F287" s="106">
        <f t="shared" si="31"/>
        <v>0</v>
      </c>
      <c r="G287" s="153">
        <f t="shared" si="32"/>
        <v>0</v>
      </c>
    </row>
    <row r="288" spans="1:7" ht="13.5" hidden="1" thickBot="1">
      <c r="A288" s="91">
        <f t="shared" si="33"/>
        <v>266</v>
      </c>
      <c r="B288" s="106">
        <f t="shared" si="34"/>
        <v>0</v>
      </c>
      <c r="C288" s="152">
        <f t="shared" si="28"/>
        <v>0</v>
      </c>
      <c r="D288" s="152">
        <f t="shared" si="29"/>
        <v>0</v>
      </c>
      <c r="E288" s="152">
        <f t="shared" si="30"/>
        <v>0</v>
      </c>
      <c r="F288" s="106">
        <f t="shared" si="31"/>
        <v>0</v>
      </c>
      <c r="G288" s="153">
        <f t="shared" si="32"/>
        <v>0</v>
      </c>
    </row>
    <row r="289" spans="1:7" ht="13.5" hidden="1" thickBot="1">
      <c r="A289" s="91">
        <f t="shared" si="33"/>
        <v>267</v>
      </c>
      <c r="B289" s="106">
        <f t="shared" si="34"/>
        <v>0</v>
      </c>
      <c r="C289" s="152">
        <f t="shared" si="28"/>
        <v>0</v>
      </c>
      <c r="D289" s="152">
        <f t="shared" si="29"/>
        <v>0</v>
      </c>
      <c r="E289" s="152">
        <f t="shared" si="30"/>
        <v>0</v>
      </c>
      <c r="F289" s="106">
        <f t="shared" si="31"/>
        <v>0</v>
      </c>
      <c r="G289" s="153">
        <f t="shared" si="32"/>
        <v>0</v>
      </c>
    </row>
    <row r="290" spans="1:7" ht="13.5" hidden="1" thickBot="1">
      <c r="A290" s="91">
        <f t="shared" si="33"/>
        <v>268</v>
      </c>
      <c r="B290" s="106">
        <f t="shared" si="34"/>
        <v>0</v>
      </c>
      <c r="C290" s="152">
        <f t="shared" si="28"/>
        <v>0</v>
      </c>
      <c r="D290" s="152">
        <f t="shared" si="29"/>
        <v>0</v>
      </c>
      <c r="E290" s="152">
        <f t="shared" si="30"/>
        <v>0</v>
      </c>
      <c r="F290" s="106">
        <f t="shared" si="31"/>
        <v>0</v>
      </c>
      <c r="G290" s="153">
        <f t="shared" si="32"/>
        <v>0</v>
      </c>
    </row>
    <row r="291" spans="1:7" ht="13.5" hidden="1" thickBot="1">
      <c r="A291" s="91">
        <f t="shared" si="33"/>
        <v>269</v>
      </c>
      <c r="B291" s="106">
        <f t="shared" si="34"/>
        <v>0</v>
      </c>
      <c r="C291" s="152">
        <f t="shared" si="28"/>
        <v>0</v>
      </c>
      <c r="D291" s="152">
        <f t="shared" si="29"/>
        <v>0</v>
      </c>
      <c r="E291" s="152">
        <f t="shared" si="30"/>
        <v>0</v>
      </c>
      <c r="F291" s="106">
        <f t="shared" si="31"/>
        <v>0</v>
      </c>
      <c r="G291" s="153">
        <f t="shared" si="32"/>
        <v>0</v>
      </c>
    </row>
    <row r="292" spans="1:7" ht="13.5" hidden="1" thickBot="1">
      <c r="A292" s="91">
        <f t="shared" si="33"/>
        <v>270</v>
      </c>
      <c r="B292" s="106">
        <f t="shared" si="34"/>
        <v>0</v>
      </c>
      <c r="C292" s="152">
        <f t="shared" si="28"/>
        <v>0</v>
      </c>
      <c r="D292" s="152">
        <f t="shared" si="29"/>
        <v>0</v>
      </c>
      <c r="E292" s="152">
        <f t="shared" si="30"/>
        <v>0</v>
      </c>
      <c r="F292" s="106">
        <f t="shared" si="31"/>
        <v>0</v>
      </c>
      <c r="G292" s="153">
        <f t="shared" si="32"/>
        <v>0</v>
      </c>
    </row>
    <row r="293" spans="1:7" ht="13.5" hidden="1" thickBot="1">
      <c r="A293" s="91">
        <f t="shared" si="33"/>
        <v>271</v>
      </c>
      <c r="B293" s="106">
        <f t="shared" si="34"/>
        <v>0</v>
      </c>
      <c r="C293" s="152">
        <f t="shared" si="28"/>
        <v>0</v>
      </c>
      <c r="D293" s="152">
        <f t="shared" si="29"/>
        <v>0</v>
      </c>
      <c r="E293" s="152">
        <f t="shared" si="30"/>
        <v>0</v>
      </c>
      <c r="F293" s="106">
        <f t="shared" si="31"/>
        <v>0</v>
      </c>
      <c r="G293" s="153">
        <f t="shared" si="32"/>
        <v>0</v>
      </c>
    </row>
    <row r="294" spans="1:7" ht="13.5" hidden="1" thickBot="1">
      <c r="A294" s="91">
        <f t="shared" si="33"/>
        <v>272</v>
      </c>
      <c r="B294" s="106">
        <f t="shared" si="34"/>
        <v>0</v>
      </c>
      <c r="C294" s="152">
        <f t="shared" si="28"/>
        <v>0</v>
      </c>
      <c r="D294" s="152">
        <f t="shared" si="29"/>
        <v>0</v>
      </c>
      <c r="E294" s="152">
        <f t="shared" si="30"/>
        <v>0</v>
      </c>
      <c r="F294" s="106">
        <f t="shared" si="31"/>
        <v>0</v>
      </c>
      <c r="G294" s="153">
        <f t="shared" si="32"/>
        <v>0</v>
      </c>
    </row>
    <row r="295" spans="1:7" ht="13.5" hidden="1" thickBot="1">
      <c r="A295" s="91">
        <f t="shared" si="33"/>
        <v>273</v>
      </c>
      <c r="B295" s="106">
        <f t="shared" si="34"/>
        <v>0</v>
      </c>
      <c r="C295" s="152">
        <f t="shared" si="28"/>
        <v>0</v>
      </c>
      <c r="D295" s="152">
        <f t="shared" si="29"/>
        <v>0</v>
      </c>
      <c r="E295" s="152">
        <f t="shared" si="30"/>
        <v>0</v>
      </c>
      <c r="F295" s="106">
        <f t="shared" si="31"/>
        <v>0</v>
      </c>
      <c r="G295" s="153">
        <f t="shared" si="32"/>
        <v>0</v>
      </c>
    </row>
    <row r="296" spans="1:7" ht="13.5" hidden="1" thickBot="1">
      <c r="A296" s="91">
        <f t="shared" si="33"/>
        <v>274</v>
      </c>
      <c r="B296" s="106">
        <f t="shared" si="34"/>
        <v>0</v>
      </c>
      <c r="C296" s="152">
        <f t="shared" si="28"/>
        <v>0</v>
      </c>
      <c r="D296" s="152">
        <f t="shared" si="29"/>
        <v>0</v>
      </c>
      <c r="E296" s="152">
        <f t="shared" si="30"/>
        <v>0</v>
      </c>
      <c r="F296" s="106">
        <f t="shared" si="31"/>
        <v>0</v>
      </c>
      <c r="G296" s="153">
        <f t="shared" si="32"/>
        <v>0</v>
      </c>
    </row>
    <row r="297" spans="1:7" ht="13.5" hidden="1" thickBot="1">
      <c r="A297" s="91">
        <f t="shared" si="33"/>
        <v>275</v>
      </c>
      <c r="B297" s="106">
        <f t="shared" si="34"/>
        <v>0</v>
      </c>
      <c r="C297" s="152">
        <f t="shared" si="28"/>
        <v>0</v>
      </c>
      <c r="D297" s="152">
        <f t="shared" si="29"/>
        <v>0</v>
      </c>
      <c r="E297" s="152">
        <f t="shared" si="30"/>
        <v>0</v>
      </c>
      <c r="F297" s="106">
        <f t="shared" si="31"/>
        <v>0</v>
      </c>
      <c r="G297" s="153">
        <f t="shared" si="32"/>
        <v>0</v>
      </c>
    </row>
    <row r="298" spans="1:7" ht="13.5" hidden="1" thickBot="1">
      <c r="A298" s="91">
        <f t="shared" si="33"/>
        <v>276</v>
      </c>
      <c r="B298" s="106">
        <f t="shared" si="34"/>
        <v>0</v>
      </c>
      <c r="C298" s="152">
        <f t="shared" si="28"/>
        <v>0</v>
      </c>
      <c r="D298" s="152">
        <f t="shared" si="29"/>
        <v>0</v>
      </c>
      <c r="E298" s="152">
        <f t="shared" si="30"/>
        <v>0</v>
      </c>
      <c r="F298" s="106">
        <f t="shared" si="31"/>
        <v>0</v>
      </c>
      <c r="G298" s="153">
        <f t="shared" si="32"/>
        <v>0</v>
      </c>
    </row>
    <row r="299" spans="1:7" ht="13.5" hidden="1" thickBot="1">
      <c r="A299" s="91">
        <f t="shared" si="33"/>
        <v>277</v>
      </c>
      <c r="B299" s="106">
        <f t="shared" si="34"/>
        <v>0</v>
      </c>
      <c r="C299" s="152">
        <f t="shared" si="28"/>
        <v>0</v>
      </c>
      <c r="D299" s="152">
        <f t="shared" si="29"/>
        <v>0</v>
      </c>
      <c r="E299" s="152">
        <f t="shared" si="30"/>
        <v>0</v>
      </c>
      <c r="F299" s="106">
        <f t="shared" si="31"/>
        <v>0</v>
      </c>
      <c r="G299" s="153">
        <f t="shared" si="32"/>
        <v>0</v>
      </c>
    </row>
    <row r="300" spans="1:7" ht="13.5" hidden="1" thickBot="1">
      <c r="A300" s="91">
        <f t="shared" si="33"/>
        <v>278</v>
      </c>
      <c r="B300" s="106">
        <f t="shared" si="34"/>
        <v>0</v>
      </c>
      <c r="C300" s="152">
        <f t="shared" si="28"/>
        <v>0</v>
      </c>
      <c r="D300" s="152">
        <f t="shared" si="29"/>
        <v>0</v>
      </c>
      <c r="E300" s="152">
        <f t="shared" si="30"/>
        <v>0</v>
      </c>
      <c r="F300" s="106">
        <f t="shared" si="31"/>
        <v>0</v>
      </c>
      <c r="G300" s="153">
        <f t="shared" si="32"/>
        <v>0</v>
      </c>
    </row>
    <row r="301" spans="1:7" ht="13.5" hidden="1" thickBot="1">
      <c r="A301" s="91">
        <f t="shared" si="33"/>
        <v>279</v>
      </c>
      <c r="B301" s="106">
        <f t="shared" si="34"/>
        <v>0</v>
      </c>
      <c r="C301" s="152">
        <f t="shared" si="28"/>
        <v>0</v>
      </c>
      <c r="D301" s="152">
        <f t="shared" si="29"/>
        <v>0</v>
      </c>
      <c r="E301" s="152">
        <f t="shared" si="30"/>
        <v>0</v>
      </c>
      <c r="F301" s="106">
        <f t="shared" si="31"/>
        <v>0</v>
      </c>
      <c r="G301" s="153">
        <f t="shared" si="32"/>
        <v>0</v>
      </c>
    </row>
    <row r="302" spans="1:7" ht="13.5" hidden="1" thickBot="1">
      <c r="A302" s="91">
        <f t="shared" si="33"/>
        <v>280</v>
      </c>
      <c r="B302" s="106">
        <f t="shared" si="34"/>
        <v>0</v>
      </c>
      <c r="C302" s="152">
        <f t="shared" si="28"/>
        <v>0</v>
      </c>
      <c r="D302" s="152">
        <f t="shared" si="29"/>
        <v>0</v>
      </c>
      <c r="E302" s="152">
        <f t="shared" si="30"/>
        <v>0</v>
      </c>
      <c r="F302" s="106">
        <f t="shared" si="31"/>
        <v>0</v>
      </c>
      <c r="G302" s="153">
        <f t="shared" si="32"/>
        <v>0</v>
      </c>
    </row>
    <row r="303" spans="1:7" ht="13.5" hidden="1" thickBot="1">
      <c r="A303" s="91">
        <f t="shared" si="33"/>
        <v>281</v>
      </c>
      <c r="B303" s="106">
        <f t="shared" si="34"/>
        <v>0</v>
      </c>
      <c r="C303" s="152">
        <f t="shared" si="28"/>
        <v>0</v>
      </c>
      <c r="D303" s="152">
        <f t="shared" si="29"/>
        <v>0</v>
      </c>
      <c r="E303" s="152">
        <f t="shared" si="30"/>
        <v>0</v>
      </c>
      <c r="F303" s="106">
        <f t="shared" si="31"/>
        <v>0</v>
      </c>
      <c r="G303" s="153">
        <f t="shared" si="32"/>
        <v>0</v>
      </c>
    </row>
    <row r="304" spans="1:7" ht="13.5" hidden="1" thickBot="1">
      <c r="A304" s="91">
        <f t="shared" si="33"/>
        <v>282</v>
      </c>
      <c r="B304" s="106">
        <f t="shared" si="34"/>
        <v>0</v>
      </c>
      <c r="C304" s="152">
        <f t="shared" si="28"/>
        <v>0</v>
      </c>
      <c r="D304" s="152">
        <f t="shared" si="29"/>
        <v>0</v>
      </c>
      <c r="E304" s="152">
        <f t="shared" si="30"/>
        <v>0</v>
      </c>
      <c r="F304" s="106">
        <f t="shared" si="31"/>
        <v>0</v>
      </c>
      <c r="G304" s="153">
        <f t="shared" si="32"/>
        <v>0</v>
      </c>
    </row>
    <row r="305" spans="1:7" ht="13.5" hidden="1" thickBot="1">
      <c r="A305" s="91">
        <f t="shared" si="33"/>
        <v>283</v>
      </c>
      <c r="B305" s="106">
        <f t="shared" si="34"/>
        <v>0</v>
      </c>
      <c r="C305" s="152">
        <f t="shared" si="28"/>
        <v>0</v>
      </c>
      <c r="D305" s="152">
        <f t="shared" si="29"/>
        <v>0</v>
      </c>
      <c r="E305" s="152">
        <f t="shared" si="30"/>
        <v>0</v>
      </c>
      <c r="F305" s="106">
        <f t="shared" si="31"/>
        <v>0</v>
      </c>
      <c r="G305" s="153">
        <f t="shared" si="32"/>
        <v>0</v>
      </c>
    </row>
    <row r="306" spans="1:7" ht="13.5" hidden="1" thickBot="1">
      <c r="A306" s="91">
        <f t="shared" si="33"/>
        <v>284</v>
      </c>
      <c r="B306" s="106">
        <f t="shared" si="34"/>
        <v>0</v>
      </c>
      <c r="C306" s="152">
        <f t="shared" si="28"/>
        <v>0</v>
      </c>
      <c r="D306" s="152">
        <f t="shared" si="29"/>
        <v>0</v>
      </c>
      <c r="E306" s="152">
        <f t="shared" si="30"/>
        <v>0</v>
      </c>
      <c r="F306" s="106">
        <f t="shared" si="31"/>
        <v>0</v>
      </c>
      <c r="G306" s="153">
        <f t="shared" si="32"/>
        <v>0</v>
      </c>
    </row>
    <row r="307" spans="1:7" ht="13.5" hidden="1" thickBot="1">
      <c r="A307" s="91">
        <f t="shared" si="33"/>
        <v>285</v>
      </c>
      <c r="B307" s="106">
        <f t="shared" si="34"/>
        <v>0</v>
      </c>
      <c r="C307" s="152">
        <f t="shared" si="28"/>
        <v>0</v>
      </c>
      <c r="D307" s="152">
        <f t="shared" si="29"/>
        <v>0</v>
      </c>
      <c r="E307" s="152">
        <f t="shared" si="30"/>
        <v>0</v>
      </c>
      <c r="F307" s="106">
        <f t="shared" si="31"/>
        <v>0</v>
      </c>
      <c r="G307" s="153">
        <f t="shared" si="32"/>
        <v>0</v>
      </c>
    </row>
    <row r="308" spans="1:7" ht="13.5" hidden="1" thickBot="1">
      <c r="A308" s="91">
        <f t="shared" si="33"/>
        <v>286</v>
      </c>
      <c r="B308" s="106">
        <f t="shared" si="34"/>
        <v>0</v>
      </c>
      <c r="C308" s="152">
        <f t="shared" si="28"/>
        <v>0</v>
      </c>
      <c r="D308" s="152">
        <f t="shared" si="29"/>
        <v>0</v>
      </c>
      <c r="E308" s="152">
        <f t="shared" si="30"/>
        <v>0</v>
      </c>
      <c r="F308" s="106">
        <f t="shared" si="31"/>
        <v>0</v>
      </c>
      <c r="G308" s="153">
        <f t="shared" si="32"/>
        <v>0</v>
      </c>
    </row>
    <row r="309" spans="1:7" ht="13.5" hidden="1" thickBot="1">
      <c r="A309" s="91">
        <f t="shared" si="33"/>
        <v>287</v>
      </c>
      <c r="B309" s="106">
        <f t="shared" si="34"/>
        <v>0</v>
      </c>
      <c r="C309" s="152">
        <f t="shared" si="28"/>
        <v>0</v>
      </c>
      <c r="D309" s="152">
        <f t="shared" si="29"/>
        <v>0</v>
      </c>
      <c r="E309" s="152">
        <f t="shared" si="30"/>
        <v>0</v>
      </c>
      <c r="F309" s="106">
        <f t="shared" si="31"/>
        <v>0</v>
      </c>
      <c r="G309" s="153">
        <f t="shared" si="32"/>
        <v>0</v>
      </c>
    </row>
    <row r="310" spans="1:7" ht="13.5" hidden="1" thickBot="1">
      <c r="A310" s="91">
        <f t="shared" si="33"/>
        <v>288</v>
      </c>
      <c r="B310" s="106">
        <f t="shared" si="34"/>
        <v>0</v>
      </c>
      <c r="C310" s="152">
        <f t="shared" si="28"/>
        <v>0</v>
      </c>
      <c r="D310" s="152">
        <f t="shared" si="29"/>
        <v>0</v>
      </c>
      <c r="E310" s="152">
        <f t="shared" si="30"/>
        <v>0</v>
      </c>
      <c r="F310" s="106">
        <f t="shared" si="31"/>
        <v>0</v>
      </c>
      <c r="G310" s="153">
        <f t="shared" si="32"/>
        <v>0</v>
      </c>
    </row>
    <row r="311" spans="1:7" ht="13.5" hidden="1" thickBot="1">
      <c r="A311" s="91">
        <f t="shared" si="33"/>
        <v>289</v>
      </c>
      <c r="B311" s="106">
        <f t="shared" si="34"/>
        <v>0</v>
      </c>
      <c r="C311" s="152">
        <f t="shared" si="28"/>
        <v>0</v>
      </c>
      <c r="D311" s="152">
        <f t="shared" si="29"/>
        <v>0</v>
      </c>
      <c r="E311" s="152">
        <f t="shared" si="30"/>
        <v>0</v>
      </c>
      <c r="F311" s="106">
        <f t="shared" si="31"/>
        <v>0</v>
      </c>
      <c r="G311" s="153">
        <f t="shared" si="32"/>
        <v>0</v>
      </c>
    </row>
    <row r="312" spans="1:7" ht="13.5" hidden="1" thickBot="1">
      <c r="A312" s="91">
        <f t="shared" si="33"/>
        <v>290</v>
      </c>
      <c r="B312" s="106">
        <f t="shared" si="34"/>
        <v>0</v>
      </c>
      <c r="C312" s="152">
        <f t="shared" si="28"/>
        <v>0</v>
      </c>
      <c r="D312" s="152">
        <f t="shared" si="29"/>
        <v>0</v>
      </c>
      <c r="E312" s="152">
        <f t="shared" si="30"/>
        <v>0</v>
      </c>
      <c r="F312" s="106">
        <f t="shared" si="31"/>
        <v>0</v>
      </c>
      <c r="G312" s="153">
        <f t="shared" si="32"/>
        <v>0</v>
      </c>
    </row>
    <row r="313" spans="1:7" ht="13.5" hidden="1" thickBot="1">
      <c r="A313" s="91">
        <f t="shared" si="33"/>
        <v>291</v>
      </c>
      <c r="B313" s="106">
        <f t="shared" si="34"/>
        <v>0</v>
      </c>
      <c r="C313" s="152">
        <f t="shared" si="28"/>
        <v>0</v>
      </c>
      <c r="D313" s="152">
        <f t="shared" si="29"/>
        <v>0</v>
      </c>
      <c r="E313" s="152">
        <f t="shared" si="30"/>
        <v>0</v>
      </c>
      <c r="F313" s="106">
        <f t="shared" si="31"/>
        <v>0</v>
      </c>
      <c r="G313" s="153">
        <f t="shared" si="32"/>
        <v>0</v>
      </c>
    </row>
    <row r="314" spans="1:7" ht="13.5" hidden="1" thickBot="1">
      <c r="A314" s="91">
        <f t="shared" si="33"/>
        <v>292</v>
      </c>
      <c r="B314" s="106">
        <f t="shared" si="34"/>
        <v>0</v>
      </c>
      <c r="C314" s="152">
        <f t="shared" si="28"/>
        <v>0</v>
      </c>
      <c r="D314" s="152">
        <f t="shared" si="29"/>
        <v>0</v>
      </c>
      <c r="E314" s="152">
        <f t="shared" si="30"/>
        <v>0</v>
      </c>
      <c r="F314" s="106">
        <f t="shared" si="31"/>
        <v>0</v>
      </c>
      <c r="G314" s="153">
        <f t="shared" si="32"/>
        <v>0</v>
      </c>
    </row>
    <row r="315" spans="1:7" ht="13.5" hidden="1" thickBot="1">
      <c r="A315" s="91">
        <f t="shared" si="33"/>
        <v>293</v>
      </c>
      <c r="B315" s="106">
        <f t="shared" si="34"/>
        <v>0</v>
      </c>
      <c r="C315" s="152">
        <f t="shared" si="28"/>
        <v>0</v>
      </c>
      <c r="D315" s="152">
        <f t="shared" si="29"/>
        <v>0</v>
      </c>
      <c r="E315" s="152">
        <f t="shared" si="30"/>
        <v>0</v>
      </c>
      <c r="F315" s="106">
        <f t="shared" si="31"/>
        <v>0</v>
      </c>
      <c r="G315" s="153">
        <f t="shared" si="32"/>
        <v>0</v>
      </c>
    </row>
    <row r="316" spans="1:7" ht="13.5" hidden="1" thickBot="1">
      <c r="A316" s="91">
        <f t="shared" si="33"/>
        <v>294</v>
      </c>
      <c r="B316" s="106">
        <f t="shared" si="34"/>
        <v>0</v>
      </c>
      <c r="C316" s="152">
        <f t="shared" si="28"/>
        <v>0</v>
      </c>
      <c r="D316" s="152">
        <f t="shared" si="29"/>
        <v>0</v>
      </c>
      <c r="E316" s="152">
        <f t="shared" si="30"/>
        <v>0</v>
      </c>
      <c r="F316" s="106">
        <f t="shared" si="31"/>
        <v>0</v>
      </c>
      <c r="G316" s="153">
        <f t="shared" si="32"/>
        <v>0</v>
      </c>
    </row>
    <row r="317" spans="1:7" ht="13.5" hidden="1" thickBot="1">
      <c r="A317" s="91">
        <f t="shared" si="33"/>
        <v>295</v>
      </c>
      <c r="B317" s="106">
        <f t="shared" si="34"/>
        <v>0</v>
      </c>
      <c r="C317" s="152">
        <f t="shared" si="28"/>
        <v>0</v>
      </c>
      <c r="D317" s="152">
        <f t="shared" si="29"/>
        <v>0</v>
      </c>
      <c r="E317" s="152">
        <f t="shared" si="30"/>
        <v>0</v>
      </c>
      <c r="F317" s="106">
        <f t="shared" si="31"/>
        <v>0</v>
      </c>
      <c r="G317" s="153">
        <f t="shared" si="32"/>
        <v>0</v>
      </c>
    </row>
    <row r="318" spans="1:7" ht="13.5" hidden="1" thickBot="1">
      <c r="A318" s="91">
        <f t="shared" si="33"/>
        <v>296</v>
      </c>
      <c r="B318" s="106">
        <f t="shared" si="34"/>
        <v>0</v>
      </c>
      <c r="C318" s="152">
        <f t="shared" si="28"/>
        <v>0</v>
      </c>
      <c r="D318" s="152">
        <f t="shared" si="29"/>
        <v>0</v>
      </c>
      <c r="E318" s="152">
        <f t="shared" si="30"/>
        <v>0</v>
      </c>
      <c r="F318" s="106">
        <f t="shared" si="31"/>
        <v>0</v>
      </c>
      <c r="G318" s="153">
        <f t="shared" si="32"/>
        <v>0</v>
      </c>
    </row>
    <row r="319" spans="1:7" ht="13.5" hidden="1" thickBot="1">
      <c r="A319" s="91">
        <f t="shared" si="33"/>
        <v>297</v>
      </c>
      <c r="B319" s="106">
        <f t="shared" si="34"/>
        <v>0</v>
      </c>
      <c r="C319" s="152">
        <f t="shared" si="28"/>
        <v>0</v>
      </c>
      <c r="D319" s="152">
        <f t="shared" si="29"/>
        <v>0</v>
      </c>
      <c r="E319" s="152">
        <f t="shared" si="30"/>
        <v>0</v>
      </c>
      <c r="F319" s="106">
        <f t="shared" si="31"/>
        <v>0</v>
      </c>
      <c r="G319" s="153">
        <f t="shared" si="32"/>
        <v>0</v>
      </c>
    </row>
    <row r="320" spans="1:7" ht="13.5" hidden="1" thickBot="1">
      <c r="A320" s="91">
        <f t="shared" si="33"/>
        <v>298</v>
      </c>
      <c r="B320" s="106">
        <f t="shared" si="34"/>
        <v>0</v>
      </c>
      <c r="C320" s="152">
        <f t="shared" si="28"/>
        <v>0</v>
      </c>
      <c r="D320" s="152">
        <f t="shared" si="29"/>
        <v>0</v>
      </c>
      <c r="E320" s="152">
        <f t="shared" si="30"/>
        <v>0</v>
      </c>
      <c r="F320" s="106">
        <f t="shared" si="31"/>
        <v>0</v>
      </c>
      <c r="G320" s="153">
        <f t="shared" si="32"/>
        <v>0</v>
      </c>
    </row>
    <row r="321" spans="1:7" ht="13.5" hidden="1" thickBot="1">
      <c r="A321" s="91">
        <f t="shared" si="33"/>
        <v>299</v>
      </c>
      <c r="B321" s="106">
        <f t="shared" si="34"/>
        <v>0</v>
      </c>
      <c r="C321" s="152">
        <f t="shared" si="28"/>
        <v>0</v>
      </c>
      <c r="D321" s="152">
        <f t="shared" si="29"/>
        <v>0</v>
      </c>
      <c r="E321" s="152">
        <f t="shared" si="30"/>
        <v>0</v>
      </c>
      <c r="F321" s="106">
        <f t="shared" si="31"/>
        <v>0</v>
      </c>
      <c r="G321" s="153">
        <f t="shared" si="32"/>
        <v>0</v>
      </c>
    </row>
    <row r="322" spans="1:7" ht="13.5" hidden="1" thickBot="1">
      <c r="A322" s="91">
        <f t="shared" si="33"/>
        <v>300</v>
      </c>
      <c r="B322" s="106">
        <f t="shared" si="34"/>
        <v>0</v>
      </c>
      <c r="C322" s="152">
        <f t="shared" si="28"/>
        <v>0</v>
      </c>
      <c r="D322" s="152">
        <f t="shared" si="29"/>
        <v>0</v>
      </c>
      <c r="E322" s="152">
        <f t="shared" si="30"/>
        <v>0</v>
      </c>
      <c r="F322" s="106">
        <f t="shared" si="31"/>
        <v>0</v>
      </c>
      <c r="G322" s="153">
        <f t="shared" si="32"/>
        <v>0</v>
      </c>
    </row>
    <row r="323" spans="1:7" ht="13.5" hidden="1" thickBot="1">
      <c r="A323" s="91">
        <f t="shared" si="33"/>
        <v>301</v>
      </c>
      <c r="B323" s="106">
        <f t="shared" si="34"/>
        <v>0</v>
      </c>
      <c r="C323" s="152">
        <f t="shared" si="28"/>
        <v>0</v>
      </c>
      <c r="D323" s="152">
        <f t="shared" si="29"/>
        <v>0</v>
      </c>
      <c r="E323" s="152">
        <f t="shared" si="30"/>
        <v>0</v>
      </c>
      <c r="F323" s="106">
        <f t="shared" si="31"/>
        <v>0</v>
      </c>
      <c r="G323" s="153">
        <f t="shared" si="32"/>
        <v>0</v>
      </c>
    </row>
    <row r="324" spans="1:7" ht="13.5" hidden="1" thickBot="1">
      <c r="A324" s="91">
        <f t="shared" si="33"/>
        <v>302</v>
      </c>
      <c r="B324" s="106">
        <f t="shared" si="34"/>
        <v>0</v>
      </c>
      <c r="C324" s="152">
        <f t="shared" si="28"/>
        <v>0</v>
      </c>
      <c r="D324" s="152">
        <f t="shared" si="29"/>
        <v>0</v>
      </c>
      <c r="E324" s="152">
        <f t="shared" si="30"/>
        <v>0</v>
      </c>
      <c r="F324" s="106">
        <f t="shared" si="31"/>
        <v>0</v>
      </c>
      <c r="G324" s="153">
        <f t="shared" si="32"/>
        <v>0</v>
      </c>
    </row>
    <row r="325" spans="1:7" ht="13.5" hidden="1" thickBot="1">
      <c r="A325" s="91">
        <f t="shared" si="33"/>
        <v>303</v>
      </c>
      <c r="B325" s="106">
        <f t="shared" si="34"/>
        <v>0</v>
      </c>
      <c r="C325" s="152">
        <f t="shared" si="28"/>
        <v>0</v>
      </c>
      <c r="D325" s="152">
        <f t="shared" si="29"/>
        <v>0</v>
      </c>
      <c r="E325" s="152">
        <f t="shared" si="30"/>
        <v>0</v>
      </c>
      <c r="F325" s="106">
        <f t="shared" si="31"/>
        <v>0</v>
      </c>
      <c r="G325" s="153">
        <f t="shared" si="32"/>
        <v>0</v>
      </c>
    </row>
    <row r="326" spans="1:7" ht="13.5" hidden="1" thickBot="1">
      <c r="A326" s="91">
        <f t="shared" si="33"/>
        <v>304</v>
      </c>
      <c r="B326" s="106">
        <f t="shared" si="34"/>
        <v>0</v>
      </c>
      <c r="C326" s="152">
        <f t="shared" si="28"/>
        <v>0</v>
      </c>
      <c r="D326" s="152">
        <f t="shared" si="29"/>
        <v>0</v>
      </c>
      <c r="E326" s="152">
        <f t="shared" si="30"/>
        <v>0</v>
      </c>
      <c r="F326" s="106">
        <f t="shared" si="31"/>
        <v>0</v>
      </c>
      <c r="G326" s="153">
        <f t="shared" si="32"/>
        <v>0</v>
      </c>
    </row>
    <row r="327" spans="1:7" ht="13.5" hidden="1" thickBot="1">
      <c r="A327" s="91">
        <f t="shared" si="33"/>
        <v>305</v>
      </c>
      <c r="B327" s="106">
        <f t="shared" si="34"/>
        <v>0</v>
      </c>
      <c r="C327" s="152">
        <f t="shared" si="28"/>
        <v>0</v>
      </c>
      <c r="D327" s="152">
        <f t="shared" si="29"/>
        <v>0</v>
      </c>
      <c r="E327" s="152">
        <f t="shared" si="30"/>
        <v>0</v>
      </c>
      <c r="F327" s="106">
        <f t="shared" si="31"/>
        <v>0</v>
      </c>
      <c r="G327" s="153">
        <f t="shared" si="32"/>
        <v>0</v>
      </c>
    </row>
    <row r="328" spans="1:7" ht="13.5" hidden="1" thickBot="1">
      <c r="A328" s="91">
        <f t="shared" si="33"/>
        <v>306</v>
      </c>
      <c r="B328" s="106">
        <f t="shared" si="34"/>
        <v>0</v>
      </c>
      <c r="C328" s="152">
        <f t="shared" si="28"/>
        <v>0</v>
      </c>
      <c r="D328" s="152">
        <f t="shared" si="29"/>
        <v>0</v>
      </c>
      <c r="E328" s="152">
        <f t="shared" si="30"/>
        <v>0</v>
      </c>
      <c r="F328" s="106">
        <f t="shared" si="31"/>
        <v>0</v>
      </c>
      <c r="G328" s="153">
        <f t="shared" si="32"/>
        <v>0</v>
      </c>
    </row>
    <row r="329" spans="1:7" ht="13.5" hidden="1" thickBot="1">
      <c r="A329" s="91">
        <f t="shared" si="33"/>
        <v>307</v>
      </c>
      <c r="B329" s="106">
        <f t="shared" si="34"/>
        <v>0</v>
      </c>
      <c r="C329" s="152">
        <f t="shared" si="28"/>
        <v>0</v>
      </c>
      <c r="D329" s="152">
        <f t="shared" si="29"/>
        <v>0</v>
      </c>
      <c r="E329" s="152">
        <f t="shared" si="30"/>
        <v>0</v>
      </c>
      <c r="F329" s="106">
        <f t="shared" si="31"/>
        <v>0</v>
      </c>
      <c r="G329" s="153">
        <f t="shared" si="32"/>
        <v>0</v>
      </c>
    </row>
    <row r="330" spans="1:7" ht="13.5" hidden="1" thickBot="1">
      <c r="A330" s="91">
        <f t="shared" si="33"/>
        <v>308</v>
      </c>
      <c r="B330" s="106">
        <f t="shared" si="34"/>
        <v>0</v>
      </c>
      <c r="C330" s="152">
        <f t="shared" si="28"/>
        <v>0</v>
      </c>
      <c r="D330" s="152">
        <f t="shared" si="29"/>
        <v>0</v>
      </c>
      <c r="E330" s="152">
        <f t="shared" si="30"/>
        <v>0</v>
      </c>
      <c r="F330" s="106">
        <f t="shared" si="31"/>
        <v>0</v>
      </c>
      <c r="G330" s="153">
        <f t="shared" si="32"/>
        <v>0</v>
      </c>
    </row>
    <row r="331" spans="1:7" ht="13.5" hidden="1" thickBot="1">
      <c r="A331" s="91">
        <f t="shared" si="33"/>
        <v>309</v>
      </c>
      <c r="B331" s="106">
        <f t="shared" si="34"/>
        <v>0</v>
      </c>
      <c r="C331" s="152">
        <f t="shared" si="28"/>
        <v>0</v>
      </c>
      <c r="D331" s="152">
        <f t="shared" si="29"/>
        <v>0</v>
      </c>
      <c r="E331" s="152">
        <f t="shared" si="30"/>
        <v>0</v>
      </c>
      <c r="F331" s="106">
        <f t="shared" si="31"/>
        <v>0</v>
      </c>
      <c r="G331" s="153">
        <f t="shared" si="32"/>
        <v>0</v>
      </c>
    </row>
    <row r="332" spans="1:7" ht="13.5" hidden="1" thickBot="1">
      <c r="A332" s="91">
        <f t="shared" si="33"/>
        <v>310</v>
      </c>
      <c r="B332" s="106">
        <f t="shared" si="34"/>
        <v>0</v>
      </c>
      <c r="C332" s="152">
        <f t="shared" si="28"/>
        <v>0</v>
      </c>
      <c r="D332" s="152">
        <f t="shared" si="29"/>
        <v>0</v>
      </c>
      <c r="E332" s="152">
        <f t="shared" si="30"/>
        <v>0</v>
      </c>
      <c r="F332" s="106">
        <f t="shared" si="31"/>
        <v>0</v>
      </c>
      <c r="G332" s="153">
        <f t="shared" si="32"/>
        <v>0</v>
      </c>
    </row>
    <row r="333" spans="1:7" ht="13.5" hidden="1" thickBot="1">
      <c r="A333" s="91">
        <f t="shared" si="33"/>
        <v>311</v>
      </c>
      <c r="B333" s="106">
        <f t="shared" si="34"/>
        <v>0</v>
      </c>
      <c r="C333" s="152">
        <f t="shared" si="28"/>
        <v>0</v>
      </c>
      <c r="D333" s="152">
        <f t="shared" si="29"/>
        <v>0</v>
      </c>
      <c r="E333" s="152">
        <f t="shared" si="30"/>
        <v>0</v>
      </c>
      <c r="F333" s="106">
        <f t="shared" si="31"/>
        <v>0</v>
      </c>
      <c r="G333" s="153">
        <f t="shared" si="32"/>
        <v>0</v>
      </c>
    </row>
    <row r="334" spans="1:7" ht="13.5" hidden="1" thickBot="1">
      <c r="A334" s="91">
        <f t="shared" si="33"/>
        <v>312</v>
      </c>
      <c r="B334" s="106">
        <f t="shared" si="34"/>
        <v>0</v>
      </c>
      <c r="C334" s="152">
        <f t="shared" si="28"/>
        <v>0</v>
      </c>
      <c r="D334" s="152">
        <f t="shared" si="29"/>
        <v>0</v>
      </c>
      <c r="E334" s="152">
        <f t="shared" si="30"/>
        <v>0</v>
      </c>
      <c r="F334" s="106">
        <f t="shared" si="31"/>
        <v>0</v>
      </c>
      <c r="G334" s="153">
        <f t="shared" si="32"/>
        <v>0</v>
      </c>
    </row>
    <row r="335" spans="1:7" ht="13.5" hidden="1" thickBot="1">
      <c r="A335" s="91">
        <f t="shared" si="33"/>
        <v>313</v>
      </c>
      <c r="B335" s="106">
        <f t="shared" si="34"/>
        <v>0</v>
      </c>
      <c r="C335" s="152">
        <f t="shared" si="28"/>
        <v>0</v>
      </c>
      <c r="D335" s="152">
        <f t="shared" si="29"/>
        <v>0</v>
      </c>
      <c r="E335" s="152">
        <f t="shared" si="30"/>
        <v>0</v>
      </c>
      <c r="F335" s="106">
        <f t="shared" si="31"/>
        <v>0</v>
      </c>
      <c r="G335" s="153">
        <f t="shared" si="32"/>
        <v>0</v>
      </c>
    </row>
    <row r="336" spans="1:7" ht="13.5" hidden="1" thickBot="1">
      <c r="A336" s="91">
        <f t="shared" si="33"/>
        <v>314</v>
      </c>
      <c r="B336" s="106">
        <f t="shared" si="34"/>
        <v>0</v>
      </c>
      <c r="C336" s="152">
        <f t="shared" si="28"/>
        <v>0</v>
      </c>
      <c r="D336" s="152">
        <f t="shared" si="29"/>
        <v>0</v>
      </c>
      <c r="E336" s="152">
        <f t="shared" si="30"/>
        <v>0</v>
      </c>
      <c r="F336" s="106">
        <f t="shared" si="31"/>
        <v>0</v>
      </c>
      <c r="G336" s="153">
        <f t="shared" si="32"/>
        <v>0</v>
      </c>
    </row>
    <row r="337" spans="1:7" ht="13.5" hidden="1" thickBot="1">
      <c r="A337" s="91">
        <f t="shared" si="33"/>
        <v>315</v>
      </c>
      <c r="B337" s="106">
        <f t="shared" si="34"/>
        <v>0</v>
      </c>
      <c r="C337" s="152">
        <f t="shared" si="28"/>
        <v>0</v>
      </c>
      <c r="D337" s="152">
        <f t="shared" si="29"/>
        <v>0</v>
      </c>
      <c r="E337" s="152">
        <f t="shared" si="30"/>
        <v>0</v>
      </c>
      <c r="F337" s="106">
        <f t="shared" si="31"/>
        <v>0</v>
      </c>
      <c r="G337" s="153">
        <f t="shared" si="32"/>
        <v>0</v>
      </c>
    </row>
    <row r="338" spans="1:7" ht="13.5" hidden="1" thickBot="1">
      <c r="A338" s="91">
        <f t="shared" si="33"/>
        <v>316</v>
      </c>
      <c r="B338" s="106">
        <f t="shared" si="34"/>
        <v>0</v>
      </c>
      <c r="C338" s="152">
        <f t="shared" si="28"/>
        <v>0</v>
      </c>
      <c r="D338" s="152">
        <f t="shared" si="29"/>
        <v>0</v>
      </c>
      <c r="E338" s="152">
        <f t="shared" si="30"/>
        <v>0</v>
      </c>
      <c r="F338" s="106">
        <f t="shared" si="31"/>
        <v>0</v>
      </c>
      <c r="G338" s="153">
        <f t="shared" si="32"/>
        <v>0</v>
      </c>
    </row>
    <row r="339" spans="1:7" ht="13.5" hidden="1" thickBot="1">
      <c r="A339" s="91">
        <f t="shared" si="33"/>
        <v>317</v>
      </c>
      <c r="B339" s="106">
        <f t="shared" si="34"/>
        <v>0</v>
      </c>
      <c r="C339" s="152">
        <f t="shared" si="28"/>
        <v>0</v>
      </c>
      <c r="D339" s="152">
        <f t="shared" si="29"/>
        <v>0</v>
      </c>
      <c r="E339" s="152">
        <f t="shared" si="30"/>
        <v>0</v>
      </c>
      <c r="F339" s="106">
        <f t="shared" si="31"/>
        <v>0</v>
      </c>
      <c r="G339" s="153">
        <f t="shared" si="32"/>
        <v>0</v>
      </c>
    </row>
    <row r="340" spans="1:7" ht="13.5" hidden="1" thickBot="1">
      <c r="A340" s="91">
        <f t="shared" si="33"/>
        <v>318</v>
      </c>
      <c r="B340" s="106">
        <f t="shared" si="34"/>
        <v>0</v>
      </c>
      <c r="C340" s="152">
        <f t="shared" si="28"/>
        <v>0</v>
      </c>
      <c r="D340" s="152">
        <f t="shared" si="29"/>
        <v>0</v>
      </c>
      <c r="E340" s="152">
        <f t="shared" si="30"/>
        <v>0</v>
      </c>
      <c r="F340" s="106">
        <f t="shared" si="31"/>
        <v>0</v>
      </c>
      <c r="G340" s="153">
        <f t="shared" si="32"/>
        <v>0</v>
      </c>
    </row>
    <row r="341" spans="1:7" ht="13.5" hidden="1" thickBot="1">
      <c r="A341" s="91">
        <f t="shared" si="33"/>
        <v>319</v>
      </c>
      <c r="B341" s="106">
        <f t="shared" si="34"/>
        <v>0</v>
      </c>
      <c r="C341" s="152">
        <f t="shared" si="28"/>
        <v>0</v>
      </c>
      <c r="D341" s="152">
        <f t="shared" si="29"/>
        <v>0</v>
      </c>
      <c r="E341" s="152">
        <f t="shared" si="30"/>
        <v>0</v>
      </c>
      <c r="F341" s="106">
        <f t="shared" si="31"/>
        <v>0</v>
      </c>
      <c r="G341" s="153">
        <f t="shared" si="32"/>
        <v>0</v>
      </c>
    </row>
    <row r="342" spans="1:7" ht="13.5" hidden="1" thickBot="1">
      <c r="A342" s="91">
        <f t="shared" si="33"/>
        <v>320</v>
      </c>
      <c r="B342" s="106">
        <f t="shared" si="34"/>
        <v>0</v>
      </c>
      <c r="C342" s="152">
        <f t="shared" si="28"/>
        <v>0</v>
      </c>
      <c r="D342" s="152">
        <f t="shared" si="29"/>
        <v>0</v>
      </c>
      <c r="E342" s="152">
        <f t="shared" si="30"/>
        <v>0</v>
      </c>
      <c r="F342" s="106">
        <f t="shared" si="31"/>
        <v>0</v>
      </c>
      <c r="G342" s="153">
        <f t="shared" si="32"/>
        <v>0</v>
      </c>
    </row>
    <row r="343" spans="1:7" ht="13.5" hidden="1" thickBot="1">
      <c r="A343" s="91">
        <f t="shared" si="33"/>
        <v>321</v>
      </c>
      <c r="B343" s="106">
        <f t="shared" si="34"/>
        <v>0</v>
      </c>
      <c r="C343" s="152">
        <f t="shared" ref="C343:C382" si="35">IF(A343&lt;=$D$12,D343+$D$15,0)</f>
        <v>0</v>
      </c>
      <c r="D343" s="152">
        <f t="shared" ref="D343:D383" si="36">E343+F343</f>
        <v>0</v>
      </c>
      <c r="E343" s="152">
        <f t="shared" ref="E343:E382" si="37">B343*$D$13</f>
        <v>0</v>
      </c>
      <c r="F343" s="106">
        <f t="shared" ref="F343:F382" si="38">IF(A343&lt;=$D$12,$D$14*-1,0)</f>
        <v>0</v>
      </c>
      <c r="G343" s="153">
        <f t="shared" ref="G343:G382" si="39">B343-F343</f>
        <v>0</v>
      </c>
    </row>
    <row r="344" spans="1:7" ht="13.5" hidden="1" thickBot="1">
      <c r="A344" s="91">
        <f t="shared" ref="A344:A382" si="40">A343+1</f>
        <v>322</v>
      </c>
      <c r="B344" s="106">
        <f t="shared" ref="B344:B382" si="41">B343-F343</f>
        <v>0</v>
      </c>
      <c r="C344" s="152">
        <f t="shared" si="35"/>
        <v>0</v>
      </c>
      <c r="D344" s="152">
        <f t="shared" si="36"/>
        <v>0</v>
      </c>
      <c r="E344" s="152">
        <f t="shared" si="37"/>
        <v>0</v>
      </c>
      <c r="F344" s="106">
        <f t="shared" si="38"/>
        <v>0</v>
      </c>
      <c r="G344" s="153">
        <f t="shared" si="39"/>
        <v>0</v>
      </c>
    </row>
    <row r="345" spans="1:7" ht="13.5" hidden="1" thickBot="1">
      <c r="A345" s="91">
        <f t="shared" si="40"/>
        <v>323</v>
      </c>
      <c r="B345" s="106">
        <f t="shared" si="41"/>
        <v>0</v>
      </c>
      <c r="C345" s="152">
        <f t="shared" si="35"/>
        <v>0</v>
      </c>
      <c r="D345" s="152">
        <f t="shared" si="36"/>
        <v>0</v>
      </c>
      <c r="E345" s="152">
        <f t="shared" si="37"/>
        <v>0</v>
      </c>
      <c r="F345" s="106">
        <f t="shared" si="38"/>
        <v>0</v>
      </c>
      <c r="G345" s="153">
        <f t="shared" si="39"/>
        <v>0</v>
      </c>
    </row>
    <row r="346" spans="1:7" ht="13.5" hidden="1" thickBot="1">
      <c r="A346" s="91">
        <f t="shared" si="40"/>
        <v>324</v>
      </c>
      <c r="B346" s="106">
        <f t="shared" si="41"/>
        <v>0</v>
      </c>
      <c r="C346" s="152">
        <f t="shared" si="35"/>
        <v>0</v>
      </c>
      <c r="D346" s="152">
        <f t="shared" si="36"/>
        <v>0</v>
      </c>
      <c r="E346" s="152">
        <f t="shared" si="37"/>
        <v>0</v>
      </c>
      <c r="F346" s="106">
        <f t="shared" si="38"/>
        <v>0</v>
      </c>
      <c r="G346" s="153">
        <f t="shared" si="39"/>
        <v>0</v>
      </c>
    </row>
    <row r="347" spans="1:7" ht="13.5" hidden="1" thickBot="1">
      <c r="A347" s="91">
        <f t="shared" si="40"/>
        <v>325</v>
      </c>
      <c r="B347" s="106">
        <f t="shared" si="41"/>
        <v>0</v>
      </c>
      <c r="C347" s="152">
        <f t="shared" si="35"/>
        <v>0</v>
      </c>
      <c r="D347" s="152">
        <f t="shared" si="36"/>
        <v>0</v>
      </c>
      <c r="E347" s="152">
        <f t="shared" si="37"/>
        <v>0</v>
      </c>
      <c r="F347" s="106">
        <f t="shared" si="38"/>
        <v>0</v>
      </c>
      <c r="G347" s="153">
        <f t="shared" si="39"/>
        <v>0</v>
      </c>
    </row>
    <row r="348" spans="1:7" ht="13.5" hidden="1" thickBot="1">
      <c r="A348" s="91">
        <f t="shared" si="40"/>
        <v>326</v>
      </c>
      <c r="B348" s="106">
        <f t="shared" si="41"/>
        <v>0</v>
      </c>
      <c r="C348" s="152">
        <f t="shared" si="35"/>
        <v>0</v>
      </c>
      <c r="D348" s="152">
        <f t="shared" si="36"/>
        <v>0</v>
      </c>
      <c r="E348" s="152">
        <f t="shared" si="37"/>
        <v>0</v>
      </c>
      <c r="F348" s="106">
        <f t="shared" si="38"/>
        <v>0</v>
      </c>
      <c r="G348" s="153">
        <f t="shared" si="39"/>
        <v>0</v>
      </c>
    </row>
    <row r="349" spans="1:7" ht="13.5" hidden="1" thickBot="1">
      <c r="A349" s="91">
        <f t="shared" si="40"/>
        <v>327</v>
      </c>
      <c r="B349" s="106">
        <f t="shared" si="41"/>
        <v>0</v>
      </c>
      <c r="C349" s="152">
        <f t="shared" si="35"/>
        <v>0</v>
      </c>
      <c r="D349" s="152">
        <f t="shared" si="36"/>
        <v>0</v>
      </c>
      <c r="E349" s="152">
        <f t="shared" si="37"/>
        <v>0</v>
      </c>
      <c r="F349" s="106">
        <f t="shared" si="38"/>
        <v>0</v>
      </c>
      <c r="G349" s="153">
        <f t="shared" si="39"/>
        <v>0</v>
      </c>
    </row>
    <row r="350" spans="1:7" ht="13.5" hidden="1" thickBot="1">
      <c r="A350" s="91">
        <f t="shared" si="40"/>
        <v>328</v>
      </c>
      <c r="B350" s="106">
        <f t="shared" si="41"/>
        <v>0</v>
      </c>
      <c r="C350" s="152">
        <f t="shared" si="35"/>
        <v>0</v>
      </c>
      <c r="D350" s="152">
        <f t="shared" si="36"/>
        <v>0</v>
      </c>
      <c r="E350" s="152">
        <f t="shared" si="37"/>
        <v>0</v>
      </c>
      <c r="F350" s="106">
        <f t="shared" si="38"/>
        <v>0</v>
      </c>
      <c r="G350" s="153">
        <f t="shared" si="39"/>
        <v>0</v>
      </c>
    </row>
    <row r="351" spans="1:7" ht="13.5" hidden="1" thickBot="1">
      <c r="A351" s="91">
        <f t="shared" si="40"/>
        <v>329</v>
      </c>
      <c r="B351" s="106">
        <f t="shared" si="41"/>
        <v>0</v>
      </c>
      <c r="C351" s="152">
        <f t="shared" si="35"/>
        <v>0</v>
      </c>
      <c r="D351" s="152">
        <f t="shared" si="36"/>
        <v>0</v>
      </c>
      <c r="E351" s="152">
        <f t="shared" si="37"/>
        <v>0</v>
      </c>
      <c r="F351" s="106">
        <f t="shared" si="38"/>
        <v>0</v>
      </c>
      <c r="G351" s="153">
        <f t="shared" si="39"/>
        <v>0</v>
      </c>
    </row>
    <row r="352" spans="1:7" ht="13.5" hidden="1" thickBot="1">
      <c r="A352" s="91">
        <f t="shared" si="40"/>
        <v>330</v>
      </c>
      <c r="B352" s="106">
        <f t="shared" si="41"/>
        <v>0</v>
      </c>
      <c r="C352" s="152">
        <f t="shared" si="35"/>
        <v>0</v>
      </c>
      <c r="D352" s="152">
        <f t="shared" si="36"/>
        <v>0</v>
      </c>
      <c r="E352" s="152">
        <f t="shared" si="37"/>
        <v>0</v>
      </c>
      <c r="F352" s="106">
        <f t="shared" si="38"/>
        <v>0</v>
      </c>
      <c r="G352" s="153">
        <f t="shared" si="39"/>
        <v>0</v>
      </c>
    </row>
    <row r="353" spans="1:7" ht="13.5" hidden="1" thickBot="1">
      <c r="A353" s="91">
        <f t="shared" si="40"/>
        <v>331</v>
      </c>
      <c r="B353" s="106">
        <f t="shared" si="41"/>
        <v>0</v>
      </c>
      <c r="C353" s="152">
        <f t="shared" si="35"/>
        <v>0</v>
      </c>
      <c r="D353" s="152">
        <f t="shared" si="36"/>
        <v>0</v>
      </c>
      <c r="E353" s="152">
        <f t="shared" si="37"/>
        <v>0</v>
      </c>
      <c r="F353" s="106">
        <f t="shared" si="38"/>
        <v>0</v>
      </c>
      <c r="G353" s="153">
        <f t="shared" si="39"/>
        <v>0</v>
      </c>
    </row>
    <row r="354" spans="1:7" ht="13.5" hidden="1" thickBot="1">
      <c r="A354" s="91">
        <f t="shared" si="40"/>
        <v>332</v>
      </c>
      <c r="B354" s="106">
        <f t="shared" si="41"/>
        <v>0</v>
      </c>
      <c r="C354" s="152">
        <f t="shared" si="35"/>
        <v>0</v>
      </c>
      <c r="D354" s="152">
        <f t="shared" si="36"/>
        <v>0</v>
      </c>
      <c r="E354" s="152">
        <f t="shared" si="37"/>
        <v>0</v>
      </c>
      <c r="F354" s="106">
        <f t="shared" si="38"/>
        <v>0</v>
      </c>
      <c r="G354" s="153">
        <f t="shared" si="39"/>
        <v>0</v>
      </c>
    </row>
    <row r="355" spans="1:7" ht="13.5" hidden="1" thickBot="1">
      <c r="A355" s="91">
        <f t="shared" si="40"/>
        <v>333</v>
      </c>
      <c r="B355" s="106">
        <f t="shared" si="41"/>
        <v>0</v>
      </c>
      <c r="C355" s="152">
        <f t="shared" si="35"/>
        <v>0</v>
      </c>
      <c r="D355" s="152">
        <f t="shared" si="36"/>
        <v>0</v>
      </c>
      <c r="E355" s="152">
        <f t="shared" si="37"/>
        <v>0</v>
      </c>
      <c r="F355" s="106">
        <f t="shared" si="38"/>
        <v>0</v>
      </c>
      <c r="G355" s="153">
        <f t="shared" si="39"/>
        <v>0</v>
      </c>
    </row>
    <row r="356" spans="1:7" ht="13.5" hidden="1" thickBot="1">
      <c r="A356" s="91">
        <f t="shared" si="40"/>
        <v>334</v>
      </c>
      <c r="B356" s="106">
        <f t="shared" si="41"/>
        <v>0</v>
      </c>
      <c r="C356" s="152">
        <f t="shared" si="35"/>
        <v>0</v>
      </c>
      <c r="D356" s="152">
        <f t="shared" si="36"/>
        <v>0</v>
      </c>
      <c r="E356" s="152">
        <f t="shared" si="37"/>
        <v>0</v>
      </c>
      <c r="F356" s="106">
        <f t="shared" si="38"/>
        <v>0</v>
      </c>
      <c r="G356" s="153">
        <f t="shared" si="39"/>
        <v>0</v>
      </c>
    </row>
    <row r="357" spans="1:7" ht="13.5" hidden="1" thickBot="1">
      <c r="A357" s="91">
        <f t="shared" si="40"/>
        <v>335</v>
      </c>
      <c r="B357" s="106">
        <f t="shared" si="41"/>
        <v>0</v>
      </c>
      <c r="C357" s="152">
        <f t="shared" si="35"/>
        <v>0</v>
      </c>
      <c r="D357" s="152">
        <f t="shared" si="36"/>
        <v>0</v>
      </c>
      <c r="E357" s="152">
        <f t="shared" si="37"/>
        <v>0</v>
      </c>
      <c r="F357" s="106">
        <f t="shared" si="38"/>
        <v>0</v>
      </c>
      <c r="G357" s="153">
        <f t="shared" si="39"/>
        <v>0</v>
      </c>
    </row>
    <row r="358" spans="1:7" ht="13.5" hidden="1" thickBot="1">
      <c r="A358" s="91">
        <f t="shared" si="40"/>
        <v>336</v>
      </c>
      <c r="B358" s="106">
        <f t="shared" si="41"/>
        <v>0</v>
      </c>
      <c r="C358" s="152">
        <f t="shared" si="35"/>
        <v>0</v>
      </c>
      <c r="D358" s="152">
        <f t="shared" si="36"/>
        <v>0</v>
      </c>
      <c r="E358" s="152">
        <f t="shared" si="37"/>
        <v>0</v>
      </c>
      <c r="F358" s="106">
        <f t="shared" si="38"/>
        <v>0</v>
      </c>
      <c r="G358" s="153">
        <f t="shared" si="39"/>
        <v>0</v>
      </c>
    </row>
    <row r="359" spans="1:7" ht="13.5" hidden="1" thickBot="1">
      <c r="A359" s="91">
        <f t="shared" si="40"/>
        <v>337</v>
      </c>
      <c r="B359" s="106">
        <f t="shared" si="41"/>
        <v>0</v>
      </c>
      <c r="C359" s="152">
        <f t="shared" si="35"/>
        <v>0</v>
      </c>
      <c r="D359" s="152">
        <f t="shared" si="36"/>
        <v>0</v>
      </c>
      <c r="E359" s="152">
        <f t="shared" si="37"/>
        <v>0</v>
      </c>
      <c r="F359" s="106">
        <f t="shared" si="38"/>
        <v>0</v>
      </c>
      <c r="G359" s="153">
        <f t="shared" si="39"/>
        <v>0</v>
      </c>
    </row>
    <row r="360" spans="1:7" ht="13.5" hidden="1" thickBot="1">
      <c r="A360" s="91">
        <f t="shared" si="40"/>
        <v>338</v>
      </c>
      <c r="B360" s="106">
        <f t="shared" si="41"/>
        <v>0</v>
      </c>
      <c r="C360" s="152">
        <f t="shared" si="35"/>
        <v>0</v>
      </c>
      <c r="D360" s="152">
        <f t="shared" si="36"/>
        <v>0</v>
      </c>
      <c r="E360" s="152">
        <f t="shared" si="37"/>
        <v>0</v>
      </c>
      <c r="F360" s="106">
        <f t="shared" si="38"/>
        <v>0</v>
      </c>
      <c r="G360" s="153">
        <f t="shared" si="39"/>
        <v>0</v>
      </c>
    </row>
    <row r="361" spans="1:7" ht="13.5" hidden="1" thickBot="1">
      <c r="A361" s="91">
        <f t="shared" si="40"/>
        <v>339</v>
      </c>
      <c r="B361" s="106">
        <f t="shared" si="41"/>
        <v>0</v>
      </c>
      <c r="C361" s="152">
        <f t="shared" si="35"/>
        <v>0</v>
      </c>
      <c r="D361" s="152">
        <f t="shared" si="36"/>
        <v>0</v>
      </c>
      <c r="E361" s="152">
        <f t="shared" si="37"/>
        <v>0</v>
      </c>
      <c r="F361" s="106">
        <f t="shared" si="38"/>
        <v>0</v>
      </c>
      <c r="G361" s="153">
        <f t="shared" si="39"/>
        <v>0</v>
      </c>
    </row>
    <row r="362" spans="1:7" ht="13.5" hidden="1" thickBot="1">
      <c r="A362" s="91">
        <f t="shared" si="40"/>
        <v>340</v>
      </c>
      <c r="B362" s="106">
        <f t="shared" si="41"/>
        <v>0</v>
      </c>
      <c r="C362" s="152">
        <f t="shared" si="35"/>
        <v>0</v>
      </c>
      <c r="D362" s="152">
        <f t="shared" si="36"/>
        <v>0</v>
      </c>
      <c r="E362" s="152">
        <f t="shared" si="37"/>
        <v>0</v>
      </c>
      <c r="F362" s="106">
        <f t="shared" si="38"/>
        <v>0</v>
      </c>
      <c r="G362" s="153">
        <f t="shared" si="39"/>
        <v>0</v>
      </c>
    </row>
    <row r="363" spans="1:7" ht="13.5" hidden="1" thickBot="1">
      <c r="A363" s="91">
        <f t="shared" si="40"/>
        <v>341</v>
      </c>
      <c r="B363" s="106">
        <f t="shared" si="41"/>
        <v>0</v>
      </c>
      <c r="C363" s="152">
        <f t="shared" si="35"/>
        <v>0</v>
      </c>
      <c r="D363" s="152">
        <f t="shared" si="36"/>
        <v>0</v>
      </c>
      <c r="E363" s="152">
        <f t="shared" si="37"/>
        <v>0</v>
      </c>
      <c r="F363" s="106">
        <f t="shared" si="38"/>
        <v>0</v>
      </c>
      <c r="G363" s="153">
        <f t="shared" si="39"/>
        <v>0</v>
      </c>
    </row>
    <row r="364" spans="1:7" ht="13.5" hidden="1" thickBot="1">
      <c r="A364" s="91">
        <f t="shared" si="40"/>
        <v>342</v>
      </c>
      <c r="B364" s="106">
        <f t="shared" si="41"/>
        <v>0</v>
      </c>
      <c r="C364" s="152">
        <f t="shared" si="35"/>
        <v>0</v>
      </c>
      <c r="D364" s="152">
        <f t="shared" si="36"/>
        <v>0</v>
      </c>
      <c r="E364" s="152">
        <f t="shared" si="37"/>
        <v>0</v>
      </c>
      <c r="F364" s="106">
        <f t="shared" si="38"/>
        <v>0</v>
      </c>
      <c r="G364" s="153">
        <f t="shared" si="39"/>
        <v>0</v>
      </c>
    </row>
    <row r="365" spans="1:7" ht="13.5" hidden="1" thickBot="1">
      <c r="A365" s="91">
        <f t="shared" si="40"/>
        <v>343</v>
      </c>
      <c r="B365" s="106">
        <f t="shared" si="41"/>
        <v>0</v>
      </c>
      <c r="C365" s="152">
        <f t="shared" si="35"/>
        <v>0</v>
      </c>
      <c r="D365" s="152">
        <f t="shared" si="36"/>
        <v>0</v>
      </c>
      <c r="E365" s="152">
        <f t="shared" si="37"/>
        <v>0</v>
      </c>
      <c r="F365" s="106">
        <f t="shared" si="38"/>
        <v>0</v>
      </c>
      <c r="G365" s="153">
        <f t="shared" si="39"/>
        <v>0</v>
      </c>
    </row>
    <row r="366" spans="1:7" ht="13.5" hidden="1" thickBot="1">
      <c r="A366" s="91">
        <f t="shared" si="40"/>
        <v>344</v>
      </c>
      <c r="B366" s="106">
        <f t="shared" si="41"/>
        <v>0</v>
      </c>
      <c r="C366" s="152">
        <f t="shared" si="35"/>
        <v>0</v>
      </c>
      <c r="D366" s="152">
        <f t="shared" si="36"/>
        <v>0</v>
      </c>
      <c r="E366" s="152">
        <f t="shared" si="37"/>
        <v>0</v>
      </c>
      <c r="F366" s="106">
        <f t="shared" si="38"/>
        <v>0</v>
      </c>
      <c r="G366" s="153">
        <f t="shared" si="39"/>
        <v>0</v>
      </c>
    </row>
    <row r="367" spans="1:7" ht="13.5" hidden="1" thickBot="1">
      <c r="A367" s="91">
        <f t="shared" si="40"/>
        <v>345</v>
      </c>
      <c r="B367" s="106">
        <f t="shared" si="41"/>
        <v>0</v>
      </c>
      <c r="C367" s="152">
        <f t="shared" si="35"/>
        <v>0</v>
      </c>
      <c r="D367" s="152">
        <f t="shared" si="36"/>
        <v>0</v>
      </c>
      <c r="E367" s="152">
        <f t="shared" si="37"/>
        <v>0</v>
      </c>
      <c r="F367" s="106">
        <f t="shared" si="38"/>
        <v>0</v>
      </c>
      <c r="G367" s="153">
        <f t="shared" si="39"/>
        <v>0</v>
      </c>
    </row>
    <row r="368" spans="1:7" ht="13.5" hidden="1" thickBot="1">
      <c r="A368" s="91">
        <f t="shared" si="40"/>
        <v>346</v>
      </c>
      <c r="B368" s="106">
        <f t="shared" si="41"/>
        <v>0</v>
      </c>
      <c r="C368" s="152">
        <f t="shared" si="35"/>
        <v>0</v>
      </c>
      <c r="D368" s="152">
        <f t="shared" si="36"/>
        <v>0</v>
      </c>
      <c r="E368" s="152">
        <f t="shared" si="37"/>
        <v>0</v>
      </c>
      <c r="F368" s="106">
        <f t="shared" si="38"/>
        <v>0</v>
      </c>
      <c r="G368" s="153">
        <f t="shared" si="39"/>
        <v>0</v>
      </c>
    </row>
    <row r="369" spans="1:7" ht="13.5" hidden="1" thickBot="1">
      <c r="A369" s="91">
        <f t="shared" si="40"/>
        <v>347</v>
      </c>
      <c r="B369" s="106">
        <f t="shared" si="41"/>
        <v>0</v>
      </c>
      <c r="C369" s="152">
        <f t="shared" si="35"/>
        <v>0</v>
      </c>
      <c r="D369" s="152">
        <f t="shared" si="36"/>
        <v>0</v>
      </c>
      <c r="E369" s="152">
        <f t="shared" si="37"/>
        <v>0</v>
      </c>
      <c r="F369" s="106">
        <f t="shared" si="38"/>
        <v>0</v>
      </c>
      <c r="G369" s="153">
        <f t="shared" si="39"/>
        <v>0</v>
      </c>
    </row>
    <row r="370" spans="1:7" ht="13.5" hidden="1" thickBot="1">
      <c r="A370" s="91">
        <f t="shared" si="40"/>
        <v>348</v>
      </c>
      <c r="B370" s="106">
        <f t="shared" si="41"/>
        <v>0</v>
      </c>
      <c r="C370" s="152">
        <f t="shared" si="35"/>
        <v>0</v>
      </c>
      <c r="D370" s="152">
        <f t="shared" si="36"/>
        <v>0</v>
      </c>
      <c r="E370" s="152">
        <f t="shared" si="37"/>
        <v>0</v>
      </c>
      <c r="F370" s="106">
        <f t="shared" si="38"/>
        <v>0</v>
      </c>
      <c r="G370" s="153">
        <f t="shared" si="39"/>
        <v>0</v>
      </c>
    </row>
    <row r="371" spans="1:7" ht="13.5" hidden="1" thickBot="1">
      <c r="A371" s="91">
        <f t="shared" si="40"/>
        <v>349</v>
      </c>
      <c r="B371" s="106">
        <f t="shared" si="41"/>
        <v>0</v>
      </c>
      <c r="C371" s="152">
        <f t="shared" si="35"/>
        <v>0</v>
      </c>
      <c r="D371" s="152">
        <f t="shared" si="36"/>
        <v>0</v>
      </c>
      <c r="E371" s="152">
        <f t="shared" si="37"/>
        <v>0</v>
      </c>
      <c r="F371" s="106">
        <f t="shared" si="38"/>
        <v>0</v>
      </c>
      <c r="G371" s="153">
        <f t="shared" si="39"/>
        <v>0</v>
      </c>
    </row>
    <row r="372" spans="1:7" ht="13.5" hidden="1" thickBot="1">
      <c r="A372" s="91">
        <f t="shared" si="40"/>
        <v>350</v>
      </c>
      <c r="B372" s="106">
        <f t="shared" si="41"/>
        <v>0</v>
      </c>
      <c r="C372" s="152">
        <f t="shared" si="35"/>
        <v>0</v>
      </c>
      <c r="D372" s="152">
        <f t="shared" si="36"/>
        <v>0</v>
      </c>
      <c r="E372" s="152">
        <f t="shared" si="37"/>
        <v>0</v>
      </c>
      <c r="F372" s="106">
        <f t="shared" si="38"/>
        <v>0</v>
      </c>
      <c r="G372" s="153">
        <f t="shared" si="39"/>
        <v>0</v>
      </c>
    </row>
    <row r="373" spans="1:7" ht="13.5" hidden="1" thickBot="1">
      <c r="A373" s="91">
        <f t="shared" si="40"/>
        <v>351</v>
      </c>
      <c r="B373" s="106">
        <f t="shared" si="41"/>
        <v>0</v>
      </c>
      <c r="C373" s="152">
        <f t="shared" si="35"/>
        <v>0</v>
      </c>
      <c r="D373" s="152">
        <f t="shared" si="36"/>
        <v>0</v>
      </c>
      <c r="E373" s="152">
        <f t="shared" si="37"/>
        <v>0</v>
      </c>
      <c r="F373" s="106">
        <f t="shared" si="38"/>
        <v>0</v>
      </c>
      <c r="G373" s="153">
        <f t="shared" si="39"/>
        <v>0</v>
      </c>
    </row>
    <row r="374" spans="1:7" ht="13.5" hidden="1" thickBot="1">
      <c r="A374" s="91">
        <f t="shared" si="40"/>
        <v>352</v>
      </c>
      <c r="B374" s="106">
        <f t="shared" si="41"/>
        <v>0</v>
      </c>
      <c r="C374" s="152">
        <f t="shared" si="35"/>
        <v>0</v>
      </c>
      <c r="D374" s="152">
        <f t="shared" si="36"/>
        <v>0</v>
      </c>
      <c r="E374" s="152">
        <f t="shared" si="37"/>
        <v>0</v>
      </c>
      <c r="F374" s="106">
        <f t="shared" si="38"/>
        <v>0</v>
      </c>
      <c r="G374" s="153">
        <f t="shared" si="39"/>
        <v>0</v>
      </c>
    </row>
    <row r="375" spans="1:7" ht="13.5" hidden="1" thickBot="1">
      <c r="A375" s="91">
        <f t="shared" si="40"/>
        <v>353</v>
      </c>
      <c r="B375" s="106">
        <f t="shared" si="41"/>
        <v>0</v>
      </c>
      <c r="C375" s="152">
        <f t="shared" si="35"/>
        <v>0</v>
      </c>
      <c r="D375" s="152">
        <f t="shared" si="36"/>
        <v>0</v>
      </c>
      <c r="E375" s="152">
        <f t="shared" si="37"/>
        <v>0</v>
      </c>
      <c r="F375" s="106">
        <f t="shared" si="38"/>
        <v>0</v>
      </c>
      <c r="G375" s="153">
        <f t="shared" si="39"/>
        <v>0</v>
      </c>
    </row>
    <row r="376" spans="1:7" ht="13.5" hidden="1" thickBot="1">
      <c r="A376" s="91">
        <f t="shared" si="40"/>
        <v>354</v>
      </c>
      <c r="B376" s="106">
        <f t="shared" si="41"/>
        <v>0</v>
      </c>
      <c r="C376" s="152">
        <f t="shared" si="35"/>
        <v>0</v>
      </c>
      <c r="D376" s="152">
        <f t="shared" si="36"/>
        <v>0</v>
      </c>
      <c r="E376" s="152">
        <f t="shared" si="37"/>
        <v>0</v>
      </c>
      <c r="F376" s="106">
        <f t="shared" si="38"/>
        <v>0</v>
      </c>
      <c r="G376" s="153">
        <f t="shared" si="39"/>
        <v>0</v>
      </c>
    </row>
    <row r="377" spans="1:7" ht="13.5" hidden="1" thickBot="1">
      <c r="A377" s="91">
        <f t="shared" si="40"/>
        <v>355</v>
      </c>
      <c r="B377" s="106">
        <f t="shared" si="41"/>
        <v>0</v>
      </c>
      <c r="C377" s="152">
        <f t="shared" si="35"/>
        <v>0</v>
      </c>
      <c r="D377" s="152">
        <f t="shared" si="36"/>
        <v>0</v>
      </c>
      <c r="E377" s="152">
        <f t="shared" si="37"/>
        <v>0</v>
      </c>
      <c r="F377" s="106">
        <f t="shared" si="38"/>
        <v>0</v>
      </c>
      <c r="G377" s="153">
        <f t="shared" si="39"/>
        <v>0</v>
      </c>
    </row>
    <row r="378" spans="1:7" ht="13.5" hidden="1" thickBot="1">
      <c r="A378" s="91">
        <f t="shared" si="40"/>
        <v>356</v>
      </c>
      <c r="B378" s="106">
        <f t="shared" si="41"/>
        <v>0</v>
      </c>
      <c r="C378" s="152">
        <f t="shared" si="35"/>
        <v>0</v>
      </c>
      <c r="D378" s="152">
        <f t="shared" si="36"/>
        <v>0</v>
      </c>
      <c r="E378" s="152">
        <f t="shared" si="37"/>
        <v>0</v>
      </c>
      <c r="F378" s="106">
        <f t="shared" si="38"/>
        <v>0</v>
      </c>
      <c r="G378" s="153">
        <f t="shared" si="39"/>
        <v>0</v>
      </c>
    </row>
    <row r="379" spans="1:7" ht="13.5" hidden="1" thickBot="1">
      <c r="A379" s="91">
        <f t="shared" si="40"/>
        <v>357</v>
      </c>
      <c r="B379" s="106">
        <f t="shared" si="41"/>
        <v>0</v>
      </c>
      <c r="C379" s="152">
        <f t="shared" si="35"/>
        <v>0</v>
      </c>
      <c r="D379" s="152">
        <f t="shared" si="36"/>
        <v>0</v>
      </c>
      <c r="E379" s="152">
        <f t="shared" si="37"/>
        <v>0</v>
      </c>
      <c r="F379" s="106">
        <f t="shared" si="38"/>
        <v>0</v>
      </c>
      <c r="G379" s="153">
        <f t="shared" si="39"/>
        <v>0</v>
      </c>
    </row>
    <row r="380" spans="1:7" ht="13.5" hidden="1" thickBot="1">
      <c r="A380" s="91">
        <f t="shared" si="40"/>
        <v>358</v>
      </c>
      <c r="B380" s="106">
        <f t="shared" si="41"/>
        <v>0</v>
      </c>
      <c r="C380" s="152">
        <f t="shared" si="35"/>
        <v>0</v>
      </c>
      <c r="D380" s="152">
        <f t="shared" si="36"/>
        <v>0</v>
      </c>
      <c r="E380" s="152">
        <f t="shared" si="37"/>
        <v>0</v>
      </c>
      <c r="F380" s="106">
        <f t="shared" si="38"/>
        <v>0</v>
      </c>
      <c r="G380" s="153">
        <f t="shared" si="39"/>
        <v>0</v>
      </c>
    </row>
    <row r="381" spans="1:7" ht="13.5" hidden="1" thickBot="1">
      <c r="A381" s="91">
        <f t="shared" si="40"/>
        <v>359</v>
      </c>
      <c r="B381" s="106">
        <f t="shared" si="41"/>
        <v>0</v>
      </c>
      <c r="C381" s="152">
        <f t="shared" si="35"/>
        <v>0</v>
      </c>
      <c r="D381" s="152">
        <f t="shared" si="36"/>
        <v>0</v>
      </c>
      <c r="E381" s="152">
        <f t="shared" si="37"/>
        <v>0</v>
      </c>
      <c r="F381" s="106">
        <f t="shared" si="38"/>
        <v>0</v>
      </c>
      <c r="G381" s="153">
        <f t="shared" si="39"/>
        <v>0</v>
      </c>
    </row>
    <row r="382" spans="1:7" ht="13.5" hidden="1" thickBot="1">
      <c r="A382" s="91">
        <f t="shared" si="40"/>
        <v>360</v>
      </c>
      <c r="B382" s="106">
        <f t="shared" si="41"/>
        <v>0</v>
      </c>
      <c r="C382" s="152">
        <f t="shared" si="35"/>
        <v>0</v>
      </c>
      <c r="D382" s="152">
        <f t="shared" si="36"/>
        <v>0</v>
      </c>
      <c r="E382" s="152">
        <f t="shared" si="37"/>
        <v>0</v>
      </c>
      <c r="F382" s="106">
        <f t="shared" si="38"/>
        <v>0</v>
      </c>
      <c r="G382" s="153">
        <f t="shared" si="39"/>
        <v>0</v>
      </c>
    </row>
    <row r="383" spans="1:7" ht="13.5" thickBot="1">
      <c r="A383" s="108" t="s">
        <v>57</v>
      </c>
      <c r="B383" s="154"/>
      <c r="C383" s="154">
        <f>SUM(C23:C382)</f>
        <v>5051250</v>
      </c>
      <c r="D383" s="154">
        <f t="shared" si="36"/>
        <v>5051250</v>
      </c>
      <c r="E383" s="154">
        <f>SUM(E23:E382)</f>
        <v>551250</v>
      </c>
      <c r="F383" s="154">
        <f>SUM(F23:F382)</f>
        <v>4500000</v>
      </c>
      <c r="G383" s="155"/>
    </row>
    <row r="384" spans="1:7">
      <c r="A384" s="77"/>
    </row>
    <row r="385" spans="1:1">
      <c r="A385" s="77"/>
    </row>
    <row r="386" spans="1:1">
      <c r="A386" s="77"/>
    </row>
    <row r="387" spans="1:1">
      <c r="A387" s="77"/>
    </row>
    <row r="388" spans="1:1">
      <c r="A388" s="77"/>
    </row>
    <row r="389" spans="1:1">
      <c r="A389" s="77"/>
    </row>
    <row r="390" spans="1:1">
      <c r="A390" s="77"/>
    </row>
    <row r="391" spans="1:1">
      <c r="A391" s="77"/>
    </row>
    <row r="392" spans="1:1">
      <c r="A392" s="77"/>
    </row>
    <row r="393" spans="1:1">
      <c r="A393" s="77"/>
    </row>
    <row r="394" spans="1:1">
      <c r="A394" s="77"/>
    </row>
    <row r="395" spans="1:1">
      <c r="A395" s="77"/>
    </row>
    <row r="396" spans="1:1">
      <c r="A396" s="77"/>
    </row>
    <row r="397" spans="1:1">
      <c r="A397" s="77"/>
    </row>
  </sheetData>
  <mergeCells count="15">
    <mergeCell ref="A9:C9"/>
    <mergeCell ref="A2:G2"/>
    <mergeCell ref="A3:C3"/>
    <mergeCell ref="A5:C5"/>
    <mergeCell ref="A7:C7"/>
    <mergeCell ref="A8:C8"/>
    <mergeCell ref="A16:D16"/>
    <mergeCell ref="A17:C17"/>
    <mergeCell ref="A18:D18"/>
    <mergeCell ref="A10:C10"/>
    <mergeCell ref="A11:C11"/>
    <mergeCell ref="A12:C12"/>
    <mergeCell ref="A13:C13"/>
    <mergeCell ref="A14:C14"/>
    <mergeCell ref="A15:C15"/>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Opgave 1.1</vt:lpstr>
      <vt:lpstr>Opgave 1.2</vt:lpstr>
      <vt:lpstr>1.3 Lommeregneren TI-83</vt:lpstr>
      <vt:lpstr>Opgave 1.3 test</vt:lpstr>
      <vt:lpstr>Differensinvestering 6,91</vt:lpstr>
      <vt:lpstr>Differensinvestering 6,00%</vt:lpstr>
      <vt:lpstr>Effektiv rente annuitetslån</vt:lpstr>
      <vt:lpstr>note annuitetslån</vt:lpstr>
      <vt:lpstr>Effektiv rente serielån</vt:lpstr>
      <vt:lpstr>note serielån</vt:lpstr>
      <vt:lpstr>Effektiv rente stående lån</vt:lpstr>
      <vt:lpstr>note stående lån</vt:lpstr>
      <vt:lpstr>Sammenligning</vt:lpstr>
      <vt:lpstr>Resultatbudget</vt:lpstr>
      <vt:lpstr>Likviditetsbudget</vt:lpstr>
      <vt:lpstr>Balance</vt:lpstr>
      <vt:lpstr>Prisoptimering</vt:lpstr>
      <vt:lpstr>løsningstabel</vt:lpstr>
    </vt:vector>
  </TitlesOfParts>
  <Company>BR-consult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lastModifiedBy>Jesper Brygger</cp:lastModifiedBy>
  <cp:lastPrinted>2013-06-15T14:28:42Z</cp:lastPrinted>
  <dcterms:created xsi:type="dcterms:W3CDTF">2000-11-16T20:31:04Z</dcterms:created>
  <dcterms:modified xsi:type="dcterms:W3CDTF">2013-06-15T23:12:54Z</dcterms:modified>
</cp:coreProperties>
</file>