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Gustav\Desktop\"/>
    </mc:Choice>
  </mc:AlternateContent>
  <xr:revisionPtr revIDLastSave="0" documentId="13_ncr:1_{BCDDE970-808C-4B00-BC2A-9D5070B51A9E}" xr6:coauthVersionLast="36" xr6:coauthVersionMax="36" xr10:uidLastSave="{00000000-0000-0000-0000-000000000000}"/>
  <bookViews>
    <workbookView xWindow="0" yWindow="0" windowWidth="24000" windowHeight="9525" xr2:uid="{0AC32F88-9E31-46FF-8234-70D043126E8E}"/>
  </bookViews>
  <sheets>
    <sheet name="opg 1 investering" sheetId="7" r:id="rId1"/>
    <sheet name="Test opg 1.2" sheetId="8" r:id="rId2"/>
    <sheet name="opg 1.3" sheetId="9" r:id="rId3"/>
    <sheet name="opg 2 Effektivrente serielån" sheetId="3" r:id="rId4"/>
    <sheet name="note serielån" sheetId="4" r:id="rId5"/>
    <sheet name="Effektiv rente annuitetslån" sheetId="1" r:id="rId6"/>
    <sheet name="note annuitetslån" sheetId="2" r:id="rId7"/>
    <sheet name="Sammenligning" sheetId="5" r:id="rId8"/>
    <sheet name="3.1 og 3.2" sheetId="14" r:id="rId9"/>
    <sheet name="3.3" sheetId="15" r:id="rId10"/>
    <sheet name="3.4" sheetId="16" r:id="rId11"/>
    <sheet name="3.1 MR=MC knæk i MC" sheetId="17" r:id="rId12"/>
    <sheet name="Graf MR=MC" sheetId="18" r:id="rId13"/>
    <sheet name="Data til graf MR=MC" sheetId="19" r:id="rId14"/>
    <sheet name="opg 4 Resultatbudget" sheetId="11" r:id="rId15"/>
    <sheet name="Balance" sheetId="12" r:id="rId16"/>
    <sheet name="Likviditetsbudget" sheetId="13" r:id="rId17"/>
  </sheets>
  <externalReferences>
    <externalReference r:id="rId18"/>
  </externalReferenc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 i="19" l="1"/>
  <c r="E13" i="19"/>
  <c r="E12" i="19"/>
  <c r="F12" i="19" s="1"/>
  <c r="F11" i="19"/>
  <c r="H11" i="19" s="1"/>
  <c r="E11" i="19"/>
  <c r="G11" i="19" s="1"/>
  <c r="G10" i="19"/>
  <c r="E10" i="19"/>
  <c r="F9" i="19"/>
  <c r="E9" i="19"/>
  <c r="F8" i="19" s="1"/>
  <c r="E8" i="19"/>
  <c r="G9" i="19" s="1"/>
  <c r="H7" i="19"/>
  <c r="G7" i="19"/>
  <c r="G6" i="19"/>
  <c r="E6" i="19"/>
  <c r="L5" i="19"/>
  <c r="J5" i="19"/>
  <c r="I5" i="19"/>
  <c r="K5" i="19" s="1"/>
  <c r="H5" i="19"/>
  <c r="F5" i="19"/>
  <c r="E5" i="19"/>
  <c r="B5" i="19"/>
  <c r="D5" i="19" s="1"/>
  <c r="A5" i="19"/>
  <c r="G5" i="19" s="1"/>
  <c r="L4" i="19"/>
  <c r="I4" i="19"/>
  <c r="H4" i="19"/>
  <c r="F4" i="19"/>
  <c r="J4" i="19" s="1"/>
  <c r="E4" i="19"/>
  <c r="C4" i="19"/>
  <c r="A4" i="19"/>
  <c r="J3" i="19"/>
  <c r="L3" i="19" s="1"/>
  <c r="I3" i="19"/>
  <c r="K3" i="19" s="1"/>
  <c r="F3" i="19"/>
  <c r="D3" i="19"/>
  <c r="G2" i="19"/>
  <c r="E2" i="19"/>
  <c r="A2" i="19"/>
  <c r="M124" i="17"/>
  <c r="M123" i="17"/>
  <c r="M122" i="17"/>
  <c r="M121" i="17"/>
  <c r="M120" i="17"/>
  <c r="M119" i="17"/>
  <c r="M118" i="17"/>
  <c r="M117" i="17"/>
  <c r="M99" i="17"/>
  <c r="C93" i="17"/>
  <c r="D92" i="17"/>
  <c r="D93" i="17" s="1"/>
  <c r="E91" i="17"/>
  <c r="I90" i="17"/>
  <c r="I92" i="17" s="1"/>
  <c r="H90" i="17"/>
  <c r="H92" i="17" s="1"/>
  <c r="F90" i="17"/>
  <c r="E90" i="17"/>
  <c r="D90" i="17"/>
  <c r="C90" i="17"/>
  <c r="C92" i="17" s="1"/>
  <c r="J80" i="17"/>
  <c r="J83" i="17" s="1"/>
  <c r="J85" i="17" s="1"/>
  <c r="H80" i="17"/>
  <c r="M50" i="17"/>
  <c r="I50" i="17"/>
  <c r="E50" i="17"/>
  <c r="M45" i="17"/>
  <c r="I45" i="17"/>
  <c r="M41" i="17"/>
  <c r="I41" i="17"/>
  <c r="E41" i="17"/>
  <c r="M40" i="17"/>
  <c r="I40" i="17"/>
  <c r="M39" i="17"/>
  <c r="I39" i="17"/>
  <c r="E39" i="17"/>
  <c r="M37" i="17"/>
  <c r="I37" i="17"/>
  <c r="E37" i="17"/>
  <c r="C23" i="17"/>
  <c r="L21" i="17"/>
  <c r="L23" i="17" s="1"/>
  <c r="N20" i="17"/>
  <c r="R19" i="17"/>
  <c r="P19" i="17"/>
  <c r="N19" i="17"/>
  <c r="L18" i="17"/>
  <c r="L16" i="17"/>
  <c r="N15" i="17"/>
  <c r="R14" i="17"/>
  <c r="M46" i="17" s="1"/>
  <c r="P14" i="17"/>
  <c r="N14" i="17"/>
  <c r="E12" i="17"/>
  <c r="E81" i="17" s="1"/>
  <c r="R11" i="17"/>
  <c r="N11" i="17"/>
  <c r="F11" i="17"/>
  <c r="F80" i="17" s="1"/>
  <c r="N9" i="17"/>
  <c r="N12" i="17" s="1"/>
  <c r="U8" i="17"/>
  <c r="R8" i="17"/>
  <c r="Q8" i="17"/>
  <c r="Q11" i="17" s="1"/>
  <c r="P8" i="17"/>
  <c r="O8" i="17"/>
  <c r="O11" i="17" s="1"/>
  <c r="N80" i="17" s="1"/>
  <c r="N83" i="17" s="1"/>
  <c r="N8" i="17"/>
  <c r="E7" i="17"/>
  <c r="J6" i="17"/>
  <c r="I6" i="17"/>
  <c r="I11" i="17" s="1"/>
  <c r="F6" i="17"/>
  <c r="E6" i="17"/>
  <c r="E11" i="17" s="1"/>
  <c r="E80" i="17" s="1"/>
  <c r="O5" i="17"/>
  <c r="H9" i="19" l="1"/>
  <c r="H8" i="19"/>
  <c r="H13" i="19"/>
  <c r="H12" i="19"/>
  <c r="C5" i="19"/>
  <c r="G4" i="19" s="1"/>
  <c r="G8" i="19"/>
  <c r="G12" i="19"/>
  <c r="G13" i="19"/>
  <c r="Q16" i="17"/>
  <c r="Q21" i="17" s="1"/>
  <c r="O80" i="17"/>
  <c r="J86" i="17"/>
  <c r="B88" i="17"/>
  <c r="I38" i="17"/>
  <c r="I42" i="17" s="1"/>
  <c r="Q13" i="17"/>
  <c r="Q18" i="17" s="1"/>
  <c r="Q23" i="17" s="1"/>
  <c r="M38" i="17"/>
  <c r="M42" i="17" s="1"/>
  <c r="K85" i="17"/>
  <c r="C88" i="17" s="1"/>
  <c r="S5" i="17"/>
  <c r="S8" i="17" s="1"/>
  <c r="O16" i="17"/>
  <c r="E38" i="17"/>
  <c r="E42" i="17" s="1"/>
  <c r="I80" i="17"/>
  <c r="K86" i="17"/>
  <c r="O21" i="17" l="1"/>
  <c r="O19" i="17"/>
  <c r="O14" i="17"/>
  <c r="S14" i="17" s="1"/>
  <c r="S19" i="17" s="1"/>
  <c r="E45" i="17"/>
  <c r="E43" i="17"/>
  <c r="E44" i="17" s="1"/>
  <c r="E48" i="17" s="1"/>
  <c r="M47" i="17"/>
  <c r="M43" i="17"/>
  <c r="M44" i="17" s="1"/>
  <c r="M48" i="17" s="1"/>
  <c r="I46" i="17"/>
  <c r="I43" i="17"/>
  <c r="I44" i="17" s="1"/>
  <c r="I48" i="17" s="1"/>
  <c r="I51" i="17" l="1"/>
  <c r="M51" i="17"/>
  <c r="E51" i="17"/>
  <c r="M49" i="17"/>
  <c r="M36" i="17" s="1"/>
  <c r="E49" i="17"/>
  <c r="I49" i="17"/>
  <c r="I36" i="17" s="1"/>
  <c r="E36" i="17"/>
  <c r="M97" i="17" l="1"/>
  <c r="I86" i="17"/>
  <c r="K79" i="17"/>
  <c r="E92" i="17" l="1"/>
  <c r="E93" i="17" s="1"/>
  <c r="A88" i="17"/>
  <c r="A120" i="17"/>
  <c r="I96" i="17"/>
  <c r="M81" i="17"/>
  <c r="P80" i="17"/>
  <c r="I83" i="17" s="1"/>
  <c r="M80" i="17"/>
  <c r="M83" i="17" s="1"/>
  <c r="I85" i="17" l="1"/>
  <c r="A85" i="17" s="1"/>
  <c r="F120" i="17"/>
  <c r="C120" i="17"/>
  <c r="E120" i="17" s="1"/>
  <c r="A124" i="17"/>
  <c r="A123" i="17"/>
  <c r="A122" i="17"/>
  <c r="A121" i="17"/>
  <c r="A119" i="17"/>
  <c r="A118" i="17"/>
  <c r="A117" i="17"/>
  <c r="R120" i="17"/>
  <c r="U120" i="17"/>
  <c r="K103" i="17"/>
  <c r="E96" i="17"/>
  <c r="M96" i="17" s="1"/>
  <c r="M98" i="17" s="1"/>
  <c r="M100" i="17" s="1"/>
  <c r="I103" i="17"/>
  <c r="M103" i="17" s="1"/>
  <c r="A104" i="17" s="1"/>
  <c r="F117" i="17" l="1"/>
  <c r="C117" i="17"/>
  <c r="E117" i="17" s="1"/>
  <c r="J117" i="17" s="1"/>
  <c r="N117" i="17" s="1"/>
  <c r="R117" i="17"/>
  <c r="U117" i="17"/>
  <c r="F119" i="17"/>
  <c r="C119" i="17"/>
  <c r="E119" i="17" s="1"/>
  <c r="J119" i="17" s="1"/>
  <c r="N119" i="17" s="1"/>
  <c r="R119" i="17"/>
  <c r="U119" i="17"/>
  <c r="F122" i="17"/>
  <c r="C122" i="17"/>
  <c r="E122" i="17" s="1"/>
  <c r="J122" i="17" s="1"/>
  <c r="N122" i="17" s="1"/>
  <c r="R122" i="17"/>
  <c r="U122" i="17"/>
  <c r="F124" i="17"/>
  <c r="C124" i="17"/>
  <c r="E124" i="17" s="1"/>
  <c r="J124" i="17" s="1"/>
  <c r="N124" i="17" s="1"/>
  <c r="R124" i="17"/>
  <c r="U124" i="17"/>
  <c r="V120" i="17"/>
  <c r="F118" i="17"/>
  <c r="C118" i="17"/>
  <c r="E118" i="17" s="1"/>
  <c r="R118" i="17"/>
  <c r="V118" i="17" s="1"/>
  <c r="U118" i="17"/>
  <c r="F121" i="17"/>
  <c r="C121" i="17"/>
  <c r="E121" i="17" s="1"/>
  <c r="R121" i="17"/>
  <c r="V121" i="17" s="1"/>
  <c r="U121" i="17"/>
  <c r="F123" i="17"/>
  <c r="C123" i="17"/>
  <c r="E123" i="17" s="1"/>
  <c r="U123" i="17"/>
  <c r="R123" i="17"/>
  <c r="J120" i="17"/>
  <c r="N120" i="17" s="1"/>
  <c r="V123" i="17" l="1"/>
  <c r="J123" i="17"/>
  <c r="N123" i="17" s="1"/>
  <c r="J121" i="17"/>
  <c r="N121" i="17" s="1"/>
  <c r="J118" i="17"/>
  <c r="N118" i="17" s="1"/>
  <c r="V124" i="17"/>
  <c r="V122" i="17"/>
  <c r="V119" i="17"/>
  <c r="V117" i="17"/>
  <c r="C29" i="16" l="1"/>
  <c r="E29" i="16"/>
  <c r="B29" i="16"/>
  <c r="C28" i="16"/>
  <c r="C30" i="16" s="1"/>
  <c r="E28" i="16"/>
  <c r="B28" i="16"/>
  <c r="C27" i="16"/>
  <c r="D27" i="16"/>
  <c r="E27" i="16"/>
  <c r="F27" i="16"/>
  <c r="G27" i="16"/>
  <c r="H27" i="16"/>
  <c r="B27" i="16"/>
  <c r="F24" i="16"/>
  <c r="F29" i="16" s="1"/>
  <c r="D24" i="16"/>
  <c r="D29" i="16" s="1"/>
  <c r="F23" i="16"/>
  <c r="D23" i="16"/>
  <c r="F18" i="16"/>
  <c r="D18" i="16"/>
  <c r="F17" i="16"/>
  <c r="D17" i="16"/>
  <c r="F16" i="16"/>
  <c r="D16" i="16"/>
  <c r="F15" i="16"/>
  <c r="D15" i="16"/>
  <c r="F14" i="16"/>
  <c r="D14" i="16"/>
  <c r="F13" i="16"/>
  <c r="D13" i="16"/>
  <c r="F12" i="16"/>
  <c r="D12" i="16"/>
  <c r="F11" i="16"/>
  <c r="F28" i="16" s="1"/>
  <c r="F30" i="16" s="1"/>
  <c r="D11" i="16"/>
  <c r="F10" i="16"/>
  <c r="D10" i="16"/>
  <c r="F9" i="16"/>
  <c r="D9" i="16"/>
  <c r="F8" i="16"/>
  <c r="D8" i="16"/>
  <c r="F7" i="16"/>
  <c r="D7" i="16"/>
  <c r="F6" i="16"/>
  <c r="D6" i="16"/>
  <c r="F5" i="16"/>
  <c r="D5" i="16"/>
  <c r="F4" i="16"/>
  <c r="D4" i="16"/>
  <c r="G12" i="15"/>
  <c r="G6" i="15"/>
  <c r="G7" i="15"/>
  <c r="G8" i="15"/>
  <c r="G9" i="15"/>
  <c r="G10" i="15"/>
  <c r="G11" i="15"/>
  <c r="G13" i="15"/>
  <c r="G14" i="15"/>
  <c r="G15" i="15"/>
  <c r="G16" i="15"/>
  <c r="G17" i="15"/>
  <c r="G18" i="15"/>
  <c r="G5" i="15"/>
  <c r="F5" i="15"/>
  <c r="F6" i="15"/>
  <c r="F7" i="15"/>
  <c r="F8" i="15"/>
  <c r="F9" i="15"/>
  <c r="F10" i="15"/>
  <c r="F11" i="15"/>
  <c r="F12" i="15"/>
  <c r="F13" i="15"/>
  <c r="F14" i="15"/>
  <c r="F15" i="15"/>
  <c r="F16" i="15"/>
  <c r="F17" i="15"/>
  <c r="F18" i="15"/>
  <c r="F4" i="15"/>
  <c r="E5" i="15"/>
  <c r="E6" i="15"/>
  <c r="E7" i="15"/>
  <c r="E8" i="15"/>
  <c r="E9" i="15"/>
  <c r="E10" i="15"/>
  <c r="E11" i="15"/>
  <c r="E12" i="15"/>
  <c r="E13" i="15"/>
  <c r="E14" i="15"/>
  <c r="E15" i="15"/>
  <c r="E16" i="15"/>
  <c r="E17" i="15"/>
  <c r="E18" i="15"/>
  <c r="E4" i="15"/>
  <c r="C5" i="15"/>
  <c r="C6" i="15"/>
  <c r="C7" i="15"/>
  <c r="C8" i="15"/>
  <c r="C9" i="15"/>
  <c r="C10" i="15"/>
  <c r="C11" i="15"/>
  <c r="C12" i="15"/>
  <c r="C13" i="15"/>
  <c r="C14" i="15"/>
  <c r="C15" i="15"/>
  <c r="C16" i="15"/>
  <c r="C17" i="15"/>
  <c r="C18" i="15"/>
  <c r="C4" i="15"/>
  <c r="G4" i="16" l="1"/>
  <c r="G5" i="16"/>
  <c r="H6" i="16" s="1"/>
  <c r="G6" i="16"/>
  <c r="G7" i="16"/>
  <c r="H8" i="16" s="1"/>
  <c r="G8" i="16"/>
  <c r="G9" i="16"/>
  <c r="H10" i="16" s="1"/>
  <c r="G10" i="16"/>
  <c r="G11" i="16"/>
  <c r="G28" i="16" s="1"/>
  <c r="G12" i="16"/>
  <c r="G13" i="16"/>
  <c r="H14" i="16" s="1"/>
  <c r="G14" i="16"/>
  <c r="G15" i="16"/>
  <c r="H16" i="16" s="1"/>
  <c r="G16" i="16"/>
  <c r="G17" i="16"/>
  <c r="H18" i="16" s="1"/>
  <c r="G18" i="16"/>
  <c r="D30" i="16"/>
  <c r="D28" i="16"/>
  <c r="G24" i="16"/>
  <c r="G29" i="16" s="1"/>
  <c r="G30" i="16" s="1"/>
  <c r="G23" i="16"/>
  <c r="H5" i="16"/>
  <c r="H9" i="16"/>
  <c r="H13" i="16"/>
  <c r="H17" i="16"/>
  <c r="B23" i="14"/>
  <c r="H15" i="16" l="1"/>
  <c r="H11" i="16"/>
  <c r="H28" i="16" s="1"/>
  <c r="H7" i="16"/>
  <c r="H12" i="16"/>
  <c r="H24" i="16"/>
  <c r="H29" i="16" s="1"/>
  <c r="G22" i="14"/>
  <c r="G21" i="14"/>
  <c r="G20" i="14"/>
  <c r="D21" i="14"/>
  <c r="D22" i="14"/>
  <c r="D20" i="14"/>
  <c r="F22" i="14"/>
  <c r="E22" i="14"/>
  <c r="F21" i="14"/>
  <c r="E21" i="14"/>
  <c r="H21" i="14" s="1"/>
  <c r="F20" i="14"/>
  <c r="H20" i="14" s="1"/>
  <c r="E20" i="14"/>
  <c r="G19" i="14"/>
  <c r="F19" i="14"/>
  <c r="E19" i="14"/>
  <c r="H19" i="14" s="1"/>
  <c r="I19" i="14" s="1"/>
  <c r="F18" i="14"/>
  <c r="G18" i="14" s="1"/>
  <c r="H18" i="14" s="1"/>
  <c r="E18" i="14"/>
  <c r="G17" i="14"/>
  <c r="F17" i="14"/>
  <c r="E17" i="14"/>
  <c r="H17" i="14" s="1"/>
  <c r="I17" i="14" s="1"/>
  <c r="I4" i="14"/>
  <c r="H4" i="14"/>
  <c r="G4" i="14"/>
  <c r="F5" i="14"/>
  <c r="G5" i="14" s="1"/>
  <c r="F6" i="14"/>
  <c r="G6" i="14" s="1"/>
  <c r="F7" i="14"/>
  <c r="G7" i="14" s="1"/>
  <c r="F8" i="14"/>
  <c r="G8" i="14" s="1"/>
  <c r="F9" i="14"/>
  <c r="G9" i="14" s="1"/>
  <c r="F4" i="14"/>
  <c r="E5" i="14"/>
  <c r="H5" i="14" s="1"/>
  <c r="I5" i="14" s="1"/>
  <c r="E6" i="14"/>
  <c r="H6" i="14" s="1"/>
  <c r="I6" i="14" s="1"/>
  <c r="E7" i="14"/>
  <c r="H7" i="14" s="1"/>
  <c r="E8" i="14"/>
  <c r="H8" i="14" s="1"/>
  <c r="I8" i="14" s="1"/>
  <c r="E9" i="14"/>
  <c r="H9" i="14" s="1"/>
  <c r="E4" i="14"/>
  <c r="H40" i="12"/>
  <c r="C7" i="12"/>
  <c r="C6" i="12"/>
  <c r="I9" i="14" l="1"/>
  <c r="I7" i="14"/>
  <c r="H22" i="14"/>
  <c r="I20" i="14"/>
  <c r="I18" i="14"/>
  <c r="I21" i="14"/>
  <c r="I22" i="14"/>
  <c r="E17" i="11"/>
  <c r="E11" i="11"/>
  <c r="E7" i="11"/>
  <c r="D7" i="11"/>
  <c r="F148" i="7"/>
  <c r="F39" i="13"/>
  <c r="D38" i="13"/>
  <c r="C38" i="13"/>
  <c r="A38" i="13"/>
  <c r="D37" i="13"/>
  <c r="C37" i="13"/>
  <c r="F32" i="13"/>
  <c r="A32" i="13"/>
  <c r="A31" i="13"/>
  <c r="A30" i="13"/>
  <c r="F29" i="13"/>
  <c r="A29" i="13"/>
  <c r="F28" i="13"/>
  <c r="A28" i="13"/>
  <c r="F27" i="13"/>
  <c r="A27" i="13"/>
  <c r="F25" i="13"/>
  <c r="A25" i="13"/>
  <c r="F24" i="13"/>
  <c r="A24" i="13"/>
  <c r="A19" i="13"/>
  <c r="A18" i="13"/>
  <c r="D17" i="13"/>
  <c r="A17" i="13"/>
  <c r="D16" i="13"/>
  <c r="A16" i="13"/>
  <c r="D15" i="13"/>
  <c r="A15" i="13"/>
  <c r="D14" i="13"/>
  <c r="A14" i="13"/>
  <c r="D13" i="13"/>
  <c r="A13" i="13"/>
  <c r="D12" i="13"/>
  <c r="A12" i="13"/>
  <c r="D10" i="13"/>
  <c r="A10" i="13"/>
  <c r="D9" i="13"/>
  <c r="A9" i="13"/>
  <c r="D8" i="13"/>
  <c r="A8" i="13"/>
  <c r="D7" i="13"/>
  <c r="A7" i="13"/>
  <c r="D6" i="13"/>
  <c r="D5" i="13"/>
  <c r="D4" i="13"/>
  <c r="D47" i="12"/>
  <c r="A47" i="12"/>
  <c r="F46" i="12"/>
  <c r="D46" i="12"/>
  <c r="C46" i="12"/>
  <c r="B46" i="12"/>
  <c r="E46" i="12" s="1"/>
  <c r="A46" i="12"/>
  <c r="B45" i="12"/>
  <c r="E43" i="12"/>
  <c r="B43" i="12"/>
  <c r="A42" i="12"/>
  <c r="E40" i="12"/>
  <c r="B40" i="12"/>
  <c r="A39" i="12"/>
  <c r="E37" i="12"/>
  <c r="H37" i="12" s="1"/>
  <c r="B37" i="12"/>
  <c r="I35" i="12"/>
  <c r="H35" i="12"/>
  <c r="E35" i="12"/>
  <c r="F35" i="12" s="1"/>
  <c r="B35" i="12"/>
  <c r="A35" i="12"/>
  <c r="H33" i="12"/>
  <c r="E33" i="12"/>
  <c r="E32" i="12"/>
  <c r="E36" i="12" s="1"/>
  <c r="I31" i="12"/>
  <c r="H31" i="12"/>
  <c r="F31" i="12"/>
  <c r="E31" i="12"/>
  <c r="B31" i="12"/>
  <c r="E29" i="12"/>
  <c r="E28" i="12"/>
  <c r="B28" i="12"/>
  <c r="E27" i="12"/>
  <c r="H27" i="12" s="1"/>
  <c r="B24" i="12"/>
  <c r="I22" i="12"/>
  <c r="G22" i="12"/>
  <c r="E22" i="12"/>
  <c r="E10" i="13" s="1"/>
  <c r="I21" i="12"/>
  <c r="E17" i="13" s="1"/>
  <c r="F17" i="13" s="1"/>
  <c r="E21" i="12"/>
  <c r="E9" i="13" s="1"/>
  <c r="I20" i="12"/>
  <c r="E16" i="13" s="1"/>
  <c r="F16" i="13" s="1"/>
  <c r="E20" i="12"/>
  <c r="E8" i="13" s="1"/>
  <c r="I19" i="12"/>
  <c r="E15" i="13" s="1"/>
  <c r="F15" i="13" s="1"/>
  <c r="I18" i="12"/>
  <c r="E14" i="13" s="1"/>
  <c r="F14" i="13" s="1"/>
  <c r="E18" i="12"/>
  <c r="E6" i="13" s="1"/>
  <c r="A18" i="12"/>
  <c r="A6" i="13" s="1"/>
  <c r="I17" i="12"/>
  <c r="E13" i="13" s="1"/>
  <c r="F13" i="13" s="1"/>
  <c r="E17" i="12"/>
  <c r="E5" i="13" s="1"/>
  <c r="A17" i="12"/>
  <c r="A5" i="13" s="1"/>
  <c r="A16" i="12"/>
  <c r="I15" i="12"/>
  <c r="H14" i="12"/>
  <c r="G14" i="12"/>
  <c r="C14" i="12"/>
  <c r="F22" i="13" s="1"/>
  <c r="B14" i="12"/>
  <c r="I13" i="12"/>
  <c r="E13" i="12"/>
  <c r="I12" i="12"/>
  <c r="E12" i="12"/>
  <c r="I11" i="12"/>
  <c r="E11" i="12"/>
  <c r="I10" i="12"/>
  <c r="E10" i="12"/>
  <c r="I9" i="12"/>
  <c r="E9" i="12"/>
  <c r="G8" i="12"/>
  <c r="E8" i="12"/>
  <c r="H7" i="12"/>
  <c r="E7" i="12"/>
  <c r="E6" i="12"/>
  <c r="I5" i="12"/>
  <c r="E5" i="12"/>
  <c r="I4" i="12"/>
  <c r="H4" i="12"/>
  <c r="E2" i="12"/>
  <c r="I2" i="12" s="1"/>
  <c r="B2" i="12"/>
  <c r="G2" i="12" s="1"/>
  <c r="B36" i="11"/>
  <c r="B39" i="12" s="1"/>
  <c r="E34" i="11"/>
  <c r="E33" i="11"/>
  <c r="B33" i="11"/>
  <c r="E22" i="11"/>
  <c r="E20" i="11"/>
  <c r="F19" i="13" s="1"/>
  <c r="F18" i="13"/>
  <c r="D14" i="12"/>
  <c r="E15" i="11"/>
  <c r="E14" i="11"/>
  <c r="E13" i="11"/>
  <c r="E12" i="11"/>
  <c r="E9" i="11"/>
  <c r="B6" i="11"/>
  <c r="B8" i="11" s="1"/>
  <c r="B10" i="11" s="1"/>
  <c r="B16" i="11" s="1"/>
  <c r="B18" i="11" s="1"/>
  <c r="B21" i="11" s="1"/>
  <c r="B23" i="11" s="1"/>
  <c r="B25" i="11" s="1"/>
  <c r="B29" i="11" s="1"/>
  <c r="B30" i="11" s="1"/>
  <c r="E5" i="11"/>
  <c r="D5" i="11"/>
  <c r="A5" i="11"/>
  <c r="B36" i="12" s="1"/>
  <c r="D4" i="11"/>
  <c r="E4" i="11" s="1"/>
  <c r="E3" i="11"/>
  <c r="E2" i="11"/>
  <c r="A1" i="11"/>
  <c r="E42" i="12" l="1"/>
  <c r="F36" i="12"/>
  <c r="I14" i="12"/>
  <c r="F28" i="12"/>
  <c r="F38" i="13"/>
  <c r="F5" i="13"/>
  <c r="F32" i="12"/>
  <c r="E6" i="11"/>
  <c r="E8" i="11" s="1"/>
  <c r="E10" i="11" s="1"/>
  <c r="E16" i="11" s="1"/>
  <c r="F2" i="13" s="1"/>
  <c r="A4" i="13"/>
  <c r="A29" i="12"/>
  <c r="B29" i="12" s="1"/>
  <c r="C45" i="12"/>
  <c r="G24" i="12"/>
  <c r="G25" i="12" s="1"/>
  <c r="F30" i="13"/>
  <c r="B32" i="12"/>
  <c r="F42" i="12"/>
  <c r="H32" i="12"/>
  <c r="I32" i="12" s="1"/>
  <c r="H28" i="12"/>
  <c r="I28" i="12" s="1"/>
  <c r="E16" i="12" s="1"/>
  <c r="B47" i="12"/>
  <c r="B42" i="12"/>
  <c r="H39" i="12"/>
  <c r="E39" i="12"/>
  <c r="E4" i="12"/>
  <c r="E14" i="12"/>
  <c r="B25" i="12"/>
  <c r="A36" i="12"/>
  <c r="H36" i="12"/>
  <c r="I36" i="12" s="1"/>
  <c r="F6" i="13"/>
  <c r="F8" i="13"/>
  <c r="F9" i="13"/>
  <c r="F10" i="13"/>
  <c r="A31" i="12"/>
  <c r="A32" i="12"/>
  <c r="B33" i="12"/>
  <c r="E18" i="11" l="1"/>
  <c r="E21" i="11" s="1"/>
  <c r="E23" i="11" s="1"/>
  <c r="E24" i="11" s="1"/>
  <c r="F31" i="13" s="1"/>
  <c r="F39" i="12"/>
  <c r="E4" i="13"/>
  <c r="F4" i="13" s="1"/>
  <c r="C47" i="12"/>
  <c r="I39" i="12"/>
  <c r="E19" i="12" s="1"/>
  <c r="E7" i="13" s="1"/>
  <c r="F7" i="13" s="1"/>
  <c r="E47" i="12"/>
  <c r="H42" i="12" s="1"/>
  <c r="I42" i="12" s="1"/>
  <c r="I16" i="12" s="1"/>
  <c r="E25" i="11" l="1"/>
  <c r="E29" i="11" s="1"/>
  <c r="H6" i="12" s="1"/>
  <c r="E12" i="13"/>
  <c r="F12" i="13" s="1"/>
  <c r="F20" i="13" s="1"/>
  <c r="F33" i="13" s="1"/>
  <c r="F40" i="13" s="1"/>
  <c r="E30" i="11" l="1"/>
  <c r="H23" i="12"/>
  <c r="H24" i="12" s="1"/>
  <c r="F43" i="13"/>
  <c r="I23" i="12" s="1"/>
  <c r="I24" i="12" s="1"/>
  <c r="I6" i="12"/>
  <c r="I8" i="12" s="1"/>
  <c r="H8" i="12"/>
  <c r="E23" i="12" l="1"/>
  <c r="E24" i="12" s="1"/>
  <c r="E25" i="12" s="1"/>
  <c r="I25" i="12"/>
  <c r="C18" i="9" l="1"/>
  <c r="C1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C26" i="9"/>
  <c r="E25" i="9"/>
  <c r="C25" i="9"/>
  <c r="E24" i="9"/>
  <c r="C24" i="9"/>
  <c r="E23" i="9"/>
  <c r="C23" i="9"/>
  <c r="E22" i="9"/>
  <c r="C22" i="9"/>
  <c r="D21" i="9"/>
  <c r="C21" i="9"/>
  <c r="E21" i="9" s="1"/>
  <c r="C20" i="9"/>
  <c r="E20" i="9" s="1"/>
  <c r="C19" i="9"/>
  <c r="E19" i="9" s="1"/>
  <c r="E18" i="9"/>
  <c r="F17" i="9"/>
  <c r="E17" i="9"/>
  <c r="B17" i="9"/>
  <c r="B18" i="9" s="1"/>
  <c r="F16" i="9"/>
  <c r="E16" i="9"/>
  <c r="D16" i="9"/>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C26" i="8"/>
  <c r="E25" i="8"/>
  <c r="C25" i="8"/>
  <c r="E24" i="8"/>
  <c r="C24" i="8"/>
  <c r="E23" i="8"/>
  <c r="C23" i="8"/>
  <c r="E22" i="8"/>
  <c r="C22" i="8"/>
  <c r="C21" i="8"/>
  <c r="C20" i="8"/>
  <c r="E20" i="8" s="1"/>
  <c r="C19" i="8"/>
  <c r="E19" i="8" s="1"/>
  <c r="C18" i="8"/>
  <c r="E18" i="8" s="1"/>
  <c r="F17" i="8"/>
  <c r="C17" i="8"/>
  <c r="E17" i="8" s="1"/>
  <c r="B17" i="8"/>
  <c r="B18" i="8" s="1"/>
  <c r="F16" i="8"/>
  <c r="E16" i="8"/>
  <c r="D16" i="8"/>
  <c r="G147" i="7"/>
  <c r="D16" i="7"/>
  <c r="D21" i="7"/>
  <c r="C26" i="7"/>
  <c r="E26" i="7" s="1"/>
  <c r="C19" i="7"/>
  <c r="C20" i="7"/>
  <c r="E20" i="7" s="1"/>
  <c r="C21" i="7"/>
  <c r="C22" i="7"/>
  <c r="C23" i="7"/>
  <c r="C24" i="7"/>
  <c r="E24" i="7" s="1"/>
  <c r="C25" i="7"/>
  <c r="C18" i="7"/>
  <c r="E22" i="7"/>
  <c r="C1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5" i="7"/>
  <c r="E23" i="7"/>
  <c r="E21" i="7"/>
  <c r="E19" i="7"/>
  <c r="E18" i="7"/>
  <c r="E17" i="7"/>
  <c r="B17" i="7"/>
  <c r="B18" i="7" s="1"/>
  <c r="F16" i="7"/>
  <c r="E16" i="7"/>
  <c r="G139" i="9" l="1"/>
  <c r="H18" i="9" s="1"/>
  <c r="G16" i="9"/>
  <c r="B19" i="9"/>
  <c r="G18" i="9"/>
  <c r="F18" i="9"/>
  <c r="G17" i="9"/>
  <c r="G16" i="8"/>
  <c r="B19" i="8"/>
  <c r="G18" i="8"/>
  <c r="F18" i="8"/>
  <c r="G17" i="8"/>
  <c r="G139" i="7"/>
  <c r="H18" i="7" s="1"/>
  <c r="G17" i="7"/>
  <c r="G16" i="7"/>
  <c r="B19" i="7"/>
  <c r="G18" i="7"/>
  <c r="F18" i="7"/>
  <c r="F17" i="7"/>
  <c r="I16" i="9" l="1"/>
  <c r="B20" i="9"/>
  <c r="G19" i="9"/>
  <c r="H19" i="9"/>
  <c r="F19" i="9"/>
  <c r="I20" i="9"/>
  <c r="I19" i="9"/>
  <c r="I18" i="9"/>
  <c r="I17" i="9"/>
  <c r="H16" i="9"/>
  <c r="H17" i="9"/>
  <c r="I15" i="9"/>
  <c r="I16" i="8"/>
  <c r="B20" i="8"/>
  <c r="G19" i="8"/>
  <c r="F19" i="8"/>
  <c r="H17" i="7"/>
  <c r="I15" i="7"/>
  <c r="I18" i="7"/>
  <c r="I17" i="7"/>
  <c r="H16" i="7"/>
  <c r="H19" i="7"/>
  <c r="F19" i="7"/>
  <c r="B20" i="7"/>
  <c r="G19" i="7"/>
  <c r="I16" i="7"/>
  <c r="I19" i="7"/>
  <c r="B21" i="9" l="1"/>
  <c r="G20" i="9"/>
  <c r="H20" i="9"/>
  <c r="F20" i="9"/>
  <c r="B21" i="8"/>
  <c r="G20" i="8"/>
  <c r="F20" i="8"/>
  <c r="B21" i="7"/>
  <c r="G20" i="7"/>
  <c r="F20" i="7"/>
  <c r="H20" i="7"/>
  <c r="I20" i="7"/>
  <c r="H21" i="9" l="1"/>
  <c r="F21" i="9"/>
  <c r="B22" i="9"/>
  <c r="G21" i="9"/>
  <c r="I21" i="9"/>
  <c r="F21" i="8"/>
  <c r="B22" i="8"/>
  <c r="H21" i="7"/>
  <c r="F21" i="7"/>
  <c r="B22" i="7"/>
  <c r="G21" i="7"/>
  <c r="I21" i="7"/>
  <c r="H22" i="9" l="1"/>
  <c r="F22" i="9"/>
  <c r="B23" i="9"/>
  <c r="G22" i="9"/>
  <c r="I22" i="9"/>
  <c r="F22" i="8"/>
  <c r="B23" i="8"/>
  <c r="G22" i="8"/>
  <c r="B23" i="7"/>
  <c r="G22" i="7"/>
  <c r="F22" i="7"/>
  <c r="H22" i="7"/>
  <c r="I22" i="7"/>
  <c r="H23" i="9" l="1"/>
  <c r="F23" i="9"/>
  <c r="B24" i="9"/>
  <c r="G23" i="9"/>
  <c r="I23" i="9"/>
  <c r="F23" i="8"/>
  <c r="B24" i="8"/>
  <c r="G23" i="8"/>
  <c r="H23" i="7"/>
  <c r="F23" i="7"/>
  <c r="B24" i="7"/>
  <c r="G23" i="7"/>
  <c r="I23" i="7"/>
  <c r="H24" i="9" l="1"/>
  <c r="F24" i="9"/>
  <c r="B25" i="9"/>
  <c r="G24" i="9"/>
  <c r="I24" i="9"/>
  <c r="F24" i="8"/>
  <c r="B25" i="8"/>
  <c r="G24" i="8"/>
  <c r="B25" i="7"/>
  <c r="G24" i="7"/>
  <c r="F24" i="7"/>
  <c r="H24" i="7"/>
  <c r="I24" i="7"/>
  <c r="H25" i="9" l="1"/>
  <c r="F25" i="9"/>
  <c r="B26" i="9"/>
  <c r="G25" i="9"/>
  <c r="I25" i="9"/>
  <c r="F25" i="8"/>
  <c r="B26" i="8"/>
  <c r="G25" i="8"/>
  <c r="H25" i="7"/>
  <c r="F25" i="7"/>
  <c r="B26" i="7"/>
  <c r="G25" i="7"/>
  <c r="I25" i="7"/>
  <c r="H26" i="9" l="1"/>
  <c r="F26" i="9"/>
  <c r="B27" i="9"/>
  <c r="G26" i="9"/>
  <c r="I26" i="9"/>
  <c r="F26" i="8"/>
  <c r="B27" i="8"/>
  <c r="G26" i="8"/>
  <c r="B27" i="7"/>
  <c r="G26" i="7"/>
  <c r="F26" i="7"/>
  <c r="H26" i="7"/>
  <c r="I26" i="7"/>
  <c r="B28" i="9" l="1"/>
  <c r="G27" i="9"/>
  <c r="J27" i="9"/>
  <c r="F27" i="9"/>
  <c r="H27" i="9"/>
  <c r="I27" i="9"/>
  <c r="B28" i="8"/>
  <c r="G27" i="8"/>
  <c r="J27" i="8"/>
  <c r="F27" i="8"/>
  <c r="H27" i="8"/>
  <c r="J27" i="7"/>
  <c r="H27" i="7"/>
  <c r="F27" i="7"/>
  <c r="B28" i="7"/>
  <c r="G27" i="7"/>
  <c r="I27" i="7"/>
  <c r="J28" i="9" l="1"/>
  <c r="H28" i="9"/>
  <c r="F28" i="9"/>
  <c r="B29" i="9"/>
  <c r="G28" i="9"/>
  <c r="I28" i="9"/>
  <c r="J28" i="8"/>
  <c r="H28" i="8"/>
  <c r="F28" i="8"/>
  <c r="B29" i="8"/>
  <c r="G28" i="8"/>
  <c r="B29" i="7"/>
  <c r="G28" i="7"/>
  <c r="J28" i="7"/>
  <c r="F28" i="7"/>
  <c r="H28" i="7"/>
  <c r="I28" i="7"/>
  <c r="B30" i="9" l="1"/>
  <c r="G29" i="9"/>
  <c r="J29" i="9"/>
  <c r="F29" i="9"/>
  <c r="H29" i="9"/>
  <c r="I29" i="9"/>
  <c r="B30" i="8"/>
  <c r="G29" i="8"/>
  <c r="J29" i="8"/>
  <c r="F29" i="8"/>
  <c r="H29" i="8"/>
  <c r="J29" i="7"/>
  <c r="H29" i="7"/>
  <c r="F29" i="7"/>
  <c r="B30" i="7"/>
  <c r="G29" i="7"/>
  <c r="I29" i="7"/>
  <c r="J30" i="9" l="1"/>
  <c r="H30" i="9"/>
  <c r="F30" i="9"/>
  <c r="B31" i="9"/>
  <c r="G30" i="9"/>
  <c r="I30" i="9"/>
  <c r="J30" i="8"/>
  <c r="H30" i="8"/>
  <c r="F30" i="8"/>
  <c r="B31" i="8"/>
  <c r="G30" i="8"/>
  <c r="B31" i="7"/>
  <c r="G30" i="7"/>
  <c r="J30" i="7"/>
  <c r="F30" i="7"/>
  <c r="H30" i="7"/>
  <c r="I30" i="7"/>
  <c r="B32" i="9" l="1"/>
  <c r="G31" i="9"/>
  <c r="J31" i="9"/>
  <c r="F31" i="9"/>
  <c r="H31" i="9"/>
  <c r="I31" i="9"/>
  <c r="B32" i="8"/>
  <c r="G31" i="8"/>
  <c r="J31" i="8"/>
  <c r="F31" i="8"/>
  <c r="H31" i="8"/>
  <c r="J31" i="7"/>
  <c r="H31" i="7"/>
  <c r="F31" i="7"/>
  <c r="B32" i="7"/>
  <c r="G31" i="7"/>
  <c r="I31" i="7"/>
  <c r="J32" i="9" l="1"/>
  <c r="H32" i="9"/>
  <c r="F32" i="9"/>
  <c r="B33" i="9"/>
  <c r="G32" i="9"/>
  <c r="I32" i="9"/>
  <c r="J32" i="8"/>
  <c r="H32" i="8"/>
  <c r="F32" i="8"/>
  <c r="B33" i="8"/>
  <c r="G32" i="8"/>
  <c r="B33" i="7"/>
  <c r="G32" i="7"/>
  <c r="J32" i="7"/>
  <c r="F32" i="7"/>
  <c r="H32" i="7"/>
  <c r="I32" i="7"/>
  <c r="B34" i="9" l="1"/>
  <c r="G33" i="9"/>
  <c r="J33" i="9"/>
  <c r="F33" i="9"/>
  <c r="H33" i="9"/>
  <c r="I33" i="9"/>
  <c r="B34" i="8"/>
  <c r="G33" i="8"/>
  <c r="J33" i="8"/>
  <c r="F33" i="8"/>
  <c r="H33" i="8"/>
  <c r="J33" i="7"/>
  <c r="H33" i="7"/>
  <c r="F33" i="7"/>
  <c r="B34" i="7"/>
  <c r="G33" i="7"/>
  <c r="I33" i="7"/>
  <c r="J34" i="9" l="1"/>
  <c r="H34" i="9"/>
  <c r="F34" i="9"/>
  <c r="B35" i="9"/>
  <c r="G34" i="9"/>
  <c r="I34" i="9"/>
  <c r="J34" i="8"/>
  <c r="H34" i="8"/>
  <c r="F34" i="8"/>
  <c r="B35" i="8"/>
  <c r="G34" i="8"/>
  <c r="B35" i="7"/>
  <c r="G34" i="7"/>
  <c r="J34" i="7"/>
  <c r="F34" i="7"/>
  <c r="H34" i="7"/>
  <c r="I34" i="7"/>
  <c r="B36" i="9" l="1"/>
  <c r="G35" i="9"/>
  <c r="J35" i="9"/>
  <c r="F35" i="9"/>
  <c r="H35" i="9"/>
  <c r="I35" i="9"/>
  <c r="B36" i="8"/>
  <c r="G35" i="8"/>
  <c r="J35" i="8"/>
  <c r="F35" i="8"/>
  <c r="H35" i="8"/>
  <c r="J35" i="7"/>
  <c r="H35" i="7"/>
  <c r="F35" i="7"/>
  <c r="B36" i="7"/>
  <c r="G35" i="7"/>
  <c r="I35" i="7"/>
  <c r="J36" i="9" l="1"/>
  <c r="H36" i="9"/>
  <c r="F36" i="9"/>
  <c r="B37" i="9"/>
  <c r="G36" i="9"/>
  <c r="I36" i="9"/>
  <c r="J36" i="8"/>
  <c r="H36" i="8"/>
  <c r="F36" i="8"/>
  <c r="B37" i="8"/>
  <c r="G36" i="8"/>
  <c r="B37" i="7"/>
  <c r="G36" i="7"/>
  <c r="J36" i="7"/>
  <c r="F36" i="7"/>
  <c r="H36" i="7"/>
  <c r="I36" i="7"/>
  <c r="B38" i="9" l="1"/>
  <c r="G37" i="9"/>
  <c r="J37" i="9"/>
  <c r="F37" i="9"/>
  <c r="H37" i="9"/>
  <c r="I37" i="9"/>
  <c r="B38" i="8"/>
  <c r="G37" i="8"/>
  <c r="J37" i="8"/>
  <c r="F37" i="8"/>
  <c r="H37" i="8"/>
  <c r="J37" i="7"/>
  <c r="H37" i="7"/>
  <c r="F37" i="7"/>
  <c r="B38" i="7"/>
  <c r="G37" i="7"/>
  <c r="I37" i="7"/>
  <c r="J38" i="9" l="1"/>
  <c r="H38" i="9"/>
  <c r="F38" i="9"/>
  <c r="B39" i="9"/>
  <c r="G38" i="9"/>
  <c r="I38" i="9"/>
  <c r="J38" i="8"/>
  <c r="H38" i="8"/>
  <c r="F38" i="8"/>
  <c r="B39" i="8"/>
  <c r="G38" i="8"/>
  <c r="B39" i="7"/>
  <c r="G38" i="7"/>
  <c r="J38" i="7"/>
  <c r="F38" i="7"/>
  <c r="H38" i="7"/>
  <c r="I38" i="7"/>
  <c r="B40" i="9" l="1"/>
  <c r="G39" i="9"/>
  <c r="J39" i="9"/>
  <c r="F39" i="9"/>
  <c r="H39" i="9"/>
  <c r="I39" i="9"/>
  <c r="B40" i="8"/>
  <c r="G39" i="8"/>
  <c r="J39" i="8"/>
  <c r="F39" i="8"/>
  <c r="H39" i="8"/>
  <c r="J39" i="7"/>
  <c r="H39" i="7"/>
  <c r="F39" i="7"/>
  <c r="B40" i="7"/>
  <c r="G39" i="7"/>
  <c r="I39" i="7"/>
  <c r="J40" i="9" l="1"/>
  <c r="H40" i="9"/>
  <c r="F40" i="9"/>
  <c r="B41" i="9"/>
  <c r="G40" i="9"/>
  <c r="I40" i="9"/>
  <c r="J40" i="8"/>
  <c r="H40" i="8"/>
  <c r="F40" i="8"/>
  <c r="B41" i="8"/>
  <c r="G40" i="8"/>
  <c r="B41" i="7"/>
  <c r="G40" i="7"/>
  <c r="J40" i="7"/>
  <c r="F40" i="7"/>
  <c r="H40" i="7"/>
  <c r="I40" i="7"/>
  <c r="B42" i="9" l="1"/>
  <c r="G41" i="9"/>
  <c r="J41" i="9"/>
  <c r="F41" i="9"/>
  <c r="H41" i="9"/>
  <c r="I41" i="9"/>
  <c r="B42" i="8"/>
  <c r="G41" i="8"/>
  <c r="J41" i="8"/>
  <c r="F41" i="8"/>
  <c r="H41" i="8"/>
  <c r="J41" i="7"/>
  <c r="H41" i="7"/>
  <c r="F41" i="7"/>
  <c r="B42" i="7"/>
  <c r="G41" i="7"/>
  <c r="I41" i="7"/>
  <c r="J42" i="9" l="1"/>
  <c r="H42" i="9"/>
  <c r="F42" i="9"/>
  <c r="B43" i="9"/>
  <c r="G42" i="9"/>
  <c r="I42" i="9"/>
  <c r="J42" i="8"/>
  <c r="H42" i="8"/>
  <c r="F42" i="8"/>
  <c r="B43" i="8"/>
  <c r="G42" i="8"/>
  <c r="B43" i="7"/>
  <c r="G42" i="7"/>
  <c r="J42" i="7"/>
  <c r="F42" i="7"/>
  <c r="H42" i="7"/>
  <c r="I42" i="7"/>
  <c r="B44" i="9" l="1"/>
  <c r="G43" i="9"/>
  <c r="J43" i="9"/>
  <c r="F43" i="9"/>
  <c r="H43" i="9"/>
  <c r="I43" i="9"/>
  <c r="B44" i="8"/>
  <c r="G43" i="8"/>
  <c r="J43" i="8"/>
  <c r="F43" i="8"/>
  <c r="H43" i="8"/>
  <c r="J43" i="7"/>
  <c r="H43" i="7"/>
  <c r="F43" i="7"/>
  <c r="B44" i="7"/>
  <c r="G43" i="7"/>
  <c r="I43" i="7"/>
  <c r="J44" i="9" l="1"/>
  <c r="H44" i="9"/>
  <c r="F44" i="9"/>
  <c r="B45" i="9"/>
  <c r="G44" i="9"/>
  <c r="I44" i="9"/>
  <c r="J44" i="8"/>
  <c r="H44" i="8"/>
  <c r="F44" i="8"/>
  <c r="B45" i="8"/>
  <c r="G44" i="8"/>
  <c r="B45" i="7"/>
  <c r="G44" i="7"/>
  <c r="J44" i="7"/>
  <c r="F44" i="7"/>
  <c r="H44" i="7"/>
  <c r="I44" i="7"/>
  <c r="B46" i="9" l="1"/>
  <c r="G45" i="9"/>
  <c r="J45" i="9"/>
  <c r="F45" i="9"/>
  <c r="H45" i="9"/>
  <c r="I45" i="9"/>
  <c r="B46" i="8"/>
  <c r="G45" i="8"/>
  <c r="J45" i="8"/>
  <c r="F45" i="8"/>
  <c r="H45" i="8"/>
  <c r="J45" i="7"/>
  <c r="H45" i="7"/>
  <c r="F45" i="7"/>
  <c r="B46" i="7"/>
  <c r="G45" i="7"/>
  <c r="I45" i="7"/>
  <c r="J46" i="9" l="1"/>
  <c r="H46" i="9"/>
  <c r="F46" i="9"/>
  <c r="B47" i="9"/>
  <c r="G46" i="9"/>
  <c r="I46" i="9"/>
  <c r="J46" i="8"/>
  <c r="H46" i="8"/>
  <c r="F46" i="8"/>
  <c r="B47" i="8"/>
  <c r="G46" i="8"/>
  <c r="B47" i="7"/>
  <c r="G46" i="7"/>
  <c r="J46" i="7"/>
  <c r="F46" i="7"/>
  <c r="H46" i="7"/>
  <c r="I46" i="7"/>
  <c r="B48" i="9" l="1"/>
  <c r="G47" i="9"/>
  <c r="J47" i="9"/>
  <c r="F47" i="9"/>
  <c r="H47" i="9"/>
  <c r="I47" i="9"/>
  <c r="B48" i="8"/>
  <c r="G47" i="8"/>
  <c r="J47" i="8"/>
  <c r="F47" i="8"/>
  <c r="H47" i="8"/>
  <c r="J47" i="7"/>
  <c r="H47" i="7"/>
  <c r="F47" i="7"/>
  <c r="B48" i="7"/>
  <c r="G47" i="7"/>
  <c r="I47" i="7"/>
  <c r="J48" i="9" l="1"/>
  <c r="H48" i="9"/>
  <c r="F48" i="9"/>
  <c r="B49" i="9"/>
  <c r="G48" i="9"/>
  <c r="I48" i="9"/>
  <c r="J48" i="8"/>
  <c r="H48" i="8"/>
  <c r="F48" i="8"/>
  <c r="B49" i="8"/>
  <c r="G48" i="8"/>
  <c r="B49" i="7"/>
  <c r="G48" i="7"/>
  <c r="J48" i="7"/>
  <c r="F48" i="7"/>
  <c r="H48" i="7"/>
  <c r="I48" i="7"/>
  <c r="B50" i="9" l="1"/>
  <c r="G49" i="9"/>
  <c r="J49" i="9"/>
  <c r="F49" i="9"/>
  <c r="H49" i="9"/>
  <c r="I49" i="9"/>
  <c r="B50" i="8"/>
  <c r="G49" i="8"/>
  <c r="J49" i="8"/>
  <c r="F49" i="8"/>
  <c r="H49" i="8"/>
  <c r="J49" i="7"/>
  <c r="H49" i="7"/>
  <c r="F49" i="7"/>
  <c r="B50" i="7"/>
  <c r="G49" i="7"/>
  <c r="I49" i="7"/>
  <c r="J50" i="9" l="1"/>
  <c r="H50" i="9"/>
  <c r="F50" i="9"/>
  <c r="B51" i="9"/>
  <c r="G50" i="9"/>
  <c r="I50" i="9"/>
  <c r="J50" i="8"/>
  <c r="H50" i="8"/>
  <c r="F50" i="8"/>
  <c r="B51" i="8"/>
  <c r="G50" i="8"/>
  <c r="B51" i="7"/>
  <c r="G50" i="7"/>
  <c r="J50" i="7"/>
  <c r="F50" i="7"/>
  <c r="H50" i="7"/>
  <c r="I50" i="7"/>
  <c r="B52" i="9" l="1"/>
  <c r="G51" i="9"/>
  <c r="J51" i="9"/>
  <c r="F51" i="9"/>
  <c r="H51" i="9"/>
  <c r="I51" i="9"/>
  <c r="B52" i="8"/>
  <c r="G51" i="8"/>
  <c r="J51" i="8"/>
  <c r="F51" i="8"/>
  <c r="H51" i="8"/>
  <c r="J51" i="7"/>
  <c r="H51" i="7"/>
  <c r="F51" i="7"/>
  <c r="B52" i="7"/>
  <c r="G51" i="7"/>
  <c r="I51" i="7"/>
  <c r="J52" i="9" l="1"/>
  <c r="H52" i="9"/>
  <c r="F52" i="9"/>
  <c r="B53" i="9"/>
  <c r="G52" i="9"/>
  <c r="I52" i="9"/>
  <c r="J52" i="8"/>
  <c r="H52" i="8"/>
  <c r="F52" i="8"/>
  <c r="B53" i="8"/>
  <c r="G52" i="8"/>
  <c r="B53" i="7"/>
  <c r="G52" i="7"/>
  <c r="J52" i="7"/>
  <c r="F52" i="7"/>
  <c r="H52" i="7"/>
  <c r="I52" i="7"/>
  <c r="B54" i="9" l="1"/>
  <c r="G53" i="9"/>
  <c r="J53" i="9"/>
  <c r="F53" i="9"/>
  <c r="H53" i="9"/>
  <c r="I53" i="9"/>
  <c r="B54" i="8"/>
  <c r="G53" i="8"/>
  <c r="J53" i="8"/>
  <c r="F53" i="8"/>
  <c r="H53" i="8"/>
  <c r="J53" i="7"/>
  <c r="H53" i="7"/>
  <c r="F53" i="7"/>
  <c r="B54" i="7"/>
  <c r="G53" i="7"/>
  <c r="I53" i="7"/>
  <c r="J54" i="9" l="1"/>
  <c r="H54" i="9"/>
  <c r="F54" i="9"/>
  <c r="B55" i="9"/>
  <c r="G54" i="9"/>
  <c r="I54" i="9"/>
  <c r="J54" i="8"/>
  <c r="H54" i="8"/>
  <c r="F54" i="8"/>
  <c r="B55" i="8"/>
  <c r="G54" i="8"/>
  <c r="B55" i="7"/>
  <c r="G54" i="7"/>
  <c r="H54" i="7"/>
  <c r="J54" i="7"/>
  <c r="F54" i="7"/>
  <c r="I54" i="7"/>
  <c r="B56" i="9" l="1"/>
  <c r="G55" i="9"/>
  <c r="J55" i="9"/>
  <c r="F55" i="9"/>
  <c r="H55" i="9"/>
  <c r="I55" i="9"/>
  <c r="B56" i="8"/>
  <c r="G55" i="8"/>
  <c r="J55" i="8"/>
  <c r="F55" i="8"/>
  <c r="H55" i="8"/>
  <c r="J55" i="7"/>
  <c r="H55" i="7"/>
  <c r="F55" i="7"/>
  <c r="B56" i="7"/>
  <c r="G55" i="7"/>
  <c r="I55" i="7"/>
  <c r="J56" i="9" l="1"/>
  <c r="H56" i="9"/>
  <c r="F56" i="9"/>
  <c r="B57" i="9"/>
  <c r="G56" i="9"/>
  <c r="I56" i="9"/>
  <c r="J56" i="8"/>
  <c r="H56" i="8"/>
  <c r="F56" i="8"/>
  <c r="B57" i="8"/>
  <c r="G56" i="8"/>
  <c r="B57" i="7"/>
  <c r="G56" i="7"/>
  <c r="J56" i="7"/>
  <c r="H56" i="7"/>
  <c r="F56" i="7"/>
  <c r="I56" i="7"/>
  <c r="B58" i="9" l="1"/>
  <c r="G57" i="9"/>
  <c r="J57" i="9"/>
  <c r="F57" i="9"/>
  <c r="H57" i="9"/>
  <c r="I57" i="9"/>
  <c r="B58" i="8"/>
  <c r="G57" i="8"/>
  <c r="J57" i="8"/>
  <c r="F57" i="8"/>
  <c r="H57" i="8"/>
  <c r="J57" i="7"/>
  <c r="H57" i="7"/>
  <c r="F57" i="7"/>
  <c r="B58" i="7"/>
  <c r="G57" i="7"/>
  <c r="I57" i="7"/>
  <c r="J58" i="9" l="1"/>
  <c r="H58" i="9"/>
  <c r="F58" i="9"/>
  <c r="B59" i="9"/>
  <c r="G58" i="9"/>
  <c r="I58" i="9"/>
  <c r="J58" i="8"/>
  <c r="H58" i="8"/>
  <c r="F58" i="8"/>
  <c r="B59" i="8"/>
  <c r="G58" i="8"/>
  <c r="B59" i="7"/>
  <c r="G58" i="7"/>
  <c r="H58" i="7"/>
  <c r="J58" i="7"/>
  <c r="F58" i="7"/>
  <c r="I58" i="7"/>
  <c r="B60" i="9" l="1"/>
  <c r="G59" i="9"/>
  <c r="J59" i="9"/>
  <c r="F59" i="9"/>
  <c r="H59" i="9"/>
  <c r="I59" i="9"/>
  <c r="B60" i="8"/>
  <c r="G59" i="8"/>
  <c r="J59" i="8"/>
  <c r="F59" i="8"/>
  <c r="H59" i="8"/>
  <c r="J59" i="7"/>
  <c r="H59" i="7"/>
  <c r="F59" i="7"/>
  <c r="G59" i="7"/>
  <c r="B60" i="7"/>
  <c r="I59" i="7"/>
  <c r="J60" i="9" l="1"/>
  <c r="H60" i="9"/>
  <c r="F60" i="9"/>
  <c r="B61" i="9"/>
  <c r="G60" i="9"/>
  <c r="I60" i="9"/>
  <c r="J60" i="8"/>
  <c r="H60" i="8"/>
  <c r="F60" i="8"/>
  <c r="B61" i="8"/>
  <c r="G60" i="8"/>
  <c r="B61" i="7"/>
  <c r="G60" i="7"/>
  <c r="J60" i="7"/>
  <c r="H60" i="7"/>
  <c r="F60" i="7"/>
  <c r="I60" i="7"/>
  <c r="B62" i="9" l="1"/>
  <c r="G61" i="9"/>
  <c r="J61" i="9"/>
  <c r="F61" i="9"/>
  <c r="H61" i="9"/>
  <c r="I61" i="9"/>
  <c r="B62" i="8"/>
  <c r="G61" i="8"/>
  <c r="J61" i="8"/>
  <c r="F61" i="8"/>
  <c r="H61" i="8"/>
  <c r="J61" i="7"/>
  <c r="H61" i="7"/>
  <c r="F61" i="7"/>
  <c r="B62" i="7"/>
  <c r="G61" i="7"/>
  <c r="I61" i="7"/>
  <c r="J62" i="9" l="1"/>
  <c r="H62" i="9"/>
  <c r="F62" i="9"/>
  <c r="B63" i="9"/>
  <c r="G62" i="9"/>
  <c r="I62" i="9"/>
  <c r="J62" i="8"/>
  <c r="H62" i="8"/>
  <c r="F62" i="8"/>
  <c r="B63" i="8"/>
  <c r="G62" i="8"/>
  <c r="B63" i="7"/>
  <c r="G62" i="7"/>
  <c r="H62" i="7"/>
  <c r="J62" i="7"/>
  <c r="F62" i="7"/>
  <c r="I62" i="7"/>
  <c r="B64" i="9" l="1"/>
  <c r="G63" i="9"/>
  <c r="J63" i="9"/>
  <c r="H63" i="9"/>
  <c r="F63" i="9"/>
  <c r="I63" i="9"/>
  <c r="B64" i="8"/>
  <c r="G63" i="8"/>
  <c r="J63" i="8"/>
  <c r="H63" i="8"/>
  <c r="F63" i="8"/>
  <c r="J63" i="7"/>
  <c r="H63" i="7"/>
  <c r="F63" i="7"/>
  <c r="B64" i="7"/>
  <c r="G63" i="7"/>
  <c r="I63" i="7"/>
  <c r="J64" i="9" l="1"/>
  <c r="H64" i="9"/>
  <c r="F64" i="9"/>
  <c r="B65" i="9"/>
  <c r="G64" i="9"/>
  <c r="I64" i="9"/>
  <c r="J64" i="8"/>
  <c r="H64" i="8"/>
  <c r="F64" i="8"/>
  <c r="B65" i="8"/>
  <c r="G64" i="8"/>
  <c r="B65" i="7"/>
  <c r="G64" i="7"/>
  <c r="J64" i="7"/>
  <c r="F64" i="7"/>
  <c r="H64" i="7"/>
  <c r="I64" i="7"/>
  <c r="B66" i="9" l="1"/>
  <c r="G65" i="9"/>
  <c r="J65" i="9"/>
  <c r="H65" i="9"/>
  <c r="F65" i="9"/>
  <c r="I65" i="9"/>
  <c r="B66" i="8"/>
  <c r="G65" i="8"/>
  <c r="J65" i="8"/>
  <c r="H65" i="8"/>
  <c r="F65" i="8"/>
  <c r="J65" i="7"/>
  <c r="H65" i="7"/>
  <c r="F65" i="7"/>
  <c r="B66" i="7"/>
  <c r="G65" i="7"/>
  <c r="I65" i="7"/>
  <c r="J66" i="9" l="1"/>
  <c r="H66" i="9"/>
  <c r="F66" i="9"/>
  <c r="B67" i="9"/>
  <c r="G66" i="9"/>
  <c r="I66" i="9"/>
  <c r="J66" i="8"/>
  <c r="H66" i="8"/>
  <c r="F66" i="8"/>
  <c r="B67" i="8"/>
  <c r="G66" i="8"/>
  <c r="B67" i="7"/>
  <c r="G66" i="7"/>
  <c r="J66" i="7"/>
  <c r="F66" i="7"/>
  <c r="H66" i="7"/>
  <c r="I66" i="7"/>
  <c r="B68" i="9" l="1"/>
  <c r="G67" i="9"/>
  <c r="J67" i="9"/>
  <c r="H67" i="9"/>
  <c r="F67" i="9"/>
  <c r="I67" i="9"/>
  <c r="B68" i="8"/>
  <c r="G67" i="8"/>
  <c r="J67" i="8"/>
  <c r="H67" i="8"/>
  <c r="F67" i="8"/>
  <c r="J67" i="7"/>
  <c r="H67" i="7"/>
  <c r="F67" i="7"/>
  <c r="B68" i="7"/>
  <c r="G67" i="7"/>
  <c r="I67" i="7"/>
  <c r="J68" i="9" l="1"/>
  <c r="H68" i="9"/>
  <c r="F68" i="9"/>
  <c r="B69" i="9"/>
  <c r="G68" i="9"/>
  <c r="I68" i="9"/>
  <c r="J68" i="8"/>
  <c r="H68" i="8"/>
  <c r="F68" i="8"/>
  <c r="B69" i="8"/>
  <c r="G68" i="8"/>
  <c r="B69" i="7"/>
  <c r="G68" i="7"/>
  <c r="J68" i="7"/>
  <c r="F68" i="7"/>
  <c r="H68" i="7"/>
  <c r="I68" i="7"/>
  <c r="B70" i="9" l="1"/>
  <c r="G69" i="9"/>
  <c r="J69" i="9"/>
  <c r="H69" i="9"/>
  <c r="F69" i="9"/>
  <c r="I69" i="9"/>
  <c r="B70" i="8"/>
  <c r="G69" i="8"/>
  <c r="J69" i="8"/>
  <c r="H69" i="8"/>
  <c r="F69" i="8"/>
  <c r="J69" i="7"/>
  <c r="H69" i="7"/>
  <c r="F69" i="7"/>
  <c r="B70" i="7"/>
  <c r="G69" i="7"/>
  <c r="I69" i="7"/>
  <c r="J70" i="9" l="1"/>
  <c r="H70" i="9"/>
  <c r="F70" i="9"/>
  <c r="B71" i="9"/>
  <c r="G70" i="9"/>
  <c r="I70" i="9"/>
  <c r="J70" i="8"/>
  <c r="H70" i="8"/>
  <c r="F70" i="8"/>
  <c r="B71" i="8"/>
  <c r="G70" i="8"/>
  <c r="B71" i="7"/>
  <c r="G70" i="7"/>
  <c r="J70" i="7"/>
  <c r="F70" i="7"/>
  <c r="H70" i="7"/>
  <c r="I70" i="7"/>
  <c r="B72" i="9" l="1"/>
  <c r="G71" i="9"/>
  <c r="J71" i="9"/>
  <c r="H71" i="9"/>
  <c r="F71" i="9"/>
  <c r="I71" i="9"/>
  <c r="B72" i="8"/>
  <c r="G71" i="8"/>
  <c r="J71" i="8"/>
  <c r="H71" i="8"/>
  <c r="F71" i="8"/>
  <c r="J71" i="7"/>
  <c r="H71" i="7"/>
  <c r="F71" i="7"/>
  <c r="B72" i="7"/>
  <c r="G71" i="7"/>
  <c r="I71" i="7"/>
  <c r="J72" i="9" l="1"/>
  <c r="H72" i="9"/>
  <c r="F72" i="9"/>
  <c r="B73" i="9"/>
  <c r="G72" i="9"/>
  <c r="I72" i="9"/>
  <c r="J72" i="8"/>
  <c r="H72" i="8"/>
  <c r="F72" i="8"/>
  <c r="B73" i="8"/>
  <c r="G72" i="8"/>
  <c r="B73" i="7"/>
  <c r="G72" i="7"/>
  <c r="J72" i="7"/>
  <c r="F72" i="7"/>
  <c r="H72" i="7"/>
  <c r="I72" i="7"/>
  <c r="B74" i="9" l="1"/>
  <c r="G73" i="9"/>
  <c r="H73" i="9"/>
  <c r="J73" i="9"/>
  <c r="F73" i="9"/>
  <c r="I73" i="9"/>
  <c r="B74" i="8"/>
  <c r="G73" i="8"/>
  <c r="H73" i="8"/>
  <c r="J73" i="8"/>
  <c r="F73" i="8"/>
  <c r="J73" i="7"/>
  <c r="H73" i="7"/>
  <c r="F73" i="7"/>
  <c r="B74" i="7"/>
  <c r="G73" i="7"/>
  <c r="I73" i="7"/>
  <c r="J74" i="9" l="1"/>
  <c r="H74" i="9"/>
  <c r="F74" i="9"/>
  <c r="B75" i="9"/>
  <c r="G74" i="9"/>
  <c r="I74" i="9"/>
  <c r="J74" i="8"/>
  <c r="H74" i="8"/>
  <c r="F74" i="8"/>
  <c r="B75" i="8"/>
  <c r="G74" i="8"/>
  <c r="B75" i="7"/>
  <c r="G74" i="7"/>
  <c r="J74" i="7"/>
  <c r="F74" i="7"/>
  <c r="H74" i="7"/>
  <c r="I74" i="7"/>
  <c r="B76" i="9" l="1"/>
  <c r="G75" i="9"/>
  <c r="H75" i="9"/>
  <c r="J75" i="9"/>
  <c r="F75" i="9"/>
  <c r="I75" i="9"/>
  <c r="B76" i="8"/>
  <c r="G75" i="8"/>
  <c r="H75" i="8"/>
  <c r="J75" i="8"/>
  <c r="F75" i="8"/>
  <c r="J75" i="7"/>
  <c r="H75" i="7"/>
  <c r="F75" i="7"/>
  <c r="B76" i="7"/>
  <c r="G75" i="7"/>
  <c r="I75" i="7"/>
  <c r="J76" i="9" l="1"/>
  <c r="H76" i="9"/>
  <c r="F76" i="9"/>
  <c r="B77" i="9"/>
  <c r="G76" i="9"/>
  <c r="I76" i="9"/>
  <c r="J76" i="8"/>
  <c r="H76" i="8"/>
  <c r="F76" i="8"/>
  <c r="B77" i="8"/>
  <c r="G76" i="8"/>
  <c r="B77" i="7"/>
  <c r="G76" i="7"/>
  <c r="J76" i="7"/>
  <c r="F76" i="7"/>
  <c r="H76" i="7"/>
  <c r="I76" i="7"/>
  <c r="B78" i="9" l="1"/>
  <c r="G77" i="9"/>
  <c r="H77" i="9"/>
  <c r="J77" i="9"/>
  <c r="F77" i="9"/>
  <c r="I77" i="9"/>
  <c r="B78" i="8"/>
  <c r="G77" i="8"/>
  <c r="H77" i="8"/>
  <c r="J77" i="8"/>
  <c r="F77" i="8"/>
  <c r="J77" i="7"/>
  <c r="H77" i="7"/>
  <c r="F77" i="7"/>
  <c r="B78" i="7"/>
  <c r="G77" i="7"/>
  <c r="I77" i="7"/>
  <c r="J78" i="9" l="1"/>
  <c r="H78" i="9"/>
  <c r="F78" i="9"/>
  <c r="B79" i="9"/>
  <c r="G78" i="9"/>
  <c r="I78" i="9"/>
  <c r="J78" i="8"/>
  <c r="H78" i="8"/>
  <c r="F78" i="8"/>
  <c r="B79" i="8"/>
  <c r="G78" i="8"/>
  <c r="B79" i="7"/>
  <c r="G78" i="7"/>
  <c r="J78" i="7"/>
  <c r="F78" i="7"/>
  <c r="H78" i="7"/>
  <c r="I78" i="7"/>
  <c r="B80" i="9" l="1"/>
  <c r="G79" i="9"/>
  <c r="H79" i="9"/>
  <c r="J79" i="9"/>
  <c r="F79" i="9"/>
  <c r="I79" i="9"/>
  <c r="B80" i="8"/>
  <c r="G79" i="8"/>
  <c r="H79" i="8"/>
  <c r="J79" i="8"/>
  <c r="F79" i="8"/>
  <c r="J79" i="7"/>
  <c r="H79" i="7"/>
  <c r="F79" i="7"/>
  <c r="B80" i="7"/>
  <c r="G79" i="7"/>
  <c r="I79" i="7"/>
  <c r="J80" i="9" l="1"/>
  <c r="H80" i="9"/>
  <c r="F80" i="9"/>
  <c r="B81" i="9"/>
  <c r="G80" i="9"/>
  <c r="I80" i="9"/>
  <c r="J80" i="8"/>
  <c r="H80" i="8"/>
  <c r="F80" i="8"/>
  <c r="B81" i="8"/>
  <c r="G80" i="8"/>
  <c r="B81" i="7"/>
  <c r="G80" i="7"/>
  <c r="J80" i="7"/>
  <c r="F80" i="7"/>
  <c r="H80" i="7"/>
  <c r="I80" i="7"/>
  <c r="B82" i="9" l="1"/>
  <c r="G81" i="9"/>
  <c r="H81" i="9"/>
  <c r="J81" i="9"/>
  <c r="F81" i="9"/>
  <c r="I81" i="9"/>
  <c r="B82" i="8"/>
  <c r="G81" i="8"/>
  <c r="H81" i="8"/>
  <c r="J81" i="8"/>
  <c r="F81" i="8"/>
  <c r="J81" i="7"/>
  <c r="H81" i="7"/>
  <c r="F81" i="7"/>
  <c r="B82" i="7"/>
  <c r="G81" i="7"/>
  <c r="I81" i="7"/>
  <c r="J82" i="9" l="1"/>
  <c r="H82" i="9"/>
  <c r="F82" i="9"/>
  <c r="B83" i="9"/>
  <c r="G82" i="9"/>
  <c r="I82" i="9"/>
  <c r="J82" i="8"/>
  <c r="H82" i="8"/>
  <c r="F82" i="8"/>
  <c r="B83" i="8"/>
  <c r="G82" i="8"/>
  <c r="B83" i="7"/>
  <c r="G82" i="7"/>
  <c r="J82" i="7"/>
  <c r="F82" i="7"/>
  <c r="H82" i="7"/>
  <c r="I82" i="7"/>
  <c r="B84" i="9" l="1"/>
  <c r="G83" i="9"/>
  <c r="H83" i="9"/>
  <c r="J83" i="9"/>
  <c r="F83" i="9"/>
  <c r="I83" i="9"/>
  <c r="B84" i="8"/>
  <c r="G83" i="8"/>
  <c r="H83" i="8"/>
  <c r="J83" i="8"/>
  <c r="F83" i="8"/>
  <c r="J83" i="7"/>
  <c r="H83" i="7"/>
  <c r="F83" i="7"/>
  <c r="B84" i="7"/>
  <c r="G83" i="7"/>
  <c r="I83" i="7"/>
  <c r="J84" i="9" l="1"/>
  <c r="H84" i="9"/>
  <c r="F84" i="9"/>
  <c r="B85" i="9"/>
  <c r="G84" i="9"/>
  <c r="I84" i="9"/>
  <c r="J84" i="8"/>
  <c r="H84" i="8"/>
  <c r="F84" i="8"/>
  <c r="B85" i="8"/>
  <c r="G84" i="8"/>
  <c r="B85" i="7"/>
  <c r="G84" i="7"/>
  <c r="J84" i="7"/>
  <c r="F84" i="7"/>
  <c r="H84" i="7"/>
  <c r="I84" i="7"/>
  <c r="B86" i="9" l="1"/>
  <c r="G85" i="9"/>
  <c r="H85" i="9"/>
  <c r="J85" i="9"/>
  <c r="F85" i="9"/>
  <c r="I85" i="9"/>
  <c r="B86" i="8"/>
  <c r="G85" i="8"/>
  <c r="H85" i="8"/>
  <c r="J85" i="8"/>
  <c r="F85" i="8"/>
  <c r="J85" i="7"/>
  <c r="H85" i="7"/>
  <c r="F85" i="7"/>
  <c r="B86" i="7"/>
  <c r="G85" i="7"/>
  <c r="I85" i="7"/>
  <c r="J86" i="9" l="1"/>
  <c r="H86" i="9"/>
  <c r="F86" i="9"/>
  <c r="B87" i="9"/>
  <c r="G86" i="9"/>
  <c r="I86" i="9"/>
  <c r="J86" i="8"/>
  <c r="H86" i="8"/>
  <c r="F86" i="8"/>
  <c r="B87" i="8"/>
  <c r="G86" i="8"/>
  <c r="B87" i="7"/>
  <c r="G86" i="7"/>
  <c r="J86" i="7"/>
  <c r="F86" i="7"/>
  <c r="H86" i="7"/>
  <c r="I86" i="7"/>
  <c r="B88" i="9" l="1"/>
  <c r="G87" i="9"/>
  <c r="H87" i="9"/>
  <c r="J87" i="9"/>
  <c r="F87" i="9"/>
  <c r="I87" i="9"/>
  <c r="B88" i="8"/>
  <c r="G87" i="8"/>
  <c r="H87" i="8"/>
  <c r="J87" i="8"/>
  <c r="F87" i="8"/>
  <c r="J87" i="7"/>
  <c r="H87" i="7"/>
  <c r="F87" i="7"/>
  <c r="B88" i="7"/>
  <c r="G87" i="7"/>
  <c r="I87" i="7"/>
  <c r="J88" i="9" l="1"/>
  <c r="H88" i="9"/>
  <c r="F88" i="9"/>
  <c r="B89" i="9"/>
  <c r="G88" i="9"/>
  <c r="I88" i="9"/>
  <c r="J88" i="8"/>
  <c r="H88" i="8"/>
  <c r="F88" i="8"/>
  <c r="B89" i="8"/>
  <c r="G88" i="8"/>
  <c r="B89" i="7"/>
  <c r="G88" i="7"/>
  <c r="J88" i="7"/>
  <c r="F88" i="7"/>
  <c r="H88" i="7"/>
  <c r="I88" i="7"/>
  <c r="B90" i="9" l="1"/>
  <c r="G89" i="9"/>
  <c r="H89" i="9"/>
  <c r="J89" i="9"/>
  <c r="F89" i="9"/>
  <c r="I89" i="9"/>
  <c r="B90" i="8"/>
  <c r="G89" i="8"/>
  <c r="H89" i="8"/>
  <c r="J89" i="8"/>
  <c r="F89" i="8"/>
  <c r="J89" i="7"/>
  <c r="H89" i="7"/>
  <c r="F89" i="7"/>
  <c r="B90" i="7"/>
  <c r="G89" i="7"/>
  <c r="I89" i="7"/>
  <c r="J90" i="9" l="1"/>
  <c r="H90" i="9"/>
  <c r="F90" i="9"/>
  <c r="B91" i="9"/>
  <c r="G90" i="9"/>
  <c r="I90" i="9"/>
  <c r="J90" i="8"/>
  <c r="H90" i="8"/>
  <c r="F90" i="8"/>
  <c r="B91" i="8"/>
  <c r="G90" i="8"/>
  <c r="B91" i="7"/>
  <c r="G90" i="7"/>
  <c r="J90" i="7"/>
  <c r="F90" i="7"/>
  <c r="H90" i="7"/>
  <c r="I90" i="7"/>
  <c r="B92" i="9" l="1"/>
  <c r="G91" i="9"/>
  <c r="H91" i="9"/>
  <c r="J91" i="9"/>
  <c r="F91" i="9"/>
  <c r="I91" i="9"/>
  <c r="B92" i="8"/>
  <c r="G91" i="8"/>
  <c r="H91" i="8"/>
  <c r="J91" i="8"/>
  <c r="F91" i="8"/>
  <c r="J91" i="7"/>
  <c r="H91" i="7"/>
  <c r="F91" i="7"/>
  <c r="B92" i="7"/>
  <c r="G91" i="7"/>
  <c r="I91" i="7"/>
  <c r="J92" i="9" l="1"/>
  <c r="H92" i="9"/>
  <c r="F92" i="9"/>
  <c r="B93" i="9"/>
  <c r="G92" i="9"/>
  <c r="I92" i="9"/>
  <c r="J92" i="8"/>
  <c r="H92" i="8"/>
  <c r="F92" i="8"/>
  <c r="B93" i="8"/>
  <c r="G92" i="8"/>
  <c r="B93" i="7"/>
  <c r="G92" i="7"/>
  <c r="J92" i="7"/>
  <c r="F92" i="7"/>
  <c r="H92" i="7"/>
  <c r="I92" i="7"/>
  <c r="B94" i="9" l="1"/>
  <c r="G93" i="9"/>
  <c r="H93" i="9"/>
  <c r="J93" i="9"/>
  <c r="F93" i="9"/>
  <c r="I93" i="9"/>
  <c r="B94" i="8"/>
  <c r="G93" i="8"/>
  <c r="H93" i="8"/>
  <c r="J93" i="8"/>
  <c r="F93" i="8"/>
  <c r="J93" i="7"/>
  <c r="H93" i="7"/>
  <c r="F93" i="7"/>
  <c r="B94" i="7"/>
  <c r="G93" i="7"/>
  <c r="I93" i="7"/>
  <c r="J94" i="9" l="1"/>
  <c r="H94" i="9"/>
  <c r="F94" i="9"/>
  <c r="B95" i="9"/>
  <c r="G94" i="9"/>
  <c r="I94" i="9"/>
  <c r="J94" i="8"/>
  <c r="H94" i="8"/>
  <c r="F94" i="8"/>
  <c r="B95" i="8"/>
  <c r="G94" i="8"/>
  <c r="B95" i="7"/>
  <c r="G94" i="7"/>
  <c r="J94" i="7"/>
  <c r="F94" i="7"/>
  <c r="H94" i="7"/>
  <c r="I94" i="7"/>
  <c r="B96" i="9" l="1"/>
  <c r="G95" i="9"/>
  <c r="H95" i="9"/>
  <c r="J95" i="9"/>
  <c r="F95" i="9"/>
  <c r="I95" i="9"/>
  <c r="B96" i="8"/>
  <c r="G95" i="8"/>
  <c r="H95" i="8"/>
  <c r="J95" i="8"/>
  <c r="F95" i="8"/>
  <c r="J95" i="7"/>
  <c r="H95" i="7"/>
  <c r="F95" i="7"/>
  <c r="B96" i="7"/>
  <c r="G95" i="7"/>
  <c r="I95" i="7"/>
  <c r="J96" i="9" l="1"/>
  <c r="H96" i="9"/>
  <c r="F96" i="9"/>
  <c r="B97" i="9"/>
  <c r="G96" i="9"/>
  <c r="I96" i="9"/>
  <c r="J96" i="8"/>
  <c r="H96" i="8"/>
  <c r="F96" i="8"/>
  <c r="B97" i="8"/>
  <c r="G96" i="8"/>
  <c r="B97" i="7"/>
  <c r="G96" i="7"/>
  <c r="J96" i="7"/>
  <c r="F96" i="7"/>
  <c r="H96" i="7"/>
  <c r="I96" i="7"/>
  <c r="B98" i="9" l="1"/>
  <c r="G97" i="9"/>
  <c r="H97" i="9"/>
  <c r="J97" i="9"/>
  <c r="F97" i="9"/>
  <c r="I97" i="9"/>
  <c r="B98" i="8"/>
  <c r="G97" i="8"/>
  <c r="H97" i="8"/>
  <c r="J97" i="8"/>
  <c r="F97" i="8"/>
  <c r="J97" i="7"/>
  <c r="H97" i="7"/>
  <c r="F97" i="7"/>
  <c r="B98" i="7"/>
  <c r="G97" i="7"/>
  <c r="I97" i="7"/>
  <c r="J98" i="9" l="1"/>
  <c r="H98" i="9"/>
  <c r="F98" i="9"/>
  <c r="B99" i="9"/>
  <c r="G98" i="9"/>
  <c r="I98" i="9"/>
  <c r="J98" i="8"/>
  <c r="H98" i="8"/>
  <c r="F98" i="8"/>
  <c r="B99" i="8"/>
  <c r="G98" i="8"/>
  <c r="B99" i="7"/>
  <c r="G98" i="7"/>
  <c r="J98" i="7"/>
  <c r="F98" i="7"/>
  <c r="H98" i="7"/>
  <c r="I98" i="7"/>
  <c r="B100" i="9" l="1"/>
  <c r="G99" i="9"/>
  <c r="H99" i="9"/>
  <c r="J99" i="9"/>
  <c r="F99" i="9"/>
  <c r="I99" i="9"/>
  <c r="B100" i="8"/>
  <c r="G99" i="8"/>
  <c r="H99" i="8"/>
  <c r="J99" i="8"/>
  <c r="F99" i="8"/>
  <c r="J99" i="7"/>
  <c r="H99" i="7"/>
  <c r="F99" i="7"/>
  <c r="B100" i="7"/>
  <c r="G99" i="7"/>
  <c r="I99" i="7"/>
  <c r="J100" i="9" l="1"/>
  <c r="H100" i="9"/>
  <c r="F100" i="9"/>
  <c r="B101" i="9"/>
  <c r="G100" i="9"/>
  <c r="I100" i="9"/>
  <c r="J100" i="8"/>
  <c r="H100" i="8"/>
  <c r="F100" i="8"/>
  <c r="B101" i="8"/>
  <c r="G100" i="8"/>
  <c r="B101" i="7"/>
  <c r="G100" i="7"/>
  <c r="J100" i="7"/>
  <c r="F100" i="7"/>
  <c r="H100" i="7"/>
  <c r="I100" i="7"/>
  <c r="B102" i="9" l="1"/>
  <c r="G101" i="9"/>
  <c r="H101" i="9"/>
  <c r="J101" i="9"/>
  <c r="F101" i="9"/>
  <c r="I101" i="9"/>
  <c r="B102" i="8"/>
  <c r="G101" i="8"/>
  <c r="H101" i="8"/>
  <c r="J101" i="8"/>
  <c r="F101" i="8"/>
  <c r="J101" i="7"/>
  <c r="H101" i="7"/>
  <c r="F101" i="7"/>
  <c r="B102" i="7"/>
  <c r="G101" i="7"/>
  <c r="I101" i="7"/>
  <c r="J102" i="9" l="1"/>
  <c r="H102" i="9"/>
  <c r="F102" i="9"/>
  <c r="B103" i="9"/>
  <c r="G102" i="9"/>
  <c r="I102" i="9"/>
  <c r="J102" i="8"/>
  <c r="H102" i="8"/>
  <c r="F102" i="8"/>
  <c r="B103" i="8"/>
  <c r="G102" i="8"/>
  <c r="B103" i="7"/>
  <c r="G102" i="7"/>
  <c r="J102" i="7"/>
  <c r="F102" i="7"/>
  <c r="H102" i="7"/>
  <c r="I102" i="7"/>
  <c r="B104" i="9" l="1"/>
  <c r="G103" i="9"/>
  <c r="H103" i="9"/>
  <c r="J103" i="9"/>
  <c r="F103" i="9"/>
  <c r="I103" i="9"/>
  <c r="B104" i="8"/>
  <c r="G103" i="8"/>
  <c r="H103" i="8"/>
  <c r="J103" i="8"/>
  <c r="F103" i="8"/>
  <c r="J103" i="7"/>
  <c r="H103" i="7"/>
  <c r="F103" i="7"/>
  <c r="B104" i="7"/>
  <c r="G103" i="7"/>
  <c r="I103" i="7"/>
  <c r="J104" i="9" l="1"/>
  <c r="H104" i="9"/>
  <c r="F104" i="9"/>
  <c r="B105" i="9"/>
  <c r="G104" i="9"/>
  <c r="I104" i="9"/>
  <c r="J104" i="8"/>
  <c r="H104" i="8"/>
  <c r="F104" i="8"/>
  <c r="B105" i="8"/>
  <c r="G104" i="8"/>
  <c r="B105" i="7"/>
  <c r="G104" i="7"/>
  <c r="J104" i="7"/>
  <c r="F104" i="7"/>
  <c r="H104" i="7"/>
  <c r="I104" i="7"/>
  <c r="B106" i="9" l="1"/>
  <c r="G105" i="9"/>
  <c r="H105" i="9"/>
  <c r="J105" i="9"/>
  <c r="F105" i="9"/>
  <c r="I105" i="9"/>
  <c r="B106" i="8"/>
  <c r="G105" i="8"/>
  <c r="H105" i="8"/>
  <c r="J105" i="8"/>
  <c r="F105" i="8"/>
  <c r="J105" i="7"/>
  <c r="H105" i="7"/>
  <c r="F105" i="7"/>
  <c r="B106" i="7"/>
  <c r="G105" i="7"/>
  <c r="I105" i="7"/>
  <c r="J106" i="9" l="1"/>
  <c r="H106" i="9"/>
  <c r="F106" i="9"/>
  <c r="B107" i="9"/>
  <c r="G106" i="9"/>
  <c r="I106" i="9"/>
  <c r="J106" i="8"/>
  <c r="H106" i="8"/>
  <c r="F106" i="8"/>
  <c r="B107" i="8"/>
  <c r="G106" i="8"/>
  <c r="B107" i="7"/>
  <c r="G106" i="7"/>
  <c r="J106" i="7"/>
  <c r="F106" i="7"/>
  <c r="H106" i="7"/>
  <c r="I106" i="7"/>
  <c r="B108" i="9" l="1"/>
  <c r="G107" i="9"/>
  <c r="H107" i="9"/>
  <c r="J107" i="9"/>
  <c r="F107" i="9"/>
  <c r="I107" i="9"/>
  <c r="B108" i="8"/>
  <c r="G107" i="8"/>
  <c r="H107" i="8"/>
  <c r="J107" i="8"/>
  <c r="F107" i="8"/>
  <c r="J107" i="7"/>
  <c r="H107" i="7"/>
  <c r="F107" i="7"/>
  <c r="B108" i="7"/>
  <c r="G107" i="7"/>
  <c r="I107" i="7"/>
  <c r="J108" i="9" l="1"/>
  <c r="H108" i="9"/>
  <c r="F108" i="9"/>
  <c r="B109" i="9"/>
  <c r="G108" i="9"/>
  <c r="I108" i="9"/>
  <c r="J108" i="8"/>
  <c r="H108" i="8"/>
  <c r="F108" i="8"/>
  <c r="B109" i="8"/>
  <c r="G108" i="8"/>
  <c r="B109" i="7"/>
  <c r="G108" i="7"/>
  <c r="J108" i="7"/>
  <c r="F108" i="7"/>
  <c r="H108" i="7"/>
  <c r="I108" i="7"/>
  <c r="B110" i="9" l="1"/>
  <c r="G109" i="9"/>
  <c r="H109" i="9"/>
  <c r="J109" i="9"/>
  <c r="F109" i="9"/>
  <c r="I109" i="9"/>
  <c r="B110" i="8"/>
  <c r="G109" i="8"/>
  <c r="H109" i="8"/>
  <c r="J109" i="8"/>
  <c r="F109" i="8"/>
  <c r="J109" i="7"/>
  <c r="H109" i="7"/>
  <c r="F109" i="7"/>
  <c r="B110" i="7"/>
  <c r="G109" i="7"/>
  <c r="I109" i="7"/>
  <c r="B111" i="9" l="1"/>
  <c r="G110" i="9"/>
  <c r="J110" i="9"/>
  <c r="F110" i="9"/>
  <c r="H110" i="9"/>
  <c r="I110" i="9"/>
  <c r="B111" i="8"/>
  <c r="G110" i="8"/>
  <c r="J110" i="8"/>
  <c r="F110" i="8"/>
  <c r="H110" i="8"/>
  <c r="J110" i="7"/>
  <c r="H110" i="7"/>
  <c r="F110" i="7"/>
  <c r="G110" i="7"/>
  <c r="B111" i="7"/>
  <c r="I110" i="7"/>
  <c r="J111" i="9" l="1"/>
  <c r="H111" i="9"/>
  <c r="F111" i="9"/>
  <c r="B112" i="9"/>
  <c r="G111" i="9"/>
  <c r="I111" i="9"/>
  <c r="J111" i="8"/>
  <c r="H111" i="8"/>
  <c r="F111" i="8"/>
  <c r="B112" i="8"/>
  <c r="G111" i="8"/>
  <c r="B112" i="7"/>
  <c r="G111" i="7"/>
  <c r="H111" i="7"/>
  <c r="J111" i="7"/>
  <c r="F111" i="7"/>
  <c r="I111" i="7"/>
  <c r="B113" i="9" l="1"/>
  <c r="G112" i="9"/>
  <c r="J112" i="9"/>
  <c r="F112" i="9"/>
  <c r="H112" i="9"/>
  <c r="I112" i="9"/>
  <c r="B113" i="8"/>
  <c r="G112" i="8"/>
  <c r="J112" i="8"/>
  <c r="F112" i="8"/>
  <c r="H112" i="8"/>
  <c r="J112" i="7"/>
  <c r="H112" i="7"/>
  <c r="F112" i="7"/>
  <c r="G112" i="7"/>
  <c r="B113" i="7"/>
  <c r="I112" i="7"/>
  <c r="J113" i="9" l="1"/>
  <c r="H113" i="9"/>
  <c r="F113" i="9"/>
  <c r="B114" i="9"/>
  <c r="G113" i="9"/>
  <c r="I113" i="9"/>
  <c r="J113" i="8"/>
  <c r="H113" i="8"/>
  <c r="F113" i="8"/>
  <c r="B114" i="8"/>
  <c r="G113" i="8"/>
  <c r="B114" i="7"/>
  <c r="G113" i="7"/>
  <c r="H113" i="7"/>
  <c r="J113" i="7"/>
  <c r="F113" i="7"/>
  <c r="I113" i="7"/>
  <c r="B115" i="9" l="1"/>
  <c r="G114" i="9"/>
  <c r="J114" i="9"/>
  <c r="F114" i="9"/>
  <c r="H114" i="9"/>
  <c r="I114" i="9"/>
  <c r="B115" i="8"/>
  <c r="G114" i="8"/>
  <c r="J114" i="8"/>
  <c r="F114" i="8"/>
  <c r="H114" i="8"/>
  <c r="J114" i="7"/>
  <c r="H114" i="7"/>
  <c r="F114" i="7"/>
  <c r="G114" i="7"/>
  <c r="B115" i="7"/>
  <c r="I114" i="7"/>
  <c r="J115" i="9" l="1"/>
  <c r="H115" i="9"/>
  <c r="F115" i="9"/>
  <c r="B116" i="9"/>
  <c r="G115" i="9"/>
  <c r="I115" i="9"/>
  <c r="J115" i="8"/>
  <c r="H115" i="8"/>
  <c r="F115" i="8"/>
  <c r="B116" i="8"/>
  <c r="G115" i="8"/>
  <c r="B116" i="7"/>
  <c r="G115" i="7"/>
  <c r="H115" i="7"/>
  <c r="J115" i="7"/>
  <c r="F115" i="7"/>
  <c r="I115" i="7"/>
  <c r="B117" i="9" l="1"/>
  <c r="G116" i="9"/>
  <c r="J116" i="9"/>
  <c r="F116" i="9"/>
  <c r="H116" i="9"/>
  <c r="I116" i="9"/>
  <c r="B117" i="8"/>
  <c r="G116" i="8"/>
  <c r="J116" i="8"/>
  <c r="F116" i="8"/>
  <c r="H116" i="8"/>
  <c r="J116" i="7"/>
  <c r="H116" i="7"/>
  <c r="F116" i="7"/>
  <c r="G116" i="7"/>
  <c r="B117" i="7"/>
  <c r="I116" i="7"/>
  <c r="J117" i="9" l="1"/>
  <c r="H117" i="9"/>
  <c r="F117" i="9"/>
  <c r="B118" i="9"/>
  <c r="G117" i="9"/>
  <c r="I117" i="9"/>
  <c r="J117" i="8"/>
  <c r="H117" i="8"/>
  <c r="F117" i="8"/>
  <c r="B118" i="8"/>
  <c r="G117" i="8"/>
  <c r="B118" i="7"/>
  <c r="G117" i="7"/>
  <c r="H117" i="7"/>
  <c r="J117" i="7"/>
  <c r="F117" i="7"/>
  <c r="I117" i="7"/>
  <c r="B119" i="9" l="1"/>
  <c r="G118" i="9"/>
  <c r="J118" i="9"/>
  <c r="F118" i="9"/>
  <c r="H118" i="9"/>
  <c r="I118" i="9"/>
  <c r="B119" i="8"/>
  <c r="G118" i="8"/>
  <c r="J118" i="8"/>
  <c r="F118" i="8"/>
  <c r="H118" i="8"/>
  <c r="J118" i="7"/>
  <c r="H118" i="7"/>
  <c r="F118" i="7"/>
  <c r="G118" i="7"/>
  <c r="B119" i="7"/>
  <c r="I118" i="7"/>
  <c r="J119" i="9" l="1"/>
  <c r="H119" i="9"/>
  <c r="F119" i="9"/>
  <c r="B120" i="9"/>
  <c r="G119" i="9"/>
  <c r="I119" i="9"/>
  <c r="J119" i="8"/>
  <c r="H119" i="8"/>
  <c r="F119" i="8"/>
  <c r="B120" i="8"/>
  <c r="G119" i="8"/>
  <c r="B120" i="7"/>
  <c r="G119" i="7"/>
  <c r="H119" i="7"/>
  <c r="J119" i="7"/>
  <c r="F119" i="7"/>
  <c r="I119" i="7"/>
  <c r="B121" i="9" l="1"/>
  <c r="G120" i="9"/>
  <c r="J120" i="9"/>
  <c r="F120" i="9"/>
  <c r="H120" i="9"/>
  <c r="I120" i="9"/>
  <c r="B121" i="8"/>
  <c r="G120" i="8"/>
  <c r="J120" i="8"/>
  <c r="F120" i="8"/>
  <c r="H120" i="8"/>
  <c r="J120" i="7"/>
  <c r="H120" i="7"/>
  <c r="F120" i="7"/>
  <c r="G120" i="7"/>
  <c r="B121" i="7"/>
  <c r="I120" i="7"/>
  <c r="J121" i="9" l="1"/>
  <c r="H121" i="9"/>
  <c r="F121" i="9"/>
  <c r="B122" i="9"/>
  <c r="G121" i="9"/>
  <c r="I121" i="9"/>
  <c r="J121" i="8"/>
  <c r="H121" i="8"/>
  <c r="F121" i="8"/>
  <c r="B122" i="8"/>
  <c r="G121" i="8"/>
  <c r="B122" i="7"/>
  <c r="G121" i="7"/>
  <c r="H121" i="7"/>
  <c r="J121" i="7"/>
  <c r="F121" i="7"/>
  <c r="I121" i="7"/>
  <c r="B123" i="9" l="1"/>
  <c r="G122" i="9"/>
  <c r="J122" i="9"/>
  <c r="F122" i="9"/>
  <c r="H122" i="9"/>
  <c r="I122" i="9"/>
  <c r="B123" i="8"/>
  <c r="G122" i="8"/>
  <c r="J122" i="8"/>
  <c r="F122" i="8"/>
  <c r="H122" i="8"/>
  <c r="J122" i="7"/>
  <c r="H122" i="7"/>
  <c r="F122" i="7"/>
  <c r="G122" i="7"/>
  <c r="B123" i="7"/>
  <c r="I122" i="7"/>
  <c r="J123" i="9" l="1"/>
  <c r="H123" i="9"/>
  <c r="F123" i="9"/>
  <c r="B124" i="9"/>
  <c r="G123" i="9"/>
  <c r="I123" i="9"/>
  <c r="J123" i="8"/>
  <c r="H123" i="8"/>
  <c r="F123" i="8"/>
  <c r="B124" i="8"/>
  <c r="G123" i="8"/>
  <c r="B124" i="7"/>
  <c r="G123" i="7"/>
  <c r="H123" i="7"/>
  <c r="J123" i="7"/>
  <c r="F123" i="7"/>
  <c r="I123" i="7"/>
  <c r="B125" i="9" l="1"/>
  <c r="G124" i="9"/>
  <c r="J124" i="9"/>
  <c r="F124" i="9"/>
  <c r="H124" i="9"/>
  <c r="I124" i="9"/>
  <c r="B125" i="8"/>
  <c r="G124" i="8"/>
  <c r="J124" i="8"/>
  <c r="F124" i="8"/>
  <c r="H124" i="8"/>
  <c r="J124" i="7"/>
  <c r="H124" i="7"/>
  <c r="F124" i="7"/>
  <c r="G124" i="7"/>
  <c r="B125" i="7"/>
  <c r="I124" i="7"/>
  <c r="J125" i="9" l="1"/>
  <c r="H125" i="9"/>
  <c r="F125" i="9"/>
  <c r="B126" i="9"/>
  <c r="G125" i="9"/>
  <c r="I125" i="9"/>
  <c r="J125" i="8"/>
  <c r="H125" i="8"/>
  <c r="F125" i="8"/>
  <c r="B126" i="8"/>
  <c r="G125" i="8"/>
  <c r="B126" i="7"/>
  <c r="G125" i="7"/>
  <c r="H125" i="7"/>
  <c r="J125" i="7"/>
  <c r="F125" i="7"/>
  <c r="I125" i="7"/>
  <c r="B127" i="9" l="1"/>
  <c r="G126" i="9"/>
  <c r="J126" i="9"/>
  <c r="F126" i="9"/>
  <c r="H126" i="9"/>
  <c r="I126" i="9"/>
  <c r="B127" i="8"/>
  <c r="G126" i="8"/>
  <c r="J126" i="8"/>
  <c r="F126" i="8"/>
  <c r="H126" i="8"/>
  <c r="J126" i="7"/>
  <c r="H126" i="7"/>
  <c r="F126" i="7"/>
  <c r="G126" i="7"/>
  <c r="B127" i="7"/>
  <c r="I126" i="7"/>
  <c r="J127" i="9" l="1"/>
  <c r="H127" i="9"/>
  <c r="F127" i="9"/>
  <c r="B128" i="9"/>
  <c r="G127" i="9"/>
  <c r="I127" i="9"/>
  <c r="J127" i="8"/>
  <c r="H127" i="8"/>
  <c r="F127" i="8"/>
  <c r="B128" i="8"/>
  <c r="G127" i="8"/>
  <c r="B128" i="7"/>
  <c r="G127" i="7"/>
  <c r="H127" i="7"/>
  <c r="J127" i="7"/>
  <c r="F127" i="7"/>
  <c r="I127" i="7"/>
  <c r="B129" i="9" l="1"/>
  <c r="G128" i="9"/>
  <c r="J128" i="9"/>
  <c r="F128" i="9"/>
  <c r="H128" i="9"/>
  <c r="I128" i="9"/>
  <c r="B129" i="8"/>
  <c r="G128" i="8"/>
  <c r="J128" i="8"/>
  <c r="F128" i="8"/>
  <c r="H128" i="8"/>
  <c r="J128" i="7"/>
  <c r="H128" i="7"/>
  <c r="F128" i="7"/>
  <c r="G128" i="7"/>
  <c r="B129" i="7"/>
  <c r="I128" i="7"/>
  <c r="J129" i="9" l="1"/>
  <c r="H129" i="9"/>
  <c r="F129" i="9"/>
  <c r="B130" i="9"/>
  <c r="G129" i="9"/>
  <c r="I129" i="9"/>
  <c r="J129" i="8"/>
  <c r="H129" i="8"/>
  <c r="F129" i="8"/>
  <c r="B130" i="8"/>
  <c r="G129" i="8"/>
  <c r="B130" i="7"/>
  <c r="G129" i="7"/>
  <c r="H129" i="7"/>
  <c r="J129" i="7"/>
  <c r="F129" i="7"/>
  <c r="I129" i="7"/>
  <c r="B131" i="9" l="1"/>
  <c r="G130" i="9"/>
  <c r="J130" i="9"/>
  <c r="F130" i="9"/>
  <c r="H130" i="9"/>
  <c r="I130" i="9"/>
  <c r="B131" i="8"/>
  <c r="G130" i="8"/>
  <c r="J130" i="8"/>
  <c r="F130" i="8"/>
  <c r="H130" i="8"/>
  <c r="J130" i="7"/>
  <c r="H130" i="7"/>
  <c r="F130" i="7"/>
  <c r="G130" i="7"/>
  <c r="B131" i="7"/>
  <c r="I130" i="7"/>
  <c r="J131" i="9" l="1"/>
  <c r="H131" i="9"/>
  <c r="F131" i="9"/>
  <c r="B132" i="9"/>
  <c r="G131" i="9"/>
  <c r="I131" i="9"/>
  <c r="J131" i="8"/>
  <c r="H131" i="8"/>
  <c r="F131" i="8"/>
  <c r="B132" i="8"/>
  <c r="G131" i="8"/>
  <c r="B132" i="7"/>
  <c r="G131" i="7"/>
  <c r="H131" i="7"/>
  <c r="J131" i="7"/>
  <c r="F131" i="7"/>
  <c r="I131" i="7"/>
  <c r="B133" i="9" l="1"/>
  <c r="G132" i="9"/>
  <c r="J132" i="9"/>
  <c r="F132" i="9"/>
  <c r="H132" i="9"/>
  <c r="I132" i="9"/>
  <c r="B133" i="8"/>
  <c r="G132" i="8"/>
  <c r="J132" i="8"/>
  <c r="F132" i="8"/>
  <c r="H132" i="8"/>
  <c r="J132" i="7"/>
  <c r="H132" i="7"/>
  <c r="F132" i="7"/>
  <c r="G132" i="7"/>
  <c r="B133" i="7"/>
  <c r="I132" i="7"/>
  <c r="J133" i="9" l="1"/>
  <c r="H133" i="9"/>
  <c r="F133" i="9"/>
  <c r="B134" i="9"/>
  <c r="G133" i="9"/>
  <c r="I133" i="9"/>
  <c r="J133" i="8"/>
  <c r="H133" i="8"/>
  <c r="F133" i="8"/>
  <c r="B134" i="8"/>
  <c r="G133" i="8"/>
  <c r="B134" i="7"/>
  <c r="G133" i="7"/>
  <c r="H133" i="7"/>
  <c r="J133" i="7"/>
  <c r="F133" i="7"/>
  <c r="I133" i="7"/>
  <c r="B135" i="9" l="1"/>
  <c r="G134" i="9"/>
  <c r="J134" i="9"/>
  <c r="F134" i="9"/>
  <c r="H134" i="9"/>
  <c r="I134" i="9"/>
  <c r="B135" i="8"/>
  <c r="G134" i="8"/>
  <c r="J134" i="8"/>
  <c r="F134" i="8"/>
  <c r="H134" i="8"/>
  <c r="J134" i="7"/>
  <c r="H134" i="7"/>
  <c r="F134" i="7"/>
  <c r="G134" i="7"/>
  <c r="B135" i="7"/>
  <c r="I134" i="7"/>
  <c r="J135" i="9" l="1"/>
  <c r="H135" i="9"/>
  <c r="F135" i="9"/>
  <c r="B136" i="9"/>
  <c r="G135" i="9"/>
  <c r="I135" i="9"/>
  <c r="J135" i="8"/>
  <c r="H135" i="8"/>
  <c r="F135" i="8"/>
  <c r="B136" i="8"/>
  <c r="G135" i="8"/>
  <c r="B136" i="7"/>
  <c r="G135" i="7"/>
  <c r="H135" i="7"/>
  <c r="J135" i="7"/>
  <c r="F135" i="7"/>
  <c r="I135" i="7"/>
  <c r="G136" i="9" l="1"/>
  <c r="J136" i="9"/>
  <c r="F136" i="9"/>
  <c r="H136" i="9"/>
  <c r="I136" i="9"/>
  <c r="I137" i="9" s="1"/>
  <c r="G136" i="8"/>
  <c r="J136" i="8"/>
  <c r="F136" i="8"/>
  <c r="H136" i="8"/>
  <c r="J136" i="7"/>
  <c r="H136" i="7"/>
  <c r="F136" i="7"/>
  <c r="G136" i="7"/>
  <c r="I136" i="7"/>
  <c r="I137" i="7" s="1"/>
  <c r="G141" i="9" l="1"/>
  <c r="G142" i="9" s="1"/>
  <c r="G140" i="9" s="1"/>
  <c r="G137" i="9"/>
  <c r="G141" i="7"/>
  <c r="G142" i="7" s="1"/>
  <c r="G140" i="7" s="1"/>
  <c r="G137" i="7"/>
  <c r="E148" i="7" s="1"/>
  <c r="G148" i="7" s="1"/>
  <c r="G149" i="7" s="1"/>
  <c r="E11" i="8" s="1"/>
  <c r="D21" i="8" s="1"/>
  <c r="E21" i="8" s="1"/>
  <c r="G139" i="8" l="1"/>
  <c r="G21" i="8"/>
  <c r="J17" i="9"/>
  <c r="J17" i="7"/>
  <c r="G141" i="8" l="1"/>
  <c r="G142" i="8" s="1"/>
  <c r="G140" i="8" s="1"/>
  <c r="G137" i="8"/>
  <c r="J17" i="8" s="1"/>
  <c r="G138" i="8" s="1"/>
  <c r="H18" i="8"/>
  <c r="I19" i="8"/>
  <c r="I17" i="8"/>
  <c r="H17" i="8"/>
  <c r="H19" i="8"/>
  <c r="I20" i="8"/>
  <c r="I18" i="8"/>
  <c r="H16" i="8"/>
  <c r="I15" i="8"/>
  <c r="H20" i="8"/>
  <c r="H21" i="8"/>
  <c r="I21" i="8"/>
  <c r="H22" i="8"/>
  <c r="I22" i="8"/>
  <c r="H23" i="8"/>
  <c r="I23" i="8"/>
  <c r="H24" i="8"/>
  <c r="I24" i="8"/>
  <c r="H25" i="8"/>
  <c r="I25" i="8"/>
  <c r="H26"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G138" i="9"/>
  <c r="J18" i="9"/>
  <c r="J19" i="9"/>
  <c r="J20" i="9"/>
  <c r="J21" i="9"/>
  <c r="J22" i="9"/>
  <c r="J23" i="9"/>
  <c r="J24" i="9"/>
  <c r="J25" i="9"/>
  <c r="J26" i="9"/>
  <c r="J23" i="7"/>
  <c r="J24" i="7"/>
  <c r="J25" i="7"/>
  <c r="J26" i="7"/>
  <c r="G138" i="7"/>
  <c r="B145" i="7" s="1"/>
  <c r="J18" i="7"/>
  <c r="J19" i="7"/>
  <c r="J20" i="7"/>
  <c r="J21" i="7"/>
  <c r="J22" i="7"/>
  <c r="J24" i="8" l="1"/>
  <c r="J20" i="8"/>
  <c r="J26" i="8"/>
  <c r="J22" i="8"/>
  <c r="J18" i="8"/>
  <c r="I137" i="8"/>
  <c r="J25" i="8"/>
  <c r="J23" i="8"/>
  <c r="J21" i="8"/>
  <c r="J19" i="8"/>
  <c r="C6" i="5" l="1"/>
  <c r="B6" i="5"/>
  <c r="A22" i="4"/>
  <c r="E20" i="4"/>
  <c r="E21" i="4" s="1"/>
  <c r="D20" i="4"/>
  <c r="C20" i="4"/>
  <c r="A19" i="4"/>
  <c r="E18" i="4"/>
  <c r="D18" i="4"/>
  <c r="C18" i="4"/>
  <c r="A18" i="4"/>
  <c r="A17" i="4"/>
  <c r="A8" i="4"/>
  <c r="E7" i="4"/>
  <c r="E4" i="4"/>
  <c r="A23" i="3"/>
  <c r="F22" i="3"/>
  <c r="A22" i="3"/>
  <c r="E21" i="3"/>
  <c r="B21" i="3"/>
  <c r="D20" i="3"/>
  <c r="C20" i="3" s="1"/>
  <c r="E15" i="3"/>
  <c r="D11" i="3"/>
  <c r="A5" i="4" s="1"/>
  <c r="D10" i="3"/>
  <c r="D6" i="3"/>
  <c r="D3" i="3"/>
  <c r="A29" i="2"/>
  <c r="C27" i="2"/>
  <c r="A26" i="2"/>
  <c r="D25" i="2"/>
  <c r="D27" i="2" s="1"/>
  <c r="D28" i="2" s="1"/>
  <c r="C25" i="2"/>
  <c r="B25" i="2"/>
  <c r="B27" i="2" s="1"/>
  <c r="A25" i="2"/>
  <c r="A24" i="2"/>
  <c r="E22" i="2"/>
  <c r="B20" i="2"/>
  <c r="B22" i="2" s="1"/>
  <c r="D18" i="2"/>
  <c r="A20" i="2" s="1"/>
  <c r="A22" i="2" s="1"/>
  <c r="D17" i="2"/>
  <c r="B17" i="2"/>
  <c r="D15" i="2"/>
  <c r="F14" i="2"/>
  <c r="D14" i="2"/>
  <c r="G11" i="2"/>
  <c r="A6" i="2"/>
  <c r="A22" i="1"/>
  <c r="A23" i="1" s="1"/>
  <c r="B21" i="1"/>
  <c r="E16" i="1"/>
  <c r="D10" i="1"/>
  <c r="D7" i="2" s="1"/>
  <c r="D6" i="2" s="1"/>
  <c r="D9" i="1"/>
  <c r="D5" i="1"/>
  <c r="B4" i="5" s="1"/>
  <c r="A24" i="1" l="1"/>
  <c r="D23" i="1"/>
  <c r="A8" i="2"/>
  <c r="D11" i="1"/>
  <c r="A19" i="1"/>
  <c r="E21" i="1"/>
  <c r="D22" i="1"/>
  <c r="E6" i="2"/>
  <c r="A14" i="2"/>
  <c r="E14" i="2"/>
  <c r="E17" i="2" s="1"/>
  <c r="A2" i="4"/>
  <c r="A10" i="4"/>
  <c r="F21" i="3"/>
  <c r="A18" i="3"/>
  <c r="E5" i="4"/>
  <c r="D21" i="3"/>
  <c r="C21" i="3" s="1"/>
  <c r="A24" i="3"/>
  <c r="F23" i="3"/>
  <c r="C4" i="5"/>
  <c r="A11" i="4"/>
  <c r="F24" i="3" l="1"/>
  <c r="A25" i="3"/>
  <c r="C5" i="5"/>
  <c r="E11" i="4"/>
  <c r="E8" i="4"/>
  <c r="E6" i="4"/>
  <c r="B22" i="3"/>
  <c r="G21" i="3"/>
  <c r="A17" i="2"/>
  <c r="G14" i="2"/>
  <c r="D9" i="2"/>
  <c r="D21" i="1"/>
  <c r="D14" i="1"/>
  <c r="D8" i="2"/>
  <c r="A25" i="1"/>
  <c r="D24" i="1"/>
  <c r="C24" i="1"/>
  <c r="C23" i="1" l="1"/>
  <c r="C22" i="1"/>
  <c r="D20" i="2"/>
  <c r="D16" i="1"/>
  <c r="C21" i="1"/>
  <c r="B23" i="3"/>
  <c r="G22" i="3"/>
  <c r="E22" i="3"/>
  <c r="C25" i="1"/>
  <c r="A26" i="1"/>
  <c r="D25" i="1"/>
  <c r="F21" i="1"/>
  <c r="I4" i="4"/>
  <c r="M3" i="4"/>
  <c r="I7" i="4"/>
  <c r="I6" i="4"/>
  <c r="I3" i="4"/>
  <c r="A26" i="3"/>
  <c r="F25" i="3"/>
  <c r="A27" i="3" l="1"/>
  <c r="F26" i="3"/>
  <c r="G21" i="1"/>
  <c r="B22" i="1" s="1"/>
  <c r="A27" i="1"/>
  <c r="D26" i="1"/>
  <c r="C26" i="1"/>
  <c r="D22" i="3"/>
  <c r="C22" i="3" s="1"/>
  <c r="B24" i="3"/>
  <c r="E23" i="3"/>
  <c r="D23" i="3" s="1"/>
  <c r="C23" i="3" s="1"/>
  <c r="G23" i="3"/>
  <c r="B3" i="5"/>
  <c r="A30" i="2"/>
  <c r="A28" i="2"/>
  <c r="I5" i="4"/>
  <c r="N7" i="4"/>
  <c r="N6" i="4"/>
  <c r="R3" i="4"/>
  <c r="N4" i="4"/>
  <c r="N3" i="4"/>
  <c r="B5" i="5"/>
  <c r="A27" i="2"/>
  <c r="D22" i="2"/>
  <c r="Q11" i="4" l="1"/>
  <c r="O11" i="4"/>
  <c r="P11" i="4"/>
  <c r="R11" i="4"/>
  <c r="N11" i="4"/>
  <c r="E22" i="1"/>
  <c r="N8" i="4"/>
  <c r="N5" i="4"/>
  <c r="S8" i="4"/>
  <c r="S4" i="4"/>
  <c r="W3" i="4"/>
  <c r="S3" i="4"/>
  <c r="S7" i="4"/>
  <c r="S6" i="4"/>
  <c r="B25" i="3"/>
  <c r="G24" i="3"/>
  <c r="E24" i="3"/>
  <c r="D24" i="3" s="1"/>
  <c r="C24" i="3" s="1"/>
  <c r="M11" i="4"/>
  <c r="K11" i="4"/>
  <c r="I11" i="4"/>
  <c r="L11" i="4"/>
  <c r="J11" i="4"/>
  <c r="I8" i="4"/>
  <c r="C27" i="1"/>
  <c r="A28" i="1"/>
  <c r="D27" i="1"/>
  <c r="A28" i="3"/>
  <c r="F27" i="3"/>
  <c r="A29" i="1" l="1"/>
  <c r="D28" i="1"/>
  <c r="C28" i="1"/>
  <c r="X7" i="4"/>
  <c r="X6" i="4"/>
  <c r="AB3" i="4"/>
  <c r="X4" i="4"/>
  <c r="X3" i="4"/>
  <c r="F28" i="3"/>
  <c r="A29" i="3"/>
  <c r="W11" i="4"/>
  <c r="U11" i="4"/>
  <c r="S11" i="4"/>
  <c r="T11" i="4"/>
  <c r="V11" i="4"/>
  <c r="G25" i="3"/>
  <c r="B26" i="3"/>
  <c r="E25" i="3"/>
  <c r="D25" i="3" s="1"/>
  <c r="C25" i="3" s="1"/>
  <c r="S5" i="4"/>
  <c r="F22" i="1"/>
  <c r="G22" i="1" l="1"/>
  <c r="B23" i="1" s="1"/>
  <c r="AA11" i="4"/>
  <c r="Y11" i="4"/>
  <c r="AB11" i="4"/>
  <c r="X11" i="4"/>
  <c r="Z11" i="4"/>
  <c r="AC4" i="4"/>
  <c r="AG3" i="4"/>
  <c r="AC7" i="4"/>
  <c r="AC6" i="4"/>
  <c r="AC3" i="4"/>
  <c r="X8" i="4"/>
  <c r="X5" i="4"/>
  <c r="C29" i="1"/>
  <c r="A30" i="1"/>
  <c r="D29" i="1"/>
  <c r="B27" i="3"/>
  <c r="G26" i="3"/>
  <c r="E26" i="3"/>
  <c r="D26" i="3" s="1"/>
  <c r="C26" i="3" s="1"/>
  <c r="A30" i="3"/>
  <c r="F29" i="3"/>
  <c r="A31" i="3" l="1"/>
  <c r="AH7" i="4"/>
  <c r="AH6" i="4"/>
  <c r="AL3" i="4"/>
  <c r="AH4" i="4"/>
  <c r="AH3" i="4"/>
  <c r="E23" i="1"/>
  <c r="AG11" i="4"/>
  <c r="AE11" i="4"/>
  <c r="AC11" i="4"/>
  <c r="AF11" i="4"/>
  <c r="AD11" i="4"/>
  <c r="B28" i="3"/>
  <c r="E27" i="3"/>
  <c r="D27" i="3" s="1"/>
  <c r="C27" i="3" s="1"/>
  <c r="G27" i="3"/>
  <c r="A31" i="1"/>
  <c r="D30" i="1"/>
  <c r="C30" i="1"/>
  <c r="AC5" i="4"/>
  <c r="AC8" i="4"/>
  <c r="C31" i="1" l="1"/>
  <c r="A32" i="1"/>
  <c r="D31" i="1"/>
  <c r="AK11" i="4"/>
  <c r="AI11" i="4"/>
  <c r="AJ11" i="4"/>
  <c r="AH11" i="4"/>
  <c r="AL11" i="4"/>
  <c r="AH8" i="4"/>
  <c r="AM4" i="4"/>
  <c r="AQ3" i="4"/>
  <c r="AM3" i="4"/>
  <c r="AM6" i="4"/>
  <c r="AM7" i="4"/>
  <c r="B29" i="3"/>
  <c r="G28" i="3"/>
  <c r="E28" i="3"/>
  <c r="D28" i="3" s="1"/>
  <c r="C28" i="3" s="1"/>
  <c r="F23" i="1"/>
  <c r="AH5" i="4"/>
  <c r="C31" i="3"/>
  <c r="F31" i="3"/>
  <c r="A32" i="3"/>
  <c r="AQ11" i="4" l="1"/>
  <c r="AO11" i="4"/>
  <c r="AM11" i="4"/>
  <c r="AN11" i="4"/>
  <c r="AP11" i="4"/>
  <c r="G29" i="3"/>
  <c r="B30" i="3"/>
  <c r="E29" i="3"/>
  <c r="D29" i="3" s="1"/>
  <c r="C29" i="3" s="1"/>
  <c r="AM5" i="4"/>
  <c r="A33" i="1"/>
  <c r="D32" i="1"/>
  <c r="C32" i="1"/>
  <c r="A33" i="3"/>
  <c r="F32" i="3"/>
  <c r="C32" i="3"/>
  <c r="G23" i="1"/>
  <c r="B24" i="1" s="1"/>
  <c r="AR7" i="4"/>
  <c r="AR6" i="4"/>
  <c r="AR5" i="4"/>
  <c r="AV3" i="4"/>
  <c r="AR8" i="4"/>
  <c r="AR3" i="4"/>
  <c r="AR4" i="4"/>
  <c r="AM8" i="4"/>
  <c r="AU11" i="4" l="1"/>
  <c r="AS11" i="4"/>
  <c r="AV11" i="4"/>
  <c r="AR11" i="4"/>
  <c r="AT11" i="4"/>
  <c r="AW4" i="4"/>
  <c r="BA3" i="4"/>
  <c r="AW7" i="4"/>
  <c r="AW6" i="4"/>
  <c r="AW3" i="4"/>
  <c r="E24" i="1"/>
  <c r="C33" i="3"/>
  <c r="A34" i="3"/>
  <c r="F33" i="3"/>
  <c r="C33" i="1"/>
  <c r="A34" i="1"/>
  <c r="D33" i="1"/>
  <c r="E30" i="3"/>
  <c r="D30" i="3" s="1"/>
  <c r="C30" i="3" s="1"/>
  <c r="B31" i="3"/>
  <c r="G30" i="3"/>
  <c r="B32" i="3" l="1"/>
  <c r="G31" i="3"/>
  <c r="E31" i="3"/>
  <c r="D31" i="3" s="1"/>
  <c r="A35" i="1"/>
  <c r="D34" i="1"/>
  <c r="C34" i="1"/>
  <c r="BA11" i="4"/>
  <c r="AY11" i="4"/>
  <c r="AW11" i="4"/>
  <c r="AZ11" i="4"/>
  <c r="AX11" i="4"/>
  <c r="A35" i="3"/>
  <c r="F34" i="3"/>
  <c r="C34" i="3"/>
  <c r="F24" i="1"/>
  <c r="AW5" i="4"/>
  <c r="AW8" i="4"/>
  <c r="C35" i="3" l="1"/>
  <c r="F35" i="3"/>
  <c r="A36" i="3"/>
  <c r="C35" i="1"/>
  <c r="A36" i="1"/>
  <c r="D35" i="1"/>
  <c r="G24" i="1"/>
  <c r="B25" i="1" s="1"/>
  <c r="G32" i="3"/>
  <c r="B33" i="3"/>
  <c r="E32" i="3"/>
  <c r="D32" i="3" s="1"/>
  <c r="B34" i="3" l="1"/>
  <c r="G33" i="3"/>
  <c r="E33" i="3"/>
  <c r="D33" i="3" s="1"/>
  <c r="E25" i="1"/>
  <c r="F25" i="1" s="1"/>
  <c r="A37" i="1"/>
  <c r="D36" i="1"/>
  <c r="C36" i="1"/>
  <c r="A37" i="3"/>
  <c r="F36" i="3"/>
  <c r="C36" i="3"/>
  <c r="C37" i="3" l="1"/>
  <c r="A38" i="3"/>
  <c r="F37" i="3"/>
  <c r="C37" i="1"/>
  <c r="A38" i="1"/>
  <c r="D37" i="1"/>
  <c r="G25" i="1"/>
  <c r="B26" i="1" s="1"/>
  <c r="B35" i="3"/>
  <c r="E34" i="3"/>
  <c r="D34" i="3" s="1"/>
  <c r="G34" i="3"/>
  <c r="E26" i="1" l="1"/>
  <c r="F26" i="1" s="1"/>
  <c r="G26" i="1" s="1"/>
  <c r="B27" i="1" s="1"/>
  <c r="A39" i="3"/>
  <c r="F38" i="3"/>
  <c r="C38" i="3"/>
  <c r="B36" i="3"/>
  <c r="G35" i="3"/>
  <c r="E35" i="3"/>
  <c r="D35" i="3" s="1"/>
  <c r="A39" i="1"/>
  <c r="D38" i="1"/>
  <c r="C38" i="1"/>
  <c r="E27" i="1" l="1"/>
  <c r="F27" i="1" s="1"/>
  <c r="G27" i="1" s="1"/>
  <c r="B28" i="1" s="1"/>
  <c r="C39" i="1"/>
  <c r="A40" i="1"/>
  <c r="D39" i="1"/>
  <c r="C39" i="3"/>
  <c r="F39" i="3"/>
  <c r="A40" i="3"/>
  <c r="G36" i="3"/>
  <c r="B37" i="3"/>
  <c r="E36" i="3"/>
  <c r="D36" i="3" s="1"/>
  <c r="E28" i="1" l="1"/>
  <c r="F28" i="1" s="1"/>
  <c r="G28" i="1" s="1"/>
  <c r="B29" i="1" s="1"/>
  <c r="B38" i="3"/>
  <c r="G37" i="3"/>
  <c r="E37" i="3"/>
  <c r="D37" i="3" s="1"/>
  <c r="A41" i="1"/>
  <c r="D40" i="1"/>
  <c r="C40" i="1"/>
  <c r="A41" i="3"/>
  <c r="F40" i="3"/>
  <c r="C40" i="3"/>
  <c r="E29" i="1" l="1"/>
  <c r="F29" i="1" s="1"/>
  <c r="G29" i="1" s="1"/>
  <c r="B30" i="1" s="1"/>
  <c r="C41" i="3"/>
  <c r="A42" i="3"/>
  <c r="F41" i="3"/>
  <c r="C41" i="1"/>
  <c r="A42" i="1"/>
  <c r="D41" i="1"/>
  <c r="B41" i="1"/>
  <c r="B39" i="3"/>
  <c r="E38" i="3"/>
  <c r="D38" i="3" s="1"/>
  <c r="G38" i="3"/>
  <c r="E30" i="1" l="1"/>
  <c r="F30" i="1" s="1"/>
  <c r="G30" i="1" s="1"/>
  <c r="B31" i="1" s="1"/>
  <c r="A43" i="3"/>
  <c r="F42" i="3"/>
  <c r="C42" i="3"/>
  <c r="B40" i="3"/>
  <c r="G39" i="3"/>
  <c r="E39" i="3"/>
  <c r="D39" i="3" s="1"/>
  <c r="E41" i="1"/>
  <c r="F41" i="1" s="1"/>
  <c r="G41" i="1" s="1"/>
  <c r="A43" i="1"/>
  <c r="D42" i="1"/>
  <c r="B42" i="1"/>
  <c r="C42" i="1"/>
  <c r="E31" i="1" l="1"/>
  <c r="F31" i="1" s="1"/>
  <c r="G31" i="1" s="1"/>
  <c r="B32" i="1" s="1"/>
  <c r="E42" i="1"/>
  <c r="C43" i="1"/>
  <c r="A44" i="1"/>
  <c r="D43" i="1"/>
  <c r="B43" i="1"/>
  <c r="C43" i="3"/>
  <c r="F43" i="3"/>
  <c r="A44" i="3"/>
  <c r="F42" i="1"/>
  <c r="G42" i="1" s="1"/>
  <c r="G40" i="3"/>
  <c r="B41" i="3"/>
  <c r="E40" i="3"/>
  <c r="D40" i="3" s="1"/>
  <c r="E32" i="1" l="1"/>
  <c r="F32" i="1" s="1"/>
  <c r="G32" i="1" s="1"/>
  <c r="B33" i="1" s="1"/>
  <c r="B42" i="3"/>
  <c r="G41" i="3"/>
  <c r="E41" i="3"/>
  <c r="D41" i="3" s="1"/>
  <c r="G43" i="1"/>
  <c r="E43" i="1"/>
  <c r="A45" i="1"/>
  <c r="D44" i="1"/>
  <c r="B44" i="1"/>
  <c r="C44" i="1"/>
  <c r="A45" i="3"/>
  <c r="F44" i="3"/>
  <c r="C44" i="3"/>
  <c r="F43" i="1"/>
  <c r="E33" i="1" l="1"/>
  <c r="F33" i="1" s="1"/>
  <c r="G33" i="1" s="1"/>
  <c r="B34" i="1" s="1"/>
  <c r="C45" i="3"/>
  <c r="A46" i="3"/>
  <c r="F45" i="3"/>
  <c r="E44" i="1"/>
  <c r="C45" i="1"/>
  <c r="A46" i="1"/>
  <c r="D45" i="1"/>
  <c r="B45" i="1"/>
  <c r="F44" i="1"/>
  <c r="G44" i="1" s="1"/>
  <c r="B43" i="3"/>
  <c r="E42" i="3"/>
  <c r="D42" i="3" s="1"/>
  <c r="G42" i="3"/>
  <c r="E34" i="1" l="1"/>
  <c r="F34" i="1" s="1"/>
  <c r="G34" i="1" s="1"/>
  <c r="B35" i="1" s="1"/>
  <c r="A47" i="3"/>
  <c r="F46" i="3"/>
  <c r="C46" i="3"/>
  <c r="B44" i="3"/>
  <c r="G43" i="3"/>
  <c r="E43" i="3"/>
  <c r="D43" i="3" s="1"/>
  <c r="E45" i="1"/>
  <c r="F45" i="1" s="1"/>
  <c r="G45" i="1" s="1"/>
  <c r="A47" i="1"/>
  <c r="D46" i="1"/>
  <c r="B46" i="1"/>
  <c r="C46" i="1"/>
  <c r="E35" i="1" l="1"/>
  <c r="F35" i="1" s="1"/>
  <c r="G35" i="1" s="1"/>
  <c r="B36" i="1" s="1"/>
  <c r="E46" i="1"/>
  <c r="C47" i="1"/>
  <c r="A48" i="1"/>
  <c r="D47" i="1"/>
  <c r="B47" i="1"/>
  <c r="C47" i="3"/>
  <c r="F47" i="3"/>
  <c r="A48" i="3"/>
  <c r="F46" i="1"/>
  <c r="G46" i="1" s="1"/>
  <c r="G44" i="3"/>
  <c r="B45" i="3"/>
  <c r="E44" i="3"/>
  <c r="D44" i="3" s="1"/>
  <c r="E36" i="1" l="1"/>
  <c r="F36" i="1" s="1"/>
  <c r="G36" i="1" s="1"/>
  <c r="B37" i="1" s="1"/>
  <c r="B46" i="3"/>
  <c r="G45" i="3"/>
  <c r="E45" i="3"/>
  <c r="D45" i="3" s="1"/>
  <c r="G47" i="1"/>
  <c r="E47" i="1"/>
  <c r="A49" i="1"/>
  <c r="D48" i="1"/>
  <c r="B48" i="1"/>
  <c r="C48" i="1"/>
  <c r="A49" i="3"/>
  <c r="F48" i="3"/>
  <c r="C48" i="3"/>
  <c r="F47" i="1"/>
  <c r="E37" i="1" l="1"/>
  <c r="F37" i="1" s="1"/>
  <c r="G37" i="1" s="1"/>
  <c r="B38" i="1" s="1"/>
  <c r="C49" i="3"/>
  <c r="A50" i="3"/>
  <c r="F49" i="3"/>
  <c r="E48" i="1"/>
  <c r="C49" i="1"/>
  <c r="A50" i="1"/>
  <c r="D49" i="1"/>
  <c r="B49" i="1"/>
  <c r="F48" i="1"/>
  <c r="G48" i="1" s="1"/>
  <c r="B47" i="3"/>
  <c r="E46" i="3"/>
  <c r="D46" i="3" s="1"/>
  <c r="G46" i="3"/>
  <c r="E38" i="1" l="1"/>
  <c r="F38" i="1" s="1"/>
  <c r="G38" i="1" s="1"/>
  <c r="B39" i="1" s="1"/>
  <c r="A51" i="3"/>
  <c r="F50" i="3"/>
  <c r="C50" i="3"/>
  <c r="B48" i="3"/>
  <c r="G47" i="3"/>
  <c r="E47" i="3"/>
  <c r="D47" i="3" s="1"/>
  <c r="E49" i="1"/>
  <c r="F49" i="1" s="1"/>
  <c r="G49" i="1" s="1"/>
  <c r="A51" i="1"/>
  <c r="D50" i="1"/>
  <c r="B50" i="1"/>
  <c r="C50" i="1"/>
  <c r="E39" i="1" l="1"/>
  <c r="F39" i="1" s="1"/>
  <c r="G39" i="1" s="1"/>
  <c r="B40" i="1" s="1"/>
  <c r="E50" i="1"/>
  <c r="C51" i="1"/>
  <c r="A52" i="1"/>
  <c r="D51" i="1"/>
  <c r="B51" i="1"/>
  <c r="C51" i="3"/>
  <c r="F51" i="3"/>
  <c r="A52" i="3"/>
  <c r="F50" i="1"/>
  <c r="G50" i="1" s="1"/>
  <c r="G48" i="3"/>
  <c r="B49" i="3"/>
  <c r="E48" i="3"/>
  <c r="D48" i="3" s="1"/>
  <c r="E40" i="1" l="1"/>
  <c r="F40" i="1" s="1"/>
  <c r="G40" i="1" s="1"/>
  <c r="B50" i="3"/>
  <c r="G49" i="3"/>
  <c r="E49" i="3"/>
  <c r="D49" i="3" s="1"/>
  <c r="G51" i="1"/>
  <c r="E51" i="1"/>
  <c r="A53" i="1"/>
  <c r="D52" i="1"/>
  <c r="B52" i="1"/>
  <c r="C52" i="1"/>
  <c r="A53" i="3"/>
  <c r="F52" i="3"/>
  <c r="C52" i="3"/>
  <c r="F51" i="1"/>
  <c r="C53" i="3" l="1"/>
  <c r="A54" i="3"/>
  <c r="F53" i="3"/>
  <c r="E52" i="1"/>
  <c r="C53" i="1"/>
  <c r="A54" i="1"/>
  <c r="D53" i="1"/>
  <c r="B53" i="1"/>
  <c r="F52" i="1"/>
  <c r="G52" i="1" s="1"/>
  <c r="B51" i="3"/>
  <c r="E50" i="3"/>
  <c r="D50" i="3" s="1"/>
  <c r="G50" i="3"/>
  <c r="A55" i="3" l="1"/>
  <c r="F54" i="3"/>
  <c r="C54" i="3"/>
  <c r="B52" i="3"/>
  <c r="G51" i="3"/>
  <c r="E51" i="3"/>
  <c r="D51" i="3" s="1"/>
  <c r="E53" i="1"/>
  <c r="F53" i="1" s="1"/>
  <c r="G53" i="1" s="1"/>
  <c r="A55" i="1"/>
  <c r="D54" i="1"/>
  <c r="B54" i="1"/>
  <c r="C54" i="1"/>
  <c r="E54" i="1" l="1"/>
  <c r="C55" i="1"/>
  <c r="A56" i="1"/>
  <c r="D55" i="1"/>
  <c r="B55" i="1"/>
  <c r="C55" i="3"/>
  <c r="F55" i="3"/>
  <c r="A56" i="3"/>
  <c r="F54" i="1"/>
  <c r="G54" i="1" s="1"/>
  <c r="G52" i="3"/>
  <c r="B53" i="3"/>
  <c r="E52" i="3"/>
  <c r="D52" i="3" s="1"/>
  <c r="B54" i="3" l="1"/>
  <c r="G53" i="3"/>
  <c r="E53" i="3"/>
  <c r="D53" i="3" s="1"/>
  <c r="G55" i="1"/>
  <c r="E55" i="1"/>
  <c r="A57" i="1"/>
  <c r="D56" i="1"/>
  <c r="B56" i="1"/>
  <c r="C56" i="1"/>
  <c r="A57" i="3"/>
  <c r="F56" i="3"/>
  <c r="C56" i="3"/>
  <c r="F55" i="1"/>
  <c r="C57" i="3" l="1"/>
  <c r="A58" i="3"/>
  <c r="F57" i="3"/>
  <c r="E56" i="1"/>
  <c r="C57" i="1"/>
  <c r="A58" i="1"/>
  <c r="D57" i="1"/>
  <c r="B57" i="1"/>
  <c r="F56" i="1"/>
  <c r="G56" i="1" s="1"/>
  <c r="B55" i="3"/>
  <c r="E54" i="3"/>
  <c r="D54" i="3" s="1"/>
  <c r="G54" i="3"/>
  <c r="A59" i="3" l="1"/>
  <c r="F58" i="3"/>
  <c r="C58" i="3"/>
  <c r="B56" i="3"/>
  <c r="G55" i="3"/>
  <c r="E55" i="3"/>
  <c r="D55" i="3" s="1"/>
  <c r="E57" i="1"/>
  <c r="F57" i="1" s="1"/>
  <c r="G57" i="1" s="1"/>
  <c r="A59" i="1"/>
  <c r="D58" i="1"/>
  <c r="B58" i="1"/>
  <c r="C58" i="1"/>
  <c r="E58" i="1" l="1"/>
  <c r="C59" i="1"/>
  <c r="A60" i="1"/>
  <c r="D59" i="1"/>
  <c r="B59" i="1"/>
  <c r="C59" i="3"/>
  <c r="F59" i="3"/>
  <c r="A60" i="3"/>
  <c r="F58" i="1"/>
  <c r="G58" i="1" s="1"/>
  <c r="G56" i="3"/>
  <c r="B57" i="3"/>
  <c r="E56" i="3"/>
  <c r="D56" i="3" s="1"/>
  <c r="B58" i="3" l="1"/>
  <c r="G57" i="3"/>
  <c r="E57" i="3"/>
  <c r="D57" i="3" s="1"/>
  <c r="G59" i="1"/>
  <c r="E59" i="1"/>
  <c r="A61" i="1"/>
  <c r="D60" i="1"/>
  <c r="B60" i="1"/>
  <c r="C60" i="1"/>
  <c r="A61" i="3"/>
  <c r="F60" i="3"/>
  <c r="C60" i="3"/>
  <c r="F59" i="1"/>
  <c r="C61" i="3" l="1"/>
  <c r="A62" i="3"/>
  <c r="F61" i="3"/>
  <c r="E60" i="1"/>
  <c r="C61" i="1"/>
  <c r="A62" i="1"/>
  <c r="D61" i="1"/>
  <c r="B61" i="1"/>
  <c r="F60" i="1"/>
  <c r="G60" i="1" s="1"/>
  <c r="B59" i="3"/>
  <c r="E58" i="3"/>
  <c r="D58" i="3" s="1"/>
  <c r="G58" i="3"/>
  <c r="A63" i="3" l="1"/>
  <c r="F62" i="3"/>
  <c r="C62" i="3"/>
  <c r="B60" i="3"/>
  <c r="G59" i="3"/>
  <c r="E59" i="3"/>
  <c r="D59" i="3" s="1"/>
  <c r="E61" i="1"/>
  <c r="F61" i="1" s="1"/>
  <c r="G61" i="1" s="1"/>
  <c r="A63" i="1"/>
  <c r="D62" i="1"/>
  <c r="B62" i="1"/>
  <c r="C62" i="1"/>
  <c r="E62" i="1" l="1"/>
  <c r="C63" i="1"/>
  <c r="A64" i="1"/>
  <c r="D63" i="1"/>
  <c r="B63" i="1"/>
  <c r="C63" i="3"/>
  <c r="F63" i="3"/>
  <c r="A64" i="3"/>
  <c r="F62" i="1"/>
  <c r="G62" i="1" s="1"/>
  <c r="G60" i="3"/>
  <c r="B61" i="3"/>
  <c r="E60" i="3"/>
  <c r="D60" i="3" s="1"/>
  <c r="B62" i="3" l="1"/>
  <c r="G61" i="3"/>
  <c r="E61" i="3"/>
  <c r="D61" i="3" s="1"/>
  <c r="G63" i="1"/>
  <c r="E63" i="1"/>
  <c r="A65" i="1"/>
  <c r="D64" i="1"/>
  <c r="B64" i="1"/>
  <c r="C64" i="1"/>
  <c r="A65" i="3"/>
  <c r="F64" i="3"/>
  <c r="C64" i="3"/>
  <c r="F63" i="1"/>
  <c r="C65" i="3" l="1"/>
  <c r="A66" i="3"/>
  <c r="F65" i="3"/>
  <c r="E64" i="1"/>
  <c r="C65" i="1"/>
  <c r="A66" i="1"/>
  <c r="D65" i="1"/>
  <c r="B65" i="1"/>
  <c r="F64" i="1"/>
  <c r="G64" i="1" s="1"/>
  <c r="B63" i="3"/>
  <c r="E62" i="3"/>
  <c r="D62" i="3" s="1"/>
  <c r="G62" i="3"/>
  <c r="A67" i="3" l="1"/>
  <c r="F66" i="3"/>
  <c r="C66" i="3"/>
  <c r="B64" i="3"/>
  <c r="G63" i="3"/>
  <c r="E63" i="3"/>
  <c r="D63" i="3" s="1"/>
  <c r="E65" i="1"/>
  <c r="F65" i="1" s="1"/>
  <c r="G65" i="1" s="1"/>
  <c r="A67" i="1"/>
  <c r="D66" i="1"/>
  <c r="B66" i="1"/>
  <c r="C66" i="1"/>
  <c r="E66" i="1" l="1"/>
  <c r="C67" i="1"/>
  <c r="A68" i="1"/>
  <c r="D67" i="1"/>
  <c r="B67" i="1"/>
  <c r="C67" i="3"/>
  <c r="F67" i="3"/>
  <c r="A68" i="3"/>
  <c r="F66" i="1"/>
  <c r="G66" i="1" s="1"/>
  <c r="G64" i="3"/>
  <c r="B65" i="3"/>
  <c r="E64" i="3"/>
  <c r="D64" i="3" s="1"/>
  <c r="B66" i="3" l="1"/>
  <c r="G65" i="3"/>
  <c r="E65" i="3"/>
  <c r="D65" i="3" s="1"/>
  <c r="G67" i="1"/>
  <c r="E67" i="1"/>
  <c r="A69" i="1"/>
  <c r="D68" i="1"/>
  <c r="B68" i="1"/>
  <c r="C68" i="1"/>
  <c r="A69" i="3"/>
  <c r="F68" i="3"/>
  <c r="C68" i="3"/>
  <c r="F67" i="1"/>
  <c r="C69" i="3" l="1"/>
  <c r="A70" i="3"/>
  <c r="F69" i="3"/>
  <c r="E68" i="1"/>
  <c r="C69" i="1"/>
  <c r="A70" i="1"/>
  <c r="D69" i="1"/>
  <c r="B69" i="1"/>
  <c r="F68" i="1"/>
  <c r="G68" i="1" s="1"/>
  <c r="B67" i="3"/>
  <c r="E66" i="3"/>
  <c r="D66" i="3" s="1"/>
  <c r="G66" i="3"/>
  <c r="A71" i="3" l="1"/>
  <c r="F70" i="3"/>
  <c r="C70" i="3"/>
  <c r="B68" i="3"/>
  <c r="G67" i="3"/>
  <c r="E67" i="3"/>
  <c r="D67" i="3" s="1"/>
  <c r="E69" i="1"/>
  <c r="F69" i="1" s="1"/>
  <c r="G69" i="1" s="1"/>
  <c r="A71" i="1"/>
  <c r="D70" i="1"/>
  <c r="B70" i="1"/>
  <c r="C70" i="1"/>
  <c r="E70" i="1" l="1"/>
  <c r="C71" i="1"/>
  <c r="A72" i="1"/>
  <c r="D71" i="1"/>
  <c r="B71" i="1"/>
  <c r="C71" i="3"/>
  <c r="F71" i="3"/>
  <c r="A72" i="3"/>
  <c r="F70" i="1"/>
  <c r="G70" i="1" s="1"/>
  <c r="G68" i="3"/>
  <c r="B69" i="3"/>
  <c r="E68" i="3"/>
  <c r="D68" i="3" s="1"/>
  <c r="B70" i="3" l="1"/>
  <c r="G69" i="3"/>
  <c r="E69" i="3"/>
  <c r="D69" i="3" s="1"/>
  <c r="G71" i="1"/>
  <c r="E71" i="1"/>
  <c r="A73" i="1"/>
  <c r="D72" i="1"/>
  <c r="B72" i="1"/>
  <c r="C72" i="1"/>
  <c r="A73" i="3"/>
  <c r="F72" i="3"/>
  <c r="C72" i="3"/>
  <c r="F71" i="1"/>
  <c r="C73" i="3" l="1"/>
  <c r="A74" i="3"/>
  <c r="F73" i="3"/>
  <c r="E72" i="1"/>
  <c r="C73" i="1"/>
  <c r="A74" i="1"/>
  <c r="D73" i="1"/>
  <c r="B73" i="1"/>
  <c r="F72" i="1"/>
  <c r="G72" i="1" s="1"/>
  <c r="B71" i="3"/>
  <c r="E70" i="3"/>
  <c r="D70" i="3" s="1"/>
  <c r="G70" i="3"/>
  <c r="A75" i="3" l="1"/>
  <c r="F74" i="3"/>
  <c r="C74" i="3"/>
  <c r="B72" i="3"/>
  <c r="G71" i="3"/>
  <c r="E71" i="3"/>
  <c r="D71" i="3" s="1"/>
  <c r="E73" i="1"/>
  <c r="F73" i="1" s="1"/>
  <c r="G73" i="1" s="1"/>
  <c r="A75" i="1"/>
  <c r="D74" i="1"/>
  <c r="B74" i="1"/>
  <c r="C74" i="1"/>
  <c r="E74" i="1" l="1"/>
  <c r="C75" i="1"/>
  <c r="A76" i="1"/>
  <c r="D75" i="1"/>
  <c r="B75" i="1"/>
  <c r="C75" i="3"/>
  <c r="F75" i="3"/>
  <c r="A76" i="3"/>
  <c r="F74" i="1"/>
  <c r="G74" i="1" s="1"/>
  <c r="G72" i="3"/>
  <c r="B73" i="3"/>
  <c r="E72" i="3"/>
  <c r="D72" i="3" s="1"/>
  <c r="B74" i="3" l="1"/>
  <c r="G73" i="3"/>
  <c r="E73" i="3"/>
  <c r="D73" i="3" s="1"/>
  <c r="G75" i="1"/>
  <c r="E75" i="1"/>
  <c r="A77" i="1"/>
  <c r="D76" i="1"/>
  <c r="B76" i="1"/>
  <c r="C76" i="1"/>
  <c r="A77" i="3"/>
  <c r="F76" i="3"/>
  <c r="C76" i="3"/>
  <c r="F75" i="1"/>
  <c r="C77" i="3" l="1"/>
  <c r="A78" i="3"/>
  <c r="F77" i="3"/>
  <c r="E76" i="1"/>
  <c r="C77" i="1"/>
  <c r="A78" i="1"/>
  <c r="D77" i="1"/>
  <c r="B77" i="1"/>
  <c r="F76" i="1"/>
  <c r="G76" i="1" s="1"/>
  <c r="B75" i="3"/>
  <c r="E74" i="3"/>
  <c r="D74" i="3" s="1"/>
  <c r="G74" i="3"/>
  <c r="A79" i="3" l="1"/>
  <c r="F78" i="3"/>
  <c r="C78" i="3"/>
  <c r="B76" i="3"/>
  <c r="G75" i="3"/>
  <c r="E75" i="3"/>
  <c r="D75" i="3" s="1"/>
  <c r="E77" i="1"/>
  <c r="F77" i="1" s="1"/>
  <c r="G77" i="1" s="1"/>
  <c r="A79" i="1"/>
  <c r="D78" i="1"/>
  <c r="B78" i="1"/>
  <c r="C78" i="1"/>
  <c r="E78" i="1" l="1"/>
  <c r="C79" i="1"/>
  <c r="A80" i="1"/>
  <c r="D79" i="1"/>
  <c r="B79" i="1"/>
  <c r="C79" i="3"/>
  <c r="F79" i="3"/>
  <c r="A80" i="3"/>
  <c r="F78" i="1"/>
  <c r="G78" i="1" s="1"/>
  <c r="G76" i="3"/>
  <c r="B77" i="3"/>
  <c r="E76" i="3"/>
  <c r="D76" i="3" s="1"/>
  <c r="B78" i="3" l="1"/>
  <c r="G77" i="3"/>
  <c r="E77" i="3"/>
  <c r="D77" i="3" s="1"/>
  <c r="G79" i="1"/>
  <c r="E79" i="1"/>
  <c r="A81" i="1"/>
  <c r="D80" i="1"/>
  <c r="B80" i="1"/>
  <c r="C80" i="1"/>
  <c r="A81" i="3"/>
  <c r="F80" i="3"/>
  <c r="C80" i="3"/>
  <c r="F79" i="1"/>
  <c r="C81" i="3" l="1"/>
  <c r="A82" i="3"/>
  <c r="F81" i="3"/>
  <c r="E80" i="1"/>
  <c r="C81" i="1"/>
  <c r="A82" i="1"/>
  <c r="D81" i="1"/>
  <c r="B81" i="1"/>
  <c r="F80" i="1"/>
  <c r="G80" i="1" s="1"/>
  <c r="B79" i="3"/>
  <c r="E78" i="3"/>
  <c r="D78" i="3" s="1"/>
  <c r="G78" i="3"/>
  <c r="A83" i="3" l="1"/>
  <c r="F82" i="3"/>
  <c r="C82" i="3"/>
  <c r="B80" i="3"/>
  <c r="G79" i="3"/>
  <c r="E79" i="3"/>
  <c r="D79" i="3" s="1"/>
  <c r="E81" i="1"/>
  <c r="F81" i="1" s="1"/>
  <c r="G81" i="1" s="1"/>
  <c r="A83" i="1"/>
  <c r="D82" i="1"/>
  <c r="B82" i="1"/>
  <c r="C82" i="1"/>
  <c r="E82" i="1" l="1"/>
  <c r="C83" i="1"/>
  <c r="A84" i="1"/>
  <c r="D83" i="1"/>
  <c r="B83" i="1"/>
  <c r="C83" i="3"/>
  <c r="F83" i="3"/>
  <c r="A84" i="3"/>
  <c r="F82" i="1"/>
  <c r="G82" i="1" s="1"/>
  <c r="G80" i="3"/>
  <c r="B81" i="3"/>
  <c r="E80" i="3"/>
  <c r="D80" i="3" s="1"/>
  <c r="B82" i="3" l="1"/>
  <c r="G81" i="3"/>
  <c r="E81" i="3"/>
  <c r="D81" i="3" s="1"/>
  <c r="G83" i="1"/>
  <c r="E83" i="1"/>
  <c r="A85" i="1"/>
  <c r="D84" i="1"/>
  <c r="B84" i="1"/>
  <c r="C84" i="1"/>
  <c r="A85" i="3"/>
  <c r="F84" i="3"/>
  <c r="C84" i="3"/>
  <c r="F83" i="1"/>
  <c r="C85" i="3" l="1"/>
  <c r="A86" i="3"/>
  <c r="F85" i="3"/>
  <c r="E84" i="1"/>
  <c r="C85" i="1"/>
  <c r="A86" i="1"/>
  <c r="D85" i="1"/>
  <c r="B85" i="1"/>
  <c r="F84" i="1"/>
  <c r="G84" i="1" s="1"/>
  <c r="B83" i="3"/>
  <c r="E82" i="3"/>
  <c r="D82" i="3" s="1"/>
  <c r="G82" i="3"/>
  <c r="A87" i="3" l="1"/>
  <c r="F86" i="3"/>
  <c r="C86" i="3"/>
  <c r="B84" i="3"/>
  <c r="G83" i="3"/>
  <c r="E83" i="3"/>
  <c r="D83" i="3" s="1"/>
  <c r="E85" i="1"/>
  <c r="F85" i="1" s="1"/>
  <c r="G85" i="1" s="1"/>
  <c r="A87" i="1"/>
  <c r="D86" i="1"/>
  <c r="B86" i="1"/>
  <c r="C86" i="1"/>
  <c r="E86" i="1" l="1"/>
  <c r="C87" i="1"/>
  <c r="A88" i="1"/>
  <c r="D87" i="1"/>
  <c r="B87" i="1"/>
  <c r="C87" i="3"/>
  <c r="F87" i="3"/>
  <c r="A88" i="3"/>
  <c r="F86" i="1"/>
  <c r="G86" i="1" s="1"/>
  <c r="G84" i="3"/>
  <c r="B85" i="3"/>
  <c r="E84" i="3"/>
  <c r="D84" i="3" s="1"/>
  <c r="B86" i="3" l="1"/>
  <c r="G85" i="3"/>
  <c r="E85" i="3"/>
  <c r="D85" i="3" s="1"/>
  <c r="G87" i="1"/>
  <c r="E87" i="1"/>
  <c r="A89" i="1"/>
  <c r="D88" i="1"/>
  <c r="B88" i="1"/>
  <c r="C88" i="1"/>
  <c r="A89" i="3"/>
  <c r="F88" i="3"/>
  <c r="C88" i="3"/>
  <c r="F87" i="1"/>
  <c r="C89" i="3" l="1"/>
  <c r="A90" i="3"/>
  <c r="F89" i="3"/>
  <c r="E88" i="1"/>
  <c r="C89" i="1"/>
  <c r="A90" i="1"/>
  <c r="D89" i="1"/>
  <c r="B89" i="1"/>
  <c r="F88" i="1"/>
  <c r="G88" i="1" s="1"/>
  <c r="B87" i="3"/>
  <c r="E86" i="3"/>
  <c r="D86" i="3" s="1"/>
  <c r="G86" i="3"/>
  <c r="A91" i="3" l="1"/>
  <c r="F90" i="3"/>
  <c r="C90" i="3"/>
  <c r="B88" i="3"/>
  <c r="G87" i="3"/>
  <c r="E87" i="3"/>
  <c r="D87" i="3" s="1"/>
  <c r="E89" i="1"/>
  <c r="F89" i="1" s="1"/>
  <c r="G89" i="1" s="1"/>
  <c r="A91" i="1"/>
  <c r="D90" i="1"/>
  <c r="B90" i="1"/>
  <c r="C90" i="1"/>
  <c r="E90" i="1" l="1"/>
  <c r="C91" i="1"/>
  <c r="A92" i="1"/>
  <c r="D91" i="1"/>
  <c r="B91" i="1"/>
  <c r="C91" i="3"/>
  <c r="F91" i="3"/>
  <c r="A92" i="3"/>
  <c r="F90" i="1"/>
  <c r="G90" i="1" s="1"/>
  <c r="G88" i="3"/>
  <c r="B89" i="3"/>
  <c r="E88" i="3"/>
  <c r="D88" i="3" s="1"/>
  <c r="B90" i="3" l="1"/>
  <c r="G89" i="3"/>
  <c r="E89" i="3"/>
  <c r="D89" i="3" s="1"/>
  <c r="G91" i="1"/>
  <c r="E91" i="1"/>
  <c r="A93" i="1"/>
  <c r="D92" i="1"/>
  <c r="B92" i="1"/>
  <c r="C92" i="1"/>
  <c r="A93" i="3"/>
  <c r="F92" i="3"/>
  <c r="C92" i="3"/>
  <c r="F91" i="1"/>
  <c r="C93" i="3" l="1"/>
  <c r="A94" i="3"/>
  <c r="F93" i="3"/>
  <c r="E92" i="1"/>
  <c r="C93" i="1"/>
  <c r="A94" i="1"/>
  <c r="D93" i="1"/>
  <c r="B93" i="1"/>
  <c r="F92" i="1"/>
  <c r="G92" i="1" s="1"/>
  <c r="B91" i="3"/>
  <c r="E90" i="3"/>
  <c r="D90" i="3" s="1"/>
  <c r="G90" i="3"/>
  <c r="A95" i="3" l="1"/>
  <c r="F94" i="3"/>
  <c r="C94" i="3"/>
  <c r="B92" i="3"/>
  <c r="G91" i="3"/>
  <c r="E91" i="3"/>
  <c r="D91" i="3" s="1"/>
  <c r="E93" i="1"/>
  <c r="F93" i="1" s="1"/>
  <c r="G93" i="1" s="1"/>
  <c r="A95" i="1"/>
  <c r="D94" i="1"/>
  <c r="B94" i="1"/>
  <c r="C94" i="1"/>
  <c r="E94" i="1" l="1"/>
  <c r="C95" i="1"/>
  <c r="A96" i="1"/>
  <c r="D95" i="1"/>
  <c r="B95" i="1"/>
  <c r="C95" i="3"/>
  <c r="F95" i="3"/>
  <c r="A96" i="3"/>
  <c r="F94" i="1"/>
  <c r="G94" i="1" s="1"/>
  <c r="G92" i="3"/>
  <c r="B93" i="3"/>
  <c r="E92" i="3"/>
  <c r="D92" i="3" s="1"/>
  <c r="B94" i="3" l="1"/>
  <c r="G93" i="3"/>
  <c r="E93" i="3"/>
  <c r="D93" i="3" s="1"/>
  <c r="G95" i="1"/>
  <c r="E95" i="1"/>
  <c r="A97" i="1"/>
  <c r="D96" i="1"/>
  <c r="B96" i="1"/>
  <c r="C96" i="1"/>
  <c r="A97" i="3"/>
  <c r="F96" i="3"/>
  <c r="C96" i="3"/>
  <c r="F95" i="1"/>
  <c r="C97" i="3" l="1"/>
  <c r="A98" i="3"/>
  <c r="F97" i="3"/>
  <c r="E96" i="1"/>
  <c r="C97" i="1"/>
  <c r="A98" i="1"/>
  <c r="D97" i="1"/>
  <c r="B97" i="1"/>
  <c r="F96" i="1"/>
  <c r="G96" i="1" s="1"/>
  <c r="B95" i="3"/>
  <c r="E94" i="3"/>
  <c r="D94" i="3" s="1"/>
  <c r="G94" i="3"/>
  <c r="A99" i="3" l="1"/>
  <c r="F98" i="3"/>
  <c r="C98" i="3"/>
  <c r="B96" i="3"/>
  <c r="G95" i="3"/>
  <c r="E95" i="3"/>
  <c r="D95" i="3" s="1"/>
  <c r="E97" i="1"/>
  <c r="F97" i="1" s="1"/>
  <c r="G97" i="1" s="1"/>
  <c r="A99" i="1"/>
  <c r="D98" i="1"/>
  <c r="B98" i="1"/>
  <c r="C98" i="1"/>
  <c r="E98" i="1" l="1"/>
  <c r="C99" i="1"/>
  <c r="A100" i="1"/>
  <c r="D99" i="1"/>
  <c r="B99" i="1"/>
  <c r="C99" i="3"/>
  <c r="F99" i="3"/>
  <c r="A100" i="3"/>
  <c r="F98" i="1"/>
  <c r="G98" i="1" s="1"/>
  <c r="G96" i="3"/>
  <c r="B97" i="3"/>
  <c r="E96" i="3"/>
  <c r="D96" i="3" s="1"/>
  <c r="B98" i="3" l="1"/>
  <c r="G97" i="3"/>
  <c r="E97" i="3"/>
  <c r="D97" i="3" s="1"/>
  <c r="G99" i="1"/>
  <c r="E99" i="1"/>
  <c r="A101" i="1"/>
  <c r="D100" i="1"/>
  <c r="B100" i="1"/>
  <c r="C100" i="1"/>
  <c r="A101" i="3"/>
  <c r="F100" i="3"/>
  <c r="C100" i="3"/>
  <c r="F99" i="1"/>
  <c r="C101" i="3" l="1"/>
  <c r="A102" i="3"/>
  <c r="F101" i="3"/>
  <c r="E100" i="1"/>
  <c r="C101" i="1"/>
  <c r="A102" i="1"/>
  <c r="D101" i="1"/>
  <c r="B101" i="1"/>
  <c r="F100" i="1"/>
  <c r="G100" i="1" s="1"/>
  <c r="B99" i="3"/>
  <c r="E98" i="3"/>
  <c r="D98" i="3" s="1"/>
  <c r="G98" i="3"/>
  <c r="A103" i="3" l="1"/>
  <c r="F102" i="3"/>
  <c r="C102" i="3"/>
  <c r="B100" i="3"/>
  <c r="G99" i="3"/>
  <c r="E99" i="3"/>
  <c r="D99" i="3" s="1"/>
  <c r="E101" i="1"/>
  <c r="F101" i="1" s="1"/>
  <c r="G101" i="1" s="1"/>
  <c r="A103" i="1"/>
  <c r="D102" i="1"/>
  <c r="B102" i="1"/>
  <c r="C102" i="1"/>
  <c r="E102" i="1" l="1"/>
  <c r="C103" i="1"/>
  <c r="A104" i="1"/>
  <c r="D103" i="1"/>
  <c r="B103" i="1"/>
  <c r="C103" i="3"/>
  <c r="F103" i="3"/>
  <c r="A104" i="3"/>
  <c r="F102" i="1"/>
  <c r="G102" i="1" s="1"/>
  <c r="G100" i="3"/>
  <c r="B101" i="3"/>
  <c r="E100" i="3"/>
  <c r="D100" i="3" s="1"/>
  <c r="B102" i="3" l="1"/>
  <c r="G101" i="3"/>
  <c r="E101" i="3"/>
  <c r="D101" i="3" s="1"/>
  <c r="G103" i="1"/>
  <c r="E103" i="1"/>
  <c r="A105" i="1"/>
  <c r="D104" i="1"/>
  <c r="B104" i="1"/>
  <c r="C104" i="1"/>
  <c r="A105" i="3"/>
  <c r="F104" i="3"/>
  <c r="C104" i="3"/>
  <c r="F103" i="1"/>
  <c r="C105" i="3" l="1"/>
  <c r="A106" i="3"/>
  <c r="F105" i="3"/>
  <c r="E104" i="1"/>
  <c r="C105" i="1"/>
  <c r="A106" i="1"/>
  <c r="D105" i="1"/>
  <c r="B105" i="1"/>
  <c r="F104" i="1"/>
  <c r="G104" i="1" s="1"/>
  <c r="B103" i="3"/>
  <c r="E102" i="3"/>
  <c r="D102" i="3" s="1"/>
  <c r="G102" i="3"/>
  <c r="A107" i="3" l="1"/>
  <c r="F106" i="3"/>
  <c r="C106" i="3"/>
  <c r="B104" i="3"/>
  <c r="G103" i="3"/>
  <c r="E103" i="3"/>
  <c r="D103" i="3" s="1"/>
  <c r="E105" i="1"/>
  <c r="F105" i="1" s="1"/>
  <c r="G105" i="1" s="1"/>
  <c r="A107" i="1"/>
  <c r="D106" i="1"/>
  <c r="B106" i="1"/>
  <c r="C106" i="1"/>
  <c r="E106" i="1" l="1"/>
  <c r="C107" i="1"/>
  <c r="A108" i="1"/>
  <c r="D107" i="1"/>
  <c r="B107" i="1"/>
  <c r="C107" i="3"/>
  <c r="F107" i="3"/>
  <c r="A108" i="3"/>
  <c r="F106" i="1"/>
  <c r="G106" i="1" s="1"/>
  <c r="G104" i="3"/>
  <c r="B105" i="3"/>
  <c r="E104" i="3"/>
  <c r="D104" i="3" s="1"/>
  <c r="B106" i="3" l="1"/>
  <c r="G105" i="3"/>
  <c r="E105" i="3"/>
  <c r="D105" i="3" s="1"/>
  <c r="G107" i="1"/>
  <c r="E107" i="1"/>
  <c r="A109" i="1"/>
  <c r="D108" i="1"/>
  <c r="B108" i="1"/>
  <c r="C108" i="1"/>
  <c r="A109" i="3"/>
  <c r="F108" i="3"/>
  <c r="C108" i="3"/>
  <c r="F107" i="1"/>
  <c r="C109" i="3" l="1"/>
  <c r="A110" i="3"/>
  <c r="F109" i="3"/>
  <c r="E108" i="1"/>
  <c r="C109" i="1"/>
  <c r="A110" i="1"/>
  <c r="D109" i="1"/>
  <c r="B109" i="1"/>
  <c r="F108" i="1"/>
  <c r="G108" i="1" s="1"/>
  <c r="B107" i="3"/>
  <c r="E106" i="3"/>
  <c r="D106" i="3" s="1"/>
  <c r="G106" i="3"/>
  <c r="A111" i="3" l="1"/>
  <c r="F110" i="3"/>
  <c r="C110" i="3"/>
  <c r="B108" i="3"/>
  <c r="G107" i="3"/>
  <c r="E107" i="3"/>
  <c r="D107" i="3" s="1"/>
  <c r="E109" i="1"/>
  <c r="F109" i="1" s="1"/>
  <c r="G109" i="1" s="1"/>
  <c r="A111" i="1"/>
  <c r="D110" i="1"/>
  <c r="B110" i="1"/>
  <c r="C110" i="1"/>
  <c r="E110" i="1" l="1"/>
  <c r="C111" i="1"/>
  <c r="A112" i="1"/>
  <c r="D111" i="1"/>
  <c r="B111" i="1"/>
  <c r="C111" i="3"/>
  <c r="F111" i="3"/>
  <c r="A112" i="3"/>
  <c r="F110" i="1"/>
  <c r="G110" i="1" s="1"/>
  <c r="G108" i="3"/>
  <c r="B109" i="3"/>
  <c r="E108" i="3"/>
  <c r="D108" i="3" s="1"/>
  <c r="B110" i="3" l="1"/>
  <c r="G109" i="3"/>
  <c r="E109" i="3"/>
  <c r="D109" i="3" s="1"/>
  <c r="G111" i="1"/>
  <c r="E111" i="1"/>
  <c r="A113" i="1"/>
  <c r="D112" i="1"/>
  <c r="B112" i="1"/>
  <c r="C112" i="1"/>
  <c r="A113" i="3"/>
  <c r="F112" i="3"/>
  <c r="C112" i="3"/>
  <c r="F111" i="1"/>
  <c r="C113" i="3" l="1"/>
  <c r="A114" i="3"/>
  <c r="F113" i="3"/>
  <c r="E112" i="1"/>
  <c r="C113" i="1"/>
  <c r="A114" i="1"/>
  <c r="D113" i="1"/>
  <c r="B113" i="1"/>
  <c r="F112" i="1"/>
  <c r="G112" i="1" s="1"/>
  <c r="B111" i="3"/>
  <c r="E110" i="3"/>
  <c r="D110" i="3" s="1"/>
  <c r="G110" i="3"/>
  <c r="A115" i="3" l="1"/>
  <c r="F114" i="3"/>
  <c r="C114" i="3"/>
  <c r="B112" i="3"/>
  <c r="G111" i="3"/>
  <c r="E111" i="3"/>
  <c r="D111" i="3" s="1"/>
  <c r="E113" i="1"/>
  <c r="F113" i="1" s="1"/>
  <c r="G113" i="1" s="1"/>
  <c r="A115" i="1"/>
  <c r="D114" i="1"/>
  <c r="B114" i="1"/>
  <c r="C114" i="1"/>
  <c r="E114" i="1" l="1"/>
  <c r="C115" i="1"/>
  <c r="A116" i="1"/>
  <c r="D115" i="1"/>
  <c r="B115" i="1"/>
  <c r="C115" i="3"/>
  <c r="F115" i="3"/>
  <c r="A116" i="3"/>
  <c r="F114" i="1"/>
  <c r="G114" i="1" s="1"/>
  <c r="G112" i="3"/>
  <c r="B113" i="3"/>
  <c r="E112" i="3"/>
  <c r="D112" i="3" s="1"/>
  <c r="B114" i="3" l="1"/>
  <c r="G113" i="3"/>
  <c r="E113" i="3"/>
  <c r="D113" i="3" s="1"/>
  <c r="G115" i="1"/>
  <c r="E115" i="1"/>
  <c r="A117" i="1"/>
  <c r="D116" i="1"/>
  <c r="B116" i="1"/>
  <c r="C116" i="1"/>
  <c r="A117" i="3"/>
  <c r="F116" i="3"/>
  <c r="C116" i="3"/>
  <c r="F115" i="1"/>
  <c r="C117" i="3" l="1"/>
  <c r="A118" i="3"/>
  <c r="F117" i="3"/>
  <c r="E116" i="1"/>
  <c r="C117" i="1"/>
  <c r="A118" i="1"/>
  <c r="D117" i="1"/>
  <c r="B117" i="1"/>
  <c r="F116" i="1"/>
  <c r="G116" i="1" s="1"/>
  <c r="B115" i="3"/>
  <c r="E114" i="3"/>
  <c r="D114" i="3" s="1"/>
  <c r="G114" i="3"/>
  <c r="A119" i="3" l="1"/>
  <c r="F118" i="3"/>
  <c r="C118" i="3"/>
  <c r="B116" i="3"/>
  <c r="G115" i="3"/>
  <c r="E115" i="3"/>
  <c r="D115" i="3" s="1"/>
  <c r="E117" i="1"/>
  <c r="F117" i="1" s="1"/>
  <c r="G117" i="1" s="1"/>
  <c r="A119" i="1"/>
  <c r="D118" i="1"/>
  <c r="B118" i="1"/>
  <c r="C118" i="1"/>
  <c r="E118" i="1" l="1"/>
  <c r="C119" i="1"/>
  <c r="A120" i="1"/>
  <c r="D119" i="1"/>
  <c r="B119" i="1"/>
  <c r="F119" i="3"/>
  <c r="C119" i="3"/>
  <c r="A120" i="3"/>
  <c r="F118" i="1"/>
  <c r="G118" i="1" s="1"/>
  <c r="G116" i="3"/>
  <c r="B117" i="3"/>
  <c r="E116" i="3"/>
  <c r="D116" i="3" s="1"/>
  <c r="B118" i="3" l="1"/>
  <c r="G117" i="3"/>
  <c r="E117" i="3"/>
  <c r="D117" i="3" s="1"/>
  <c r="G119" i="1"/>
  <c r="E119" i="1"/>
  <c r="A121" i="1"/>
  <c r="D120" i="1"/>
  <c r="B120" i="1"/>
  <c r="C120" i="1"/>
  <c r="A121" i="3"/>
  <c r="F120" i="3"/>
  <c r="C120" i="3"/>
  <c r="F119" i="1"/>
  <c r="C121" i="3" l="1"/>
  <c r="A122" i="3"/>
  <c r="F121" i="3"/>
  <c r="E120" i="1"/>
  <c r="C121" i="1"/>
  <c r="A122" i="1"/>
  <c r="D121" i="1"/>
  <c r="B121" i="1"/>
  <c r="F120" i="1"/>
  <c r="G120" i="1" s="1"/>
  <c r="B119" i="3"/>
  <c r="E118" i="3"/>
  <c r="D118" i="3" s="1"/>
  <c r="G118" i="3"/>
  <c r="A123" i="3" l="1"/>
  <c r="F122" i="3"/>
  <c r="C122" i="3"/>
  <c r="B120" i="3"/>
  <c r="G119" i="3"/>
  <c r="E119" i="3"/>
  <c r="D119" i="3" s="1"/>
  <c r="E121" i="1"/>
  <c r="F121" i="1" s="1"/>
  <c r="G121" i="1" s="1"/>
  <c r="A123" i="1"/>
  <c r="D122" i="1"/>
  <c r="B122" i="1"/>
  <c r="C122" i="1"/>
  <c r="E122" i="1" l="1"/>
  <c r="C123" i="1"/>
  <c r="A124" i="1"/>
  <c r="D123" i="1"/>
  <c r="B123" i="1"/>
  <c r="C123" i="3"/>
  <c r="F123" i="3"/>
  <c r="A124" i="3"/>
  <c r="F122" i="1"/>
  <c r="G122" i="1" s="1"/>
  <c r="G120" i="3"/>
  <c r="B121" i="3"/>
  <c r="E120" i="3"/>
  <c r="D120" i="3" s="1"/>
  <c r="B122" i="3" l="1"/>
  <c r="G121" i="3"/>
  <c r="E121" i="3"/>
  <c r="D121" i="3" s="1"/>
  <c r="G123" i="1"/>
  <c r="E123" i="1"/>
  <c r="A125" i="1"/>
  <c r="D124" i="1"/>
  <c r="B124" i="1"/>
  <c r="C124" i="1"/>
  <c r="A125" i="3"/>
  <c r="F124" i="3"/>
  <c r="C124" i="3"/>
  <c r="F123" i="1"/>
  <c r="C125" i="3" l="1"/>
  <c r="A126" i="3"/>
  <c r="F125" i="3"/>
  <c r="E124" i="1"/>
  <c r="C125" i="1"/>
  <c r="A126" i="1"/>
  <c r="D125" i="1"/>
  <c r="B125" i="1"/>
  <c r="F124" i="1"/>
  <c r="G124" i="1" s="1"/>
  <c r="B123" i="3"/>
  <c r="E122" i="3"/>
  <c r="D122" i="3" s="1"/>
  <c r="G122" i="3"/>
  <c r="A127" i="3" l="1"/>
  <c r="F126" i="3"/>
  <c r="C126" i="3"/>
  <c r="B124" i="3"/>
  <c r="G123" i="3"/>
  <c r="E123" i="3"/>
  <c r="D123" i="3" s="1"/>
  <c r="E125" i="1"/>
  <c r="F125" i="1" s="1"/>
  <c r="G125" i="1" s="1"/>
  <c r="A127" i="1"/>
  <c r="D126" i="1"/>
  <c r="B126" i="1"/>
  <c r="C126" i="1"/>
  <c r="E126" i="1" l="1"/>
  <c r="C127" i="1"/>
  <c r="A128" i="1"/>
  <c r="D127" i="1"/>
  <c r="B127" i="1"/>
  <c r="C127" i="3"/>
  <c r="F127" i="3"/>
  <c r="A128" i="3"/>
  <c r="F126" i="1"/>
  <c r="G126" i="1" s="1"/>
  <c r="G124" i="3"/>
  <c r="E124" i="3"/>
  <c r="D124" i="3" s="1"/>
  <c r="B125" i="3"/>
  <c r="E127" i="1" l="1"/>
  <c r="F127" i="1" s="1"/>
  <c r="G127" i="1" s="1"/>
  <c r="A129" i="1"/>
  <c r="D128" i="1"/>
  <c r="B128" i="1"/>
  <c r="C128" i="1"/>
  <c r="B126" i="3"/>
  <c r="G125" i="3"/>
  <c r="E125" i="3"/>
  <c r="D125" i="3" s="1"/>
  <c r="A129" i="3"/>
  <c r="F128" i="3"/>
  <c r="C128" i="3"/>
  <c r="C129" i="3" l="1"/>
  <c r="A130" i="3"/>
  <c r="F129" i="3"/>
  <c r="F128" i="1"/>
  <c r="B127" i="3"/>
  <c r="E126" i="3"/>
  <c r="D126" i="3" s="1"/>
  <c r="G126" i="3"/>
  <c r="G128" i="1"/>
  <c r="E128" i="1"/>
  <c r="C129" i="1"/>
  <c r="A130" i="1"/>
  <c r="D129" i="1"/>
  <c r="B129" i="1"/>
  <c r="A131" i="3" l="1"/>
  <c r="F130" i="3"/>
  <c r="C130" i="3"/>
  <c r="E129" i="1"/>
  <c r="F129" i="1" s="1"/>
  <c r="G129" i="1" s="1"/>
  <c r="A131" i="1"/>
  <c r="D130" i="1"/>
  <c r="B130" i="1"/>
  <c r="C130" i="1"/>
  <c r="B128" i="3"/>
  <c r="G127" i="3"/>
  <c r="E127" i="3"/>
  <c r="D127" i="3" s="1"/>
  <c r="C131" i="3" l="1"/>
  <c r="F131" i="3"/>
  <c r="A132" i="3"/>
  <c r="G128" i="3"/>
  <c r="B129" i="3"/>
  <c r="E128" i="3"/>
  <c r="D128" i="3" s="1"/>
  <c r="E130" i="1"/>
  <c r="F130" i="1" s="1"/>
  <c r="G130" i="1" s="1"/>
  <c r="C131" i="1"/>
  <c r="A132" i="1"/>
  <c r="D131" i="1"/>
  <c r="B131" i="1"/>
  <c r="B130" i="3" l="1"/>
  <c r="G129" i="3"/>
  <c r="E129" i="3"/>
  <c r="D129" i="3" s="1"/>
  <c r="A133" i="3"/>
  <c r="F132" i="3"/>
  <c r="C132" i="3"/>
  <c r="E131" i="1"/>
  <c r="F131" i="1" s="1"/>
  <c r="G131" i="1" s="1"/>
  <c r="A133" i="1"/>
  <c r="D132" i="1"/>
  <c r="B132" i="1"/>
  <c r="C132" i="1"/>
  <c r="E132" i="1" l="1"/>
  <c r="C133" i="1"/>
  <c r="A134" i="1"/>
  <c r="D133" i="1"/>
  <c r="B133" i="1"/>
  <c r="B131" i="3"/>
  <c r="E130" i="3"/>
  <c r="D130" i="3" s="1"/>
  <c r="G130" i="3"/>
  <c r="F132" i="1"/>
  <c r="G132" i="1" s="1"/>
  <c r="C133" i="3"/>
  <c r="A134" i="3"/>
  <c r="F133" i="3"/>
  <c r="A135" i="3" l="1"/>
  <c r="F134" i="3"/>
  <c r="C134" i="3"/>
  <c r="G133" i="1"/>
  <c r="E133" i="1"/>
  <c r="A135" i="1"/>
  <c r="D134" i="1"/>
  <c r="B134" i="1"/>
  <c r="C134" i="1"/>
  <c r="B132" i="3"/>
  <c r="G131" i="3"/>
  <c r="E131" i="3"/>
  <c r="D131" i="3" s="1"/>
  <c r="F133" i="1"/>
  <c r="G132" i="3" l="1"/>
  <c r="E132" i="3"/>
  <c r="D132" i="3" s="1"/>
  <c r="B133" i="3"/>
  <c r="E134" i="1"/>
  <c r="C135" i="1"/>
  <c r="A136" i="1"/>
  <c r="D135" i="1"/>
  <c r="B135" i="1"/>
  <c r="F134" i="1"/>
  <c r="G134" i="1" s="1"/>
  <c r="C135" i="3"/>
  <c r="F135" i="3"/>
  <c r="A136" i="3"/>
  <c r="A137" i="3" l="1"/>
  <c r="F136" i="3"/>
  <c r="C136" i="3"/>
  <c r="E135" i="1"/>
  <c r="F135" i="1" s="1"/>
  <c r="G135" i="1" s="1"/>
  <c r="A137" i="1"/>
  <c r="D136" i="1"/>
  <c r="B136" i="1"/>
  <c r="C136" i="1"/>
  <c r="B134" i="3"/>
  <c r="G133" i="3"/>
  <c r="E133" i="3"/>
  <c r="D133" i="3" s="1"/>
  <c r="C137" i="3" l="1"/>
  <c r="A138" i="3"/>
  <c r="F137" i="3"/>
  <c r="B135" i="3"/>
  <c r="E134" i="3"/>
  <c r="D134" i="3" s="1"/>
  <c r="G134" i="3"/>
  <c r="E136" i="1"/>
  <c r="F136" i="1" s="1"/>
  <c r="G136" i="1" s="1"/>
  <c r="C137" i="1"/>
  <c r="A138" i="1"/>
  <c r="D137" i="1"/>
  <c r="B137" i="1"/>
  <c r="E137" i="1" l="1"/>
  <c r="F137" i="1" s="1"/>
  <c r="G137" i="1" s="1"/>
  <c r="A139" i="1"/>
  <c r="D138" i="1"/>
  <c r="B138" i="1"/>
  <c r="C138" i="1"/>
  <c r="B136" i="3"/>
  <c r="G135" i="3"/>
  <c r="E135" i="3"/>
  <c r="D135" i="3" s="1"/>
  <c r="A139" i="3"/>
  <c r="F138" i="3"/>
  <c r="C138" i="3"/>
  <c r="G136" i="3" l="1"/>
  <c r="B137" i="3"/>
  <c r="E136" i="3"/>
  <c r="D136" i="3" s="1"/>
  <c r="G138" i="1"/>
  <c r="E138" i="1"/>
  <c r="C139" i="1"/>
  <c r="A140" i="1"/>
  <c r="D139" i="1"/>
  <c r="B139" i="1"/>
  <c r="C139" i="3"/>
  <c r="F139" i="3"/>
  <c r="A140" i="3"/>
  <c r="F138" i="1"/>
  <c r="A141" i="3" l="1"/>
  <c r="F140" i="3"/>
  <c r="C140" i="3"/>
  <c r="F139" i="1"/>
  <c r="B138" i="3"/>
  <c r="G137" i="3"/>
  <c r="E137" i="3"/>
  <c r="D137" i="3" s="1"/>
  <c r="G139" i="1"/>
  <c r="E139" i="1"/>
  <c r="A141" i="1"/>
  <c r="D140" i="1"/>
  <c r="B140" i="1"/>
  <c r="C140" i="1"/>
  <c r="E140" i="1" l="1"/>
  <c r="F140" i="1" s="1"/>
  <c r="G140" i="1" s="1"/>
  <c r="C141" i="1"/>
  <c r="A142" i="1"/>
  <c r="D141" i="1"/>
  <c r="B141" i="1"/>
  <c r="B139" i="3"/>
  <c r="E138" i="3"/>
  <c r="D138" i="3" s="1"/>
  <c r="G138" i="3"/>
  <c r="C141" i="3"/>
  <c r="A142" i="3"/>
  <c r="F141" i="3"/>
  <c r="A143" i="3" l="1"/>
  <c r="F142" i="3"/>
  <c r="C142" i="3"/>
  <c r="B140" i="3"/>
  <c r="G139" i="3"/>
  <c r="E139" i="3"/>
  <c r="D139" i="3" s="1"/>
  <c r="E141" i="1"/>
  <c r="F141" i="1" s="1"/>
  <c r="G141" i="1" s="1"/>
  <c r="A143" i="1"/>
  <c r="D142" i="1"/>
  <c r="B142" i="1"/>
  <c r="C142" i="1"/>
  <c r="G140" i="3" l="1"/>
  <c r="E140" i="3"/>
  <c r="D140" i="3" s="1"/>
  <c r="B141" i="3"/>
  <c r="E142" i="1"/>
  <c r="F142" i="1" s="1"/>
  <c r="G142" i="1" s="1"/>
  <c r="C143" i="1"/>
  <c r="A144" i="1"/>
  <c r="D143" i="1"/>
  <c r="B143" i="1"/>
  <c r="C143" i="3"/>
  <c r="F143" i="3"/>
  <c r="A144" i="3"/>
  <c r="E143" i="1" l="1"/>
  <c r="F143" i="1" s="1"/>
  <c r="G143" i="1" s="1"/>
  <c r="A145" i="1"/>
  <c r="D144" i="1"/>
  <c r="B144" i="1"/>
  <c r="C144" i="1"/>
  <c r="B142" i="3"/>
  <c r="G141" i="3"/>
  <c r="E141" i="3"/>
  <c r="D141" i="3" s="1"/>
  <c r="A145" i="3"/>
  <c r="F144" i="3"/>
  <c r="C144" i="3"/>
  <c r="C145" i="3" l="1"/>
  <c r="A146" i="3"/>
  <c r="F145" i="3"/>
  <c r="F144" i="1"/>
  <c r="B143" i="3"/>
  <c r="E142" i="3"/>
  <c r="D142" i="3" s="1"/>
  <c r="G142" i="3"/>
  <c r="G144" i="1"/>
  <c r="E144" i="1"/>
  <c r="C145" i="1"/>
  <c r="A146" i="1"/>
  <c r="D145" i="1"/>
  <c r="B145" i="1"/>
  <c r="A147" i="3" l="1"/>
  <c r="F146" i="3"/>
  <c r="C146" i="3"/>
  <c r="E145" i="1"/>
  <c r="F145" i="1" s="1"/>
  <c r="G145" i="1" s="1"/>
  <c r="A147" i="1"/>
  <c r="D146" i="1"/>
  <c r="B146" i="1"/>
  <c r="C146" i="1"/>
  <c r="B144" i="3"/>
  <c r="G143" i="3"/>
  <c r="E143" i="3"/>
  <c r="D143" i="3" s="1"/>
  <c r="C147" i="3" l="1"/>
  <c r="F147" i="3"/>
  <c r="A148" i="3"/>
  <c r="G144" i="3"/>
  <c r="B145" i="3"/>
  <c r="E144" i="3"/>
  <c r="D144" i="3" s="1"/>
  <c r="E146" i="1"/>
  <c r="F146" i="1" s="1"/>
  <c r="G146" i="1" s="1"/>
  <c r="C147" i="1"/>
  <c r="A148" i="1"/>
  <c r="D147" i="1"/>
  <c r="B147" i="1"/>
  <c r="B146" i="3" l="1"/>
  <c r="G145" i="3"/>
  <c r="E145" i="3"/>
  <c r="D145" i="3" s="1"/>
  <c r="A149" i="3"/>
  <c r="F148" i="3"/>
  <c r="C148" i="3"/>
  <c r="E147" i="1"/>
  <c r="F147" i="1" s="1"/>
  <c r="G147" i="1" s="1"/>
  <c r="A149" i="1"/>
  <c r="D148" i="1"/>
  <c r="B148" i="1"/>
  <c r="C148" i="1"/>
  <c r="E148" i="1" l="1"/>
  <c r="C149" i="1"/>
  <c r="A150" i="1"/>
  <c r="D149" i="1"/>
  <c r="B149" i="1"/>
  <c r="B147" i="3"/>
  <c r="E146" i="3"/>
  <c r="D146" i="3" s="1"/>
  <c r="G146" i="3"/>
  <c r="F148" i="1"/>
  <c r="G148" i="1" s="1"/>
  <c r="C149" i="3"/>
  <c r="A150" i="3"/>
  <c r="F149" i="3"/>
  <c r="A151" i="3" l="1"/>
  <c r="F150" i="3"/>
  <c r="C150" i="3"/>
  <c r="G149" i="1"/>
  <c r="E149" i="1"/>
  <c r="A151" i="1"/>
  <c r="D150" i="1"/>
  <c r="B150" i="1"/>
  <c r="C150" i="1"/>
  <c r="B148" i="3"/>
  <c r="G147" i="3"/>
  <c r="E147" i="3"/>
  <c r="D147" i="3" s="1"/>
  <c r="F149" i="1"/>
  <c r="G148" i="3" l="1"/>
  <c r="E148" i="3"/>
  <c r="D148" i="3" s="1"/>
  <c r="B149" i="3"/>
  <c r="E150" i="1"/>
  <c r="C151" i="1"/>
  <c r="A152" i="1"/>
  <c r="D151" i="1"/>
  <c r="B151" i="1"/>
  <c r="F150" i="1"/>
  <c r="G150" i="1" s="1"/>
  <c r="C151" i="3"/>
  <c r="F151" i="3"/>
  <c r="A152" i="3"/>
  <c r="A153" i="3" l="1"/>
  <c r="F152" i="3"/>
  <c r="C152" i="3"/>
  <c r="E151" i="1"/>
  <c r="F151" i="1" s="1"/>
  <c r="G151" i="1" s="1"/>
  <c r="A153" i="1"/>
  <c r="D152" i="1"/>
  <c r="B152" i="1"/>
  <c r="C152" i="1"/>
  <c r="B150" i="3"/>
  <c r="G149" i="3"/>
  <c r="E149" i="3"/>
  <c r="D149" i="3" s="1"/>
  <c r="C153" i="3" l="1"/>
  <c r="A154" i="3"/>
  <c r="F153" i="3"/>
  <c r="B151" i="3"/>
  <c r="E150" i="3"/>
  <c r="D150" i="3" s="1"/>
  <c r="G150" i="3"/>
  <c r="E152" i="1"/>
  <c r="F152" i="1" s="1"/>
  <c r="G152" i="1" s="1"/>
  <c r="C153" i="1"/>
  <c r="A154" i="1"/>
  <c r="D153" i="1"/>
  <c r="B153" i="1"/>
  <c r="E153" i="1" l="1"/>
  <c r="F153" i="1" s="1"/>
  <c r="G153" i="1" s="1"/>
  <c r="A155" i="1"/>
  <c r="D154" i="1"/>
  <c r="B154" i="1"/>
  <c r="C154" i="1"/>
  <c r="B152" i="3"/>
  <c r="G151" i="3"/>
  <c r="E151" i="3"/>
  <c r="D151" i="3" s="1"/>
  <c r="A155" i="3"/>
  <c r="F154" i="3"/>
  <c r="C154" i="3"/>
  <c r="G152" i="3" l="1"/>
  <c r="B153" i="3"/>
  <c r="E152" i="3"/>
  <c r="D152" i="3" s="1"/>
  <c r="G154" i="1"/>
  <c r="E154" i="1"/>
  <c r="C155" i="1"/>
  <c r="A156" i="1"/>
  <c r="D155" i="1"/>
  <c r="B155" i="1"/>
  <c r="C155" i="3"/>
  <c r="F155" i="3"/>
  <c r="A156" i="3"/>
  <c r="F154" i="1"/>
  <c r="A157" i="3" l="1"/>
  <c r="F156" i="3"/>
  <c r="C156" i="3"/>
  <c r="F155" i="1"/>
  <c r="B154" i="3"/>
  <c r="G153" i="3"/>
  <c r="E153" i="3"/>
  <c r="D153" i="3" s="1"/>
  <c r="G155" i="1"/>
  <c r="E155" i="1"/>
  <c r="A157" i="1"/>
  <c r="D156" i="1"/>
  <c r="B156" i="1"/>
  <c r="C156" i="1"/>
  <c r="E156" i="1" l="1"/>
  <c r="F156" i="1" s="1"/>
  <c r="G156" i="1" s="1"/>
  <c r="C157" i="1"/>
  <c r="A158" i="1"/>
  <c r="D157" i="1"/>
  <c r="B157" i="1"/>
  <c r="B155" i="3"/>
  <c r="E154" i="3"/>
  <c r="D154" i="3" s="1"/>
  <c r="G154" i="3"/>
  <c r="C157" i="3"/>
  <c r="A158" i="3"/>
  <c r="F157" i="3"/>
  <c r="A159" i="3" l="1"/>
  <c r="F158" i="3"/>
  <c r="C158" i="3"/>
  <c r="B156" i="3"/>
  <c r="G155" i="3"/>
  <c r="E155" i="3"/>
  <c r="D155" i="3" s="1"/>
  <c r="E157" i="1"/>
  <c r="F157" i="1" s="1"/>
  <c r="G157" i="1" s="1"/>
  <c r="A159" i="1"/>
  <c r="D158" i="1"/>
  <c r="B158" i="1"/>
  <c r="C158" i="1"/>
  <c r="G156" i="3" l="1"/>
  <c r="E156" i="3"/>
  <c r="D156" i="3" s="1"/>
  <c r="B157" i="3"/>
  <c r="E158" i="1"/>
  <c r="F158" i="1" s="1"/>
  <c r="G158" i="1" s="1"/>
  <c r="C159" i="1"/>
  <c r="A160" i="1"/>
  <c r="D159" i="1"/>
  <c r="B159" i="1"/>
  <c r="C159" i="3"/>
  <c r="F159" i="3"/>
  <c r="A160" i="3"/>
  <c r="E159" i="1" l="1"/>
  <c r="F159" i="1" s="1"/>
  <c r="G159" i="1" s="1"/>
  <c r="A161" i="1"/>
  <c r="D160" i="1"/>
  <c r="B160" i="1"/>
  <c r="C160" i="1"/>
  <c r="B158" i="3"/>
  <c r="G157" i="3"/>
  <c r="E157" i="3"/>
  <c r="D157" i="3" s="1"/>
  <c r="A161" i="3"/>
  <c r="F160" i="3"/>
  <c r="C160" i="3"/>
  <c r="C161" i="3" l="1"/>
  <c r="A162" i="3"/>
  <c r="F161" i="3"/>
  <c r="F160" i="1"/>
  <c r="B159" i="3"/>
  <c r="E158" i="3"/>
  <c r="D158" i="3" s="1"/>
  <c r="G158" i="3"/>
  <c r="G160" i="1"/>
  <c r="E160" i="1"/>
  <c r="C161" i="1"/>
  <c r="A162" i="1"/>
  <c r="D161" i="1"/>
  <c r="B161" i="1"/>
  <c r="A163" i="3" l="1"/>
  <c r="F162" i="3"/>
  <c r="C162" i="3"/>
  <c r="E161" i="1"/>
  <c r="F161" i="1" s="1"/>
  <c r="G161" i="1" s="1"/>
  <c r="A163" i="1"/>
  <c r="D162" i="1"/>
  <c r="B162" i="1"/>
  <c r="C162" i="1"/>
  <c r="B160" i="3"/>
  <c r="G159" i="3"/>
  <c r="E159" i="3"/>
  <c r="D159" i="3" s="1"/>
  <c r="C163" i="3" l="1"/>
  <c r="F163" i="3"/>
  <c r="A164" i="3"/>
  <c r="G160" i="3"/>
  <c r="B161" i="3"/>
  <c r="E160" i="3"/>
  <c r="D160" i="3" s="1"/>
  <c r="E162" i="1"/>
  <c r="F162" i="1" s="1"/>
  <c r="G162" i="1" s="1"/>
  <c r="C163" i="1"/>
  <c r="A164" i="1"/>
  <c r="D163" i="1"/>
  <c r="B163" i="1"/>
  <c r="B162" i="3" l="1"/>
  <c r="G161" i="3"/>
  <c r="E161" i="3"/>
  <c r="D161" i="3" s="1"/>
  <c r="A165" i="3"/>
  <c r="F164" i="3"/>
  <c r="C164" i="3"/>
  <c r="E163" i="1"/>
  <c r="F163" i="1" s="1"/>
  <c r="G163" i="1" s="1"/>
  <c r="A165" i="1"/>
  <c r="D164" i="1"/>
  <c r="B164" i="1"/>
  <c r="C164" i="1"/>
  <c r="E164" i="1" l="1"/>
  <c r="C165" i="1"/>
  <c r="A166" i="1"/>
  <c r="D165" i="1"/>
  <c r="B165" i="1"/>
  <c r="B163" i="3"/>
  <c r="E162" i="3"/>
  <c r="D162" i="3" s="1"/>
  <c r="G162" i="3"/>
  <c r="F164" i="1"/>
  <c r="G164" i="1" s="1"/>
  <c r="C165" i="3"/>
  <c r="A166" i="3"/>
  <c r="F165" i="3"/>
  <c r="A167" i="3" l="1"/>
  <c r="F166" i="3"/>
  <c r="C166" i="3"/>
  <c r="G165" i="1"/>
  <c r="E165" i="1"/>
  <c r="A167" i="1"/>
  <c r="D166" i="1"/>
  <c r="B166" i="1"/>
  <c r="C166" i="1"/>
  <c r="B164" i="3"/>
  <c r="G163" i="3"/>
  <c r="E163" i="3"/>
  <c r="D163" i="3" s="1"/>
  <c r="F165" i="1"/>
  <c r="G164" i="3" l="1"/>
  <c r="E164" i="3"/>
  <c r="D164" i="3" s="1"/>
  <c r="B165" i="3"/>
  <c r="E166" i="1"/>
  <c r="C167" i="1"/>
  <c r="A168" i="1"/>
  <c r="D167" i="1"/>
  <c r="B167" i="1"/>
  <c r="F166" i="1"/>
  <c r="G166" i="1" s="1"/>
  <c r="C167" i="3"/>
  <c r="F167" i="3"/>
  <c r="A168" i="3"/>
  <c r="A169" i="3" l="1"/>
  <c r="F168" i="3"/>
  <c r="C168" i="3"/>
  <c r="E167" i="1"/>
  <c r="F167" i="1" s="1"/>
  <c r="G167" i="1" s="1"/>
  <c r="A169" i="1"/>
  <c r="D168" i="1"/>
  <c r="B168" i="1"/>
  <c r="C168" i="1"/>
  <c r="B166" i="3"/>
  <c r="G165" i="3"/>
  <c r="E165" i="3"/>
  <c r="D165" i="3" s="1"/>
  <c r="C169" i="3" l="1"/>
  <c r="A170" i="3"/>
  <c r="F169" i="3"/>
  <c r="B167" i="3"/>
  <c r="E166" i="3"/>
  <c r="D166" i="3" s="1"/>
  <c r="G166" i="3"/>
  <c r="E168" i="1"/>
  <c r="F168" i="1" s="1"/>
  <c r="G168" i="1" s="1"/>
  <c r="C169" i="1"/>
  <c r="A170" i="1"/>
  <c r="D169" i="1"/>
  <c r="B169" i="1"/>
  <c r="E169" i="1" l="1"/>
  <c r="F169" i="1" s="1"/>
  <c r="G169" i="1" s="1"/>
  <c r="A171" i="1"/>
  <c r="D170" i="1"/>
  <c r="B170" i="1"/>
  <c r="C170" i="1"/>
  <c r="B168" i="3"/>
  <c r="G167" i="3"/>
  <c r="E167" i="3"/>
  <c r="D167" i="3" s="1"/>
  <c r="A171" i="3"/>
  <c r="F170" i="3"/>
  <c r="C170" i="3"/>
  <c r="G168" i="3" l="1"/>
  <c r="B169" i="3"/>
  <c r="E168" i="3"/>
  <c r="D168" i="3" s="1"/>
  <c r="G170" i="1"/>
  <c r="E170" i="1"/>
  <c r="C171" i="1"/>
  <c r="A172" i="1"/>
  <c r="D171" i="1"/>
  <c r="B171" i="1"/>
  <c r="C171" i="3"/>
  <c r="F171" i="3"/>
  <c r="A172" i="3"/>
  <c r="F170" i="1"/>
  <c r="A173" i="3" l="1"/>
  <c r="F172" i="3"/>
  <c r="C172" i="3"/>
  <c r="F171" i="1"/>
  <c r="B170" i="3"/>
  <c r="G169" i="3"/>
  <c r="E169" i="3"/>
  <c r="D169" i="3" s="1"/>
  <c r="G171" i="1"/>
  <c r="E171" i="1"/>
  <c r="A173" i="1"/>
  <c r="D172" i="1"/>
  <c r="B172" i="1"/>
  <c r="C172" i="1"/>
  <c r="E172" i="1" l="1"/>
  <c r="F172" i="1" s="1"/>
  <c r="G172" i="1" s="1"/>
  <c r="C173" i="1"/>
  <c r="A174" i="1"/>
  <c r="D173" i="1"/>
  <c r="B173" i="1"/>
  <c r="B171" i="3"/>
  <c r="E170" i="3"/>
  <c r="D170" i="3" s="1"/>
  <c r="G170" i="3"/>
  <c r="C173" i="3"/>
  <c r="A174" i="3"/>
  <c r="F173" i="3"/>
  <c r="A175" i="3" l="1"/>
  <c r="F174" i="3"/>
  <c r="C174" i="3"/>
  <c r="B172" i="3"/>
  <c r="G171" i="3"/>
  <c r="E171" i="3"/>
  <c r="D171" i="3" s="1"/>
  <c r="E173" i="1"/>
  <c r="F173" i="1" s="1"/>
  <c r="G173" i="1" s="1"/>
  <c r="A175" i="1"/>
  <c r="D174" i="1"/>
  <c r="B174" i="1"/>
  <c r="C174" i="1"/>
  <c r="G172" i="3" l="1"/>
  <c r="E172" i="3"/>
  <c r="D172" i="3" s="1"/>
  <c r="B173" i="3"/>
  <c r="E174" i="1"/>
  <c r="F174" i="1" s="1"/>
  <c r="G174" i="1" s="1"/>
  <c r="C175" i="1"/>
  <c r="A176" i="1"/>
  <c r="D175" i="1"/>
  <c r="B175" i="1"/>
  <c r="C175" i="3"/>
  <c r="F175" i="3"/>
  <c r="A176" i="3"/>
  <c r="E175" i="1" l="1"/>
  <c r="F175" i="1" s="1"/>
  <c r="G175" i="1" s="1"/>
  <c r="A177" i="1"/>
  <c r="D176" i="1"/>
  <c r="B176" i="1"/>
  <c r="C176" i="1"/>
  <c r="B174" i="3"/>
  <c r="G173" i="3"/>
  <c r="E173" i="3"/>
  <c r="D173" i="3" s="1"/>
  <c r="A177" i="3"/>
  <c r="F176" i="3"/>
  <c r="C176" i="3"/>
  <c r="C177" i="3" l="1"/>
  <c r="A178" i="3"/>
  <c r="F177" i="3"/>
  <c r="F176" i="1"/>
  <c r="B175" i="3"/>
  <c r="E174" i="3"/>
  <c r="D174" i="3" s="1"/>
  <c r="G174" i="3"/>
  <c r="G176" i="1"/>
  <c r="E176" i="1"/>
  <c r="C177" i="1"/>
  <c r="A178" i="1"/>
  <c r="D177" i="1"/>
  <c r="B177" i="1"/>
  <c r="A179" i="3" l="1"/>
  <c r="F178" i="3"/>
  <c r="C178" i="3"/>
  <c r="E177" i="1"/>
  <c r="F177" i="1" s="1"/>
  <c r="G177" i="1" s="1"/>
  <c r="A179" i="1"/>
  <c r="D178" i="1"/>
  <c r="B178" i="1"/>
  <c r="C178" i="1"/>
  <c r="B176" i="3"/>
  <c r="G175" i="3"/>
  <c r="E175" i="3"/>
  <c r="D175" i="3" s="1"/>
  <c r="C179" i="3" l="1"/>
  <c r="F179" i="3"/>
  <c r="A180" i="3"/>
  <c r="G176" i="3"/>
  <c r="B177" i="3"/>
  <c r="E176" i="3"/>
  <c r="D176" i="3" s="1"/>
  <c r="E178" i="1"/>
  <c r="F178" i="1" s="1"/>
  <c r="G178" i="1" s="1"/>
  <c r="C179" i="1"/>
  <c r="A180" i="1"/>
  <c r="D179" i="1"/>
  <c r="B179" i="1"/>
  <c r="B178" i="3" l="1"/>
  <c r="G177" i="3"/>
  <c r="E177" i="3"/>
  <c r="D177" i="3" s="1"/>
  <c r="A181" i="3"/>
  <c r="F180" i="3"/>
  <c r="C180" i="3"/>
  <c r="E179" i="1"/>
  <c r="F179" i="1" s="1"/>
  <c r="G179" i="1" s="1"/>
  <c r="A181" i="1"/>
  <c r="D180" i="1"/>
  <c r="B180" i="1"/>
  <c r="C180" i="1"/>
  <c r="E180" i="1" l="1"/>
  <c r="C181" i="1"/>
  <c r="A182" i="1"/>
  <c r="D181" i="1"/>
  <c r="B181" i="1"/>
  <c r="B179" i="3"/>
  <c r="E178" i="3"/>
  <c r="D178" i="3" s="1"/>
  <c r="G178" i="3"/>
  <c r="F180" i="1"/>
  <c r="G180" i="1" s="1"/>
  <c r="C181" i="3"/>
  <c r="A182" i="3"/>
  <c r="F181" i="3"/>
  <c r="A183" i="3" l="1"/>
  <c r="F182" i="3"/>
  <c r="C182" i="3"/>
  <c r="G181" i="1"/>
  <c r="E181" i="1"/>
  <c r="A183" i="1"/>
  <c r="D182" i="1"/>
  <c r="B182" i="1"/>
  <c r="C182" i="1"/>
  <c r="B180" i="3"/>
  <c r="G179" i="3"/>
  <c r="E179" i="3"/>
  <c r="D179" i="3" s="1"/>
  <c r="F181" i="1"/>
  <c r="G180" i="3" l="1"/>
  <c r="E180" i="3"/>
  <c r="D180" i="3" s="1"/>
  <c r="B181" i="3"/>
  <c r="E182" i="1"/>
  <c r="C183" i="1"/>
  <c r="A184" i="1"/>
  <c r="D183" i="1"/>
  <c r="B183" i="1"/>
  <c r="F182" i="1"/>
  <c r="G182" i="1" s="1"/>
  <c r="C183" i="3"/>
  <c r="F183" i="3"/>
  <c r="A184" i="3"/>
  <c r="A185" i="3" l="1"/>
  <c r="F184" i="3"/>
  <c r="C184" i="3"/>
  <c r="E183" i="1"/>
  <c r="F183" i="1" s="1"/>
  <c r="G183" i="1" s="1"/>
  <c r="A185" i="1"/>
  <c r="D184" i="1"/>
  <c r="B184" i="1"/>
  <c r="C184" i="1"/>
  <c r="B182" i="3"/>
  <c r="G181" i="3"/>
  <c r="E181" i="3"/>
  <c r="D181" i="3" s="1"/>
  <c r="C185" i="3" l="1"/>
  <c r="A186" i="3"/>
  <c r="F185" i="3"/>
  <c r="B183" i="3"/>
  <c r="E182" i="3"/>
  <c r="D182" i="3" s="1"/>
  <c r="G182" i="3"/>
  <c r="E184" i="1"/>
  <c r="F184" i="1" s="1"/>
  <c r="G184" i="1" s="1"/>
  <c r="C185" i="1"/>
  <c r="A186" i="1"/>
  <c r="D185" i="1"/>
  <c r="B185" i="1"/>
  <c r="E185" i="1" l="1"/>
  <c r="F185" i="1" s="1"/>
  <c r="G185" i="1" s="1"/>
  <c r="A187" i="1"/>
  <c r="D186" i="1"/>
  <c r="B186" i="1"/>
  <c r="C186" i="1"/>
  <c r="B184" i="3"/>
  <c r="G183" i="3"/>
  <c r="E183" i="3"/>
  <c r="D183" i="3" s="1"/>
  <c r="A187" i="3"/>
  <c r="F186" i="3"/>
  <c r="C186" i="3"/>
  <c r="G184" i="3" l="1"/>
  <c r="B185" i="3"/>
  <c r="E184" i="3"/>
  <c r="D184" i="3" s="1"/>
  <c r="G186" i="1"/>
  <c r="E186" i="1"/>
  <c r="C187" i="1"/>
  <c r="A188" i="1"/>
  <c r="D187" i="1"/>
  <c r="B187" i="1"/>
  <c r="C187" i="3"/>
  <c r="F187" i="3"/>
  <c r="A188" i="3"/>
  <c r="F186" i="1"/>
  <c r="A189" i="3" l="1"/>
  <c r="F188" i="3"/>
  <c r="C188" i="3"/>
  <c r="F187" i="1"/>
  <c r="B186" i="3"/>
  <c r="G185" i="3"/>
  <c r="E185" i="3"/>
  <c r="D185" i="3" s="1"/>
  <c r="G187" i="1"/>
  <c r="E187" i="1"/>
  <c r="A189" i="1"/>
  <c r="D188" i="1"/>
  <c r="B188" i="1"/>
  <c r="C188" i="1"/>
  <c r="E188" i="1" l="1"/>
  <c r="F188" i="1" s="1"/>
  <c r="G188" i="1" s="1"/>
  <c r="C189" i="1"/>
  <c r="A190" i="1"/>
  <c r="D189" i="1"/>
  <c r="B189" i="1"/>
  <c r="B187" i="3"/>
  <c r="E186" i="3"/>
  <c r="D186" i="3" s="1"/>
  <c r="G186" i="3"/>
  <c r="C189" i="3"/>
  <c r="A190" i="3"/>
  <c r="F189" i="3"/>
  <c r="A191" i="3" l="1"/>
  <c r="F190" i="3"/>
  <c r="C190" i="3"/>
  <c r="B188" i="3"/>
  <c r="G187" i="3"/>
  <c r="E187" i="3"/>
  <c r="D187" i="3" s="1"/>
  <c r="E189" i="1"/>
  <c r="F189" i="1" s="1"/>
  <c r="G189" i="1" s="1"/>
  <c r="A191" i="1"/>
  <c r="D190" i="1"/>
  <c r="B190" i="1"/>
  <c r="C190" i="1"/>
  <c r="G188" i="3" l="1"/>
  <c r="E188" i="3"/>
  <c r="D188" i="3" s="1"/>
  <c r="B189" i="3"/>
  <c r="E190" i="1"/>
  <c r="F190" i="1" s="1"/>
  <c r="G190" i="1" s="1"/>
  <c r="A192" i="1"/>
  <c r="D191" i="1"/>
  <c r="B191" i="1"/>
  <c r="C191" i="1"/>
  <c r="C191" i="3"/>
  <c r="F191" i="3"/>
  <c r="A192" i="3"/>
  <c r="B190" i="3" l="1"/>
  <c r="G189" i="3"/>
  <c r="E189" i="3"/>
  <c r="D189" i="3" s="1"/>
  <c r="A193" i="3"/>
  <c r="F192" i="3"/>
  <c r="C192" i="3"/>
  <c r="E191" i="1"/>
  <c r="F191" i="1" s="1"/>
  <c r="G191" i="1" s="1"/>
  <c r="C192" i="1"/>
  <c r="B192" i="1"/>
  <c r="A193" i="1"/>
  <c r="D192" i="1"/>
  <c r="A194" i="1" l="1"/>
  <c r="D193" i="1"/>
  <c r="B193" i="1"/>
  <c r="C193" i="1"/>
  <c r="B191" i="3"/>
  <c r="E190" i="3"/>
  <c r="D190" i="3" s="1"/>
  <c r="G190" i="3"/>
  <c r="E192" i="1"/>
  <c r="F192" i="1" s="1"/>
  <c r="G192" i="1" s="1"/>
  <c r="C193" i="3"/>
  <c r="A194" i="3"/>
  <c r="F193" i="3"/>
  <c r="A195" i="3" l="1"/>
  <c r="F194" i="3"/>
  <c r="C194" i="3"/>
  <c r="F193" i="1"/>
  <c r="B192" i="3"/>
  <c r="G191" i="3"/>
  <c r="E191" i="3"/>
  <c r="D191" i="3" s="1"/>
  <c r="G193" i="1"/>
  <c r="E193" i="1"/>
  <c r="C194" i="1"/>
  <c r="A195" i="1"/>
  <c r="D194" i="1"/>
  <c r="B194" i="1"/>
  <c r="E194" i="1" l="1"/>
  <c r="F194" i="1" s="1"/>
  <c r="G194" i="1" s="1"/>
  <c r="A196" i="1"/>
  <c r="D195" i="1"/>
  <c r="B195" i="1"/>
  <c r="C195" i="1"/>
  <c r="G192" i="3"/>
  <c r="B193" i="3"/>
  <c r="E192" i="3"/>
  <c r="D192" i="3" s="1"/>
  <c r="C195" i="3"/>
  <c r="F195" i="3"/>
  <c r="A196" i="3"/>
  <c r="E195" i="1" l="1"/>
  <c r="G195" i="1"/>
  <c r="C196" i="1"/>
  <c r="B196" i="1"/>
  <c r="A197" i="1"/>
  <c r="D196" i="1"/>
  <c r="A197" i="3"/>
  <c r="F196" i="3"/>
  <c r="C196" i="3"/>
  <c r="B194" i="3"/>
  <c r="G193" i="3"/>
  <c r="E193" i="3"/>
  <c r="D193" i="3" s="1"/>
  <c r="F195" i="1"/>
  <c r="B195" i="3" l="1"/>
  <c r="E194" i="3"/>
  <c r="D194" i="3" s="1"/>
  <c r="G194" i="3"/>
  <c r="E196" i="1"/>
  <c r="F196" i="1" s="1"/>
  <c r="G196" i="1" s="1"/>
  <c r="C197" i="3"/>
  <c r="A198" i="3"/>
  <c r="F197" i="3"/>
  <c r="A198" i="1"/>
  <c r="D197" i="1"/>
  <c r="B197" i="1"/>
  <c r="C197" i="1"/>
  <c r="E197" i="1" l="1"/>
  <c r="C198" i="1"/>
  <c r="A199" i="1"/>
  <c r="D198" i="1"/>
  <c r="B198" i="1"/>
  <c r="A199" i="3"/>
  <c r="F198" i="3"/>
  <c r="C198" i="3"/>
  <c r="F197" i="1"/>
  <c r="G197" i="1" s="1"/>
  <c r="B196" i="3"/>
  <c r="G195" i="3"/>
  <c r="E195" i="3"/>
  <c r="D195" i="3" s="1"/>
  <c r="E198" i="1" l="1"/>
  <c r="F198" i="1" s="1"/>
  <c r="G198" i="1" s="1"/>
  <c r="A200" i="1"/>
  <c r="D199" i="1"/>
  <c r="B199" i="1"/>
  <c r="C199" i="1"/>
  <c r="G196" i="3"/>
  <c r="E196" i="3"/>
  <c r="D196" i="3" s="1"/>
  <c r="B197" i="3"/>
  <c r="C199" i="3"/>
  <c r="F199" i="3"/>
  <c r="A200" i="3"/>
  <c r="A201" i="3" l="1"/>
  <c r="F200" i="3"/>
  <c r="C200" i="3"/>
  <c r="B198" i="3"/>
  <c r="G197" i="3"/>
  <c r="E197" i="3"/>
  <c r="D197" i="3" s="1"/>
  <c r="E199" i="1"/>
  <c r="F199" i="1" s="1"/>
  <c r="G199" i="1" s="1"/>
  <c r="C200" i="1"/>
  <c r="B200" i="1"/>
  <c r="A201" i="1"/>
  <c r="D200" i="1"/>
  <c r="A202" i="1" l="1"/>
  <c r="D201" i="1"/>
  <c r="B201" i="1"/>
  <c r="C201" i="1"/>
  <c r="E200" i="1"/>
  <c r="F200" i="1" s="1"/>
  <c r="G200" i="1" s="1"/>
  <c r="B199" i="3"/>
  <c r="E198" i="3"/>
  <c r="D198" i="3" s="1"/>
  <c r="G198" i="3"/>
  <c r="C201" i="3"/>
  <c r="A202" i="3"/>
  <c r="F201" i="3"/>
  <c r="A203" i="3" l="1"/>
  <c r="F202" i="3"/>
  <c r="C202" i="3"/>
  <c r="B200" i="3"/>
  <c r="G199" i="3"/>
  <c r="E199" i="3"/>
  <c r="D199" i="3" s="1"/>
  <c r="E201" i="1"/>
  <c r="F201" i="1" s="1"/>
  <c r="G201" i="1" s="1"/>
  <c r="C202" i="1"/>
  <c r="A203" i="1"/>
  <c r="D202" i="1"/>
  <c r="B202" i="1"/>
  <c r="G200" i="3" l="1"/>
  <c r="B201" i="3"/>
  <c r="E200" i="3"/>
  <c r="D200" i="3" s="1"/>
  <c r="E202" i="1"/>
  <c r="F202" i="1" s="1"/>
  <c r="G202" i="1" s="1"/>
  <c r="A204" i="1"/>
  <c r="D203" i="1"/>
  <c r="B203" i="1"/>
  <c r="C203" i="1"/>
  <c r="C203" i="3"/>
  <c r="F203" i="3"/>
  <c r="A204" i="3"/>
  <c r="A205" i="3" l="1"/>
  <c r="F204" i="3"/>
  <c r="C204" i="3"/>
  <c r="E203" i="1"/>
  <c r="F203" i="1" s="1"/>
  <c r="G203" i="1" s="1"/>
  <c r="C204" i="1"/>
  <c r="B204" i="1"/>
  <c r="A205" i="1"/>
  <c r="D204" i="1"/>
  <c r="B202" i="3"/>
  <c r="G201" i="3"/>
  <c r="E201" i="3"/>
  <c r="D201" i="3" s="1"/>
  <c r="E204" i="1" l="1"/>
  <c r="F204" i="1" s="1"/>
  <c r="G204" i="1" s="1"/>
  <c r="C205" i="3"/>
  <c r="A206" i="3"/>
  <c r="F205" i="3"/>
  <c r="B203" i="3"/>
  <c r="E202" i="3"/>
  <c r="D202" i="3" s="1"/>
  <c r="G202" i="3"/>
  <c r="A206" i="1"/>
  <c r="D205" i="1"/>
  <c r="B205" i="1"/>
  <c r="C205" i="1"/>
  <c r="E205" i="1" l="1"/>
  <c r="F205" i="1" s="1"/>
  <c r="G205" i="1" s="1"/>
  <c r="C206" i="1"/>
  <c r="A207" i="1"/>
  <c r="D206" i="1"/>
  <c r="B206" i="1"/>
  <c r="B204" i="3"/>
  <c r="G203" i="3"/>
  <c r="E203" i="3"/>
  <c r="D203" i="3" s="1"/>
  <c r="A207" i="3"/>
  <c r="F206" i="3"/>
  <c r="C206" i="3"/>
  <c r="G204" i="3" l="1"/>
  <c r="E204" i="3"/>
  <c r="D204" i="3" s="1"/>
  <c r="B205" i="3"/>
  <c r="G206" i="1"/>
  <c r="E206" i="1"/>
  <c r="A208" i="1"/>
  <c r="D207" i="1"/>
  <c r="B207" i="1"/>
  <c r="C207" i="1"/>
  <c r="C207" i="3"/>
  <c r="F207" i="3"/>
  <c r="A208" i="3"/>
  <c r="F206" i="1"/>
  <c r="A209" i="3" l="1"/>
  <c r="F208" i="3"/>
  <c r="C208" i="3"/>
  <c r="E207" i="1"/>
  <c r="C208" i="1"/>
  <c r="B208" i="1"/>
  <c r="A209" i="1"/>
  <c r="D208" i="1"/>
  <c r="F207" i="1"/>
  <c r="G207" i="1" s="1"/>
  <c r="B206" i="3"/>
  <c r="G205" i="3"/>
  <c r="E205" i="3"/>
  <c r="D205" i="3" s="1"/>
  <c r="A210" i="1" l="1"/>
  <c r="D209" i="1"/>
  <c r="B209" i="1"/>
  <c r="C209" i="1"/>
  <c r="B207" i="3"/>
  <c r="E206" i="3"/>
  <c r="D206" i="3" s="1"/>
  <c r="G206" i="3"/>
  <c r="E208" i="1"/>
  <c r="F208" i="1" s="1"/>
  <c r="G208" i="1" s="1"/>
  <c r="C209" i="3"/>
  <c r="A210" i="3"/>
  <c r="F209" i="3"/>
  <c r="A211" i="3" l="1"/>
  <c r="F210" i="3"/>
  <c r="C210" i="3"/>
  <c r="F209" i="1"/>
  <c r="B208" i="3"/>
  <c r="G207" i="3"/>
  <c r="E207" i="3"/>
  <c r="D207" i="3" s="1"/>
  <c r="G209" i="1"/>
  <c r="E209" i="1"/>
  <c r="C210" i="1"/>
  <c r="A211" i="1"/>
  <c r="D210" i="1"/>
  <c r="B210" i="1"/>
  <c r="E210" i="1" l="1"/>
  <c r="F210" i="1" s="1"/>
  <c r="G210" i="1" s="1"/>
  <c r="A212" i="1"/>
  <c r="D211" i="1"/>
  <c r="B211" i="1"/>
  <c r="C211" i="1"/>
  <c r="G208" i="3"/>
  <c r="B209" i="3"/>
  <c r="E208" i="3"/>
  <c r="D208" i="3" s="1"/>
  <c r="C211" i="3"/>
  <c r="F211" i="3"/>
  <c r="A212" i="3"/>
  <c r="E211" i="1" l="1"/>
  <c r="G211" i="1"/>
  <c r="C212" i="1"/>
  <c r="B212" i="1"/>
  <c r="A213" i="1"/>
  <c r="D212" i="1"/>
  <c r="A213" i="3"/>
  <c r="F212" i="3"/>
  <c r="C212" i="3"/>
  <c r="B210" i="3"/>
  <c r="G209" i="3"/>
  <c r="E209" i="3"/>
  <c r="D209" i="3" s="1"/>
  <c r="F211" i="1"/>
  <c r="B211" i="3" l="1"/>
  <c r="E210" i="3"/>
  <c r="D210" i="3" s="1"/>
  <c r="G210" i="3"/>
  <c r="E212" i="1"/>
  <c r="F212" i="1" s="1"/>
  <c r="G212" i="1" s="1"/>
  <c r="C213" i="3"/>
  <c r="A214" i="3"/>
  <c r="F213" i="3"/>
  <c r="A214" i="1"/>
  <c r="D213" i="1"/>
  <c r="B213" i="1"/>
  <c r="C213" i="1"/>
  <c r="E213" i="1" l="1"/>
  <c r="C214" i="1"/>
  <c r="A215" i="1"/>
  <c r="D214" i="1"/>
  <c r="B214" i="1"/>
  <c r="A215" i="3"/>
  <c r="F214" i="3"/>
  <c r="C214" i="3"/>
  <c r="F213" i="1"/>
  <c r="G213" i="1" s="1"/>
  <c r="B212" i="3"/>
  <c r="G211" i="3"/>
  <c r="E211" i="3"/>
  <c r="D211" i="3" s="1"/>
  <c r="E214" i="1" l="1"/>
  <c r="F214" i="1" s="1"/>
  <c r="G214" i="1" s="1"/>
  <c r="A216" i="1"/>
  <c r="D215" i="1"/>
  <c r="B215" i="1"/>
  <c r="C215" i="1"/>
  <c r="G212" i="3"/>
  <c r="E212" i="3"/>
  <c r="D212" i="3" s="1"/>
  <c r="B213" i="3"/>
  <c r="C215" i="3"/>
  <c r="F215" i="3"/>
  <c r="A216" i="3"/>
  <c r="A217" i="3" l="1"/>
  <c r="F216" i="3"/>
  <c r="C216" i="3"/>
  <c r="B214" i="3"/>
  <c r="G213" i="3"/>
  <c r="E213" i="3"/>
  <c r="D213" i="3" s="1"/>
  <c r="E215" i="1"/>
  <c r="F215" i="1" s="1"/>
  <c r="G215" i="1" s="1"/>
  <c r="C216" i="1"/>
  <c r="B216" i="1"/>
  <c r="A217" i="1"/>
  <c r="D216" i="1"/>
  <c r="A218" i="1" l="1"/>
  <c r="D217" i="1"/>
  <c r="B217" i="1"/>
  <c r="C217" i="1"/>
  <c r="E216" i="1"/>
  <c r="F216" i="1" s="1"/>
  <c r="G216" i="1" s="1"/>
  <c r="B215" i="3"/>
  <c r="E214" i="3"/>
  <c r="D214" i="3" s="1"/>
  <c r="G214" i="3"/>
  <c r="C217" i="3"/>
  <c r="A218" i="3"/>
  <c r="F217" i="3"/>
  <c r="A219" i="3" l="1"/>
  <c r="F218" i="3"/>
  <c r="C218" i="3"/>
  <c r="B216" i="3"/>
  <c r="G215" i="3"/>
  <c r="E215" i="3"/>
  <c r="D215" i="3" s="1"/>
  <c r="E217" i="1"/>
  <c r="F217" i="1" s="1"/>
  <c r="G217" i="1" s="1"/>
  <c r="C218" i="1"/>
  <c r="A219" i="1"/>
  <c r="D218" i="1"/>
  <c r="B218" i="1"/>
  <c r="G216" i="3" l="1"/>
  <c r="B217" i="3"/>
  <c r="E216" i="3"/>
  <c r="D216" i="3" s="1"/>
  <c r="E218" i="1"/>
  <c r="F218" i="1" s="1"/>
  <c r="G218" i="1" s="1"/>
  <c r="A220" i="1"/>
  <c r="D219" i="1"/>
  <c r="B219" i="1"/>
  <c r="C219" i="1"/>
  <c r="C219" i="3"/>
  <c r="F219" i="3"/>
  <c r="A220" i="3"/>
  <c r="A221" i="3" l="1"/>
  <c r="F220" i="3"/>
  <c r="C220" i="3"/>
  <c r="E219" i="1"/>
  <c r="F219" i="1" s="1"/>
  <c r="G219" i="1" s="1"/>
  <c r="C220" i="1"/>
  <c r="B220" i="1"/>
  <c r="A221" i="1"/>
  <c r="D220" i="1"/>
  <c r="B218" i="3"/>
  <c r="G217" i="3"/>
  <c r="E217" i="3"/>
  <c r="D217" i="3" s="1"/>
  <c r="E220" i="1" l="1"/>
  <c r="F220" i="1" s="1"/>
  <c r="G220" i="1" s="1"/>
  <c r="C221" i="3"/>
  <c r="A222" i="3"/>
  <c r="F221" i="3"/>
  <c r="B219" i="3"/>
  <c r="E218" i="3"/>
  <c r="D218" i="3" s="1"/>
  <c r="G218" i="3"/>
  <c r="A222" i="1"/>
  <c r="D221" i="1"/>
  <c r="B221" i="1"/>
  <c r="C221" i="1"/>
  <c r="E221" i="1" l="1"/>
  <c r="F221" i="1" s="1"/>
  <c r="G221" i="1" s="1"/>
  <c r="C222" i="1"/>
  <c r="A223" i="1"/>
  <c r="D222" i="1"/>
  <c r="B222" i="1"/>
  <c r="B220" i="3"/>
  <c r="G219" i="3"/>
  <c r="E219" i="3"/>
  <c r="D219" i="3" s="1"/>
  <c r="A223" i="3"/>
  <c r="F222" i="3"/>
  <c r="C222" i="3"/>
  <c r="G220" i="3" l="1"/>
  <c r="E220" i="3"/>
  <c r="D220" i="3" s="1"/>
  <c r="B221" i="3"/>
  <c r="G222" i="1"/>
  <c r="E222" i="1"/>
  <c r="A224" i="1"/>
  <c r="D223" i="1"/>
  <c r="B223" i="1"/>
  <c r="C223" i="1"/>
  <c r="C223" i="3"/>
  <c r="F223" i="3"/>
  <c r="A224" i="3"/>
  <c r="F222" i="1"/>
  <c r="A225" i="3" l="1"/>
  <c r="F224" i="3"/>
  <c r="C224" i="3"/>
  <c r="E223" i="1"/>
  <c r="C224" i="1"/>
  <c r="B224" i="1"/>
  <c r="A225" i="1"/>
  <c r="D224" i="1"/>
  <c r="F223" i="1"/>
  <c r="G223" i="1" s="1"/>
  <c r="B222" i="3"/>
  <c r="G221" i="3"/>
  <c r="E221" i="3"/>
  <c r="D221" i="3" s="1"/>
  <c r="A226" i="1" l="1"/>
  <c r="D225" i="1"/>
  <c r="B225" i="1"/>
  <c r="C225" i="1"/>
  <c r="B223" i="3"/>
  <c r="E222" i="3"/>
  <c r="D222" i="3" s="1"/>
  <c r="G222" i="3"/>
  <c r="E224" i="1"/>
  <c r="F224" i="1" s="1"/>
  <c r="G224" i="1" s="1"/>
  <c r="C225" i="3"/>
  <c r="A226" i="3"/>
  <c r="F225" i="3"/>
  <c r="A227" i="3" l="1"/>
  <c r="F226" i="3"/>
  <c r="C226" i="3"/>
  <c r="F225" i="1"/>
  <c r="B224" i="3"/>
  <c r="G223" i="3"/>
  <c r="E223" i="3"/>
  <c r="D223" i="3" s="1"/>
  <c r="G225" i="1"/>
  <c r="E225" i="1"/>
  <c r="C226" i="1"/>
  <c r="A227" i="1"/>
  <c r="D226" i="1"/>
  <c r="B226" i="1"/>
  <c r="E226" i="1" l="1"/>
  <c r="F226" i="1" s="1"/>
  <c r="G226" i="1" s="1"/>
  <c r="A228" i="1"/>
  <c r="D227" i="1"/>
  <c r="B227" i="1"/>
  <c r="C227" i="1"/>
  <c r="G224" i="3"/>
  <c r="B225" i="3"/>
  <c r="E224" i="3"/>
  <c r="D224" i="3" s="1"/>
  <c r="C227" i="3"/>
  <c r="F227" i="3"/>
  <c r="A228" i="3"/>
  <c r="E227" i="1" l="1"/>
  <c r="G227" i="1"/>
  <c r="C228" i="1"/>
  <c r="B228" i="1"/>
  <c r="A229" i="1"/>
  <c r="D228" i="1"/>
  <c r="A229" i="3"/>
  <c r="F228" i="3"/>
  <c r="C228" i="3"/>
  <c r="B226" i="3"/>
  <c r="G225" i="3"/>
  <c r="E225" i="3"/>
  <c r="D225" i="3" s="1"/>
  <c r="F227" i="1"/>
  <c r="B227" i="3" l="1"/>
  <c r="E226" i="3"/>
  <c r="D226" i="3" s="1"/>
  <c r="G226" i="3"/>
  <c r="E228" i="1"/>
  <c r="F228" i="1" s="1"/>
  <c r="G228" i="1" s="1"/>
  <c r="C229" i="3"/>
  <c r="A230" i="3"/>
  <c r="F229" i="3"/>
  <c r="A230" i="1"/>
  <c r="D229" i="1"/>
  <c r="B229" i="1"/>
  <c r="C229" i="1"/>
  <c r="E229" i="1" l="1"/>
  <c r="C230" i="1"/>
  <c r="A231" i="1"/>
  <c r="D230" i="1"/>
  <c r="B230" i="1"/>
  <c r="A231" i="3"/>
  <c r="F230" i="3"/>
  <c r="C230" i="3"/>
  <c r="F229" i="1"/>
  <c r="G229" i="1" s="1"/>
  <c r="B228" i="3"/>
  <c r="G227" i="3"/>
  <c r="E227" i="3"/>
  <c r="D227" i="3" s="1"/>
  <c r="E230" i="1" l="1"/>
  <c r="F230" i="1" s="1"/>
  <c r="G230" i="1" s="1"/>
  <c r="A232" i="1"/>
  <c r="D231" i="1"/>
  <c r="B231" i="1"/>
  <c r="C231" i="1"/>
  <c r="G228" i="3"/>
  <c r="E228" i="3"/>
  <c r="D228" i="3" s="1"/>
  <c r="B229" i="3"/>
  <c r="C231" i="3"/>
  <c r="F231" i="3"/>
  <c r="A232" i="3"/>
  <c r="A233" i="3" l="1"/>
  <c r="F232" i="3"/>
  <c r="C232" i="3"/>
  <c r="B230" i="3"/>
  <c r="G229" i="3"/>
  <c r="E229" i="3"/>
  <c r="D229" i="3" s="1"/>
  <c r="E231" i="1"/>
  <c r="F231" i="1" s="1"/>
  <c r="G231" i="1" s="1"/>
  <c r="C232" i="1"/>
  <c r="B232" i="1"/>
  <c r="A233" i="1"/>
  <c r="D232" i="1"/>
  <c r="A234" i="1" l="1"/>
  <c r="D233" i="1"/>
  <c r="B233" i="1"/>
  <c r="C233" i="1"/>
  <c r="E232" i="1"/>
  <c r="F232" i="1" s="1"/>
  <c r="G232" i="1" s="1"/>
  <c r="B231" i="3"/>
  <c r="E230" i="3"/>
  <c r="D230" i="3" s="1"/>
  <c r="G230" i="3"/>
  <c r="C233" i="3"/>
  <c r="A234" i="3"/>
  <c r="F233" i="3"/>
  <c r="A235" i="3" l="1"/>
  <c r="F234" i="3"/>
  <c r="C234" i="3"/>
  <c r="B232" i="3"/>
  <c r="G231" i="3"/>
  <c r="E231" i="3"/>
  <c r="D231" i="3" s="1"/>
  <c r="E233" i="1"/>
  <c r="F233" i="1" s="1"/>
  <c r="G233" i="1" s="1"/>
  <c r="C234" i="1"/>
  <c r="A235" i="1"/>
  <c r="D234" i="1"/>
  <c r="B234" i="1"/>
  <c r="G232" i="3" l="1"/>
  <c r="B233" i="3"/>
  <c r="E232" i="3"/>
  <c r="D232" i="3" s="1"/>
  <c r="E234" i="1"/>
  <c r="F234" i="1" s="1"/>
  <c r="G234" i="1" s="1"/>
  <c r="A236" i="1"/>
  <c r="D235" i="1"/>
  <c r="B235" i="1"/>
  <c r="C235" i="1"/>
  <c r="C235" i="3"/>
  <c r="F235" i="3"/>
  <c r="A236" i="3"/>
  <c r="A237" i="3" l="1"/>
  <c r="F236" i="3"/>
  <c r="C236" i="3"/>
  <c r="E235" i="1"/>
  <c r="F235" i="1" s="1"/>
  <c r="G235" i="1" s="1"/>
  <c r="C236" i="1"/>
  <c r="B236" i="1"/>
  <c r="A237" i="1"/>
  <c r="D236" i="1"/>
  <c r="B234" i="3"/>
  <c r="G233" i="3"/>
  <c r="E233" i="3"/>
  <c r="D233" i="3" s="1"/>
  <c r="E236" i="1" l="1"/>
  <c r="F236" i="1" s="1"/>
  <c r="G236" i="1" s="1"/>
  <c r="C237" i="3"/>
  <c r="A238" i="3"/>
  <c r="F237" i="3"/>
  <c r="B235" i="3"/>
  <c r="E234" i="3"/>
  <c r="D234" i="3" s="1"/>
  <c r="G234" i="3"/>
  <c r="A238" i="1"/>
  <c r="D237" i="1"/>
  <c r="B237" i="1"/>
  <c r="C237" i="1"/>
  <c r="E237" i="1" l="1"/>
  <c r="F237" i="1" s="1"/>
  <c r="G237" i="1" s="1"/>
  <c r="C238" i="1"/>
  <c r="A239" i="1"/>
  <c r="D238" i="1"/>
  <c r="B238" i="1"/>
  <c r="B236" i="3"/>
  <c r="G235" i="3"/>
  <c r="E235" i="3"/>
  <c r="D235" i="3" s="1"/>
  <c r="A239" i="3"/>
  <c r="F238" i="3"/>
  <c r="C238" i="3"/>
  <c r="G236" i="3" l="1"/>
  <c r="E236" i="3"/>
  <c r="D236" i="3" s="1"/>
  <c r="B237" i="3"/>
  <c r="G238" i="1"/>
  <c r="E238" i="1"/>
  <c r="A240" i="1"/>
  <c r="D239" i="1"/>
  <c r="B239" i="1"/>
  <c r="C239" i="1"/>
  <c r="C239" i="3"/>
  <c r="F239" i="3"/>
  <c r="A240" i="3"/>
  <c r="F238" i="1"/>
  <c r="A241" i="3" l="1"/>
  <c r="F240" i="3"/>
  <c r="C240" i="3"/>
  <c r="E239" i="1"/>
  <c r="C240" i="1"/>
  <c r="B240" i="1"/>
  <c r="A241" i="1"/>
  <c r="D240" i="1"/>
  <c r="F239" i="1"/>
  <c r="G239" i="1" s="1"/>
  <c r="B238" i="3"/>
  <c r="G237" i="3"/>
  <c r="E237" i="3"/>
  <c r="D237" i="3" s="1"/>
  <c r="A242" i="1" l="1"/>
  <c r="D241" i="1"/>
  <c r="B241" i="1"/>
  <c r="C241" i="1"/>
  <c r="B239" i="3"/>
  <c r="E238" i="3"/>
  <c r="D238" i="3" s="1"/>
  <c r="G238" i="3"/>
  <c r="E240" i="1"/>
  <c r="F240" i="1" s="1"/>
  <c r="G240" i="1" s="1"/>
  <c r="C241" i="3"/>
  <c r="A242" i="3"/>
  <c r="F241" i="3"/>
  <c r="A243" i="3" l="1"/>
  <c r="F242" i="3"/>
  <c r="C242" i="3"/>
  <c r="F241" i="1"/>
  <c r="B240" i="3"/>
  <c r="G239" i="3"/>
  <c r="E239" i="3"/>
  <c r="D239" i="3" s="1"/>
  <c r="G241" i="1"/>
  <c r="E241" i="1"/>
  <c r="C242" i="1"/>
  <c r="A243" i="1"/>
  <c r="D242" i="1"/>
  <c r="B242" i="1"/>
  <c r="E242" i="1" l="1"/>
  <c r="F242" i="1" s="1"/>
  <c r="G242" i="1" s="1"/>
  <c r="A244" i="1"/>
  <c r="D243" i="1"/>
  <c r="B243" i="1"/>
  <c r="C243" i="1"/>
  <c r="G240" i="3"/>
  <c r="B241" i="3"/>
  <c r="E240" i="3"/>
  <c r="D240" i="3" s="1"/>
  <c r="C243" i="3"/>
  <c r="F243" i="3"/>
  <c r="A244" i="3"/>
  <c r="E243" i="1" l="1"/>
  <c r="G243" i="1"/>
  <c r="C244" i="1"/>
  <c r="B244" i="1"/>
  <c r="A245" i="1"/>
  <c r="D244" i="1"/>
  <c r="A245" i="3"/>
  <c r="F244" i="3"/>
  <c r="C244" i="3"/>
  <c r="B242" i="3"/>
  <c r="G241" i="3"/>
  <c r="E241" i="3"/>
  <c r="D241" i="3" s="1"/>
  <c r="F243" i="1"/>
  <c r="B243" i="3" l="1"/>
  <c r="E242" i="3"/>
  <c r="D242" i="3" s="1"/>
  <c r="G242" i="3"/>
  <c r="E244" i="1"/>
  <c r="F244" i="1" s="1"/>
  <c r="G244" i="1" s="1"/>
  <c r="C245" i="3"/>
  <c r="A246" i="3"/>
  <c r="F245" i="3"/>
  <c r="A246" i="1"/>
  <c r="D245" i="1"/>
  <c r="B245" i="1"/>
  <c r="C245" i="1"/>
  <c r="E245" i="1" l="1"/>
  <c r="C246" i="1"/>
  <c r="A247" i="1"/>
  <c r="D246" i="1"/>
  <c r="B246" i="1"/>
  <c r="A247" i="3"/>
  <c r="F246" i="3"/>
  <c r="C246" i="3"/>
  <c r="F245" i="1"/>
  <c r="G245" i="1" s="1"/>
  <c r="B244" i="3"/>
  <c r="G243" i="3"/>
  <c r="E243" i="3"/>
  <c r="D243" i="3" s="1"/>
  <c r="E246" i="1" l="1"/>
  <c r="F246" i="1" s="1"/>
  <c r="G246" i="1" s="1"/>
  <c r="A248" i="1"/>
  <c r="D247" i="1"/>
  <c r="B247" i="1"/>
  <c r="C247" i="1"/>
  <c r="G244" i="3"/>
  <c r="E244" i="3"/>
  <c r="D244" i="3" s="1"/>
  <c r="B245" i="3"/>
  <c r="C247" i="3"/>
  <c r="F247" i="3"/>
  <c r="A248" i="3"/>
  <c r="A249" i="3" l="1"/>
  <c r="F248" i="3"/>
  <c r="C248" i="3"/>
  <c r="B246" i="3"/>
  <c r="G245" i="3"/>
  <c r="E245" i="3"/>
  <c r="D245" i="3" s="1"/>
  <c r="E247" i="1"/>
  <c r="F247" i="1" s="1"/>
  <c r="G247" i="1" s="1"/>
  <c r="C248" i="1"/>
  <c r="B248" i="1"/>
  <c r="A249" i="1"/>
  <c r="D248" i="1"/>
  <c r="A250" i="1" l="1"/>
  <c r="D249" i="1"/>
  <c r="B249" i="1"/>
  <c r="C249" i="1"/>
  <c r="E248" i="1"/>
  <c r="F248" i="1" s="1"/>
  <c r="G248" i="1" s="1"/>
  <c r="B247" i="3"/>
  <c r="E246" i="3"/>
  <c r="D246" i="3" s="1"/>
  <c r="G246" i="3"/>
  <c r="C249" i="3"/>
  <c r="A250" i="3"/>
  <c r="F249" i="3"/>
  <c r="A251" i="3" l="1"/>
  <c r="F250" i="3"/>
  <c r="C250" i="3"/>
  <c r="B248" i="3"/>
  <c r="G247" i="3"/>
  <c r="E247" i="3"/>
  <c r="D247" i="3" s="1"/>
  <c r="E249" i="1"/>
  <c r="F249" i="1" s="1"/>
  <c r="G249" i="1" s="1"/>
  <c r="C250" i="1"/>
  <c r="A251" i="1"/>
  <c r="D250" i="1"/>
  <c r="B250" i="1"/>
  <c r="G248" i="3" l="1"/>
  <c r="B249" i="3"/>
  <c r="E248" i="3"/>
  <c r="D248" i="3" s="1"/>
  <c r="E250" i="1"/>
  <c r="F250" i="1" s="1"/>
  <c r="G250" i="1" s="1"/>
  <c r="A252" i="1"/>
  <c r="D251" i="1"/>
  <c r="B251" i="1"/>
  <c r="C251" i="1"/>
  <c r="C251" i="3"/>
  <c r="F251" i="3"/>
  <c r="A252" i="3"/>
  <c r="A253" i="3" l="1"/>
  <c r="F252" i="3"/>
  <c r="C252" i="3"/>
  <c r="E251" i="1"/>
  <c r="F251" i="1" s="1"/>
  <c r="G251" i="1" s="1"/>
  <c r="C252" i="1"/>
  <c r="B252" i="1"/>
  <c r="A253" i="1"/>
  <c r="D252" i="1"/>
  <c r="B250" i="3"/>
  <c r="G249" i="3"/>
  <c r="E249" i="3"/>
  <c r="D249" i="3" s="1"/>
  <c r="E252" i="1" l="1"/>
  <c r="F252" i="1" s="1"/>
  <c r="G252" i="1" s="1"/>
  <c r="C253" i="3"/>
  <c r="A254" i="3"/>
  <c r="F253" i="3"/>
  <c r="B251" i="3"/>
  <c r="E250" i="3"/>
  <c r="D250" i="3" s="1"/>
  <c r="G250" i="3"/>
  <c r="A254" i="1"/>
  <c r="D253" i="1"/>
  <c r="B253" i="1"/>
  <c r="C253" i="1"/>
  <c r="E253" i="1" l="1"/>
  <c r="F253" i="1" s="1"/>
  <c r="G253" i="1" s="1"/>
  <c r="C254" i="1"/>
  <c r="A255" i="1"/>
  <c r="D254" i="1"/>
  <c r="B254" i="1"/>
  <c r="B252" i="3"/>
  <c r="G251" i="3"/>
  <c r="E251" i="3"/>
  <c r="D251" i="3" s="1"/>
  <c r="A255" i="3"/>
  <c r="F254" i="3"/>
  <c r="C254" i="3"/>
  <c r="G252" i="3" l="1"/>
  <c r="E252" i="3"/>
  <c r="D252" i="3" s="1"/>
  <c r="B253" i="3"/>
  <c r="G254" i="1"/>
  <c r="E254" i="1"/>
  <c r="A256" i="1"/>
  <c r="D255" i="1"/>
  <c r="B255" i="1"/>
  <c r="C255" i="1"/>
  <c r="C255" i="3"/>
  <c r="F255" i="3"/>
  <c r="A256" i="3"/>
  <c r="F254" i="1"/>
  <c r="A257" i="3" l="1"/>
  <c r="F256" i="3"/>
  <c r="C256" i="3"/>
  <c r="E255" i="1"/>
  <c r="C256" i="1"/>
  <c r="B256" i="1"/>
  <c r="A257" i="1"/>
  <c r="D256" i="1"/>
  <c r="F255" i="1"/>
  <c r="G255" i="1" s="1"/>
  <c r="B254" i="3"/>
  <c r="G253" i="3"/>
  <c r="E253" i="3"/>
  <c r="D253" i="3" s="1"/>
  <c r="A258" i="1" l="1"/>
  <c r="D257" i="1"/>
  <c r="B257" i="1"/>
  <c r="C257" i="1"/>
  <c r="B255" i="3"/>
  <c r="E254" i="3"/>
  <c r="D254" i="3" s="1"/>
  <c r="G254" i="3"/>
  <c r="E256" i="1"/>
  <c r="F256" i="1" s="1"/>
  <c r="G256" i="1" s="1"/>
  <c r="C257" i="3"/>
  <c r="A258" i="3"/>
  <c r="F257" i="3"/>
  <c r="A259" i="3" l="1"/>
  <c r="F258" i="3"/>
  <c r="C258" i="3"/>
  <c r="F257" i="1"/>
  <c r="B256" i="3"/>
  <c r="G255" i="3"/>
  <c r="E255" i="3"/>
  <c r="D255" i="3" s="1"/>
  <c r="G257" i="1"/>
  <c r="E257" i="1"/>
  <c r="C258" i="1"/>
  <c r="A259" i="1"/>
  <c r="D258" i="1"/>
  <c r="B258" i="1"/>
  <c r="E258" i="1" l="1"/>
  <c r="F258" i="1" s="1"/>
  <c r="G258" i="1" s="1"/>
  <c r="A260" i="1"/>
  <c r="D259" i="1"/>
  <c r="B259" i="1"/>
  <c r="C259" i="1"/>
  <c r="G256" i="3"/>
  <c r="B257" i="3"/>
  <c r="E256" i="3"/>
  <c r="D256" i="3" s="1"/>
  <c r="C259" i="3"/>
  <c r="F259" i="3"/>
  <c r="A260" i="3"/>
  <c r="E259" i="1" l="1"/>
  <c r="G259" i="1"/>
  <c r="C260" i="1"/>
  <c r="B260" i="1"/>
  <c r="A261" i="1"/>
  <c r="D260" i="1"/>
  <c r="A261" i="3"/>
  <c r="F260" i="3"/>
  <c r="C260" i="3"/>
  <c r="B258" i="3"/>
  <c r="G257" i="3"/>
  <c r="E257" i="3"/>
  <c r="D257" i="3" s="1"/>
  <c r="F259" i="1"/>
  <c r="B259" i="3" l="1"/>
  <c r="E258" i="3"/>
  <c r="D258" i="3" s="1"/>
  <c r="G258" i="3"/>
  <c r="E260" i="1"/>
  <c r="F260" i="1" s="1"/>
  <c r="G260" i="1" s="1"/>
  <c r="C261" i="3"/>
  <c r="A262" i="3"/>
  <c r="F261" i="3"/>
  <c r="A262" i="1"/>
  <c r="D261" i="1"/>
  <c r="B261" i="1"/>
  <c r="C261" i="1"/>
  <c r="E261" i="1" l="1"/>
  <c r="C262" i="1"/>
  <c r="A263" i="1"/>
  <c r="D262" i="1"/>
  <c r="B262" i="1"/>
  <c r="A263" i="3"/>
  <c r="F262" i="3"/>
  <c r="C262" i="3"/>
  <c r="F261" i="1"/>
  <c r="G261" i="1" s="1"/>
  <c r="B260" i="3"/>
  <c r="G259" i="3"/>
  <c r="E259" i="3"/>
  <c r="D259" i="3" s="1"/>
  <c r="E262" i="1" l="1"/>
  <c r="F262" i="1" s="1"/>
  <c r="G262" i="1" s="1"/>
  <c r="A264" i="1"/>
  <c r="D263" i="1"/>
  <c r="B263" i="1"/>
  <c r="C263" i="1"/>
  <c r="G260" i="3"/>
  <c r="E260" i="3"/>
  <c r="D260" i="3" s="1"/>
  <c r="B261" i="3"/>
  <c r="C263" i="3"/>
  <c r="F263" i="3"/>
  <c r="A264" i="3"/>
  <c r="A265" i="3" l="1"/>
  <c r="F264" i="3"/>
  <c r="C264" i="3"/>
  <c r="B262" i="3"/>
  <c r="G261" i="3"/>
  <c r="E261" i="3"/>
  <c r="D261" i="3" s="1"/>
  <c r="E263" i="1"/>
  <c r="F263" i="1" s="1"/>
  <c r="G263" i="1" s="1"/>
  <c r="C264" i="1"/>
  <c r="B264" i="1"/>
  <c r="A265" i="1"/>
  <c r="D264" i="1"/>
  <c r="A266" i="1" l="1"/>
  <c r="D265" i="1"/>
  <c r="B265" i="1"/>
  <c r="C265" i="1"/>
  <c r="E264" i="1"/>
  <c r="F264" i="1" s="1"/>
  <c r="G264" i="1" s="1"/>
  <c r="B263" i="3"/>
  <c r="E262" i="3"/>
  <c r="D262" i="3" s="1"/>
  <c r="G262" i="3"/>
  <c r="C265" i="3"/>
  <c r="A266" i="3"/>
  <c r="F265" i="3"/>
  <c r="C266" i="3" l="1"/>
  <c r="F266" i="3"/>
  <c r="A267" i="3"/>
  <c r="B264" i="3"/>
  <c r="G263" i="3"/>
  <c r="E263" i="3"/>
  <c r="D263" i="3" s="1"/>
  <c r="E265" i="1"/>
  <c r="F265" i="1" s="1"/>
  <c r="G265" i="1" s="1"/>
  <c r="C266" i="1"/>
  <c r="A267" i="1"/>
  <c r="D266" i="1"/>
  <c r="B266" i="1"/>
  <c r="G264" i="3" l="1"/>
  <c r="B265" i="3"/>
  <c r="E264" i="3"/>
  <c r="D264" i="3" s="1"/>
  <c r="E266" i="1"/>
  <c r="F266" i="1" s="1"/>
  <c r="G266" i="1" s="1"/>
  <c r="A268" i="1"/>
  <c r="D267" i="1"/>
  <c r="B267" i="1"/>
  <c r="C267" i="1"/>
  <c r="A268" i="3"/>
  <c r="F267" i="3"/>
  <c r="C267" i="3"/>
  <c r="C268" i="3" l="1"/>
  <c r="A269" i="3"/>
  <c r="F268" i="3"/>
  <c r="E267" i="1"/>
  <c r="F267" i="1" s="1"/>
  <c r="G267" i="1" s="1"/>
  <c r="C268" i="1"/>
  <c r="B268" i="1"/>
  <c r="A269" i="1"/>
  <c r="D268" i="1"/>
  <c r="B266" i="3"/>
  <c r="G265" i="3"/>
  <c r="E265" i="3"/>
  <c r="D265" i="3" s="1"/>
  <c r="E268" i="1" l="1"/>
  <c r="F268" i="1" s="1"/>
  <c r="G268" i="1" s="1"/>
  <c r="B267" i="3"/>
  <c r="G266" i="3"/>
  <c r="E266" i="3"/>
  <c r="D266" i="3" s="1"/>
  <c r="A270" i="1"/>
  <c r="D269" i="1"/>
  <c r="B269" i="1"/>
  <c r="C269" i="1"/>
  <c r="A270" i="3"/>
  <c r="F269" i="3"/>
  <c r="C269" i="3"/>
  <c r="G267" i="3" l="1"/>
  <c r="B268" i="3"/>
  <c r="E267" i="3"/>
  <c r="D267" i="3" s="1"/>
  <c r="C270" i="3"/>
  <c r="F270" i="3"/>
  <c r="A271" i="3"/>
  <c r="E269" i="1"/>
  <c r="F269" i="1" s="1"/>
  <c r="G269" i="1" s="1"/>
  <c r="C270" i="1"/>
  <c r="A271" i="1"/>
  <c r="D270" i="1"/>
  <c r="B270" i="1"/>
  <c r="E270" i="1" l="1"/>
  <c r="F270" i="1" s="1"/>
  <c r="G270" i="1" s="1"/>
  <c r="A272" i="1"/>
  <c r="D271" i="1"/>
  <c r="B271" i="1"/>
  <c r="C271" i="1"/>
  <c r="A272" i="3"/>
  <c r="F271" i="3"/>
  <c r="C271" i="3"/>
  <c r="B269" i="3"/>
  <c r="G268" i="3"/>
  <c r="E268" i="3"/>
  <c r="D268" i="3" s="1"/>
  <c r="C272" i="3" l="1"/>
  <c r="A273" i="3"/>
  <c r="F272" i="3"/>
  <c r="E271" i="1"/>
  <c r="F271" i="1" s="1"/>
  <c r="G271" i="1" s="1"/>
  <c r="C272" i="1"/>
  <c r="B272" i="1"/>
  <c r="A273" i="1"/>
  <c r="D272" i="1"/>
  <c r="B270" i="3"/>
  <c r="E269" i="3"/>
  <c r="D269" i="3" s="1"/>
  <c r="G269" i="3"/>
  <c r="B271" i="3" l="1"/>
  <c r="G270" i="3"/>
  <c r="E270" i="3"/>
  <c r="D270" i="3" s="1"/>
  <c r="A274" i="1"/>
  <c r="D273" i="1"/>
  <c r="B273" i="1"/>
  <c r="C273" i="1"/>
  <c r="A274" i="3"/>
  <c r="F273" i="3"/>
  <c r="C273" i="3"/>
  <c r="E272" i="1"/>
  <c r="F272" i="1" s="1"/>
  <c r="G272" i="1" s="1"/>
  <c r="C274" i="3" l="1"/>
  <c r="F274" i="3"/>
  <c r="A275" i="3"/>
  <c r="E273" i="1"/>
  <c r="C274" i="1"/>
  <c r="A275" i="1"/>
  <c r="D274" i="1"/>
  <c r="B274" i="1"/>
  <c r="F273" i="1"/>
  <c r="G273" i="1" s="1"/>
  <c r="G271" i="3"/>
  <c r="E271" i="3"/>
  <c r="D271" i="3" s="1"/>
  <c r="B272" i="3"/>
  <c r="B273" i="3" l="1"/>
  <c r="G272" i="3"/>
  <c r="E272" i="3"/>
  <c r="D272" i="3" s="1"/>
  <c r="E274" i="1"/>
  <c r="F274" i="1" s="1"/>
  <c r="G274" i="1" s="1"/>
  <c r="A276" i="1"/>
  <c r="D275" i="1"/>
  <c r="B275" i="1"/>
  <c r="C275" i="1"/>
  <c r="A276" i="3"/>
  <c r="F275" i="3"/>
  <c r="C275" i="3"/>
  <c r="B274" i="3" l="1"/>
  <c r="E273" i="3"/>
  <c r="D273" i="3" s="1"/>
  <c r="G273" i="3"/>
  <c r="C276" i="3"/>
  <c r="A277" i="3"/>
  <c r="F276" i="3"/>
  <c r="E275" i="1"/>
  <c r="F275" i="1" s="1"/>
  <c r="G275" i="1" s="1"/>
  <c r="C276" i="1"/>
  <c r="B276" i="1"/>
  <c r="A277" i="1"/>
  <c r="D276" i="1"/>
  <c r="A278" i="1" l="1"/>
  <c r="D277" i="1"/>
  <c r="B277" i="1"/>
  <c r="C277" i="1"/>
  <c r="A278" i="3"/>
  <c r="F277" i="3"/>
  <c r="C277" i="3"/>
  <c r="B275" i="3"/>
  <c r="G274" i="3"/>
  <c r="E274" i="3"/>
  <c r="D274" i="3" s="1"/>
  <c r="E276" i="1"/>
  <c r="F276" i="1" s="1"/>
  <c r="G276" i="1" s="1"/>
  <c r="G275" i="3" l="1"/>
  <c r="B276" i="3"/>
  <c r="E275" i="3"/>
  <c r="D275" i="3" s="1"/>
  <c r="F277" i="1"/>
  <c r="C278" i="3"/>
  <c r="F278" i="3"/>
  <c r="A279" i="3"/>
  <c r="G277" i="1"/>
  <c r="E277" i="1"/>
  <c r="C278" i="1"/>
  <c r="A279" i="1"/>
  <c r="D278" i="1"/>
  <c r="B278" i="1"/>
  <c r="B277" i="3" l="1"/>
  <c r="G276" i="3"/>
  <c r="E276" i="3"/>
  <c r="D276" i="3" s="1"/>
  <c r="E278" i="1"/>
  <c r="F278" i="1" s="1"/>
  <c r="G278" i="1" s="1"/>
  <c r="A280" i="1"/>
  <c r="D279" i="1"/>
  <c r="B279" i="1"/>
  <c r="C279" i="1"/>
  <c r="A280" i="3"/>
  <c r="F279" i="3"/>
  <c r="C279" i="3"/>
  <c r="B278" i="3" l="1"/>
  <c r="E277" i="3"/>
  <c r="D277" i="3" s="1"/>
  <c r="G277" i="3"/>
  <c r="C280" i="3"/>
  <c r="A281" i="3"/>
  <c r="F280" i="3"/>
  <c r="E279" i="1"/>
  <c r="F279" i="1" s="1"/>
  <c r="G279" i="1" s="1"/>
  <c r="C280" i="1"/>
  <c r="B280" i="1"/>
  <c r="A281" i="1"/>
  <c r="D280" i="1"/>
  <c r="A282" i="1" l="1"/>
  <c r="D281" i="1"/>
  <c r="B281" i="1"/>
  <c r="C281" i="1"/>
  <c r="A282" i="3"/>
  <c r="F281" i="3"/>
  <c r="C281" i="3"/>
  <c r="B279" i="3"/>
  <c r="G278" i="3"/>
  <c r="E278" i="3"/>
  <c r="D278" i="3" s="1"/>
  <c r="E280" i="1"/>
  <c r="F280" i="1" s="1"/>
  <c r="G280" i="1" s="1"/>
  <c r="G279" i="3" l="1"/>
  <c r="E279" i="3"/>
  <c r="D279" i="3" s="1"/>
  <c r="B280" i="3"/>
  <c r="F281" i="1"/>
  <c r="C282" i="3"/>
  <c r="F282" i="3"/>
  <c r="A283" i="3"/>
  <c r="G281" i="1"/>
  <c r="E281" i="1"/>
  <c r="C282" i="1"/>
  <c r="A283" i="1"/>
  <c r="D282" i="1"/>
  <c r="B282" i="1"/>
  <c r="E282" i="1" l="1"/>
  <c r="F282" i="1" s="1"/>
  <c r="G282" i="1" s="1"/>
  <c r="A284" i="1"/>
  <c r="D283" i="1"/>
  <c r="B283" i="1"/>
  <c r="C283" i="1"/>
  <c r="A284" i="3"/>
  <c r="F283" i="3"/>
  <c r="C283" i="3"/>
  <c r="B281" i="3"/>
  <c r="G280" i="3"/>
  <c r="E280" i="3"/>
  <c r="D280" i="3" s="1"/>
  <c r="C284" i="3" l="1"/>
  <c r="A285" i="3"/>
  <c r="F284" i="3"/>
  <c r="E283" i="1"/>
  <c r="F283" i="1" s="1"/>
  <c r="G283" i="1" s="1"/>
  <c r="C284" i="1"/>
  <c r="B284" i="1"/>
  <c r="A285" i="1"/>
  <c r="D284" i="1"/>
  <c r="B282" i="3"/>
  <c r="E281" i="3"/>
  <c r="D281" i="3" s="1"/>
  <c r="G281" i="3"/>
  <c r="B283" i="3" l="1"/>
  <c r="G282" i="3"/>
  <c r="E282" i="3"/>
  <c r="D282" i="3" s="1"/>
  <c r="A286" i="1"/>
  <c r="D285" i="1"/>
  <c r="B285" i="1"/>
  <c r="C285" i="1"/>
  <c r="A286" i="3"/>
  <c r="F285" i="3"/>
  <c r="C285" i="3"/>
  <c r="E284" i="1"/>
  <c r="F284" i="1" s="1"/>
  <c r="G284" i="1" s="1"/>
  <c r="C286" i="3" l="1"/>
  <c r="F286" i="3"/>
  <c r="A287" i="3"/>
  <c r="E285" i="1"/>
  <c r="C286" i="1"/>
  <c r="A287" i="1"/>
  <c r="D286" i="1"/>
  <c r="B286" i="1"/>
  <c r="F285" i="1"/>
  <c r="G285" i="1" s="1"/>
  <c r="G283" i="3"/>
  <c r="B284" i="3"/>
  <c r="E283" i="3"/>
  <c r="D283" i="3" s="1"/>
  <c r="B285" i="3" l="1"/>
  <c r="G284" i="3"/>
  <c r="E284" i="3"/>
  <c r="D284" i="3" s="1"/>
  <c r="E286" i="1"/>
  <c r="F286" i="1" s="1"/>
  <c r="G286" i="1" s="1"/>
  <c r="A288" i="1"/>
  <c r="D287" i="1"/>
  <c r="B287" i="1"/>
  <c r="C287" i="1"/>
  <c r="A288" i="3"/>
  <c r="F287" i="3"/>
  <c r="C287" i="3"/>
  <c r="C288" i="3" l="1"/>
  <c r="A289" i="3"/>
  <c r="F288" i="3"/>
  <c r="E287" i="1"/>
  <c r="F287" i="1" s="1"/>
  <c r="G287" i="1" s="1"/>
  <c r="C288" i="1"/>
  <c r="B288" i="1"/>
  <c r="A289" i="1"/>
  <c r="D288" i="1"/>
  <c r="B286" i="3"/>
  <c r="E285" i="3"/>
  <c r="D285" i="3" s="1"/>
  <c r="G285" i="3"/>
  <c r="E288" i="1" l="1"/>
  <c r="F288" i="1" s="1"/>
  <c r="G288" i="1" s="1"/>
  <c r="B287" i="3"/>
  <c r="G286" i="3"/>
  <c r="E286" i="3"/>
  <c r="D286" i="3" s="1"/>
  <c r="A290" i="1"/>
  <c r="D289" i="1"/>
  <c r="B289" i="1"/>
  <c r="C289" i="1"/>
  <c r="A290" i="3"/>
  <c r="F289" i="3"/>
  <c r="C289" i="3"/>
  <c r="G287" i="3" l="1"/>
  <c r="E287" i="3"/>
  <c r="D287" i="3" s="1"/>
  <c r="B288" i="3"/>
  <c r="C290" i="3"/>
  <c r="F290" i="3"/>
  <c r="A291" i="3"/>
  <c r="E289" i="1"/>
  <c r="F289" i="1" s="1"/>
  <c r="G289" i="1" s="1"/>
  <c r="C290" i="1"/>
  <c r="A291" i="1"/>
  <c r="D290" i="1"/>
  <c r="B290" i="1"/>
  <c r="B289" i="3" l="1"/>
  <c r="G288" i="3"/>
  <c r="E288" i="3"/>
  <c r="D288" i="3" s="1"/>
  <c r="E290" i="1"/>
  <c r="F290" i="1" s="1"/>
  <c r="G290" i="1" s="1"/>
  <c r="A292" i="1"/>
  <c r="D291" i="1"/>
  <c r="B291" i="1"/>
  <c r="C291" i="1"/>
  <c r="A292" i="3"/>
  <c r="F291" i="3"/>
  <c r="C291" i="3"/>
  <c r="B290" i="3" l="1"/>
  <c r="E289" i="3"/>
  <c r="D289" i="3" s="1"/>
  <c r="G289" i="3"/>
  <c r="C292" i="3"/>
  <c r="A293" i="3"/>
  <c r="F292" i="3"/>
  <c r="E291" i="1"/>
  <c r="F291" i="1" s="1"/>
  <c r="G291" i="1" s="1"/>
  <c r="C292" i="1"/>
  <c r="B292" i="1"/>
  <c r="A293" i="1"/>
  <c r="D292" i="1"/>
  <c r="A294" i="1" l="1"/>
  <c r="D293" i="1"/>
  <c r="B293" i="1"/>
  <c r="C293" i="1"/>
  <c r="A294" i="3"/>
  <c r="F293" i="3"/>
  <c r="C293" i="3"/>
  <c r="B291" i="3"/>
  <c r="G290" i="3"/>
  <c r="E290" i="3"/>
  <c r="D290" i="3" s="1"/>
  <c r="E292" i="1"/>
  <c r="F292" i="1" s="1"/>
  <c r="G292" i="1" s="1"/>
  <c r="G291" i="3" l="1"/>
  <c r="B292" i="3"/>
  <c r="E291" i="3"/>
  <c r="D291" i="3" s="1"/>
  <c r="F293" i="1"/>
  <c r="C294" i="3"/>
  <c r="F294" i="3"/>
  <c r="A295" i="3"/>
  <c r="G293" i="1"/>
  <c r="E293" i="1"/>
  <c r="C294" i="1"/>
  <c r="A295" i="1"/>
  <c r="D294" i="1"/>
  <c r="B294" i="1"/>
  <c r="B293" i="3" l="1"/>
  <c r="G292" i="3"/>
  <c r="E292" i="3"/>
  <c r="D292" i="3" s="1"/>
  <c r="E294" i="1"/>
  <c r="F294" i="1" s="1"/>
  <c r="G294" i="1" s="1"/>
  <c r="A296" i="1"/>
  <c r="D295" i="1"/>
  <c r="B295" i="1"/>
  <c r="C295" i="1"/>
  <c r="A296" i="3"/>
  <c r="F295" i="3"/>
  <c r="C295" i="3"/>
  <c r="B294" i="3" l="1"/>
  <c r="E293" i="3"/>
  <c r="D293" i="3" s="1"/>
  <c r="G293" i="3"/>
  <c r="C296" i="3"/>
  <c r="A297" i="3"/>
  <c r="F296" i="3"/>
  <c r="E295" i="1"/>
  <c r="F295" i="1" s="1"/>
  <c r="G295" i="1" s="1"/>
  <c r="C296" i="1"/>
  <c r="B296" i="1"/>
  <c r="A297" i="1"/>
  <c r="D296" i="1"/>
  <c r="A298" i="1" l="1"/>
  <c r="D297" i="1"/>
  <c r="B297" i="1"/>
  <c r="C297" i="1"/>
  <c r="A298" i="3"/>
  <c r="F297" i="3"/>
  <c r="C297" i="3"/>
  <c r="B295" i="3"/>
  <c r="G294" i="3"/>
  <c r="E294" i="3"/>
  <c r="D294" i="3" s="1"/>
  <c r="E296" i="1"/>
  <c r="F296" i="1" s="1"/>
  <c r="G296" i="1" s="1"/>
  <c r="G295" i="3" l="1"/>
  <c r="E295" i="3"/>
  <c r="D295" i="3" s="1"/>
  <c r="B296" i="3"/>
  <c r="F297" i="1"/>
  <c r="C298" i="3"/>
  <c r="F298" i="3"/>
  <c r="A299" i="3"/>
  <c r="G297" i="1"/>
  <c r="E297" i="1"/>
  <c r="C298" i="1"/>
  <c r="A299" i="1"/>
  <c r="D298" i="1"/>
  <c r="B298" i="1"/>
  <c r="E298" i="1" l="1"/>
  <c r="F298" i="1" s="1"/>
  <c r="G298" i="1" s="1"/>
  <c r="A300" i="1"/>
  <c r="D299" i="1"/>
  <c r="B299" i="1"/>
  <c r="C299" i="1"/>
  <c r="A300" i="3"/>
  <c r="F299" i="3"/>
  <c r="C299" i="3"/>
  <c r="B297" i="3"/>
  <c r="G296" i="3"/>
  <c r="E296" i="3"/>
  <c r="D296" i="3" s="1"/>
  <c r="C300" i="3" l="1"/>
  <c r="A301" i="3"/>
  <c r="F300" i="3"/>
  <c r="E299" i="1"/>
  <c r="F299" i="1" s="1"/>
  <c r="G299" i="1" s="1"/>
  <c r="C300" i="1"/>
  <c r="B300" i="1"/>
  <c r="A301" i="1"/>
  <c r="D300" i="1"/>
  <c r="B298" i="3"/>
  <c r="E297" i="3"/>
  <c r="D297" i="3" s="1"/>
  <c r="G297" i="3"/>
  <c r="B299" i="3" l="1"/>
  <c r="G298" i="3"/>
  <c r="E298" i="3"/>
  <c r="D298" i="3" s="1"/>
  <c r="A302" i="1"/>
  <c r="D301" i="1"/>
  <c r="B301" i="1"/>
  <c r="C301" i="1"/>
  <c r="A302" i="3"/>
  <c r="F301" i="3"/>
  <c r="C301" i="3"/>
  <c r="E300" i="1"/>
  <c r="F300" i="1" s="1"/>
  <c r="G300" i="1" s="1"/>
  <c r="C302" i="3" l="1"/>
  <c r="F302" i="3"/>
  <c r="A303" i="3"/>
  <c r="E301" i="1"/>
  <c r="C302" i="1"/>
  <c r="A303" i="1"/>
  <c r="D302" i="1"/>
  <c r="B302" i="1"/>
  <c r="F301" i="1"/>
  <c r="G301" i="1" s="1"/>
  <c r="G299" i="3"/>
  <c r="B300" i="3"/>
  <c r="E299" i="3"/>
  <c r="D299" i="3" s="1"/>
  <c r="B301" i="3" l="1"/>
  <c r="G300" i="3"/>
  <c r="E300" i="3"/>
  <c r="D300" i="3" s="1"/>
  <c r="E302" i="1"/>
  <c r="F302" i="1" s="1"/>
  <c r="G302" i="1" s="1"/>
  <c r="A304" i="1"/>
  <c r="D303" i="1"/>
  <c r="B303" i="1"/>
  <c r="C303" i="1"/>
  <c r="A304" i="3"/>
  <c r="F303" i="3"/>
  <c r="C303" i="3"/>
  <c r="C304" i="3" l="1"/>
  <c r="A305" i="3"/>
  <c r="F304" i="3"/>
  <c r="E303" i="1"/>
  <c r="F303" i="1" s="1"/>
  <c r="G303" i="1" s="1"/>
  <c r="C304" i="1"/>
  <c r="B304" i="1"/>
  <c r="A305" i="1"/>
  <c r="D304" i="1"/>
  <c r="B302" i="3"/>
  <c r="E301" i="3"/>
  <c r="D301" i="3" s="1"/>
  <c r="G301" i="3"/>
  <c r="E304" i="1" l="1"/>
  <c r="F304" i="1" s="1"/>
  <c r="G304" i="1" s="1"/>
  <c r="B303" i="3"/>
  <c r="G302" i="3"/>
  <c r="E302" i="3"/>
  <c r="D302" i="3" s="1"/>
  <c r="A306" i="1"/>
  <c r="D305" i="1"/>
  <c r="B305" i="1"/>
  <c r="C305" i="1"/>
  <c r="A306" i="3"/>
  <c r="F305" i="3"/>
  <c r="C305" i="3"/>
  <c r="G303" i="3" l="1"/>
  <c r="E303" i="3"/>
  <c r="D303" i="3" s="1"/>
  <c r="B304" i="3"/>
  <c r="C306" i="3"/>
  <c r="F306" i="3"/>
  <c r="A307" i="3"/>
  <c r="E305" i="1"/>
  <c r="F305" i="1" s="1"/>
  <c r="G305" i="1" s="1"/>
  <c r="C306" i="1"/>
  <c r="A307" i="1"/>
  <c r="D306" i="1"/>
  <c r="B306" i="1"/>
  <c r="B305" i="3" l="1"/>
  <c r="G304" i="3"/>
  <c r="E304" i="3"/>
  <c r="D304" i="3" s="1"/>
  <c r="E306" i="1"/>
  <c r="F306" i="1" s="1"/>
  <c r="G306" i="1" s="1"/>
  <c r="A308" i="1"/>
  <c r="D307" i="1"/>
  <c r="B307" i="1"/>
  <c r="C307" i="1"/>
  <c r="A308" i="3"/>
  <c r="F307" i="3"/>
  <c r="C307" i="3"/>
  <c r="B306" i="3" l="1"/>
  <c r="E305" i="3"/>
  <c r="D305" i="3" s="1"/>
  <c r="G305" i="3"/>
  <c r="C308" i="3"/>
  <c r="A309" i="3"/>
  <c r="F308" i="3"/>
  <c r="E307" i="1"/>
  <c r="F307" i="1" s="1"/>
  <c r="G307" i="1" s="1"/>
  <c r="C308" i="1"/>
  <c r="B308" i="1"/>
  <c r="A309" i="1"/>
  <c r="D308" i="1"/>
  <c r="A310" i="1" l="1"/>
  <c r="D309" i="1"/>
  <c r="B309" i="1"/>
  <c r="C309" i="1"/>
  <c r="A310" i="3"/>
  <c r="F309" i="3"/>
  <c r="C309" i="3"/>
  <c r="B307" i="3"/>
  <c r="G306" i="3"/>
  <c r="E306" i="3"/>
  <c r="D306" i="3" s="1"/>
  <c r="E308" i="1"/>
  <c r="F308" i="1" s="1"/>
  <c r="G308" i="1" s="1"/>
  <c r="G307" i="3" l="1"/>
  <c r="B308" i="3"/>
  <c r="E307" i="3"/>
  <c r="D307" i="3" s="1"/>
  <c r="F309" i="1"/>
  <c r="C310" i="3"/>
  <c r="F310" i="3"/>
  <c r="A311" i="3"/>
  <c r="G309" i="1"/>
  <c r="E309" i="1"/>
  <c r="C310" i="1"/>
  <c r="A311" i="1"/>
  <c r="D310" i="1"/>
  <c r="B310" i="1"/>
  <c r="B309" i="3" l="1"/>
  <c r="G308" i="3"/>
  <c r="E308" i="3"/>
  <c r="D308" i="3" s="1"/>
  <c r="E310" i="1"/>
  <c r="F310" i="1" s="1"/>
  <c r="G310" i="1" s="1"/>
  <c r="A312" i="1"/>
  <c r="D311" i="1"/>
  <c r="B311" i="1"/>
  <c r="C311" i="1"/>
  <c r="A312" i="3"/>
  <c r="F311" i="3"/>
  <c r="C311" i="3"/>
  <c r="B310" i="3" l="1"/>
  <c r="E309" i="3"/>
  <c r="D309" i="3" s="1"/>
  <c r="G309" i="3"/>
  <c r="C312" i="3"/>
  <c r="A313" i="3"/>
  <c r="F312" i="3"/>
  <c r="E311" i="1"/>
  <c r="F311" i="1" s="1"/>
  <c r="G311" i="1" s="1"/>
  <c r="C312" i="1"/>
  <c r="B312" i="1"/>
  <c r="A313" i="1"/>
  <c r="D312" i="1"/>
  <c r="A314" i="1" l="1"/>
  <c r="D313" i="1"/>
  <c r="B313" i="1"/>
  <c r="C313" i="1"/>
  <c r="A314" i="3"/>
  <c r="F313" i="3"/>
  <c r="C313" i="3"/>
  <c r="B311" i="3"/>
  <c r="G310" i="3"/>
  <c r="E310" i="3"/>
  <c r="D310" i="3" s="1"/>
  <c r="E312" i="1"/>
  <c r="F312" i="1" s="1"/>
  <c r="G312" i="1" s="1"/>
  <c r="G311" i="3" l="1"/>
  <c r="E311" i="3"/>
  <c r="D311" i="3" s="1"/>
  <c r="B312" i="3"/>
  <c r="F313" i="1"/>
  <c r="C314" i="3"/>
  <c r="F314" i="3"/>
  <c r="A315" i="3"/>
  <c r="G313" i="1"/>
  <c r="E313" i="1"/>
  <c r="C314" i="1"/>
  <c r="A315" i="1"/>
  <c r="D314" i="1"/>
  <c r="B314" i="1"/>
  <c r="E314" i="1" l="1"/>
  <c r="F314" i="1" s="1"/>
  <c r="G314" i="1" s="1"/>
  <c r="A316" i="1"/>
  <c r="D315" i="1"/>
  <c r="B315" i="1"/>
  <c r="C315" i="1"/>
  <c r="A316" i="3"/>
  <c r="F315" i="3"/>
  <c r="C315" i="3"/>
  <c r="B313" i="3"/>
  <c r="G312" i="3"/>
  <c r="E312" i="3"/>
  <c r="D312" i="3" s="1"/>
  <c r="C316" i="3" l="1"/>
  <c r="A317" i="3"/>
  <c r="F316" i="3"/>
  <c r="E315" i="1"/>
  <c r="F315" i="1" s="1"/>
  <c r="G315" i="1" s="1"/>
  <c r="C316" i="1"/>
  <c r="B316" i="1"/>
  <c r="A317" i="1"/>
  <c r="D316" i="1"/>
  <c r="B314" i="3"/>
  <c r="E313" i="3"/>
  <c r="D313" i="3" s="1"/>
  <c r="G313" i="3"/>
  <c r="B315" i="3" l="1"/>
  <c r="G314" i="3"/>
  <c r="E314" i="3"/>
  <c r="D314" i="3" s="1"/>
  <c r="A318" i="1"/>
  <c r="D317" i="1"/>
  <c r="B317" i="1"/>
  <c r="C317" i="1"/>
  <c r="A318" i="3"/>
  <c r="F317" i="3"/>
  <c r="C317" i="3"/>
  <c r="E316" i="1"/>
  <c r="F316" i="1" s="1"/>
  <c r="G316" i="1" s="1"/>
  <c r="C318" i="3" l="1"/>
  <c r="F318" i="3"/>
  <c r="A319" i="3"/>
  <c r="E317" i="1"/>
  <c r="C318" i="1"/>
  <c r="A319" i="1"/>
  <c r="D318" i="1"/>
  <c r="B318" i="1"/>
  <c r="F317" i="1"/>
  <c r="G317" i="1" s="1"/>
  <c r="G315" i="3"/>
  <c r="B316" i="3"/>
  <c r="E315" i="3"/>
  <c r="D315" i="3" s="1"/>
  <c r="B317" i="3" l="1"/>
  <c r="G316" i="3"/>
  <c r="E316" i="3"/>
  <c r="D316" i="3" s="1"/>
  <c r="E318" i="1"/>
  <c r="F318" i="1" s="1"/>
  <c r="G318" i="1" s="1"/>
  <c r="A320" i="1"/>
  <c r="D319" i="1"/>
  <c r="B319" i="1"/>
  <c r="C319" i="1"/>
  <c r="A320" i="3"/>
  <c r="F319" i="3"/>
  <c r="C319" i="3"/>
  <c r="C320" i="3" l="1"/>
  <c r="A321" i="3"/>
  <c r="F320" i="3"/>
  <c r="E319" i="1"/>
  <c r="F319" i="1" s="1"/>
  <c r="G319" i="1" s="1"/>
  <c r="C320" i="1"/>
  <c r="B320" i="1"/>
  <c r="A321" i="1"/>
  <c r="D320" i="1"/>
  <c r="B318" i="3"/>
  <c r="E317" i="3"/>
  <c r="D317" i="3" s="1"/>
  <c r="G317" i="3"/>
  <c r="E320" i="1" l="1"/>
  <c r="F320" i="1" s="1"/>
  <c r="G320" i="1" s="1"/>
  <c r="B319" i="3"/>
  <c r="G318" i="3"/>
  <c r="E318" i="3"/>
  <c r="D318" i="3" s="1"/>
  <c r="A322" i="1"/>
  <c r="D321" i="1"/>
  <c r="B321" i="1"/>
  <c r="C321" i="1"/>
  <c r="A322" i="3"/>
  <c r="F321" i="3"/>
  <c r="C321" i="3"/>
  <c r="G319" i="3" l="1"/>
  <c r="E319" i="3"/>
  <c r="D319" i="3" s="1"/>
  <c r="B320" i="3"/>
  <c r="C322" i="3"/>
  <c r="F322" i="3"/>
  <c r="A323" i="3"/>
  <c r="E321" i="1"/>
  <c r="F321" i="1" s="1"/>
  <c r="G321" i="1" s="1"/>
  <c r="C322" i="1"/>
  <c r="A323" i="1"/>
  <c r="D322" i="1"/>
  <c r="B322" i="1"/>
  <c r="B321" i="3" l="1"/>
  <c r="G320" i="3"/>
  <c r="E320" i="3"/>
  <c r="D320" i="3" s="1"/>
  <c r="E322" i="1"/>
  <c r="F322" i="1" s="1"/>
  <c r="G322" i="1" s="1"/>
  <c r="A324" i="1"/>
  <c r="D323" i="1"/>
  <c r="B323" i="1"/>
  <c r="C323" i="1"/>
  <c r="A324" i="3"/>
  <c r="F323" i="3"/>
  <c r="C323" i="3"/>
  <c r="B322" i="3" l="1"/>
  <c r="E321" i="3"/>
  <c r="D321" i="3" s="1"/>
  <c r="G321" i="3"/>
  <c r="C324" i="3"/>
  <c r="A325" i="3"/>
  <c r="F324" i="3"/>
  <c r="E323" i="1"/>
  <c r="F323" i="1" s="1"/>
  <c r="G323" i="1" s="1"/>
  <c r="C324" i="1"/>
  <c r="B324" i="1"/>
  <c r="A325" i="1"/>
  <c r="D324" i="1"/>
  <c r="A326" i="1" l="1"/>
  <c r="D325" i="1"/>
  <c r="B325" i="1"/>
  <c r="C325" i="1"/>
  <c r="A326" i="3"/>
  <c r="F325" i="3"/>
  <c r="C325" i="3"/>
  <c r="B323" i="3"/>
  <c r="G322" i="3"/>
  <c r="E322" i="3"/>
  <c r="D322" i="3" s="1"/>
  <c r="E324" i="1"/>
  <c r="F324" i="1" s="1"/>
  <c r="G324" i="1" s="1"/>
  <c r="G323" i="3" l="1"/>
  <c r="B324" i="3"/>
  <c r="E323" i="3"/>
  <c r="D323" i="3" s="1"/>
  <c r="F325" i="1"/>
  <c r="C326" i="3"/>
  <c r="F326" i="3"/>
  <c r="A327" i="3"/>
  <c r="G325" i="1"/>
  <c r="E325" i="1"/>
  <c r="C326" i="1"/>
  <c r="A327" i="1"/>
  <c r="D326" i="1"/>
  <c r="B326" i="1"/>
  <c r="B325" i="3" l="1"/>
  <c r="G324" i="3"/>
  <c r="E324" i="3"/>
  <c r="D324" i="3" s="1"/>
  <c r="E326" i="1"/>
  <c r="F326" i="1" s="1"/>
  <c r="G326" i="1" s="1"/>
  <c r="A328" i="1"/>
  <c r="D327" i="1"/>
  <c r="B327" i="1"/>
  <c r="C327" i="1"/>
  <c r="A328" i="3"/>
  <c r="F327" i="3"/>
  <c r="C327" i="3"/>
  <c r="B326" i="3" l="1"/>
  <c r="E325" i="3"/>
  <c r="D325" i="3" s="1"/>
  <c r="G325" i="3"/>
  <c r="C328" i="3"/>
  <c r="A329" i="3"/>
  <c r="F328" i="3"/>
  <c r="E327" i="1"/>
  <c r="F327" i="1" s="1"/>
  <c r="G327" i="1" s="1"/>
  <c r="C328" i="1"/>
  <c r="B328" i="1"/>
  <c r="A329" i="1"/>
  <c r="D328" i="1"/>
  <c r="A330" i="1" l="1"/>
  <c r="D329" i="1"/>
  <c r="B329" i="1"/>
  <c r="C329" i="1"/>
  <c r="A330" i="3"/>
  <c r="F329" i="3"/>
  <c r="C329" i="3"/>
  <c r="B327" i="3"/>
  <c r="G326" i="3"/>
  <c r="E326" i="3"/>
  <c r="D326" i="3" s="1"/>
  <c r="E328" i="1"/>
  <c r="F328" i="1" s="1"/>
  <c r="G328" i="1" s="1"/>
  <c r="G327" i="3" l="1"/>
  <c r="E327" i="3"/>
  <c r="D327" i="3" s="1"/>
  <c r="B328" i="3"/>
  <c r="F329" i="1"/>
  <c r="C330" i="3"/>
  <c r="F330" i="3"/>
  <c r="A331" i="3"/>
  <c r="G329" i="1"/>
  <c r="E329" i="1"/>
  <c r="C330" i="1"/>
  <c r="A331" i="1"/>
  <c r="D330" i="1"/>
  <c r="B330" i="1"/>
  <c r="E330" i="1" l="1"/>
  <c r="F330" i="1" s="1"/>
  <c r="G330" i="1" s="1"/>
  <c r="A332" i="1"/>
  <c r="D331" i="1"/>
  <c r="B331" i="1"/>
  <c r="C331" i="1"/>
  <c r="A332" i="3"/>
  <c r="F331" i="3"/>
  <c r="C331" i="3"/>
  <c r="B329" i="3"/>
  <c r="G328" i="3"/>
  <c r="E328" i="3"/>
  <c r="D328" i="3" s="1"/>
  <c r="C332" i="3" l="1"/>
  <c r="A333" i="3"/>
  <c r="F332" i="3"/>
  <c r="E331" i="1"/>
  <c r="F331" i="1" s="1"/>
  <c r="G331" i="1" s="1"/>
  <c r="C332" i="1"/>
  <c r="B332" i="1"/>
  <c r="A333" i="1"/>
  <c r="D332" i="1"/>
  <c r="B330" i="3"/>
  <c r="E329" i="3"/>
  <c r="D329" i="3" s="1"/>
  <c r="G329" i="3"/>
  <c r="B331" i="3" l="1"/>
  <c r="G330" i="3"/>
  <c r="E330" i="3"/>
  <c r="D330" i="3" s="1"/>
  <c r="A334" i="1"/>
  <c r="D333" i="1"/>
  <c r="B333" i="1"/>
  <c r="C333" i="1"/>
  <c r="A334" i="3"/>
  <c r="F333" i="3"/>
  <c r="C333" i="3"/>
  <c r="E332" i="1"/>
  <c r="F332" i="1" s="1"/>
  <c r="G332" i="1" s="1"/>
  <c r="C334" i="3" l="1"/>
  <c r="F334" i="3"/>
  <c r="A335" i="3"/>
  <c r="E333" i="1"/>
  <c r="C334" i="1"/>
  <c r="A335" i="1"/>
  <c r="D334" i="1"/>
  <c r="B334" i="1"/>
  <c r="F333" i="1"/>
  <c r="G333" i="1" s="1"/>
  <c r="G331" i="3"/>
  <c r="B332" i="3"/>
  <c r="E331" i="3"/>
  <c r="D331" i="3" s="1"/>
  <c r="B333" i="3" l="1"/>
  <c r="G332" i="3"/>
  <c r="E332" i="3"/>
  <c r="D332" i="3" s="1"/>
  <c r="E334" i="1"/>
  <c r="F334" i="1" s="1"/>
  <c r="G334" i="1" s="1"/>
  <c r="A336" i="1"/>
  <c r="D335" i="1"/>
  <c r="B335" i="1"/>
  <c r="C335" i="1"/>
  <c r="A336" i="3"/>
  <c r="F335" i="3"/>
  <c r="C335" i="3"/>
  <c r="C336" i="3" l="1"/>
  <c r="A337" i="3"/>
  <c r="F336" i="3"/>
  <c r="E335" i="1"/>
  <c r="F335" i="1" s="1"/>
  <c r="G335" i="1" s="1"/>
  <c r="C336" i="1"/>
  <c r="B336" i="1"/>
  <c r="A337" i="1"/>
  <c r="D336" i="1"/>
  <c r="B334" i="3"/>
  <c r="E333" i="3"/>
  <c r="D333" i="3" s="1"/>
  <c r="G333" i="3"/>
  <c r="E336" i="1" l="1"/>
  <c r="F336" i="1" s="1"/>
  <c r="G336" i="1" s="1"/>
  <c r="B335" i="3"/>
  <c r="G334" i="3"/>
  <c r="E334" i="3"/>
  <c r="D334" i="3" s="1"/>
  <c r="A338" i="1"/>
  <c r="D337" i="1"/>
  <c r="B337" i="1"/>
  <c r="C337" i="1"/>
  <c r="A338" i="3"/>
  <c r="F337" i="3"/>
  <c r="C337" i="3"/>
  <c r="G335" i="3" l="1"/>
  <c r="E335" i="3"/>
  <c r="D335" i="3" s="1"/>
  <c r="B336" i="3"/>
  <c r="C338" i="3"/>
  <c r="F338" i="3"/>
  <c r="A339" i="3"/>
  <c r="E337" i="1"/>
  <c r="F337" i="1" s="1"/>
  <c r="G337" i="1" s="1"/>
  <c r="C338" i="1"/>
  <c r="A339" i="1"/>
  <c r="D338" i="1"/>
  <c r="B338" i="1"/>
  <c r="B337" i="3" l="1"/>
  <c r="G336" i="3"/>
  <c r="E336" i="3"/>
  <c r="D336" i="3" s="1"/>
  <c r="E338" i="1"/>
  <c r="F338" i="1" s="1"/>
  <c r="G338" i="1" s="1"/>
  <c r="A340" i="1"/>
  <c r="D339" i="1"/>
  <c r="B339" i="1"/>
  <c r="C339" i="1"/>
  <c r="A340" i="3"/>
  <c r="F339" i="3"/>
  <c r="C339" i="3"/>
  <c r="B338" i="3" l="1"/>
  <c r="E337" i="3"/>
  <c r="D337" i="3" s="1"/>
  <c r="G337" i="3"/>
  <c r="C340" i="3"/>
  <c r="F340" i="3"/>
  <c r="A341" i="3"/>
  <c r="E339" i="1"/>
  <c r="F339" i="1" s="1"/>
  <c r="G339" i="1" s="1"/>
  <c r="C340" i="1"/>
  <c r="B340" i="1"/>
  <c r="A341" i="1"/>
  <c r="D340" i="1"/>
  <c r="A342" i="1" l="1"/>
  <c r="D341" i="1"/>
  <c r="B341" i="1"/>
  <c r="C341" i="1"/>
  <c r="B339" i="3"/>
  <c r="G338" i="3"/>
  <c r="E338" i="3"/>
  <c r="D338" i="3" s="1"/>
  <c r="E340" i="1"/>
  <c r="F340" i="1" s="1"/>
  <c r="G340" i="1" s="1"/>
  <c r="A342" i="3"/>
  <c r="F341" i="3"/>
  <c r="C341" i="3"/>
  <c r="C342" i="3" l="1"/>
  <c r="A343" i="3"/>
  <c r="F342" i="3"/>
  <c r="B340" i="3"/>
  <c r="G339" i="3"/>
  <c r="E339" i="3"/>
  <c r="D339" i="3" s="1"/>
  <c r="E341" i="1"/>
  <c r="F341" i="1" s="1"/>
  <c r="G341" i="1" s="1"/>
  <c r="C342" i="1"/>
  <c r="A343" i="1"/>
  <c r="D342" i="1"/>
  <c r="B342" i="1"/>
  <c r="E342" i="1" l="1"/>
  <c r="F342" i="1" s="1"/>
  <c r="G342" i="1" s="1"/>
  <c r="A344" i="1"/>
  <c r="D343" i="1"/>
  <c r="B343" i="1"/>
  <c r="C343" i="1"/>
  <c r="B341" i="3"/>
  <c r="G340" i="3"/>
  <c r="E340" i="3"/>
  <c r="D340" i="3" s="1"/>
  <c r="A344" i="3"/>
  <c r="F343" i="3"/>
  <c r="C343" i="3"/>
  <c r="G341" i="3" l="1"/>
  <c r="B342" i="3"/>
  <c r="E341" i="3"/>
  <c r="D341" i="3" s="1"/>
  <c r="E343" i="1"/>
  <c r="F343" i="1" s="1"/>
  <c r="G343" i="1" s="1"/>
  <c r="C344" i="1"/>
  <c r="B344" i="1"/>
  <c r="A345" i="1"/>
  <c r="D344" i="1"/>
  <c r="C344" i="3"/>
  <c r="F344" i="3"/>
  <c r="A345" i="3"/>
  <c r="A346" i="3" l="1"/>
  <c r="F345" i="3"/>
  <c r="C345" i="3"/>
  <c r="A346" i="1"/>
  <c r="D345" i="1"/>
  <c r="B345" i="1"/>
  <c r="C345" i="1"/>
  <c r="B343" i="3"/>
  <c r="G342" i="3"/>
  <c r="E342" i="3"/>
  <c r="D342" i="3" s="1"/>
  <c r="E344" i="1"/>
  <c r="F344" i="1" s="1"/>
  <c r="G344" i="1" s="1"/>
  <c r="B344" i="3" l="1"/>
  <c r="E343" i="3"/>
  <c r="D343" i="3" s="1"/>
  <c r="G343" i="3"/>
  <c r="E345" i="1"/>
  <c r="C346" i="1"/>
  <c r="A347" i="1"/>
  <c r="D346" i="1"/>
  <c r="B346" i="1"/>
  <c r="F345" i="1"/>
  <c r="G345" i="1" s="1"/>
  <c r="C346" i="3"/>
  <c r="A347" i="3"/>
  <c r="F346" i="3"/>
  <c r="A348" i="3" l="1"/>
  <c r="F347" i="3"/>
  <c r="C347" i="3"/>
  <c r="E346" i="1"/>
  <c r="F346" i="1" s="1"/>
  <c r="G346" i="1" s="1"/>
  <c r="A348" i="1"/>
  <c r="D347" i="1"/>
  <c r="B347" i="1"/>
  <c r="C347" i="1"/>
  <c r="B345" i="3"/>
  <c r="G344" i="3"/>
  <c r="E344" i="3"/>
  <c r="D344" i="3" s="1"/>
  <c r="G345" i="3" l="1"/>
  <c r="E345" i="3"/>
  <c r="D345" i="3" s="1"/>
  <c r="B346" i="3"/>
  <c r="E347" i="1"/>
  <c r="F347" i="1" s="1"/>
  <c r="G347" i="1" s="1"/>
  <c r="C348" i="1"/>
  <c r="B348" i="1"/>
  <c r="A349" i="1"/>
  <c r="D348" i="1"/>
  <c r="C348" i="3"/>
  <c r="F348" i="3"/>
  <c r="A349" i="3"/>
  <c r="E348" i="1" l="1"/>
  <c r="F348" i="1" s="1"/>
  <c r="G348" i="1" s="1"/>
  <c r="B347" i="3"/>
  <c r="G346" i="3"/>
  <c r="E346" i="3"/>
  <c r="D346" i="3" s="1"/>
  <c r="A350" i="3"/>
  <c r="F349" i="3"/>
  <c r="C349" i="3"/>
  <c r="A350" i="1"/>
  <c r="D349" i="1"/>
  <c r="B349" i="1"/>
  <c r="C349" i="1"/>
  <c r="E349" i="1" l="1"/>
  <c r="C350" i="1"/>
  <c r="A351" i="1"/>
  <c r="D350" i="1"/>
  <c r="B350" i="1"/>
  <c r="B348" i="3"/>
  <c r="E347" i="3"/>
  <c r="D347" i="3" s="1"/>
  <c r="G347" i="3"/>
  <c r="F349" i="1"/>
  <c r="G349" i="1" s="1"/>
  <c r="C350" i="3"/>
  <c r="A351" i="3"/>
  <c r="F350" i="3"/>
  <c r="A352" i="3" l="1"/>
  <c r="F351" i="3"/>
  <c r="C351" i="3"/>
  <c r="G350" i="1"/>
  <c r="E350" i="1"/>
  <c r="A352" i="1"/>
  <c r="D351" i="1"/>
  <c r="B351" i="1"/>
  <c r="C351" i="1"/>
  <c r="B349" i="3"/>
  <c r="G348" i="3"/>
  <c r="E348" i="3"/>
  <c r="D348" i="3" s="1"/>
  <c r="F350" i="1"/>
  <c r="G349" i="3" l="1"/>
  <c r="B350" i="3"/>
  <c r="E349" i="3"/>
  <c r="D349" i="3" s="1"/>
  <c r="E351" i="1"/>
  <c r="C352" i="1"/>
  <c r="B352" i="1"/>
  <c r="A353" i="1"/>
  <c r="D352" i="1"/>
  <c r="F351" i="1"/>
  <c r="G351" i="1" s="1"/>
  <c r="C352" i="3"/>
  <c r="F352" i="3"/>
  <c r="A353" i="3"/>
  <c r="A354" i="1" l="1"/>
  <c r="D353" i="1"/>
  <c r="B353" i="1"/>
  <c r="C353" i="1"/>
  <c r="B351" i="3"/>
  <c r="G350" i="3"/>
  <c r="E350" i="3"/>
  <c r="D350" i="3" s="1"/>
  <c r="A354" i="3"/>
  <c r="F353" i="3"/>
  <c r="C353" i="3"/>
  <c r="E352" i="1"/>
  <c r="F352" i="1" s="1"/>
  <c r="G352" i="1" s="1"/>
  <c r="C354" i="3" l="1"/>
  <c r="A355" i="3"/>
  <c r="F354" i="3"/>
  <c r="F353" i="1"/>
  <c r="B352" i="3"/>
  <c r="E351" i="3"/>
  <c r="D351" i="3" s="1"/>
  <c r="G351" i="3"/>
  <c r="G353" i="1"/>
  <c r="E353" i="1"/>
  <c r="C354" i="1"/>
  <c r="A355" i="1"/>
  <c r="D354" i="1"/>
  <c r="B354" i="1"/>
  <c r="A356" i="3" l="1"/>
  <c r="F355" i="3"/>
  <c r="C355" i="3"/>
  <c r="E354" i="1"/>
  <c r="F354" i="1" s="1"/>
  <c r="G354" i="1" s="1"/>
  <c r="A356" i="1"/>
  <c r="D355" i="1"/>
  <c r="B355" i="1"/>
  <c r="C355" i="1"/>
  <c r="B353" i="3"/>
  <c r="G352" i="3"/>
  <c r="E352" i="3"/>
  <c r="D352" i="3" s="1"/>
  <c r="C356" i="3" l="1"/>
  <c r="F356" i="3"/>
  <c r="A357" i="3"/>
  <c r="G353" i="3"/>
  <c r="E353" i="3"/>
  <c r="D353" i="3" s="1"/>
  <c r="B354" i="3"/>
  <c r="E355" i="1"/>
  <c r="F355" i="1" s="1"/>
  <c r="G355" i="1" s="1"/>
  <c r="C356" i="1"/>
  <c r="B356" i="1"/>
  <c r="A357" i="1"/>
  <c r="D356" i="1"/>
  <c r="A358" i="1" l="1"/>
  <c r="D357" i="1"/>
  <c r="B357" i="1"/>
  <c r="C357" i="1"/>
  <c r="A358" i="3"/>
  <c r="F357" i="3"/>
  <c r="C357" i="3"/>
  <c r="E356" i="1"/>
  <c r="F356" i="1" s="1"/>
  <c r="G356" i="1" s="1"/>
  <c r="B355" i="3"/>
  <c r="G354" i="3"/>
  <c r="E354" i="3"/>
  <c r="D354" i="3" s="1"/>
  <c r="B356" i="3" l="1"/>
  <c r="E355" i="3"/>
  <c r="D355" i="3" s="1"/>
  <c r="G355" i="3"/>
  <c r="C358" i="3"/>
  <c r="A359" i="3"/>
  <c r="F358" i="3"/>
  <c r="E357" i="1"/>
  <c r="F357" i="1" s="1"/>
  <c r="G357" i="1" s="1"/>
  <c r="C358" i="1"/>
  <c r="A359" i="1"/>
  <c r="D358" i="1"/>
  <c r="B358" i="1"/>
  <c r="A360" i="3" l="1"/>
  <c r="F359" i="3"/>
  <c r="C359" i="3"/>
  <c r="B357" i="3"/>
  <c r="G356" i="3"/>
  <c r="E356" i="3"/>
  <c r="D356" i="3" s="1"/>
  <c r="E358" i="1"/>
  <c r="F358" i="1" s="1"/>
  <c r="G358" i="1" s="1"/>
  <c r="A360" i="1"/>
  <c r="D359" i="1"/>
  <c r="B359" i="1"/>
  <c r="C359" i="1"/>
  <c r="E359" i="1" l="1"/>
  <c r="C360" i="1"/>
  <c r="B360" i="1"/>
  <c r="A361" i="1"/>
  <c r="D360" i="1"/>
  <c r="C360" i="3"/>
  <c r="F360" i="3"/>
  <c r="A361" i="3"/>
  <c r="F359" i="1"/>
  <c r="G359" i="1" s="1"/>
  <c r="G357" i="3"/>
  <c r="B358" i="3"/>
  <c r="E357" i="3"/>
  <c r="D357" i="3" s="1"/>
  <c r="B359" i="3" l="1"/>
  <c r="G358" i="3"/>
  <c r="E358" i="3"/>
  <c r="D358" i="3" s="1"/>
  <c r="E360" i="1"/>
  <c r="F360" i="1" s="1"/>
  <c r="G360" i="1" s="1"/>
  <c r="A362" i="3"/>
  <c r="F361" i="3"/>
  <c r="C361" i="3"/>
  <c r="A362" i="1"/>
  <c r="D361" i="1"/>
  <c r="B361" i="1"/>
  <c r="C361" i="1"/>
  <c r="E361" i="1" l="1"/>
  <c r="F361" i="1" s="1"/>
  <c r="G361" i="1" s="1"/>
  <c r="C362" i="1"/>
  <c r="A363" i="1"/>
  <c r="D362" i="1"/>
  <c r="B362" i="1"/>
  <c r="C362" i="3"/>
  <c r="A363" i="3"/>
  <c r="F362" i="3"/>
  <c r="B360" i="3"/>
  <c r="E359" i="3"/>
  <c r="D359" i="3" s="1"/>
  <c r="G359" i="3"/>
  <c r="E362" i="1" l="1"/>
  <c r="F362" i="1" s="1"/>
  <c r="G362" i="1" s="1"/>
  <c r="A364" i="1"/>
  <c r="D363" i="1"/>
  <c r="B363" i="1"/>
  <c r="C363" i="1"/>
  <c r="B361" i="3"/>
  <c r="G360" i="3"/>
  <c r="E360" i="3"/>
  <c r="D360" i="3" s="1"/>
  <c r="A364" i="3"/>
  <c r="F363" i="3"/>
  <c r="C363" i="3"/>
  <c r="C364" i="3" l="1"/>
  <c r="F364" i="3"/>
  <c r="A365" i="3"/>
  <c r="G361" i="3"/>
  <c r="E361" i="3"/>
  <c r="D361" i="3" s="1"/>
  <c r="B362" i="3"/>
  <c r="E363" i="1"/>
  <c r="F363" i="1" s="1"/>
  <c r="G363" i="1" s="1"/>
  <c r="C364" i="1"/>
  <c r="B364" i="1"/>
  <c r="A365" i="1"/>
  <c r="D364" i="1"/>
  <c r="A366" i="1" l="1"/>
  <c r="D365" i="1"/>
  <c r="B365" i="1"/>
  <c r="C365" i="1"/>
  <c r="E364" i="1"/>
  <c r="F364" i="1" s="1"/>
  <c r="G364" i="1" s="1"/>
  <c r="B363" i="3"/>
  <c r="G362" i="3"/>
  <c r="E362" i="3"/>
  <c r="D362" i="3" s="1"/>
  <c r="A366" i="3"/>
  <c r="F365" i="3"/>
  <c r="C365" i="3"/>
  <c r="B364" i="3" l="1"/>
  <c r="E363" i="3"/>
  <c r="D363" i="3" s="1"/>
  <c r="G363" i="3"/>
  <c r="F365" i="1"/>
  <c r="C366" i="3"/>
  <c r="A367" i="3"/>
  <c r="F366" i="3"/>
  <c r="G365" i="1"/>
  <c r="E365" i="1"/>
  <c r="C366" i="1"/>
  <c r="A367" i="1"/>
  <c r="D366" i="1"/>
  <c r="B366" i="1"/>
  <c r="A368" i="3" l="1"/>
  <c r="F367" i="3"/>
  <c r="C367" i="3"/>
  <c r="E366" i="1"/>
  <c r="F366" i="1" s="1"/>
  <c r="G366" i="1" s="1"/>
  <c r="A368" i="1"/>
  <c r="D367" i="1"/>
  <c r="B367" i="1"/>
  <c r="C367" i="1"/>
  <c r="B365" i="3"/>
  <c r="G364" i="3"/>
  <c r="E364" i="3"/>
  <c r="D364" i="3" s="1"/>
  <c r="C368" i="3" l="1"/>
  <c r="F368" i="3"/>
  <c r="A369" i="3"/>
  <c r="G365" i="3"/>
  <c r="B366" i="3"/>
  <c r="E365" i="3"/>
  <c r="D365" i="3" s="1"/>
  <c r="E367" i="1"/>
  <c r="F367" i="1" s="1"/>
  <c r="G367" i="1" s="1"/>
  <c r="C368" i="1"/>
  <c r="B368" i="1"/>
  <c r="A369" i="1"/>
  <c r="D368" i="1"/>
  <c r="A370" i="1" l="1"/>
  <c r="D369" i="1"/>
  <c r="B369" i="1"/>
  <c r="C369" i="1"/>
  <c r="B367" i="3"/>
  <c r="G366" i="3"/>
  <c r="E366" i="3"/>
  <c r="D366" i="3" s="1"/>
  <c r="A370" i="3"/>
  <c r="F369" i="3"/>
  <c r="C369" i="3"/>
  <c r="E368" i="1"/>
  <c r="F368" i="1" s="1"/>
  <c r="G368" i="1" s="1"/>
  <c r="C370" i="3" l="1"/>
  <c r="A371" i="3"/>
  <c r="F370" i="3"/>
  <c r="F369" i="1"/>
  <c r="B368" i="3"/>
  <c r="E367" i="3"/>
  <c r="D367" i="3" s="1"/>
  <c r="G367" i="3"/>
  <c r="G369" i="1"/>
  <c r="E369" i="1"/>
  <c r="C370" i="1"/>
  <c r="A371" i="1"/>
  <c r="D370" i="1"/>
  <c r="B370" i="1"/>
  <c r="A372" i="3" l="1"/>
  <c r="F371" i="3"/>
  <c r="C371" i="3"/>
  <c r="E370" i="1"/>
  <c r="F370" i="1" s="1"/>
  <c r="G370" i="1" s="1"/>
  <c r="A372" i="1"/>
  <c r="D371" i="1"/>
  <c r="B371" i="1"/>
  <c r="C371" i="1"/>
  <c r="B369" i="3"/>
  <c r="G368" i="3"/>
  <c r="E368" i="3"/>
  <c r="D368" i="3" s="1"/>
  <c r="C372" i="3" l="1"/>
  <c r="F372" i="3"/>
  <c r="A373" i="3"/>
  <c r="G369" i="3"/>
  <c r="E369" i="3"/>
  <c r="D369" i="3" s="1"/>
  <c r="B370" i="3"/>
  <c r="E371" i="1"/>
  <c r="F371" i="1" s="1"/>
  <c r="G371" i="1" s="1"/>
  <c r="C372" i="1"/>
  <c r="B372" i="1"/>
  <c r="A373" i="1"/>
  <c r="D372" i="1"/>
  <c r="A374" i="1" l="1"/>
  <c r="D373" i="1"/>
  <c r="B373" i="1"/>
  <c r="C373" i="1"/>
  <c r="A374" i="3"/>
  <c r="F373" i="3"/>
  <c r="C373" i="3"/>
  <c r="E372" i="1"/>
  <c r="F372" i="1" s="1"/>
  <c r="G372" i="1" s="1"/>
  <c r="B371" i="3"/>
  <c r="G370" i="3"/>
  <c r="E370" i="3"/>
  <c r="D370" i="3" s="1"/>
  <c r="B372" i="3" l="1"/>
  <c r="E371" i="3"/>
  <c r="D371" i="3" s="1"/>
  <c r="G371" i="3"/>
  <c r="C374" i="3"/>
  <c r="A375" i="3"/>
  <c r="F374" i="3"/>
  <c r="E373" i="1"/>
  <c r="F373" i="1" s="1"/>
  <c r="G373" i="1" s="1"/>
  <c r="C374" i="1"/>
  <c r="A375" i="1"/>
  <c r="D374" i="1"/>
  <c r="B374" i="1"/>
  <c r="A376" i="3" l="1"/>
  <c r="F375" i="3"/>
  <c r="C375" i="3"/>
  <c r="B373" i="3"/>
  <c r="G372" i="3"/>
  <c r="E372" i="3"/>
  <c r="D372" i="3" s="1"/>
  <c r="E374" i="1"/>
  <c r="F374" i="1" s="1"/>
  <c r="G374" i="1" s="1"/>
  <c r="A376" i="1"/>
  <c r="D375" i="1"/>
  <c r="B375" i="1"/>
  <c r="C375" i="1"/>
  <c r="E375" i="1" l="1"/>
  <c r="C376" i="1"/>
  <c r="B376" i="1"/>
  <c r="A377" i="1"/>
  <c r="D376" i="1"/>
  <c r="A377" i="3"/>
  <c r="F376" i="3"/>
  <c r="C376" i="3"/>
  <c r="F375" i="1"/>
  <c r="G375" i="1" s="1"/>
  <c r="G373" i="3"/>
  <c r="B374" i="3"/>
  <c r="E373" i="3"/>
  <c r="D373" i="3" s="1"/>
  <c r="B375" i="3" l="1"/>
  <c r="G374" i="3"/>
  <c r="E374" i="3"/>
  <c r="D374" i="3" s="1"/>
  <c r="E376" i="1"/>
  <c r="F376" i="1" s="1"/>
  <c r="G376" i="1" s="1"/>
  <c r="C377" i="3"/>
  <c r="F377" i="3"/>
  <c r="A378" i="3"/>
  <c r="A378" i="1"/>
  <c r="D377" i="1"/>
  <c r="B377" i="1"/>
  <c r="C377" i="1"/>
  <c r="E377" i="1" l="1"/>
  <c r="F377" i="1" s="1"/>
  <c r="G377" i="1" s="1"/>
  <c r="C378" i="1"/>
  <c r="A379" i="1"/>
  <c r="D378" i="1"/>
  <c r="B378" i="1"/>
  <c r="A379" i="3"/>
  <c r="F378" i="3"/>
  <c r="C378" i="3"/>
  <c r="B376" i="3"/>
  <c r="G375" i="3"/>
  <c r="E375" i="3"/>
  <c r="D375" i="3" s="1"/>
  <c r="C379" i="3" l="1"/>
  <c r="A380" i="3"/>
  <c r="F379" i="3"/>
  <c r="G378" i="1"/>
  <c r="E378" i="1"/>
  <c r="A380" i="1"/>
  <c r="D379" i="1"/>
  <c r="B379" i="1"/>
  <c r="C379" i="1"/>
  <c r="B377" i="3"/>
  <c r="E376" i="3"/>
  <c r="D376" i="3" s="1"/>
  <c r="G376" i="3"/>
  <c r="F378" i="1"/>
  <c r="B378" i="3" l="1"/>
  <c r="G377" i="3"/>
  <c r="E377" i="3"/>
  <c r="D377" i="3" s="1"/>
  <c r="E379" i="1"/>
  <c r="F379" i="1" s="1"/>
  <c r="G379" i="1" s="1"/>
  <c r="C380" i="1"/>
  <c r="C381" i="1" s="1"/>
  <c r="B380" i="1"/>
  <c r="D380" i="1"/>
  <c r="F380" i="3"/>
  <c r="F381" i="3" s="1"/>
  <c r="C380" i="3"/>
  <c r="E13" i="4" l="1"/>
  <c r="E15" i="4" s="1"/>
  <c r="A20" i="4" s="1"/>
  <c r="D15" i="3"/>
  <c r="C381" i="3"/>
  <c r="F380" i="1"/>
  <c r="F381" i="1" s="1"/>
  <c r="D381" i="1"/>
  <c r="G380" i="1"/>
  <c r="E380" i="1"/>
  <c r="E381" i="1" s="1"/>
  <c r="G378" i="3"/>
  <c r="B379" i="3"/>
  <c r="E378" i="3"/>
  <c r="D378" i="3" s="1"/>
  <c r="C3" i="5" l="1"/>
  <c r="A23" i="4"/>
  <c r="A21" i="4"/>
  <c r="B380" i="3"/>
  <c r="G379" i="3"/>
  <c r="E379" i="3"/>
  <c r="D379" i="3" s="1"/>
  <c r="E380" i="3" l="1"/>
  <c r="G380" i="3"/>
  <c r="D380" i="3" l="1"/>
  <c r="E381" i="3"/>
  <c r="D38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Jesper Brygger</author>
  </authors>
  <commentList>
    <comment ref="B1" authorId="0" shapeId="0" xr:uid="{C7D8734F-6BD0-424C-A016-05344D574479}">
      <text>
        <r>
          <rPr>
            <b/>
            <sz val="9"/>
            <color indexed="81"/>
            <rFont val="Tahoma"/>
            <family val="2"/>
          </rPr>
          <t>indtast hvilken opgave der skal løses</t>
        </r>
      </text>
    </comment>
    <comment ref="C13" authorId="0" shapeId="0" xr:uid="{190C12FB-E0C0-4E83-8952-16AFA614A7B7}">
      <text>
        <r>
          <rPr>
            <b/>
            <sz val="9"/>
            <color indexed="81"/>
            <rFont val="Tahoma"/>
            <family val="2"/>
          </rPr>
          <t xml:space="preserve">Indtast investeringshorisonten i år </t>
        </r>
      </text>
    </comment>
    <comment ref="C14" authorId="0" shapeId="0" xr:uid="{0B7239F4-E61A-4783-BC95-09854C26727B}">
      <text>
        <r>
          <rPr>
            <b/>
            <sz val="16"/>
            <color indexed="81"/>
            <rFont val="Tahoma"/>
            <family val="2"/>
          </rPr>
          <t>Indtast kalkulationsrenten. Kalkulationsrenten er den rente som investor kræver at investeringen skal give i forrentning. Hvis der er stor risiko ved investeringen skal renten være høj. Der er flere metoder til at fastsætte en passende rente:
1. Brug kravet til afkastningsgrad
2. Brug WACC, Weighted avereage cost of capital
3. Benchmark med tilsvarende investeringer (The pure approch) 
4. Låne rente + risikotillæg
5. Risikofri rente + risikotillæg</t>
        </r>
      </text>
    </comment>
    <comment ref="E15" authorId="0" shapeId="0" xr:uid="{BF243D9E-5F96-4CC0-8B9B-B5008CAFB961}">
      <text>
        <r>
          <rPr>
            <b/>
            <sz val="9"/>
            <color indexed="81"/>
            <rFont val="Tahoma"/>
            <family val="2"/>
          </rPr>
          <t>Indbetalinger minus udbetalinger. Dette kaldes også betalingsstrømmen</t>
        </r>
      </text>
    </comment>
    <comment ref="B26" authorId="0" shapeId="0" xr:uid="{A587C9EB-F76D-488B-BA02-1ABF465C29D2}">
      <text>
        <r>
          <rPr>
            <b/>
            <sz val="11"/>
            <color indexed="81"/>
            <rFont val="Tahoma"/>
            <family val="2"/>
          </rPr>
          <t xml:space="preserve">Hvis investeringen løber mere end 10 år kan række 16 og 127 markeres, derefter højreklikkes og man vælger vis. Arket kan håndtere investeringer på optil 120 år/terminer Det kan f.eks. være 120 måneder (10 år), så skal du selvfølgelige anvende en månedlig rente.
</t>
        </r>
      </text>
    </comment>
    <comment ref="G137" authorId="0" shapeId="0" xr:uid="{B488C2D6-897D-4E78-BBA7-B4A3B05AFE3C}">
      <text>
        <r>
          <rPr>
            <b/>
            <sz val="16"/>
            <color indexed="81"/>
            <rFont val="Tahoma"/>
            <family val="2"/>
          </rPr>
          <t xml:space="preserve">NPV = Net present value, kapitalværdimetoden eller nutidsværdimetoden er synonymer. Cash flowet er tilbageført til nutid og lagt sammen. Man må kun lægge penge sammen når de er i samme tid. Nutid er defineret som tid 0. Nutidsværdien skal være = eller  større end 0 før at investeringen er rentabel. Man vælger kun investeringer hvor nutidsværdien er 0 eller positiv. Pengene er fiktive - de er jo ikke i nutid men kommer ind i løbetiden af investeringsperioden. Investor kan altså ikke få pengene nu! Det er blot for at vurdere om investeringen er rentabel.
</t>
        </r>
        <r>
          <rPr>
            <b/>
            <sz val="9"/>
            <color indexed="81"/>
            <rFont val="Tahoma"/>
            <family val="2"/>
          </rPr>
          <t xml:space="preserve">
</t>
        </r>
      </text>
    </comment>
    <comment ref="G138" authorId="0" shapeId="0" xr:uid="{F68A585B-DC07-4FAF-AE22-FF52DAF077A8}">
      <text>
        <r>
          <rPr>
            <sz val="20"/>
            <color indexed="81"/>
            <rFont val="Arial"/>
            <family val="2"/>
          </rPr>
          <t>Annuitetsmetoden er nutidsværdimetoden /NPV omregnet til en annuitet. (samme beløb pr. år) Beløbet skal være 0 eller større. Hvis positiv er det årets overskud, hvis negativ er det årets underskud. Annuitetsmetoden kan anvendes til at beregne hvor meget det årlige overskud kan falde før investeringen er rentabel.</t>
        </r>
      </text>
    </comment>
    <comment ref="G139" authorId="0" shapeId="0" xr:uid="{47EF652F-6170-45A5-835F-2BF0A6F0EA65}">
      <text>
        <r>
          <rPr>
            <sz val="20"/>
            <color indexed="81"/>
            <rFont val="Arial"/>
            <family val="2"/>
          </rPr>
          <t>Den interne rente skal være ligmed eller større end kalkulationsrenten før investeringen er rentabel. Den interne rente viser den "rigtige" rente som investeringen giver. Hvis det var et lån bruger vi begrebet effektiv rente eller ÅOP.</t>
        </r>
      </text>
    </comment>
    <comment ref="G140" authorId="0" shapeId="0" xr:uid="{1A46C9D2-0E4A-48C3-BB3B-0FA68C64FF8A}">
      <text>
        <r>
          <rPr>
            <sz val="18"/>
            <color indexed="81"/>
            <rFont val="Arial"/>
            <family val="2"/>
          </rPr>
          <t>Tilbagebetalingstiden viser hvor lang tid der skal gå før investeringen er rentabel. Den skal altid rundes på til nærmeste hele år. Pay back time, kaldes også break-even i tid. For at investeringen er rentabel pay-back time være lavere end investeringshorisonten.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Jesper Brygger</author>
  </authors>
  <commentList>
    <comment ref="F42" authorId="0" shapeId="0" xr:uid="{79DBBFD4-3FF1-4052-987E-C6399131B086}">
      <text>
        <r>
          <rPr>
            <b/>
            <sz val="9"/>
            <color indexed="81"/>
            <rFont val="Tahoma"/>
            <family val="2"/>
          </rPr>
          <t xml:space="preserve">Her skal du selv taste de penge/likvider  du vil have overført til kassebeholdningen, resten indsættes på kassekreditten.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Jesper Brygger</author>
  </authors>
  <commentList>
    <comment ref="B1" authorId="0" shapeId="0" xr:uid="{65DAD4BB-FD9C-476D-8B04-106782AF8B8D}">
      <text>
        <r>
          <rPr>
            <b/>
            <sz val="9"/>
            <color indexed="81"/>
            <rFont val="Tahoma"/>
            <family val="2"/>
          </rPr>
          <t>indtast hvilken opgave der skal løses</t>
        </r>
      </text>
    </comment>
    <comment ref="C13" authorId="0" shapeId="0" xr:uid="{AE5B63BD-DFF9-4359-9D1C-87C2A2FD2459}">
      <text>
        <r>
          <rPr>
            <b/>
            <sz val="9"/>
            <color indexed="81"/>
            <rFont val="Tahoma"/>
            <family val="2"/>
          </rPr>
          <t xml:space="preserve">Indtast investeringshorisonten i år </t>
        </r>
      </text>
    </comment>
    <comment ref="C14" authorId="0" shapeId="0" xr:uid="{C06B15EF-25FD-4BA9-B022-CED2064D895D}">
      <text>
        <r>
          <rPr>
            <b/>
            <sz val="16"/>
            <color indexed="81"/>
            <rFont val="Tahoma"/>
            <family val="2"/>
          </rPr>
          <t>Indtast kalkulationsrenten. Kalkulationsrenten er den rente som investor kræver at investeringen skal give i forrentning. Hvis der er stor risiko ved investeringen skal renten være høj. Der er flere metoder til at fastsætte en passende rente:
1. Brug kravet til afkastningsgrad
2. Brug WACC, Weighted avereage cost of capital
3. Benchmark med tilsvarende investeringer (The pure approch) 
4. Låne rente + risikotillæg
5. Risikofri rente + risikotillæg</t>
        </r>
      </text>
    </comment>
    <comment ref="E15" authorId="0" shapeId="0" xr:uid="{6616D387-94D9-448E-8F14-CD952E279435}">
      <text>
        <r>
          <rPr>
            <b/>
            <sz val="9"/>
            <color indexed="81"/>
            <rFont val="Tahoma"/>
            <family val="2"/>
          </rPr>
          <t>Indbetalinger minus udbetalinger. Dette kaldes også betalingsstrømmen</t>
        </r>
      </text>
    </comment>
    <comment ref="B26" authorId="0" shapeId="0" xr:uid="{807BCFC1-2269-4E10-8DF5-3BF275E21060}">
      <text>
        <r>
          <rPr>
            <b/>
            <sz val="11"/>
            <color indexed="81"/>
            <rFont val="Tahoma"/>
            <family val="2"/>
          </rPr>
          <t xml:space="preserve">Hvis investeringen løber mere end 10 år kan række 16 og 127 markeres, derefter højreklikkes og man vælger vis. Arket kan håndtere investeringer på optil 120 år/terminer Det kan f.eks. være 120 måneder (10 år), så skal du selvfølgelige anvende en månedlig rente.
</t>
        </r>
      </text>
    </comment>
    <comment ref="G137" authorId="0" shapeId="0" xr:uid="{FFCFB4C2-2419-4A69-B69D-DCD8861DA7B6}">
      <text>
        <r>
          <rPr>
            <b/>
            <sz val="16"/>
            <color indexed="81"/>
            <rFont val="Tahoma"/>
            <family val="2"/>
          </rPr>
          <t xml:space="preserve">NPV = Net present value, kapitalværdimetoden eller nutidsværdimetoden er synonymer. Cash flowet er tilbageført til nutid og lagt sammen. Man må kun lægge penge sammen når de er i samme tid. Nutid er defineret som tid 0. Nutidsværdien skal være = eller  større end 0 før at investeringen er rentabel. Man vælger kun investeringer hvor nutidsværdien er 0 eller positiv. Pengene er fiktive - de er jo ikke i nutid men kommer ind i løbetiden af investeringsperioden. Investor kan altså ikke få pengene nu! Det er blot for at vurdere om investeringen er rentabel.
</t>
        </r>
        <r>
          <rPr>
            <b/>
            <sz val="9"/>
            <color indexed="81"/>
            <rFont val="Tahoma"/>
            <family val="2"/>
          </rPr>
          <t xml:space="preserve">
</t>
        </r>
      </text>
    </comment>
    <comment ref="G138" authorId="0" shapeId="0" xr:uid="{A40606DE-B223-4A38-8308-E59F067F22B9}">
      <text>
        <r>
          <rPr>
            <sz val="20"/>
            <color indexed="81"/>
            <rFont val="Arial"/>
            <family val="2"/>
          </rPr>
          <t>Annuitetsmetoden er nutidsværdimetoden /NPV omregnet til en annuitet. (samme beløb pr. år) Beløbet skal være 0 eller større. Hvis positiv er det årets overskud, hvis negativ er det årets underskud. Annuitetsmetoden kan anvendes til at beregne hvor meget det årlige overskud kan falde før investeringen er rentabel.</t>
        </r>
      </text>
    </comment>
    <comment ref="G139" authorId="0" shapeId="0" xr:uid="{A9AEA5D0-CD79-4C95-9105-AB8814151388}">
      <text>
        <r>
          <rPr>
            <sz val="20"/>
            <color indexed="81"/>
            <rFont val="Arial"/>
            <family val="2"/>
          </rPr>
          <t>Den interne rente skal være ligmed eller større end kalkulationsrenten før investeringen er rentabel. Den interne rente viser den "rigtige" rente som investeringen giver. Hvis det var et lån bruger vi begrebet effektiv rente eller ÅOP.</t>
        </r>
      </text>
    </comment>
    <comment ref="G140" authorId="0" shapeId="0" xr:uid="{95AEAC26-7B17-47F6-919A-BEE2CB5A8BA5}">
      <text>
        <r>
          <rPr>
            <sz val="18"/>
            <color indexed="81"/>
            <rFont val="Arial"/>
            <family val="2"/>
          </rPr>
          <t>Tilbagebetalingstiden viser hvor lang tid der skal gå før investeringen er rentabel. Den skal altid rundes på til nærmeste hele år. Pay back time, kaldes også break-even i tid. For at investeringen er rentabel pay-back time være lavere end investeringshorisonten.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Jesper Brygger</author>
  </authors>
  <commentList>
    <comment ref="B1" authorId="0" shapeId="0" xr:uid="{A65BBFA5-FB08-4FF9-93E4-2375082A8977}">
      <text>
        <r>
          <rPr>
            <b/>
            <sz val="9"/>
            <color indexed="81"/>
            <rFont val="Tahoma"/>
            <family val="2"/>
          </rPr>
          <t>indtast hvilken opgave der skal løses</t>
        </r>
      </text>
    </comment>
    <comment ref="C13" authorId="0" shapeId="0" xr:uid="{A1978C96-ED82-44C0-8C5E-333AC4DE8A43}">
      <text>
        <r>
          <rPr>
            <b/>
            <sz val="9"/>
            <color indexed="81"/>
            <rFont val="Tahoma"/>
            <family val="2"/>
          </rPr>
          <t xml:space="preserve">Indtast investeringshorisonten i år </t>
        </r>
      </text>
    </comment>
    <comment ref="C14" authorId="0" shapeId="0" xr:uid="{BBB2F2DE-C1BC-436A-89E7-833022992EDE}">
      <text>
        <r>
          <rPr>
            <b/>
            <sz val="16"/>
            <color indexed="81"/>
            <rFont val="Tahoma"/>
            <family val="2"/>
          </rPr>
          <t>Indtast kalkulationsrenten. Kalkulationsrenten er den rente som investor kræver at investeringen skal give i forrentning. Hvis der er stor risiko ved investeringen skal renten være høj. Der er flere metoder til at fastsætte en passende rente:
1. Brug kravet til afkastningsgrad
2. Brug WACC, Weighted avereage cost of capital
3. Benchmark med tilsvarende investeringer (The pure approch) 
4. Låne rente + risikotillæg
5. Risikofri rente + risikotillæg</t>
        </r>
      </text>
    </comment>
    <comment ref="E15" authorId="0" shapeId="0" xr:uid="{728BD70E-2BC5-49B0-A5CA-B430578094A9}">
      <text>
        <r>
          <rPr>
            <b/>
            <sz val="9"/>
            <color indexed="81"/>
            <rFont val="Tahoma"/>
            <family val="2"/>
          </rPr>
          <t>Indbetalinger minus udbetalinger. Dette kaldes også betalingsstrømmen</t>
        </r>
      </text>
    </comment>
    <comment ref="B26" authorId="0" shapeId="0" xr:uid="{76151195-7742-4F26-930F-3038C8257D5F}">
      <text>
        <r>
          <rPr>
            <b/>
            <sz val="11"/>
            <color indexed="81"/>
            <rFont val="Tahoma"/>
            <family val="2"/>
          </rPr>
          <t xml:space="preserve">Hvis investeringen løber mere end 10 år kan række 16 og 127 markeres, derefter højreklikkes og man vælger vis. Arket kan håndtere investeringer på optil 120 år/terminer Det kan f.eks. være 120 måneder (10 år), så skal du selvfølgelige anvende en månedlig rente.
</t>
        </r>
      </text>
    </comment>
    <comment ref="G137" authorId="0" shapeId="0" xr:uid="{F94AEDBE-50CE-4219-BB89-4D8DF22197A4}">
      <text>
        <r>
          <rPr>
            <b/>
            <sz val="16"/>
            <color indexed="81"/>
            <rFont val="Tahoma"/>
            <family val="2"/>
          </rPr>
          <t xml:space="preserve">NPV = Net present value, kapitalværdimetoden eller nutidsværdimetoden er synonymer. Cash flowet er tilbageført til nutid og lagt sammen. Man må kun lægge penge sammen når de er i samme tid. Nutid er defineret som tid 0. Nutidsværdien skal være = eller  større end 0 før at investeringen er rentabel. Man vælger kun investeringer hvor nutidsværdien er 0 eller positiv. Pengene er fiktive - de er jo ikke i nutid men kommer ind i løbetiden af investeringsperioden. Investor kan altså ikke få pengene nu! Det er blot for at vurdere om investeringen er rentabel.
</t>
        </r>
        <r>
          <rPr>
            <b/>
            <sz val="9"/>
            <color indexed="81"/>
            <rFont val="Tahoma"/>
            <family val="2"/>
          </rPr>
          <t xml:space="preserve">
</t>
        </r>
      </text>
    </comment>
    <comment ref="G138" authorId="0" shapeId="0" xr:uid="{F048E496-55FA-49F8-BBAE-40BED2E00ED5}">
      <text>
        <r>
          <rPr>
            <sz val="20"/>
            <color indexed="81"/>
            <rFont val="Arial"/>
            <family val="2"/>
          </rPr>
          <t>Annuitetsmetoden er nutidsværdimetoden /NPV omregnet til en annuitet. (samme beløb pr. år) Beløbet skal være 0 eller større. Hvis positiv er det årets overskud, hvis negativ er det årets underskud. Annuitetsmetoden kan anvendes til at beregne hvor meget det årlige overskud kan falde før investeringen er rentabel.</t>
        </r>
      </text>
    </comment>
    <comment ref="G139" authorId="0" shapeId="0" xr:uid="{26C8E61A-2C61-484E-B9EF-9B7D32F04214}">
      <text>
        <r>
          <rPr>
            <sz val="20"/>
            <color indexed="81"/>
            <rFont val="Arial"/>
            <family val="2"/>
          </rPr>
          <t>Den interne rente skal være ligmed eller større end kalkulationsrenten før investeringen er rentabel. Den interne rente viser den "rigtige" rente som investeringen giver. Hvis det var et lån bruger vi begrebet effektiv rente eller ÅOP.</t>
        </r>
      </text>
    </comment>
    <comment ref="G140" authorId="0" shapeId="0" xr:uid="{5A9EDF19-4E9A-4B72-B702-819D057941D3}">
      <text>
        <r>
          <rPr>
            <sz val="18"/>
            <color indexed="81"/>
            <rFont val="Arial"/>
            <family val="2"/>
          </rPr>
          <t>Tilbagebetalingstiden viser hvor lang tid der skal gå før investeringen er rentabel. Den skal altid rundes på til nærmeste hele år. Pay back time, kaldes også break-even i tid. For at investeringen er rentabel pay-back time være lavere end investeringshorisonten.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Jesper Brygger</author>
    <author>IT afdelingen</author>
    <author>Brygger</author>
  </authors>
  <commentList>
    <comment ref="D2" authorId="0" shapeId="0" xr:uid="{57C41B6F-8499-4D03-8A75-FDF6138CB680}">
      <text>
        <r>
          <rPr>
            <b/>
            <sz val="14"/>
            <color indexed="81"/>
            <rFont val="Tahoma"/>
            <family val="2"/>
          </rPr>
          <t>Indtast den nominelle størrelsen på lånet. Det beløb som står i lånedokumentet, ikke beløbet som man får udbetalt. Hvis der ikke er opgivet et beløb i opgaven skrives blot 1 kr.</t>
        </r>
        <r>
          <rPr>
            <sz val="8"/>
            <color indexed="81"/>
            <rFont val="Tahoma"/>
            <family val="2"/>
          </rPr>
          <t xml:space="preserve">
</t>
        </r>
      </text>
    </comment>
    <comment ref="D4" authorId="0" shapeId="0" xr:uid="{434D37E3-127F-4452-B76B-FBE90704630B}">
      <text>
        <r>
          <rPr>
            <b/>
            <sz val="14"/>
            <color indexed="81"/>
            <rFont val="Tahoma"/>
            <family val="2"/>
          </rPr>
          <t>Kursen som lånet udbetales til i tid 0.
Indtastes f.eks. som: 98 eller 95 osv.
Nogle lån udbetales til kurs 100, f.eks. Banklån, men så er der normalt låneomkostninger ved optagelsen af lånet.</t>
        </r>
      </text>
    </comment>
    <comment ref="D5" authorId="0" shapeId="0" xr:uid="{7738EFCF-C3F2-423B-B684-733E3AD38F74}">
      <text>
        <r>
          <rPr>
            <b/>
            <sz val="14"/>
            <color indexed="81"/>
            <rFont val="Tahoma"/>
            <family val="2"/>
          </rPr>
          <t>Der skal ikke tastes minus foran tallet.</t>
        </r>
        <r>
          <rPr>
            <sz val="14"/>
            <color indexed="81"/>
            <rFont val="Tahoma"/>
            <family val="2"/>
          </rPr>
          <t xml:space="preserve">
</t>
        </r>
      </text>
    </comment>
    <comment ref="D7" authorId="1" shapeId="0" xr:uid="{FFCA56FC-2D3B-4EE2-B0B1-7E2E61259B8F}">
      <text>
        <r>
          <rPr>
            <b/>
            <sz val="14"/>
            <color indexed="81"/>
            <rFont val="Tahoma"/>
            <family val="2"/>
          </rPr>
          <t xml:space="preserve">Renten på lånet er normalt opgivet som en % pr. år
</t>
        </r>
      </text>
    </comment>
    <comment ref="D8" authorId="1" shapeId="0" xr:uid="{CE3185B1-82A8-4509-96A9-5B5B9ECD5F20}">
      <text>
        <r>
          <rPr>
            <b/>
            <sz val="14"/>
            <color indexed="81"/>
            <rFont val="Tahoma"/>
            <family val="2"/>
          </rPr>
          <t>Indtast antal år</t>
        </r>
      </text>
    </comment>
    <comment ref="D9" authorId="1" shapeId="0" xr:uid="{2AB8BCE5-94C2-4A28-9ABD-F47298DBCDDA}">
      <text>
        <r>
          <rPr>
            <b/>
            <sz val="14"/>
            <color indexed="81"/>
            <rFont val="Tahoma"/>
            <family val="2"/>
          </rPr>
          <t xml:space="preserve">Hvis lånet har årlige ydelser tastes 1
Hvis der er halv årlige ydelser tastes 2 
Hvis der er kvartårlige ydelser tastes 4
Hvis der er måndelige ydelser tastes 12
</t>
        </r>
      </text>
    </comment>
    <comment ref="D10" authorId="0" shapeId="0" xr:uid="{C2955813-66D3-4783-BFB9-A3472B7FAEE4}">
      <text>
        <r>
          <rPr>
            <b/>
            <sz val="14"/>
            <color indexed="81"/>
            <rFont val="Tahoma"/>
            <family val="2"/>
          </rPr>
          <t xml:space="preserve">N på lommeregneren
Antal gange som der 
betales ydelse 
(rente og afdrag)
Amortisationstabellen kan max. indeholde 360 terminer 
(30 årigt lån med 12 terminer)
</t>
        </r>
        <r>
          <rPr>
            <sz val="8"/>
            <color indexed="81"/>
            <rFont val="Tahoma"/>
            <family val="2"/>
          </rPr>
          <t xml:space="preserve">
</t>
        </r>
      </text>
    </comment>
    <comment ref="D11" authorId="1" shapeId="0" xr:uid="{F447F9B9-0BE9-4291-A06F-65E7649F5A45}">
      <text>
        <r>
          <rPr>
            <b/>
            <sz val="14"/>
            <color indexed="81"/>
            <rFont val="Tahoma"/>
            <family val="2"/>
          </rPr>
          <t>Nominel rente pr. termin er, nominel rente pr. år divideret med terminer pr år. 
F.eks hvis renten er 10% med 2 terminer pr. år 
er det 5% (10%/2) pr. halvår.
Excel udregner selv de 5%.</t>
        </r>
      </text>
    </comment>
    <comment ref="A381" authorId="2" shapeId="0" xr:uid="{98439381-AA20-4E52-8C4F-7EC7921ABA54}">
      <text>
        <r>
          <rPr>
            <b/>
            <sz val="8"/>
            <color indexed="81"/>
            <rFont val="Tahoma"/>
            <family val="2"/>
          </rPr>
          <t>Marker de 2 rækker 60 og 380,
højre klik på musen,
vælg vis. 
Lånet får dermed 360 terminer. 
(30 år af 12 terminer)</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IT afdelingen</author>
    <author>Brygger</author>
  </authors>
  <commentList>
    <comment ref="D2" authorId="0" shapeId="0" xr:uid="{3F6DFEDF-8F10-4324-9D4F-391DE3F00A43}">
      <text>
        <r>
          <rPr>
            <b/>
            <sz val="16"/>
            <color indexed="81"/>
            <rFont val="Tahoma"/>
            <family val="2"/>
          </rPr>
          <t>Der må kun tastes i de farvede celler. Indtast hovedstolen her</t>
        </r>
      </text>
    </comment>
    <comment ref="D3" authorId="0" shapeId="0" xr:uid="{A838C9D5-2822-435F-94C1-4F0083C7CE63}">
      <text>
        <r>
          <rPr>
            <b/>
            <sz val="14"/>
            <color indexed="81"/>
            <rFont val="Tahoma"/>
            <family val="2"/>
          </rPr>
          <t xml:space="preserve">Hvis lånet er et obligationslån er det typisk at kursen er under 100 når lånet optagets. Indtastningen kan være
f.eks. 90 eller 95.  Kursen angiver hvor mange % af hovedstolen låntager får udbetalt.
</t>
        </r>
        <r>
          <rPr>
            <sz val="14"/>
            <color indexed="81"/>
            <rFont val="Tahoma"/>
            <family val="2"/>
          </rPr>
          <t xml:space="preserve">
</t>
        </r>
      </text>
    </comment>
    <comment ref="D4" authorId="0" shapeId="0" xr:uid="{FB020F66-7B3C-49E2-84AA-DF5DD5CB2203}">
      <text>
        <r>
          <rPr>
            <b/>
            <sz val="14"/>
            <color indexed="81"/>
            <rFont val="Tahoma"/>
            <family val="2"/>
          </rPr>
          <t xml:space="preserve">De fleste lån har stiftelsesomkostninger / etableringsomkostninger når lånet skal optages. For et lån på 1.000.000 kan det f.eks. være kr. 10.000.
</t>
        </r>
      </text>
    </comment>
    <comment ref="D5" authorId="0" shapeId="0" xr:uid="{FD1C8CEE-C84A-4534-AF64-1650217E25F2}">
      <text>
        <r>
          <rPr>
            <b/>
            <sz val="14"/>
            <color indexed="81"/>
            <rFont val="Tahoma"/>
            <family val="2"/>
          </rPr>
          <t>Dette tal kaldes for nettoprovenuet og er de penge som låntager får udbetalt</t>
        </r>
        <r>
          <rPr>
            <b/>
            <sz val="8"/>
            <color indexed="81"/>
            <rFont val="Tahoma"/>
            <family val="2"/>
          </rPr>
          <t xml:space="preserve">
</t>
        </r>
      </text>
    </comment>
    <comment ref="D8" authorId="0" shapeId="0" xr:uid="{F2AAEFC7-3847-4CD2-B49D-4567FB779DAB}">
      <text>
        <r>
          <rPr>
            <b/>
            <sz val="14"/>
            <color indexed="81"/>
            <rFont val="Tahoma"/>
            <family val="2"/>
          </rPr>
          <t>Hvis lånet har årlige ydelser tastes 1
Hvis der er halv årlige ydelser tastes 2 
Hvis der er kvartårlige ydelser tastes 4
Hvis der er måndelige ydelser tastes 12</t>
        </r>
        <r>
          <rPr>
            <sz val="14"/>
            <color indexed="81"/>
            <rFont val="Tahoma"/>
            <family val="2"/>
          </rPr>
          <t xml:space="preserve">
</t>
        </r>
      </text>
    </comment>
    <comment ref="D9" authorId="0" shapeId="0" xr:uid="{2901E74C-9E59-49AF-A19A-0E727CE5FB2B}">
      <text>
        <r>
          <rPr>
            <sz val="14"/>
            <color indexed="81"/>
            <rFont val="Tahoma"/>
            <family val="2"/>
          </rPr>
          <t>Hvis lånet er 10 årigt med halvårlige terminer udregner excel selv at der skal stå 10*2= 20 i dette felt (20 terminer á et ½ år)</t>
        </r>
      </text>
    </comment>
    <comment ref="D10" authorId="0" shapeId="0" xr:uid="{D7447B69-5C53-42DC-AF76-C94E3EF71BB9}">
      <text>
        <r>
          <rPr>
            <sz val="14"/>
            <color indexed="81"/>
            <rFont val="Tahoma"/>
            <family val="2"/>
          </rPr>
          <t xml:space="preserve">Nominel rente pr. termin er, nominel rente pr. år divideret med terminer pr år. 
F.eks hvis renten er 10% med 2 terminer pr. år 
er det 5% (10%/2) pr. halvår.
Excel udregner selv de 5%.
</t>
        </r>
      </text>
    </comment>
    <comment ref="D12" authorId="0" shapeId="0" xr:uid="{ED1AD5E6-783F-4380-9DD7-7275FFF97B9A}">
      <text>
        <r>
          <rPr>
            <b/>
            <sz val="14"/>
            <color indexed="81"/>
            <rFont val="Tahoma"/>
            <family val="2"/>
          </rPr>
          <t xml:space="preserve">Normalt er der ikke noget gebyr i opgaverne,
derfor skal der normalt stå 0
</t>
        </r>
      </text>
    </comment>
    <comment ref="D16" authorId="0" shapeId="0" xr:uid="{0657BDC9-2067-452B-B1C7-CBBF9FC2108C}">
      <text>
        <r>
          <rPr>
            <b/>
            <sz val="14"/>
            <color indexed="81"/>
            <rFont val="Tahoma"/>
            <family val="2"/>
          </rPr>
          <t>Husk den effektive rente er den rigtige rente som låntager betaler for lånet. 
Ved forbruger køb skal den effektive rente oplyses. Den benævnes som ÅOP (Årlige Omkostninger i Procent).</t>
        </r>
      </text>
    </comment>
    <comment ref="A381" authorId="1" shapeId="0" xr:uid="{1AA0095E-9468-4D73-BA3F-3BB4238DCBDA}">
      <text>
        <r>
          <rPr>
            <b/>
            <sz val="8"/>
            <color indexed="81"/>
            <rFont val="Tahoma"/>
            <family val="2"/>
          </rPr>
          <t>Marker de 2 rækker 59 og 380,
højre klik på musen,
vælg vis. 
Lånet får dermed 360 terminer. 
(30 år af 12 terminer)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Roskilde Handelsskole</author>
  </authors>
  <commentList>
    <comment ref="A3" authorId="0" shapeId="0" xr:uid="{7E62EDC8-B6BF-4262-96BF-839611EDFECC}">
      <text>
        <r>
          <rPr>
            <b/>
            <sz val="8"/>
            <color indexed="81"/>
            <rFont val="Tahoma"/>
            <family val="2"/>
          </rPr>
          <t>Det lån med den laveste rente bør vælges</t>
        </r>
      </text>
    </comment>
    <comment ref="A4" authorId="0" shapeId="0" xr:uid="{0D06875D-66E2-48D4-A7B0-D53B42A84C12}">
      <text>
        <r>
          <rPr>
            <b/>
            <sz val="8"/>
            <color indexed="81"/>
            <rFont val="Tahoma"/>
            <family val="2"/>
          </rPr>
          <t>en vurdering af om nettoprovenuet dækker låne behovet.</t>
        </r>
      </text>
    </comment>
    <comment ref="A5" authorId="0" shapeId="0" xr:uid="{BEBCF611-FBC1-47D0-BC8B-CCFD7432C55A}">
      <text>
        <r>
          <rPr>
            <sz val="8"/>
            <color indexed="81"/>
            <rFont val="Tahoma"/>
            <family val="2"/>
          </rPr>
          <t xml:space="preserve">Lån med den laveste betaling pr. Termin bør vælges
</t>
        </r>
      </text>
    </comment>
    <comment ref="A6" authorId="0" shapeId="0" xr:uid="{467C628E-B885-48B8-B719-57801544DBC9}">
      <text>
        <r>
          <rPr>
            <b/>
            <sz val="8"/>
            <color indexed="81"/>
            <rFont val="Tahoma"/>
            <family val="2"/>
          </rPr>
          <t>så lang løbetid som muligt</t>
        </r>
      </text>
    </comment>
    <comment ref="A7" authorId="0" shapeId="0" xr:uid="{568CAC18-8B5F-4EBB-BC00-5E14D48B7C3C}">
      <text>
        <r>
          <rPr>
            <sz val="8"/>
            <color indexed="81"/>
            <rFont val="Tahoma"/>
            <family val="2"/>
          </rPr>
          <t xml:space="preserve">Man skal aldrig samle alle virksomhedens lån hos en finansieringskilde, f.eks. Banken, så får de for stor magt / indflydelse
</t>
        </r>
      </text>
    </comment>
    <comment ref="A8" authorId="0" shapeId="0" xr:uid="{C0EA55E4-518B-4BCF-9A11-FCBCF073A0F3}">
      <text>
        <r>
          <rPr>
            <b/>
            <sz val="8"/>
            <color indexed="81"/>
            <rFont val="Tahoma"/>
            <family val="2"/>
          </rPr>
          <t>Hvis man har indtægter i $ er det en fordel at tage et lån i $, så valutarisikoen er afdækket</t>
        </r>
      </text>
    </comment>
    <comment ref="A9" authorId="0" shapeId="0" xr:uid="{CD69AB84-A6D6-4E05-91EB-0DA68DFA0150}">
      <text>
        <r>
          <rPr>
            <b/>
            <sz val="8"/>
            <color indexed="81"/>
            <rFont val="Tahoma"/>
            <family val="2"/>
          </rPr>
          <t>Vælg altid et lån med fast rente fremfor variabel rente</t>
        </r>
      </text>
    </comment>
    <comment ref="A10" authorId="0" shapeId="0" xr:uid="{53243A51-947C-42EC-B113-6EC68604CD60}">
      <text>
        <r>
          <rPr>
            <sz val="8"/>
            <color indexed="81"/>
            <rFont val="Tahoma"/>
            <family val="2"/>
          </rPr>
          <t xml:space="preserve">Kan lånet indfries, eller er det inkonvertibelt. Er det et obligationslån med en kurs, så vi kan opnå en kursgevinst 7, et kurstab.
</t>
        </r>
      </text>
    </comment>
    <comment ref="A11" authorId="0" shapeId="0" xr:uid="{8318FA86-C330-412E-AA4C-C999B737EBDC}">
      <text>
        <r>
          <rPr>
            <b/>
            <sz val="8"/>
            <color indexed="81"/>
            <rFont val="Tahoma"/>
            <family val="2"/>
          </rPr>
          <t>Banklån, obligationslån</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Brygger</author>
  </authors>
  <commentList>
    <comment ref="E3" authorId="0" shapeId="0" xr:uid="{D4713AF1-E8C7-43A3-826C-00668198DF07}">
      <text>
        <r>
          <rPr>
            <sz val="20"/>
            <color indexed="81"/>
            <rFont val="Tahoma"/>
            <family val="2"/>
          </rPr>
          <t>I</t>
        </r>
        <r>
          <rPr>
            <b/>
            <sz val="20"/>
            <color indexed="81"/>
            <rFont val="Tahoma"/>
            <family val="2"/>
          </rPr>
          <t>ndtast tælleren i brøken. Hvis det ikke er en brøk 
indtastes det hele tal her.
Hvis der ikke er nogen hældning, dvs. hvis afsætningskurven er vandret skal der stå 0 her</t>
        </r>
      </text>
    </comment>
    <comment ref="E4" authorId="0" shapeId="0" xr:uid="{F1A8C0EE-CDA2-4D47-8985-2D4D33E9BE48}">
      <text>
        <r>
          <rPr>
            <b/>
            <sz val="20"/>
            <color indexed="81"/>
            <rFont val="Tahoma"/>
            <family val="2"/>
          </rPr>
          <t>Indtast nævneren i brøken. Hvis hældningskoefficienten er et helt tal tastes 1 her.
Hvis der ikke er nogen hældning på MR - kurven dvs. den er vandret skal der også stå 1 her.</t>
        </r>
        <r>
          <rPr>
            <sz val="20"/>
            <color indexed="81"/>
            <rFont val="Tahoma"/>
            <family val="2"/>
          </rPr>
          <t xml:space="preserve">
</t>
        </r>
      </text>
    </comment>
    <comment ref="N5" authorId="0" shapeId="0" xr:uid="{CB99290E-22B4-4E35-BC8C-B9682978244C}">
      <text>
        <r>
          <rPr>
            <b/>
            <sz val="20"/>
            <color indexed="81"/>
            <rFont val="Tahoma"/>
            <family val="2"/>
          </rPr>
          <t xml:space="preserve">Hvis der ikke er nogen hældning på MC - kurven dvs. den er vandret skal der stå 0 her.
</t>
        </r>
        <r>
          <rPr>
            <sz val="20"/>
            <color indexed="81"/>
            <rFont val="Tahoma"/>
            <family val="2"/>
          </rPr>
          <t xml:space="preserve">
</t>
        </r>
      </text>
    </comment>
    <comment ref="N6" authorId="0" shapeId="0" xr:uid="{E95E578B-AE40-4DE3-B975-1C6025CC671D}">
      <text>
        <r>
          <rPr>
            <b/>
            <sz val="20"/>
            <color indexed="81"/>
            <rFont val="Tahoma"/>
            <family val="2"/>
          </rPr>
          <t xml:space="preserve">Hvis der ikke er nogen hældning på MC - kurven dvs. den er vandret skal der stå 1 her.
</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IT Afdelingen</author>
    <author>Roskilde Handelsskole</author>
    <author>IT afdelingen</author>
  </authors>
  <commentList>
    <comment ref="B2" authorId="0" shapeId="0" xr:uid="{7425B99E-FC51-4B6F-9E28-031282F0CEC6}">
      <text>
        <r>
          <rPr>
            <b/>
            <sz val="8"/>
            <color indexed="81"/>
            <rFont val="Tahoma"/>
            <family val="2"/>
          </rPr>
          <t>Her indtastes årstal for regnskabsåret, de andre årstal justeres i forhold til dette</t>
        </r>
      </text>
    </comment>
    <comment ref="A4" authorId="1" shapeId="0" xr:uid="{DFE27811-4EB8-45CE-9A9E-E87BA31F3483}">
      <text>
        <r>
          <rPr>
            <b/>
            <sz val="14"/>
            <color indexed="81"/>
            <rFont val="Tahoma"/>
            <family val="2"/>
          </rPr>
          <t xml:space="preserve">Her skal du bestemme om det er en produktions eller en handelsvirksomhed.
Hvis det er en produktionsvirksomhed skriver du </t>
        </r>
        <r>
          <rPr>
            <b/>
            <i/>
            <sz val="16"/>
            <color indexed="81"/>
            <rFont val="Tahoma"/>
            <family val="2"/>
          </rPr>
          <t>Råvarer</t>
        </r>
        <r>
          <rPr>
            <b/>
            <sz val="14"/>
            <color indexed="81"/>
            <rFont val="Tahoma"/>
            <family val="2"/>
          </rPr>
          <t xml:space="preserve">.
Hvis det er en handelsvirksomhed skriver du </t>
        </r>
        <r>
          <rPr>
            <b/>
            <i/>
            <sz val="16"/>
            <color indexed="81"/>
            <rFont val="Tahoma"/>
            <family val="2"/>
          </rPr>
          <t>Vareforbrug</t>
        </r>
      </text>
    </comment>
    <comment ref="B34" authorId="2" shapeId="0" xr:uid="{8810C113-4DDA-48A7-9AC2-D05F8C8109CE}">
      <text>
        <r>
          <rPr>
            <b/>
            <sz val="8"/>
            <color indexed="81"/>
            <rFont val="Tahoma"/>
            <family val="2"/>
          </rPr>
          <t>Hvis der er en kassekredit i opgaven skal der angives et max. Hvis der ikke er angivet et max. i opgaven kan max sættes til primo saldoen.</t>
        </r>
        <r>
          <rPr>
            <sz val="8"/>
            <color indexed="81"/>
            <rFont val="Tahoma"/>
            <family val="2"/>
          </rPr>
          <t xml:space="preserve">
</t>
        </r>
      </text>
    </comment>
    <comment ref="C36" authorId="2" shapeId="0" xr:uid="{56F3C6D5-1778-4A75-9F1B-67DAEB846637}">
      <text>
        <r>
          <rPr>
            <b/>
            <sz val="12"/>
            <color indexed="81"/>
            <rFont val="Tahoma"/>
            <family val="2"/>
          </rPr>
          <t>Her skal du bestemme om opgaven skal udarbejdes exclusiv eller inclklusiv moms.
Hvis du vil lave opgaven exclusiv moms tastes: 0</t>
        </r>
        <r>
          <rPr>
            <b/>
            <sz val="12"/>
            <color indexed="81"/>
            <rFont val="Tahoma"/>
            <family val="2"/>
          </rPr>
          <t xml:space="preserve">
Hvis du vil lave opgaven inclusiv moms tastes en momsprocent. I Danmark 25%,
tast: 25</t>
        </r>
        <r>
          <rPr>
            <sz val="12"/>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Jesper Brygger</author>
    <author>Per</author>
    <author>IT afdelingen</author>
    <author>Brygger</author>
    <author>Roskilde Handelsskole</author>
    <author>Gustav</author>
  </authors>
  <commentList>
    <comment ref="C4" authorId="0" shapeId="0" xr:uid="{FF3A82E6-B3EA-417E-90F1-E9FAD4F20AEE}">
      <text>
        <r>
          <rPr>
            <sz val="14"/>
            <color indexed="81"/>
            <rFont val="Tahoma"/>
            <family val="2"/>
          </rPr>
          <t>Hvis der foretages investeringer skal beløbet indtastes her som et "Positivt" tal. Hvis virksomheden sælger investeringsgoder skal det indtastes som et "negativt" tal. Bør udspecificeres på det enkelte aktiv hvis det er muligt.</t>
        </r>
        <r>
          <rPr>
            <sz val="9"/>
            <color indexed="81"/>
            <rFont val="Tahoma"/>
            <family val="2"/>
          </rPr>
          <t xml:space="preserve">
</t>
        </r>
      </text>
    </comment>
    <comment ref="D4" authorId="0" shapeId="0" xr:uid="{8F1853B8-FF3F-4427-A25C-2444A3088A8F}">
      <text>
        <r>
          <rPr>
            <b/>
            <sz val="9"/>
            <color indexed="81"/>
            <rFont val="Tahoma"/>
            <family val="2"/>
          </rPr>
          <t>Afskrivningerne kommer fra resultatbudgettet. Du kan slette dem og fordele dem ud på de enkelte aktiver hvis opgaven giver oplysninger om afskrivninger på de enkelte aktiver</t>
        </r>
      </text>
    </comment>
    <comment ref="F7" authorId="0" shapeId="0" xr:uid="{93971BAC-3BA4-4251-9850-BAF89339D3B0}">
      <text>
        <r>
          <rPr>
            <b/>
            <sz val="14"/>
            <color indexed="81"/>
            <rFont val="Tahoma"/>
            <family val="2"/>
          </rPr>
          <t>Hvis det ikke er et aktieselskab eller anpartselskab, kan der stå privatforbrug her. Privatforbrug bruges ved enkeltmandsfirma og interessentskaber</t>
        </r>
      </text>
    </comment>
    <comment ref="G7" authorId="0" shapeId="0" xr:uid="{4452BEA0-01CE-43D6-82D0-A74F7216B1E7}">
      <text>
        <r>
          <rPr>
            <b/>
            <sz val="9"/>
            <color indexed="81"/>
            <rFont val="Tahoma"/>
            <family val="2"/>
          </rPr>
          <t>Her må kun tastes hvis det er en virksomhed med privatforbrug</t>
        </r>
      </text>
    </comment>
    <comment ref="I7" authorId="1" shapeId="0" xr:uid="{81FB5DC7-1FBB-4E15-AD94-85D0802FC134}">
      <text>
        <r>
          <rPr>
            <b/>
            <sz val="8"/>
            <color indexed="81"/>
            <rFont val="Tahoma"/>
            <family val="2"/>
          </rPr>
          <t>Der skal ikke tastes minus foran privatforbruget</t>
        </r>
        <r>
          <rPr>
            <sz val="8"/>
            <color indexed="81"/>
            <rFont val="Tahoma"/>
            <family val="2"/>
          </rPr>
          <t xml:space="preserve">
</t>
        </r>
      </text>
    </comment>
    <comment ref="H12" authorId="2" shapeId="0" xr:uid="{71B9563B-3598-49FC-8619-A11148F809C7}">
      <text>
        <r>
          <rPr>
            <b/>
            <sz val="14"/>
            <color indexed="81"/>
            <rFont val="Tahoma"/>
            <family val="2"/>
          </rPr>
          <t>Når der afdrages på gælden skal der tastes minus foran tallet.</t>
        </r>
      </text>
    </comment>
    <comment ref="A16" authorId="3" shapeId="0" xr:uid="{B18FE49B-5660-4B6D-8F7E-A41CB82A3B0F}">
      <text>
        <r>
          <rPr>
            <b/>
            <sz val="8"/>
            <color indexed="81"/>
            <rFont val="Tahoma"/>
            <family val="2"/>
          </rPr>
          <t>Varelageret må ikke laves om da det danner grundlag for omsætningshastigheden på varelageret</t>
        </r>
      </text>
    </comment>
    <comment ref="F16" authorId="3" shapeId="0" xr:uid="{A0792369-4FD8-4230-A163-5488257D047F}">
      <text>
        <r>
          <rPr>
            <b/>
            <sz val="8"/>
            <color indexed="81"/>
            <rFont val="Tahoma"/>
            <family val="2"/>
          </rPr>
          <t>Varekreditorerne må ikke laves om da det danner grundlag for omsætningshastigheden på varekreditorer og kreditdage</t>
        </r>
        <r>
          <rPr>
            <sz val="8"/>
            <color indexed="81"/>
            <rFont val="Tahoma"/>
            <family val="2"/>
          </rPr>
          <t xml:space="preserve">
</t>
        </r>
      </text>
    </comment>
    <comment ref="A17" authorId="2" shapeId="0" xr:uid="{5C7502D7-F3E3-410F-BA7A-928FB12B7B77}">
      <text>
        <r>
          <rPr>
            <b/>
            <sz val="8"/>
            <color indexed="81"/>
            <rFont val="Tahoma"/>
            <family val="2"/>
          </rPr>
          <t>Tast ikke her, det er en celle til produktionen(VUF) i en produktionsvirksomhed</t>
        </r>
      </text>
    </comment>
    <comment ref="A18" authorId="2" shapeId="0" xr:uid="{0FF3AC5E-363A-4556-93A0-243E022DA470}">
      <text>
        <r>
          <rPr>
            <b/>
            <sz val="8"/>
            <color indexed="81"/>
            <rFont val="Tahoma"/>
            <family val="2"/>
          </rPr>
          <t xml:space="preserve">Tast ikke her, 
det er en celle til færdigvarerlageret i en produktionsvirksomhed
</t>
        </r>
      </text>
    </comment>
    <comment ref="A19" authorId="3" shapeId="0" xr:uid="{B542E96B-E338-4D6A-98A3-DDAD15A2ADD9}">
      <text>
        <r>
          <rPr>
            <b/>
            <sz val="8"/>
            <color indexed="81"/>
            <rFont val="Tahoma"/>
            <family val="2"/>
          </rPr>
          <t xml:space="preserve">Varedebitorerne må ikke laves om da det danner grundlag for omsætningshastigheden på varedebitorer
</t>
        </r>
        <r>
          <rPr>
            <sz val="8"/>
            <color indexed="81"/>
            <rFont val="Tahoma"/>
            <family val="2"/>
          </rPr>
          <t xml:space="preserve">
</t>
        </r>
      </text>
    </comment>
    <comment ref="G23" authorId="2" shapeId="0" xr:uid="{52A6A951-CD31-4F26-85B9-8F934877D029}">
      <text>
        <r>
          <rPr>
            <b/>
            <sz val="16"/>
            <color indexed="81"/>
            <rFont val="Tahoma"/>
            <family val="2"/>
          </rPr>
          <t xml:space="preserve">Hvis der indtastes en kassekredit skal der også indtastes et max. Hvis intet max. er oplyst kan det sættes til saldoen på kassekreditten primo
</t>
        </r>
        <r>
          <rPr>
            <sz val="8"/>
            <color indexed="81"/>
            <rFont val="Tahoma"/>
            <family val="2"/>
          </rPr>
          <t xml:space="preserve">
</t>
        </r>
      </text>
    </comment>
    <comment ref="B25" authorId="4" shapeId="0" xr:uid="{2142ED0B-7EA3-4DFB-BE99-BDFB8860061A}">
      <text>
        <r>
          <rPr>
            <b/>
            <sz val="8"/>
            <color indexed="8"/>
            <rFont val="Tahoma"/>
            <family val="2"/>
          </rPr>
          <t>Indtast ikke i felter markeret med fed</t>
        </r>
      </text>
    </comment>
    <comment ref="F39" authorId="5" shapeId="0" xr:uid="{DE3B77C7-E446-4A66-A313-5BEE34EC51FF}">
      <text>
        <r>
          <rPr>
            <b/>
            <sz val="9"/>
            <color indexed="81"/>
            <rFont val="Tahoma"/>
            <charset val="1"/>
          </rPr>
          <t>45 dage</t>
        </r>
      </text>
    </comment>
    <comment ref="H40" authorId="5" shapeId="0" xr:uid="{29ED45D8-8FDA-41B7-981E-10D772662F93}">
      <text>
        <r>
          <rPr>
            <b/>
            <sz val="9"/>
            <color indexed="81"/>
            <rFont val="Tahoma"/>
            <charset val="1"/>
          </rPr>
          <t>360/40dage =9</t>
        </r>
      </text>
    </comment>
  </commentList>
</comments>
</file>

<file path=xl/sharedStrings.xml><?xml version="1.0" encoding="utf-8"?>
<sst xmlns="http://schemas.openxmlformats.org/spreadsheetml/2006/main" count="447" uniqueCount="265">
  <si>
    <t>Beregning af effektiv rente på annuitetslån:</t>
  </si>
  <si>
    <t>Lånets størrelse, Hovedstol</t>
  </si>
  <si>
    <t>Kurs</t>
  </si>
  <si>
    <t>Evt. omk.ved låneoptagelse</t>
  </si>
  <si>
    <t>Til udbetaling / nettoprovenuet</t>
  </si>
  <si>
    <t>Nominel rente pr. år</t>
  </si>
  <si>
    <t>Antal år</t>
  </si>
  <si>
    <t>Terminer pr. år</t>
  </si>
  <si>
    <t>Antal terminer i alt</t>
  </si>
  <si>
    <t>Nominel rente pr. termin</t>
  </si>
  <si>
    <t>Ydelse (rente og afdrag)</t>
  </si>
  <si>
    <t>(Beregning: se note til annuitetslån)</t>
  </si>
  <si>
    <t>Gebyr pr. termin</t>
  </si>
  <si>
    <t xml:space="preserve">Årlig effektiv rente </t>
  </si>
  <si>
    <t>Termin</t>
  </si>
  <si>
    <t>Restgæld primo</t>
  </si>
  <si>
    <t>Ydelse incl. gebyr</t>
  </si>
  <si>
    <t xml:space="preserve">Ydelse </t>
  </si>
  <si>
    <t>Rente</t>
  </si>
  <si>
    <t>Afdrag</t>
  </si>
  <si>
    <t>Restgæld ultimo</t>
  </si>
  <si>
    <t>Total</t>
  </si>
  <si>
    <r>
      <t xml:space="preserve">Note til beregningen af den effektive rente på annuitetslån: </t>
    </r>
    <r>
      <rPr>
        <sz val="12"/>
        <rFont val="Arial"/>
        <family val="2"/>
      </rPr>
      <t xml:space="preserve">                                           Den effektive rente på et annuitetslån beregnes ved at bruge nedenstående formel. Først findes ydelsen (b). </t>
    </r>
  </si>
  <si>
    <t>Derefter ændres hovedstolen til nettoprovenuet som sættes lig med annuitets-diskonteringsfaktoren (rentetabel 4) ganget med betalingen/ydelsen pr termin (b). Renten (r) er den ubekendte som skal findes.</t>
  </si>
  <si>
    <t>Først beregnes ydelsen (b) udfra hovedstolen:</t>
  </si>
  <si>
    <t xml:space="preserve">Hovedstolen </t>
  </si>
  <si>
    <t>=</t>
  </si>
  <si>
    <t>1-(1+ r)</t>
  </si>
  <si>
    <t>-n</t>
  </si>
  <si>
    <t>*</t>
  </si>
  <si>
    <t>b</t>
  </si>
  <si>
    <t>r</t>
  </si>
  <si>
    <t>Hovedstolen ændres til nettoprovenuet og renten beregnes:</t>
  </si>
  <si>
    <t>Nettoprovenuet</t>
  </si>
  <si>
    <t>Ved at indsætte tallene får man:</t>
  </si>
  <si>
    <t>Isolering af diskonteringsfaktoren:</t>
  </si>
  <si>
    <t>Ved at prøve sig frem kan r findes til:</t>
  </si>
  <si>
    <t>Eller udtrykt i procent:</t>
  </si>
  <si>
    <t>Beregning af effektiv rente på tilbud 1:</t>
  </si>
  <si>
    <t xml:space="preserve">Lånets størrelse, Hovedstol </t>
  </si>
  <si>
    <t>FV</t>
  </si>
  <si>
    <t>Evt. omk ved låneoptagelse</t>
  </si>
  <si>
    <t>Antal terminer ialt</t>
  </si>
  <si>
    <t>(Beregning: se note til serielån)</t>
  </si>
  <si>
    <t>Effektiv rente pr år</t>
  </si>
  <si>
    <t>Ydelse incl. Gebyr</t>
  </si>
  <si>
    <t>Ydelse</t>
  </si>
  <si>
    <t>Note til beregningen af den effektive rente på serielån:</t>
  </si>
  <si>
    <t>Restgæld</t>
  </si>
  <si>
    <t>Gebyr</t>
  </si>
  <si>
    <t>(1+r)</t>
  </si>
  <si>
    <t>Eller udtrykt i %:</t>
  </si>
  <si>
    <t>Sammenligning af finansieringskilder</t>
  </si>
  <si>
    <t>Kriterier</t>
  </si>
  <si>
    <t>Annuitetslån, tilbud 2</t>
  </si>
  <si>
    <t>tilbud 1</t>
  </si>
  <si>
    <t>Effektive rente</t>
  </si>
  <si>
    <t>nettoprovenu</t>
  </si>
  <si>
    <t>Betaling første år</t>
  </si>
  <si>
    <t>Løbetid år</t>
  </si>
  <si>
    <t>Finanseringskilde / magt</t>
  </si>
  <si>
    <t>Valuta</t>
  </si>
  <si>
    <t>Fast / variabel rente</t>
  </si>
  <si>
    <t>Konvertibelt / inkonvertibelt</t>
  </si>
  <si>
    <t>Lånetype</t>
  </si>
  <si>
    <t>2.1 og 2.2</t>
  </si>
  <si>
    <t>Kommentarer til valg af lån: Ud fra en omkostningsmæssig betragtning bør annuitetslånet vælges. Hvis man skulle vælge tilbud 1 fremfor tilbud kan det gøres ud fra et likviditetsmæssigt synspunkt. (betalingen første år på tilbud 1 er mindre end på tilbud 2) Tilbud 1 har 30.000 ekstra i nettoprvenu pga. de lavere stiftelsesomkostninger.</t>
  </si>
  <si>
    <t>Resultat</t>
  </si>
  <si>
    <t>år</t>
  </si>
  <si>
    <t>rente</t>
  </si>
  <si>
    <t>Tid / År</t>
  </si>
  <si>
    <t>Indbetalinger</t>
  </si>
  <si>
    <t>Udbetalinger</t>
  </si>
  <si>
    <t xml:space="preserve">Net Cash-Flow </t>
  </si>
  <si>
    <r>
      <t>Diskonteringsfaktoren Rentetabel 2  (1+r)</t>
    </r>
    <r>
      <rPr>
        <b/>
        <vertAlign val="superscript"/>
        <sz val="12"/>
        <rFont val="Arial"/>
        <family val="2"/>
      </rPr>
      <t>-n</t>
    </r>
  </si>
  <si>
    <r>
      <t xml:space="preserve">Nutidsværdi </t>
    </r>
    <r>
      <rPr>
        <b/>
        <vertAlign val="superscript"/>
        <sz val="12"/>
        <rFont val="Arial"/>
        <family val="2"/>
      </rPr>
      <t xml:space="preserve"> Diskonteringsfaktoren gange     Net cash-flow</t>
    </r>
  </si>
  <si>
    <r>
      <t>Diskonteringsfaktoren   (1+r)</t>
    </r>
    <r>
      <rPr>
        <b/>
        <vertAlign val="superscript"/>
        <sz val="12"/>
        <rFont val="Arial"/>
        <family val="2"/>
      </rPr>
      <t xml:space="preserve">-n </t>
    </r>
    <r>
      <rPr>
        <b/>
        <sz val="12"/>
        <rFont val="Arial"/>
        <family val="2"/>
      </rPr>
      <t>ved IRR</t>
    </r>
  </si>
  <si>
    <r>
      <t>NPV omregnet til en  annuitet = ((1+r)</t>
    </r>
    <r>
      <rPr>
        <b/>
        <vertAlign val="superscript"/>
        <sz val="12"/>
        <rFont val="Arial"/>
        <family val="2"/>
      </rPr>
      <t xml:space="preserve">n </t>
    </r>
    <r>
      <rPr>
        <b/>
        <sz val="12"/>
        <rFont val="Arial"/>
        <family val="2"/>
      </rPr>
      <t>*r) / ((1+r)</t>
    </r>
    <r>
      <rPr>
        <b/>
        <vertAlign val="superscript"/>
        <sz val="12"/>
        <rFont val="Arial"/>
        <family val="2"/>
      </rPr>
      <t>n</t>
    </r>
    <r>
      <rPr>
        <b/>
        <sz val="12"/>
        <rFont val="Arial"/>
        <family val="2"/>
      </rPr>
      <t>-1)</t>
    </r>
  </si>
  <si>
    <t>Nutidsværdimetoden, kapitalværdimetoden, NPV</t>
  </si>
  <si>
    <t>Annuitetsmetoden (Det årlige resultat)/PMT</t>
  </si>
  <si>
    <t>Den interne rente (IRR)</t>
  </si>
  <si>
    <t>Tilbagebetalingstiden i år (pay -back)</t>
  </si>
  <si>
    <t>nutidsværdi af alle terminer (fra termin/år 1 til termin 120)</t>
  </si>
  <si>
    <t>Nutidsværdi omregnet til en annuitet (for at tilbagebetalingstiden kan udregnes)</t>
  </si>
  <si>
    <t>Kommentarer:</t>
  </si>
  <si>
    <t>Opgave 1</t>
  </si>
  <si>
    <t>Jordbundsundersøgelser</t>
  </si>
  <si>
    <t>Grund og bygninger</t>
  </si>
  <si>
    <t>Inventar og trucks</t>
  </si>
  <si>
    <t>logisitkchef møder</t>
  </si>
  <si>
    <t>Flytning</t>
  </si>
  <si>
    <t>Reducering af lager  første år</t>
  </si>
  <si>
    <t>Salg af hidtidige lokationer, første år</t>
  </si>
  <si>
    <t>Lønbesparelser 1 år</t>
  </si>
  <si>
    <t>Lønbesparelser år 2 og frem</t>
  </si>
  <si>
    <t>ekstra reparation år 5</t>
  </si>
  <si>
    <t>Scrapværdi</t>
  </si>
  <si>
    <t>sunkcost, skal ikke med</t>
  </si>
  <si>
    <t>1.2</t>
  </si>
  <si>
    <t>Ekstra reparationsomk år 5</t>
  </si>
  <si>
    <t>Indregnet</t>
  </si>
  <si>
    <t>Positiv nutidsværdi flyttet til år 5</t>
  </si>
  <si>
    <t>Reparation i år 5 må højst koste</t>
  </si>
  <si>
    <t>Bevis for 1.2</t>
  </si>
  <si>
    <t xml:space="preserve">Når besparelsen vedr. reduktion af lageret først finder sted i år 2 forringer det investeringens rentabilitet. Det kan selvfølgelig ses på diskonteringsfaktoren som kun er 0,82645 for år 2 hvorimod den for år 1 er 0,90909, det giver dermed en større nutidsværdi af få pengene i år 1 fremfor år 2. </t>
  </si>
  <si>
    <t>Ændring pris</t>
  </si>
  <si>
    <t>Ændring mængde</t>
  </si>
  <si>
    <t>Omsætning</t>
  </si>
  <si>
    <t>Vareforbrug</t>
  </si>
  <si>
    <t>Bruttofortjeneste</t>
  </si>
  <si>
    <t>Dækningsbidrag</t>
  </si>
  <si>
    <t>Salgsfremmende omk.</t>
  </si>
  <si>
    <t>Markedsføringsbidrag</t>
  </si>
  <si>
    <t>Kontantekapacitets omk.</t>
  </si>
  <si>
    <t>Lokale omk.</t>
  </si>
  <si>
    <t>Gager</t>
  </si>
  <si>
    <t>Øvrige omk.</t>
  </si>
  <si>
    <t>Indtjeningsbidrag</t>
  </si>
  <si>
    <t>Afskrivninger</t>
  </si>
  <si>
    <t>Resultat før renter</t>
  </si>
  <si>
    <t>Renteomkostninger</t>
  </si>
  <si>
    <t>Renteindtægter</t>
  </si>
  <si>
    <t>Resultat før eks. omk.</t>
  </si>
  <si>
    <t>Ekstraordinære omk.</t>
  </si>
  <si>
    <t>Resultat før skat</t>
  </si>
  <si>
    <t>Skat</t>
  </si>
  <si>
    <t>Resultat fordeling:</t>
  </si>
  <si>
    <t>Udbytte</t>
  </si>
  <si>
    <t>Reserver</t>
  </si>
  <si>
    <t>Ændring</t>
  </si>
  <si>
    <t>Kassekredit max.</t>
  </si>
  <si>
    <t xml:space="preserve">Beregningerne er foretaget </t>
  </si>
  <si>
    <t>Aktie emmision</t>
  </si>
  <si>
    <t>Budgetteret Balance</t>
  </si>
  <si>
    <t>Aktiver:</t>
  </si>
  <si>
    <t>Passiver:</t>
  </si>
  <si>
    <t>Anlægsaktiver:</t>
  </si>
  <si>
    <t>Køb/Salg</t>
  </si>
  <si>
    <t>Afskrivning</t>
  </si>
  <si>
    <t>Egenkapital:</t>
  </si>
  <si>
    <t>Aktiekapital</t>
  </si>
  <si>
    <t>Grunde &amp; bygninger</t>
  </si>
  <si>
    <t>Årets resultat</t>
  </si>
  <si>
    <t>Egenkapital ultimo</t>
  </si>
  <si>
    <t>Hensættelser</t>
  </si>
  <si>
    <t>Langfristet gæld:</t>
  </si>
  <si>
    <t>Nyt lån til investeringer</t>
  </si>
  <si>
    <t>Realkreditinstitutter</t>
  </si>
  <si>
    <t>Anlægsaktiver i alt</t>
  </si>
  <si>
    <t>Langfristet gæld i alt</t>
  </si>
  <si>
    <t xml:space="preserve">Omsætningsaktiver: </t>
  </si>
  <si>
    <t>Kortfristet gæld:</t>
  </si>
  <si>
    <t>Varekreditorer</t>
  </si>
  <si>
    <t>Forudbetalinger</t>
  </si>
  <si>
    <t>Varedebitorer</t>
  </si>
  <si>
    <t>Andre kreditorer</t>
  </si>
  <si>
    <t>Likvide midler</t>
  </si>
  <si>
    <t>Kassekredit</t>
  </si>
  <si>
    <t xml:space="preserve">Omsætningsaktiver i alt </t>
  </si>
  <si>
    <t>Kortfristet gæld i alt</t>
  </si>
  <si>
    <t>Aktiver i alt</t>
  </si>
  <si>
    <t>Passiver i alt</t>
  </si>
  <si>
    <t>Omsætningshastigheder:</t>
  </si>
  <si>
    <t>Formel:</t>
  </si>
  <si>
    <t>*Varekøb  =</t>
  </si>
  <si>
    <t>Likviditetsbudget</t>
  </si>
  <si>
    <t>Ændringer i omsætningsaktiver:</t>
  </si>
  <si>
    <t>Primo</t>
  </si>
  <si>
    <t>Ultimo</t>
  </si>
  <si>
    <t>Ændringer i kortfristet gæld:</t>
  </si>
  <si>
    <t>Driftens likviditetsvirkning</t>
  </si>
  <si>
    <t>Anlægsinvesteringer:</t>
  </si>
  <si>
    <t>Køb af anlægsaktiver</t>
  </si>
  <si>
    <t>Finansielle indbetalinger:</t>
  </si>
  <si>
    <t>Finansielle udbetalinger:</t>
  </si>
  <si>
    <t>Periodens Likviditetsforskydning</t>
  </si>
  <si>
    <t>Likvide beholdninger Primo:</t>
  </si>
  <si>
    <t>Træk på kassekredit</t>
  </si>
  <si>
    <t>likvide beholdninger</t>
  </si>
  <si>
    <t>Likvide beholdninger Ultimo</t>
  </si>
  <si>
    <t>Fordeles således:</t>
  </si>
  <si>
    <t>Likvid beholdning</t>
  </si>
  <si>
    <t>Indsættes på kassekredit</t>
  </si>
  <si>
    <t>Variable salgsomk.</t>
  </si>
  <si>
    <t>Inventar</t>
  </si>
  <si>
    <t>Selskabsskat</t>
  </si>
  <si>
    <t>Opgave 1, test 1.2</t>
  </si>
  <si>
    <t>Ekstra reparation år 5</t>
  </si>
  <si>
    <t>Logisitkchef møder</t>
  </si>
  <si>
    <t>Reducering af lager først finder sted 2 år</t>
  </si>
  <si>
    <t>Opgave 1.3</t>
  </si>
  <si>
    <t>1.3</t>
  </si>
  <si>
    <t>Salgspris</t>
  </si>
  <si>
    <t>Havecentre</t>
  </si>
  <si>
    <t>Byggemarkeder</t>
  </si>
  <si>
    <t>VE</t>
  </si>
  <si>
    <t>Antal stk</t>
  </si>
  <si>
    <t>VO</t>
  </si>
  <si>
    <t>DB</t>
  </si>
  <si>
    <t>3.1</t>
  </si>
  <si>
    <t>Differensbidrag</t>
  </si>
  <si>
    <t>3.2</t>
  </si>
  <si>
    <t>kapacitet</t>
  </si>
  <si>
    <t>stk</t>
  </si>
  <si>
    <t>stk.</t>
  </si>
  <si>
    <t>Opgave 3.3</t>
  </si>
  <si>
    <t>Pris</t>
  </si>
  <si>
    <t>Afsætning</t>
  </si>
  <si>
    <t>omsætning</t>
  </si>
  <si>
    <t>Italiensk udekøkken på det danskemarked</t>
  </si>
  <si>
    <t>Løsningen er markeret med gult,DB 4.050.000, afsætning 1800 stk pris 7.750.</t>
  </si>
  <si>
    <t>Italiensk udekøkken på det nordtyske marked</t>
  </si>
  <si>
    <t>Afsætningsplan:</t>
  </si>
  <si>
    <t>3.4</t>
  </si>
  <si>
    <t>3.3</t>
  </si>
  <si>
    <t xml:space="preserve">Opgave </t>
  </si>
  <si>
    <t>Prisoptimering</t>
  </si>
  <si>
    <t>Ligninger for Indtægterne:</t>
  </si>
  <si>
    <t>Ligninger for omkostningerne:</t>
  </si>
  <si>
    <t>P</t>
  </si>
  <si>
    <t>X</t>
  </si>
  <si>
    <t>+</t>
  </si>
  <si>
    <t>FO</t>
  </si>
  <si>
    <t>TO</t>
  </si>
  <si>
    <t>MR</t>
  </si>
  <si>
    <r>
      <t>MC</t>
    </r>
    <r>
      <rPr>
        <b/>
        <vertAlign val="subscript"/>
        <sz val="10"/>
        <rFont val="Arial"/>
        <family val="2"/>
      </rPr>
      <t>(1)</t>
    </r>
  </si>
  <si>
    <t xml:space="preserve">indtil </t>
  </si>
  <si>
    <r>
      <t>VO</t>
    </r>
    <r>
      <rPr>
        <b/>
        <vertAlign val="subscript"/>
        <sz val="10"/>
        <rFont val="Arial"/>
        <family val="2"/>
      </rPr>
      <t>(2)</t>
    </r>
  </si>
  <si>
    <r>
      <t>MC</t>
    </r>
    <r>
      <rPr>
        <b/>
        <vertAlign val="subscript"/>
        <sz val="10"/>
        <rFont val="Arial"/>
        <family val="2"/>
      </rPr>
      <t>(2)</t>
    </r>
  </si>
  <si>
    <r>
      <t>VO</t>
    </r>
    <r>
      <rPr>
        <b/>
        <vertAlign val="subscript"/>
        <sz val="10"/>
        <rFont val="Arial"/>
        <family val="2"/>
      </rPr>
      <t>(3)</t>
    </r>
  </si>
  <si>
    <r>
      <t>MC</t>
    </r>
    <r>
      <rPr>
        <b/>
        <vertAlign val="subscript"/>
        <sz val="10"/>
        <rFont val="Arial"/>
        <family val="2"/>
      </rPr>
      <t>(3)</t>
    </r>
  </si>
  <si>
    <t>Max.kapacitet</t>
  </si>
  <si>
    <t>Løsning</t>
  </si>
  <si>
    <t>Udregning af løsninger:</t>
  </si>
  <si>
    <t>Mængde beregnet</t>
  </si>
  <si>
    <t>Mængde max. MC</t>
  </si>
  <si>
    <t>Mængde min. MC</t>
  </si>
  <si>
    <t>Samlet mængde max.</t>
  </si>
  <si>
    <t>Optimal mængde</t>
  </si>
  <si>
    <t>vo(1)</t>
  </si>
  <si>
    <t>Vo(2)</t>
  </si>
  <si>
    <t>Vo(3)</t>
  </si>
  <si>
    <t>Max DB</t>
  </si>
  <si>
    <t>Faste</t>
  </si>
  <si>
    <t>Overskud</t>
  </si>
  <si>
    <t>For at finde det optimale/maksimale Dækningsbidrag skal vi sætte MR lig med MC, derved finder vi den optimale mængde:</t>
  </si>
  <si>
    <t>indsættes i afsætningsfunktionen og man får prisen til:</t>
  </si>
  <si>
    <t>Resultatopgørelse</t>
  </si>
  <si>
    <t>-VO</t>
  </si>
  <si>
    <t>Priselasticitet i optimum:</t>
  </si>
  <si>
    <t>Formel (nedre p-akse / øvre p-akse)*-1</t>
  </si>
  <si>
    <t>/</t>
  </si>
  <si>
    <t>Tabel løsning prisoptimering</t>
  </si>
  <si>
    <t>Mængde</t>
  </si>
  <si>
    <t xml:space="preserve">VO </t>
  </si>
  <si>
    <t>Faste omk.</t>
  </si>
  <si>
    <t>MC</t>
  </si>
  <si>
    <t>(MR-MC)</t>
  </si>
  <si>
    <t>Data til grafen</t>
  </si>
  <si>
    <t>Optimal pris</t>
  </si>
  <si>
    <t xml:space="preserve">Pris </t>
  </si>
  <si>
    <t>Salg af sækkevogne, kapacitet 18.000 stk.</t>
  </si>
  <si>
    <t>Løsningen er markeret med gult, 9.000stk til havecentre og 9.000 stk. til byggemarkeder DB i alt 990.000kr.</t>
  </si>
  <si>
    <t>Løsningen er markeret med gult, 12.000 stk til havecentre og 12.000 stk. til byggemarkeder DB i alt 1.065.000kr.</t>
  </si>
  <si>
    <t>Salg af sækkevogne, kapacitet 30.000 stk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</si>
</sst>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_);_(* \(#,##0\);_(* &quot;-&quot;???_);_(@_)"/>
    <numFmt numFmtId="166" formatCode="0.0%"/>
    <numFmt numFmtId="167" formatCode="0.0000"/>
    <numFmt numFmtId="168" formatCode="_(* #,##0_);_(* \(#,##0\);_(* &quot;-&quot;??_);_(@_)"/>
    <numFmt numFmtId="169" formatCode="_(* #,##0.0000_);_(* \(#,##0.0000\);_(* &quot;-&quot;??_);_(@_)"/>
    <numFmt numFmtId="170" formatCode="_(* #,##0.000_);_(* \(#,##0.000\);_(* &quot;-&quot;??_);_(@_)"/>
    <numFmt numFmtId="171" formatCode="#,##0.00000"/>
    <numFmt numFmtId="172" formatCode="&quot;kr&quot;\ #,##0.00_);[Red]\(&quot;kr&quot;\ #,##0.00\)"/>
    <numFmt numFmtId="173" formatCode="0.000"/>
  </numFmts>
  <fonts count="43" x14ac:knownFonts="1">
    <font>
      <sz val="10"/>
      <name val="Arial"/>
    </font>
    <font>
      <b/>
      <sz val="20"/>
      <name val="Arial"/>
      <family val="2"/>
    </font>
    <font>
      <sz val="10"/>
      <name val="Arial"/>
      <family val="2"/>
    </font>
    <font>
      <b/>
      <sz val="14"/>
      <name val="Arial"/>
      <family val="2"/>
    </font>
    <font>
      <b/>
      <sz val="10"/>
      <name val="Arial"/>
      <family val="2"/>
    </font>
    <font>
      <b/>
      <sz val="16"/>
      <color indexed="81"/>
      <name val="Tahoma"/>
      <family val="2"/>
    </font>
    <font>
      <b/>
      <sz val="14"/>
      <color indexed="81"/>
      <name val="Tahoma"/>
      <family val="2"/>
    </font>
    <font>
      <sz val="14"/>
      <color indexed="81"/>
      <name val="Tahoma"/>
      <family val="2"/>
    </font>
    <font>
      <b/>
      <sz val="8"/>
      <color indexed="81"/>
      <name val="Tahoma"/>
      <family val="2"/>
    </font>
    <font>
      <b/>
      <sz val="12"/>
      <name val="Arial"/>
      <family val="2"/>
    </font>
    <font>
      <sz val="12"/>
      <name val="Arial"/>
      <family val="2"/>
    </font>
    <font>
      <sz val="16"/>
      <name val="Arial"/>
      <family val="2"/>
    </font>
    <font>
      <sz val="22"/>
      <name val="Arial"/>
      <family val="2"/>
    </font>
    <font>
      <sz val="14"/>
      <name val="Arial"/>
      <family val="2"/>
    </font>
    <font>
      <vertAlign val="superscript"/>
      <sz val="16"/>
      <name val="Arial"/>
      <family val="2"/>
    </font>
    <font>
      <sz val="18"/>
      <name val="Arial"/>
      <family val="2"/>
    </font>
    <font>
      <b/>
      <sz val="18"/>
      <name val="Arial"/>
      <family val="2"/>
    </font>
    <font>
      <b/>
      <sz val="22"/>
      <name val="Arial"/>
      <family val="2"/>
    </font>
    <font>
      <b/>
      <sz val="16"/>
      <name val="Arial"/>
      <family val="2"/>
    </font>
    <font>
      <vertAlign val="superscript"/>
      <sz val="14"/>
      <name val="Arial"/>
      <family val="2"/>
    </font>
    <font>
      <sz val="8"/>
      <color indexed="81"/>
      <name val="Tahoma"/>
      <family val="2"/>
    </font>
    <font>
      <vertAlign val="subscript"/>
      <sz val="14"/>
      <name val="Arial"/>
      <family val="2"/>
    </font>
    <font>
      <vertAlign val="subscript"/>
      <sz val="18"/>
      <name val="Arial"/>
      <family val="2"/>
    </font>
    <font>
      <vertAlign val="superscript"/>
      <sz val="10"/>
      <name val="Arial"/>
      <family val="2"/>
    </font>
    <font>
      <sz val="20"/>
      <name val="Arial"/>
      <family val="2"/>
    </font>
    <font>
      <b/>
      <vertAlign val="superscript"/>
      <sz val="12"/>
      <name val="Arial"/>
      <family val="2"/>
    </font>
    <font>
      <sz val="14"/>
      <color indexed="13"/>
      <name val="Arial"/>
      <family val="2"/>
    </font>
    <font>
      <b/>
      <sz val="9"/>
      <color indexed="81"/>
      <name val="Tahoma"/>
      <family val="2"/>
    </font>
    <font>
      <b/>
      <sz val="11"/>
      <color indexed="81"/>
      <name val="Tahoma"/>
      <family val="2"/>
    </font>
    <font>
      <sz val="20"/>
      <color indexed="81"/>
      <name val="Arial"/>
      <family val="2"/>
    </font>
    <font>
      <sz val="18"/>
      <color indexed="81"/>
      <name val="Arial"/>
      <family val="2"/>
    </font>
    <font>
      <sz val="9"/>
      <color indexed="81"/>
      <name val="Tahoma"/>
      <family val="2"/>
    </font>
    <font>
      <b/>
      <i/>
      <sz val="16"/>
      <color indexed="81"/>
      <name val="Tahoma"/>
      <family val="2"/>
    </font>
    <font>
      <b/>
      <sz val="12"/>
      <color indexed="81"/>
      <name val="Tahoma"/>
      <family val="2"/>
    </font>
    <font>
      <sz val="12"/>
      <color indexed="81"/>
      <name val="Tahoma"/>
      <family val="2"/>
    </font>
    <font>
      <b/>
      <sz val="8"/>
      <color indexed="8"/>
      <name val="Tahoma"/>
      <family val="2"/>
    </font>
    <font>
      <b/>
      <sz val="9"/>
      <color indexed="81"/>
      <name val="Tahoma"/>
      <charset val="1"/>
    </font>
    <font>
      <sz val="11"/>
      <name val="Arial"/>
      <family val="2"/>
    </font>
    <font>
      <sz val="8"/>
      <name val="Arial"/>
      <family val="2"/>
    </font>
    <font>
      <vertAlign val="superscript"/>
      <sz val="12"/>
      <name val="Arial"/>
      <family val="2"/>
    </font>
    <font>
      <b/>
      <vertAlign val="subscript"/>
      <sz val="10"/>
      <name val="Arial"/>
      <family val="2"/>
    </font>
    <font>
      <sz val="20"/>
      <color indexed="81"/>
      <name val="Tahoma"/>
      <family val="2"/>
    </font>
    <font>
      <b/>
      <sz val="20"/>
      <color indexed="81"/>
      <name val="Tahoma"/>
      <family val="2"/>
    </font>
  </fonts>
  <fills count="10">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FF99"/>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cellStyleXfs>
  <cellXfs count="632">
    <xf numFmtId="0" fontId="0" fillId="0" borderId="0" xfId="0"/>
    <xf numFmtId="3" fontId="2" fillId="2" borderId="3" xfId="1" applyNumberFormat="1" applyFill="1" applyBorder="1" applyProtection="1">
      <protection locked="0"/>
    </xf>
    <xf numFmtId="0" fontId="0" fillId="0" borderId="0" xfId="0" applyBorder="1"/>
    <xf numFmtId="0" fontId="0" fillId="0" borderId="4" xfId="0" applyBorder="1"/>
    <xf numFmtId="1" fontId="0" fillId="2" borderId="4" xfId="0" applyNumberFormat="1" applyFill="1" applyBorder="1" applyProtection="1">
      <protection locked="0"/>
    </xf>
    <xf numFmtId="3" fontId="0" fillId="2" borderId="4" xfId="0" applyNumberFormat="1" applyFill="1" applyBorder="1" applyProtection="1">
      <protection locked="0"/>
    </xf>
    <xf numFmtId="165" fontId="0" fillId="0" borderId="6" xfId="0" applyNumberFormat="1" applyBorder="1"/>
    <xf numFmtId="166" fontId="0" fillId="2" borderId="4" xfId="2" applyNumberFormat="1" applyFont="1" applyFill="1" applyBorder="1"/>
    <xf numFmtId="3" fontId="0" fillId="2" borderId="4" xfId="0" applyNumberFormat="1" applyFill="1" applyBorder="1"/>
    <xf numFmtId="0" fontId="0" fillId="0" borderId="4" xfId="0" applyFill="1" applyBorder="1" applyProtection="1">
      <protection locked="0"/>
    </xf>
    <xf numFmtId="166" fontId="0" fillId="0" borderId="4" xfId="0" applyNumberFormat="1" applyFill="1" applyBorder="1" applyProtection="1">
      <protection locked="0"/>
    </xf>
    <xf numFmtId="3" fontId="0" fillId="0" borderId="4" xfId="0" applyNumberFormat="1" applyBorder="1"/>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5" xfId="0" applyBorder="1"/>
    <xf numFmtId="10" fontId="3" fillId="0" borderId="4" xfId="2" applyNumberFormat="1" applyFont="1" applyFill="1" applyBorder="1"/>
    <xf numFmtId="0" fontId="0" fillId="0" borderId="0" xfId="0" applyFill="1"/>
    <xf numFmtId="0" fontId="0" fillId="0" borderId="0" xfId="0" applyFill="1" applyBorder="1"/>
    <xf numFmtId="0" fontId="0" fillId="0" borderId="4" xfId="0" applyFill="1" applyBorder="1"/>
    <xf numFmtId="0" fontId="0" fillId="0" borderId="7" xfId="0" applyFill="1" applyBorder="1"/>
    <xf numFmtId="10" fontId="0" fillId="0" borderId="8" xfId="0" applyNumberFormat="1" applyFill="1" applyBorder="1"/>
    <xf numFmtId="0" fontId="0" fillId="0" borderId="8" xfId="0" applyFill="1" applyBorder="1"/>
    <xf numFmtId="0" fontId="0" fillId="0" borderId="9" xfId="0" applyFill="1" applyBorder="1"/>
    <xf numFmtId="0" fontId="4" fillId="0" borderId="5" xfId="0" applyFont="1" applyFill="1" applyBorder="1"/>
    <xf numFmtId="0" fontId="4" fillId="0" borderId="0" xfId="0" applyFont="1" applyFill="1" applyBorder="1"/>
    <xf numFmtId="0" fontId="0" fillId="0" borderId="0" xfId="0" applyBorder="1" applyAlignment="1">
      <alignment wrapText="1"/>
    </xf>
    <xf numFmtId="0" fontId="0" fillId="0" borderId="0" xfId="0" applyBorder="1" applyAlignment="1">
      <alignment horizontal="center" wrapText="1"/>
    </xf>
    <xf numFmtId="0" fontId="0" fillId="0" borderId="4" xfId="0" applyBorder="1" applyAlignment="1">
      <alignment wrapText="1"/>
    </xf>
    <xf numFmtId="0" fontId="0" fillId="0" borderId="0" xfId="0" applyAlignment="1">
      <alignment wrapText="1"/>
    </xf>
    <xf numFmtId="3" fontId="0" fillId="0" borderId="0" xfId="0" applyNumberFormat="1" applyBorder="1"/>
    <xf numFmtId="3" fontId="2" fillId="0" borderId="0" xfId="1" applyNumberFormat="1" applyBorder="1"/>
    <xf numFmtId="0" fontId="0" fillId="0" borderId="10" xfId="0" applyBorder="1"/>
    <xf numFmtId="3" fontId="0" fillId="0" borderId="11" xfId="0" applyNumberFormat="1" applyBorder="1"/>
    <xf numFmtId="3" fontId="0" fillId="0" borderId="12" xfId="0" applyNumberFormat="1" applyBorder="1"/>
    <xf numFmtId="0" fontId="12" fillId="0" borderId="0" xfId="0" applyFont="1" applyAlignment="1" applyProtection="1">
      <alignment horizontal="center" vertical="center"/>
      <protection locked="0"/>
    </xf>
    <xf numFmtId="0" fontId="13" fillId="0" borderId="8" xfId="0" applyFont="1" applyBorder="1"/>
    <xf numFmtId="49" fontId="14" fillId="0" borderId="8" xfId="0" applyNumberFormat="1" applyFont="1" applyBorder="1"/>
    <xf numFmtId="0" fontId="14" fillId="0" borderId="8" xfId="0" applyNumberFormat="1" applyFont="1" applyBorder="1" applyAlignment="1">
      <alignment horizontal="left"/>
    </xf>
    <xf numFmtId="3" fontId="11" fillId="0" borderId="0" xfId="0" applyNumberFormat="1" applyFont="1" applyAlignment="1">
      <alignment vertical="center"/>
    </xf>
    <xf numFmtId="0" fontId="11"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right" vertical="center"/>
    </xf>
    <xf numFmtId="168" fontId="11" fillId="0" borderId="0" xfId="1" applyNumberFormat="1" applyFont="1" applyBorder="1" applyAlignment="1">
      <alignment vertical="center" readingOrder="1"/>
    </xf>
    <xf numFmtId="0" fontId="0" fillId="0" borderId="0" xfId="0" applyAlignment="1">
      <alignment horizontal="center"/>
    </xf>
    <xf numFmtId="0" fontId="14" fillId="0" borderId="8" xfId="0" applyFont="1" applyBorder="1" applyAlignment="1">
      <alignment horizontal="left"/>
    </xf>
    <xf numFmtId="0" fontId="12" fillId="0" borderId="0" xfId="0" applyFont="1" applyAlignment="1">
      <alignment horizontal="center" vertical="center"/>
    </xf>
    <xf numFmtId="0" fontId="15" fillId="0" borderId="0" xfId="0" applyFont="1" applyAlignment="1">
      <alignment horizontal="right"/>
    </xf>
    <xf numFmtId="0" fontId="12" fillId="0" borderId="0" xfId="0" applyFont="1" applyAlignment="1">
      <alignment horizontal="center"/>
    </xf>
    <xf numFmtId="167" fontId="11" fillId="0" borderId="0" xfId="2" applyNumberFormat="1" applyFont="1" applyAlignment="1">
      <alignment horizontal="center"/>
    </xf>
    <xf numFmtId="0" fontId="16" fillId="0" borderId="0" xfId="0" applyFont="1" applyAlignment="1">
      <alignment horizontal="right"/>
    </xf>
    <xf numFmtId="0" fontId="17" fillId="0" borderId="0" xfId="0" applyFont="1" applyAlignment="1">
      <alignment horizontal="center"/>
    </xf>
    <xf numFmtId="10" fontId="18" fillId="0" borderId="13" xfId="2" applyNumberFormat="1" applyFont="1" applyBorder="1" applyAlignment="1">
      <alignment horizontal="center"/>
    </xf>
    <xf numFmtId="0" fontId="13" fillId="0" borderId="0" xfId="0" applyFont="1" applyBorder="1" applyAlignment="1">
      <alignment horizontal="right"/>
    </xf>
    <xf numFmtId="3" fontId="19" fillId="0" borderId="0" xfId="0" applyNumberFormat="1" applyFont="1" applyBorder="1" applyAlignment="1">
      <alignment horizontal="left"/>
    </xf>
    <xf numFmtId="0" fontId="13" fillId="0" borderId="0" xfId="0" applyFont="1"/>
    <xf numFmtId="0" fontId="13" fillId="0" borderId="0" xfId="0" applyFont="1" applyAlignment="1">
      <alignment horizontal="right"/>
    </xf>
    <xf numFmtId="0" fontId="19" fillId="0" borderId="0" xfId="0" applyFont="1" applyBorder="1" applyAlignment="1">
      <alignment horizontal="left"/>
    </xf>
    <xf numFmtId="10" fontId="13" fillId="0" borderId="0" xfId="2" applyNumberFormat="1" applyFont="1" applyBorder="1" applyAlignment="1">
      <alignment horizontal="left"/>
    </xf>
    <xf numFmtId="10" fontId="13" fillId="0" borderId="0" xfId="0" applyNumberFormat="1" applyFont="1" applyAlignment="1"/>
    <xf numFmtId="3" fontId="0" fillId="3" borderId="3" xfId="0" applyNumberFormat="1" applyFill="1" applyBorder="1" applyProtection="1">
      <protection locked="0"/>
    </xf>
    <xf numFmtId="3" fontId="0" fillId="3" borderId="4" xfId="0" applyNumberFormat="1" applyFill="1" applyBorder="1"/>
    <xf numFmtId="3" fontId="0" fillId="3" borderId="4" xfId="0" applyNumberFormat="1" applyFill="1" applyBorder="1" applyProtection="1">
      <protection locked="0"/>
    </xf>
    <xf numFmtId="3" fontId="0" fillId="0" borderId="6" xfId="0" applyNumberFormat="1" applyBorder="1"/>
    <xf numFmtId="166" fontId="0" fillId="3" borderId="4" xfId="0" applyNumberFormat="1" applyFill="1" applyBorder="1"/>
    <xf numFmtId="3" fontId="0" fillId="0" borderId="4" xfId="0" applyNumberFormat="1" applyFill="1" applyBorder="1" applyProtection="1">
      <protection locked="0"/>
    </xf>
    <xf numFmtId="3" fontId="0" fillId="4" borderId="4" xfId="0" applyNumberFormat="1" applyFill="1" applyBorder="1"/>
    <xf numFmtId="10" fontId="3" fillId="0" borderId="4" xfId="0" applyNumberFormat="1" applyFont="1" applyFill="1" applyBorder="1"/>
    <xf numFmtId="0" fontId="0" fillId="0" borderId="5" xfId="0" applyFill="1" applyBorder="1" applyAlignment="1">
      <alignment horizontal="left"/>
    </xf>
    <xf numFmtId="0" fontId="0" fillId="0" borderId="0" xfId="0" applyFill="1" applyBorder="1" applyAlignment="1">
      <alignment horizontal="left"/>
    </xf>
    <xf numFmtId="0" fontId="0" fillId="0" borderId="4" xfId="0" applyFill="1" applyBorder="1" applyAlignment="1">
      <alignment horizontal="left"/>
    </xf>
    <xf numFmtId="0" fontId="0" fillId="0" borderId="8" xfId="0" applyBorder="1"/>
    <xf numFmtId="0" fontId="4" fillId="0" borderId="1" xfId="0" applyFont="1" applyFill="1" applyBorder="1"/>
    <xf numFmtId="0" fontId="0" fillId="0" borderId="2" xfId="0" applyFill="1" applyBorder="1"/>
    <xf numFmtId="0" fontId="0" fillId="0" borderId="3" xfId="0" applyFill="1" applyBorder="1"/>
    <xf numFmtId="0" fontId="0" fillId="0" borderId="5" xfId="0" applyFill="1" applyBorder="1"/>
    <xf numFmtId="0" fontId="0" fillId="0" borderId="0" xfId="0" applyFill="1" applyBorder="1" applyAlignment="1">
      <alignment horizontal="center"/>
    </xf>
    <xf numFmtId="3" fontId="0" fillId="0" borderId="0" xfId="0" applyNumberFormat="1" applyFill="1" applyBorder="1"/>
    <xf numFmtId="3" fontId="0" fillId="0" borderId="4" xfId="0" applyNumberFormat="1" applyFill="1" applyBorder="1"/>
    <xf numFmtId="3" fontId="0" fillId="4" borderId="0" xfId="0" applyNumberFormat="1" applyFill="1" applyBorder="1"/>
    <xf numFmtId="3" fontId="0" fillId="0" borderId="11" xfId="0" applyNumberFormat="1" applyFill="1" applyBorder="1"/>
    <xf numFmtId="3" fontId="0" fillId="0" borderId="12" xfId="0" applyNumberFormat="1" applyFill="1" applyBorder="1"/>
    <xf numFmtId="0" fontId="13" fillId="0" borderId="0" xfId="0" applyFont="1" applyAlignment="1">
      <alignment horizontal="left" vertical="top" wrapText="1"/>
    </xf>
    <xf numFmtId="0" fontId="21" fillId="0" borderId="16" xfId="0" applyFont="1" applyBorder="1" applyAlignment="1">
      <alignment horizontal="left" wrapText="1"/>
    </xf>
    <xf numFmtId="0" fontId="21" fillId="0" borderId="19" xfId="0" applyFont="1" applyBorder="1" applyAlignment="1">
      <alignment horizontal="left" wrapText="1"/>
    </xf>
    <xf numFmtId="0" fontId="10" fillId="0" borderId="18" xfId="0" applyFont="1" applyBorder="1" applyAlignment="1">
      <alignment horizontal="center" vertical="center" wrapText="1"/>
    </xf>
    <xf numFmtId="3" fontId="0" fillId="0" borderId="0" xfId="0" applyNumberFormat="1"/>
    <xf numFmtId="0" fontId="22" fillId="0" borderId="0" xfId="0" applyFont="1" applyAlignment="1">
      <alignment horizontal="center"/>
    </xf>
    <xf numFmtId="0" fontId="23" fillId="0" borderId="0" xfId="0" applyFont="1" applyAlignment="1">
      <alignment horizontal="left" vertical="top"/>
    </xf>
    <xf numFmtId="168" fontId="0" fillId="0" borderId="0" xfId="1" applyNumberFormat="1" applyFont="1"/>
    <xf numFmtId="0" fontId="23" fillId="0" borderId="0" xfId="0" applyFont="1" applyAlignment="1">
      <alignment vertical="top"/>
    </xf>
    <xf numFmtId="0" fontId="2" fillId="0" borderId="0" xfId="0" applyFont="1" applyAlignment="1">
      <alignment vertical="center"/>
    </xf>
    <xf numFmtId="168" fontId="2" fillId="0" borderId="0" xfId="1" applyNumberFormat="1" applyFont="1" applyAlignment="1">
      <alignment horizontal="right" vertical="center"/>
    </xf>
    <xf numFmtId="0" fontId="2" fillId="0" borderId="0" xfId="0" applyFont="1" applyAlignment="1">
      <alignment horizontal="center" vertical="center"/>
    </xf>
    <xf numFmtId="168" fontId="2" fillId="0" borderId="0" xfId="1" applyNumberFormat="1" applyFont="1" applyAlignment="1">
      <alignment horizontal="center" vertical="center"/>
    </xf>
    <xf numFmtId="168" fontId="2" fillId="0" borderId="0" xfId="1" applyNumberFormat="1" applyFont="1" applyAlignment="1">
      <alignment horizontal="center"/>
    </xf>
    <xf numFmtId="168" fontId="23" fillId="0" borderId="0" xfId="1" applyNumberFormat="1" applyFont="1" applyAlignment="1">
      <alignment horizontal="center" vertical="top"/>
    </xf>
    <xf numFmtId="0" fontId="10" fillId="0" borderId="0" xfId="0" applyFont="1"/>
    <xf numFmtId="167" fontId="10" fillId="0" borderId="0" xfId="0" applyNumberFormat="1" applyFont="1" applyAlignment="1">
      <alignment horizontal="center"/>
    </xf>
    <xf numFmtId="0" fontId="3" fillId="0" borderId="0" xfId="0" applyFont="1"/>
    <xf numFmtId="10" fontId="3" fillId="0" borderId="13" xfId="2" applyNumberFormat="1" applyFont="1" applyBorder="1" applyAlignment="1">
      <alignment horizontal="center"/>
    </xf>
    <xf numFmtId="3" fontId="13" fillId="0" borderId="0" xfId="0" applyNumberFormat="1" applyFont="1" applyBorder="1" applyAlignment="1">
      <alignment horizontal="left"/>
    </xf>
    <xf numFmtId="0" fontId="10" fillId="0" borderId="0" xfId="0" applyFont="1" applyBorder="1" applyAlignment="1"/>
    <xf numFmtId="0" fontId="0" fillId="0" borderId="0" xfId="0" applyAlignment="1"/>
    <xf numFmtId="0" fontId="15" fillId="0" borderId="0" xfId="0" applyFont="1" applyAlignment="1">
      <alignment wrapText="1"/>
    </xf>
    <xf numFmtId="10" fontId="13" fillId="0" borderId="0" xfId="0" applyNumberFormat="1" applyFont="1"/>
    <xf numFmtId="168" fontId="13" fillId="0" borderId="0" xfId="1" applyNumberFormat="1" applyFont="1"/>
    <xf numFmtId="3" fontId="13" fillId="0" borderId="0" xfId="0" applyNumberFormat="1" applyFont="1" applyAlignment="1">
      <alignment horizontal="right"/>
    </xf>
    <xf numFmtId="0" fontId="13" fillId="5" borderId="0" xfId="0" applyFont="1" applyFill="1" applyAlignment="1">
      <alignment horizontal="right"/>
    </xf>
    <xf numFmtId="0" fontId="13" fillId="0" borderId="0" xfId="0" applyFont="1" applyFill="1" applyBorder="1"/>
    <xf numFmtId="4" fontId="13" fillId="0" borderId="0" xfId="0" applyNumberFormat="1" applyFont="1"/>
    <xf numFmtId="0" fontId="9" fillId="0" borderId="0" xfId="0" applyFont="1"/>
    <xf numFmtId="0" fontId="10" fillId="3" borderId="0" xfId="0" applyFont="1" applyFill="1" applyAlignment="1">
      <alignment horizontal="left" indent="1"/>
    </xf>
    <xf numFmtId="10" fontId="10" fillId="3" borderId="0" xfId="0" applyNumberFormat="1" applyFont="1" applyFill="1" applyAlignment="1">
      <alignment horizontal="left" indent="1"/>
    </xf>
    <xf numFmtId="0" fontId="9" fillId="0" borderId="24" xfId="0" applyFont="1" applyBorder="1" applyAlignment="1">
      <alignment wrapText="1"/>
    </xf>
    <xf numFmtId="0" fontId="9" fillId="3" borderId="12" xfId="0" applyFont="1" applyFill="1" applyBorder="1"/>
    <xf numFmtId="0" fontId="9" fillId="3" borderId="24" xfId="0" applyFont="1" applyFill="1" applyBorder="1"/>
    <xf numFmtId="0" fontId="9" fillId="0" borderId="12" xfId="0" applyFont="1" applyBorder="1" applyAlignment="1">
      <alignment wrapText="1"/>
    </xf>
    <xf numFmtId="0" fontId="13" fillId="0" borderId="21" xfId="0" applyFont="1" applyBorder="1"/>
    <xf numFmtId="3" fontId="13" fillId="3" borderId="3" xfId="0" applyNumberFormat="1" applyFont="1" applyFill="1" applyBorder="1"/>
    <xf numFmtId="3" fontId="13" fillId="0" borderId="3" xfId="0" applyNumberFormat="1" applyFont="1" applyBorder="1"/>
    <xf numFmtId="171" fontId="13" fillId="0" borderId="21" xfId="0" applyNumberFormat="1" applyFont="1" applyBorder="1" applyAlignment="1">
      <alignment horizontal="right"/>
    </xf>
    <xf numFmtId="4" fontId="13" fillId="0" borderId="3" xfId="0" applyNumberFormat="1" applyFont="1" applyBorder="1"/>
    <xf numFmtId="171" fontId="13" fillId="0" borderId="2" xfId="0" applyNumberFormat="1" applyFont="1" applyBorder="1" applyAlignment="1">
      <alignment horizontal="right"/>
    </xf>
    <xf numFmtId="4" fontId="13" fillId="0" borderId="21" xfId="0" applyNumberFormat="1" applyFont="1" applyBorder="1"/>
    <xf numFmtId="0" fontId="13" fillId="0" borderId="3" xfId="0" applyFont="1" applyBorder="1"/>
    <xf numFmtId="0" fontId="13" fillId="0" borderId="22" xfId="0" applyFont="1" applyBorder="1"/>
    <xf numFmtId="3" fontId="13" fillId="3" borderId="4" xfId="0" applyNumberFormat="1" applyFont="1" applyFill="1" applyBorder="1"/>
    <xf numFmtId="3" fontId="13" fillId="0" borderId="4" xfId="0" applyNumberFormat="1" applyFont="1" applyBorder="1"/>
    <xf numFmtId="171" fontId="13" fillId="0" borderId="22" xfId="0" applyNumberFormat="1" applyFont="1" applyBorder="1" applyAlignment="1">
      <alignment horizontal="right"/>
    </xf>
    <xf numFmtId="4" fontId="13" fillId="0" borderId="4" xfId="0" applyNumberFormat="1" applyFont="1" applyBorder="1"/>
    <xf numFmtId="171" fontId="13" fillId="0" borderId="0" xfId="0" applyNumberFormat="1" applyFont="1" applyBorder="1" applyAlignment="1">
      <alignment horizontal="right"/>
    </xf>
    <xf numFmtId="4" fontId="13" fillId="0" borderId="22" xfId="0" applyNumberFormat="1" applyFont="1" applyBorder="1"/>
    <xf numFmtId="9" fontId="0" fillId="0" borderId="0" xfId="0" applyNumberFormat="1"/>
    <xf numFmtId="0" fontId="13" fillId="0" borderId="23" xfId="0" applyFont="1" applyBorder="1"/>
    <xf numFmtId="3" fontId="13" fillId="3" borderId="9" xfId="0" applyNumberFormat="1" applyFont="1" applyFill="1" applyBorder="1"/>
    <xf numFmtId="3" fontId="13" fillId="0" borderId="9" xfId="0" applyNumberFormat="1" applyFont="1" applyBorder="1"/>
    <xf numFmtId="171" fontId="13" fillId="0" borderId="23" xfId="0" applyNumberFormat="1" applyFont="1" applyBorder="1" applyAlignment="1">
      <alignment horizontal="right"/>
    </xf>
    <xf numFmtId="4" fontId="13" fillId="0" borderId="9" xfId="0" applyNumberFormat="1" applyFont="1" applyBorder="1"/>
    <xf numFmtId="171" fontId="13" fillId="0" borderId="8" xfId="0" applyNumberFormat="1" applyFont="1" applyBorder="1" applyAlignment="1">
      <alignment horizontal="right"/>
    </xf>
    <xf numFmtId="4" fontId="13" fillId="0" borderId="23" xfId="0" applyNumberFormat="1" applyFont="1" applyBorder="1"/>
    <xf numFmtId="0" fontId="13" fillId="7" borderId="7" xfId="0" applyFont="1" applyFill="1" applyBorder="1"/>
    <xf numFmtId="0" fontId="13" fillId="7" borderId="8" xfId="0" applyFont="1" applyFill="1" applyBorder="1"/>
    <xf numFmtId="4" fontId="13" fillId="7" borderId="9" xfId="0" applyNumberFormat="1" applyFont="1" applyFill="1" applyBorder="1"/>
    <xf numFmtId="40" fontId="13" fillId="0" borderId="0" xfId="0" applyNumberFormat="1" applyFont="1" applyFill="1" applyBorder="1"/>
    <xf numFmtId="40" fontId="13" fillId="7" borderId="23" xfId="0" applyNumberFormat="1" applyFont="1" applyFill="1" applyBorder="1"/>
    <xf numFmtId="0" fontId="13" fillId="7" borderId="5" xfId="0" applyFont="1" applyFill="1" applyBorder="1"/>
    <xf numFmtId="0" fontId="26" fillId="7" borderId="0" xfId="0" applyFont="1" applyFill="1" applyBorder="1"/>
    <xf numFmtId="4" fontId="13" fillId="7" borderId="4" xfId="0" applyNumberFormat="1" applyFont="1" applyFill="1" applyBorder="1"/>
    <xf numFmtId="4" fontId="13" fillId="0" borderId="0" xfId="0" applyNumberFormat="1" applyFont="1" applyFill="1" applyBorder="1"/>
    <xf numFmtId="0" fontId="13" fillId="7" borderId="10" xfId="0" applyFont="1" applyFill="1" applyBorder="1"/>
    <xf numFmtId="0" fontId="13" fillId="7" borderId="11" xfId="0" applyFont="1" applyFill="1" applyBorder="1"/>
    <xf numFmtId="10" fontId="13" fillId="7" borderId="12" xfId="0" applyNumberFormat="1" applyFont="1" applyFill="1" applyBorder="1"/>
    <xf numFmtId="10" fontId="13" fillId="0" borderId="0" xfId="0" applyNumberFormat="1" applyFont="1" applyFill="1" applyBorder="1"/>
    <xf numFmtId="2" fontId="13" fillId="7" borderId="9" xfId="0" applyNumberFormat="1" applyFont="1" applyFill="1" applyBorder="1"/>
    <xf numFmtId="2" fontId="13" fillId="0" borderId="0" xfId="0" applyNumberFormat="1" applyFont="1" applyFill="1" applyBorder="1"/>
    <xf numFmtId="0" fontId="2" fillId="0" borderId="5" xfId="0" applyFont="1" applyFill="1" applyBorder="1"/>
    <xf numFmtId="4" fontId="0" fillId="0" borderId="0" xfId="0" applyNumberFormat="1"/>
    <xf numFmtId="172" fontId="0" fillId="0" borderId="0" xfId="0" applyNumberFormat="1"/>
    <xf numFmtId="0" fontId="3" fillId="0" borderId="0" xfId="0" applyFont="1" applyAlignment="1"/>
    <xf numFmtId="0" fontId="13" fillId="0" borderId="0" xfId="0" applyFont="1" applyAlignment="1"/>
    <xf numFmtId="168" fontId="3" fillId="0" borderId="0" xfId="1" applyNumberFormat="1" applyFont="1"/>
    <xf numFmtId="0" fontId="2" fillId="0" borderId="0" xfId="0" applyFont="1"/>
    <xf numFmtId="0" fontId="13" fillId="0" borderId="0" xfId="0" applyFont="1" applyBorder="1"/>
    <xf numFmtId="0" fontId="3" fillId="4" borderId="0" xfId="0" applyFont="1" applyFill="1" applyAlignment="1"/>
    <xf numFmtId="0" fontId="13" fillId="4" borderId="0" xfId="0" applyFont="1" applyFill="1" applyAlignment="1"/>
    <xf numFmtId="168" fontId="3" fillId="4" borderId="0" xfId="1" applyNumberFormat="1" applyFont="1" applyFill="1"/>
    <xf numFmtId="0" fontId="2" fillId="0" borderId="0" xfId="3"/>
    <xf numFmtId="0" fontId="2" fillId="0" borderId="25" xfId="3" applyBorder="1"/>
    <xf numFmtId="0" fontId="2" fillId="6" borderId="26" xfId="3" applyFill="1" applyBorder="1"/>
    <xf numFmtId="49" fontId="2" fillId="0" borderId="26" xfId="3" applyNumberFormat="1" applyBorder="1" applyAlignment="1">
      <alignment wrapText="1"/>
    </xf>
    <xf numFmtId="0" fontId="2" fillId="0" borderId="26" xfId="3" applyBorder="1" applyAlignment="1">
      <alignment wrapText="1"/>
    </xf>
    <xf numFmtId="0" fontId="2" fillId="0" borderId="27" xfId="3" applyBorder="1"/>
    <xf numFmtId="0" fontId="2" fillId="0" borderId="5" xfId="3" applyBorder="1"/>
    <xf numFmtId="168" fontId="0" fillId="6" borderId="28" xfId="1" applyNumberFormat="1" applyFont="1" applyFill="1" applyBorder="1"/>
    <xf numFmtId="2" fontId="2" fillId="6" borderId="28" xfId="3" applyNumberFormat="1" applyFill="1" applyBorder="1"/>
    <xf numFmtId="168" fontId="0" fillId="0" borderId="29" xfId="1" applyNumberFormat="1" applyFont="1" applyBorder="1"/>
    <xf numFmtId="0" fontId="2" fillId="6" borderId="5" xfId="3" applyFont="1" applyFill="1" applyBorder="1"/>
    <xf numFmtId="2" fontId="2" fillId="0" borderId="28" xfId="3" applyNumberFormat="1" applyFill="1" applyBorder="1"/>
    <xf numFmtId="0" fontId="4" fillId="0" borderId="30" xfId="3" applyFont="1" applyBorder="1"/>
    <xf numFmtId="168" fontId="4" fillId="0" borderId="20" xfId="1" applyNumberFormat="1" applyFont="1" applyBorder="1"/>
    <xf numFmtId="2" fontId="4" fillId="0" borderId="20" xfId="3" applyNumberFormat="1" applyFont="1" applyBorder="1"/>
    <xf numFmtId="168" fontId="4" fillId="0" borderId="31" xfId="1" applyNumberFormat="1" applyFont="1" applyBorder="1"/>
    <xf numFmtId="2" fontId="2" fillId="0" borderId="28" xfId="3" applyNumberFormat="1" applyBorder="1"/>
    <xf numFmtId="0" fontId="2" fillId="0" borderId="5" xfId="3" applyFont="1" applyBorder="1"/>
    <xf numFmtId="168" fontId="0" fillId="0" borderId="20" xfId="1" applyNumberFormat="1" applyFont="1" applyBorder="1"/>
    <xf numFmtId="2" fontId="2" fillId="0" borderId="20" xfId="3" applyNumberFormat="1" applyBorder="1"/>
    <xf numFmtId="168" fontId="0" fillId="0" borderId="31" xfId="1" applyNumberFormat="1" applyFont="1" applyBorder="1"/>
    <xf numFmtId="168" fontId="0" fillId="6" borderId="20" xfId="1" applyNumberFormat="1" applyFont="1" applyFill="1" applyBorder="1"/>
    <xf numFmtId="2" fontId="2" fillId="0" borderId="32" xfId="3" applyNumberFormat="1" applyBorder="1"/>
    <xf numFmtId="9" fontId="0" fillId="6" borderId="33" xfId="2" applyFont="1" applyFill="1" applyBorder="1"/>
    <xf numFmtId="0" fontId="4" fillId="0" borderId="34" xfId="3" applyFont="1" applyBorder="1"/>
    <xf numFmtId="168" fontId="0" fillId="0" borderId="35" xfId="1" applyNumberFormat="1" applyFont="1" applyBorder="1"/>
    <xf numFmtId="2" fontId="2" fillId="0" borderId="36" xfId="3" applyNumberFormat="1" applyBorder="1"/>
    <xf numFmtId="168" fontId="0" fillId="0" borderId="37" xfId="1" applyNumberFormat="1" applyFont="1" applyBorder="1"/>
    <xf numFmtId="0" fontId="4" fillId="0" borderId="0" xfId="3" applyFont="1"/>
    <xf numFmtId="168" fontId="0" fillId="6" borderId="0" xfId="1" applyNumberFormat="1" applyFont="1" applyFill="1"/>
    <xf numFmtId="168" fontId="0" fillId="0" borderId="0" xfId="1" applyNumberFormat="1" applyFont="1" applyFill="1"/>
    <xf numFmtId="168" fontId="0" fillId="0" borderId="18" xfId="1" applyNumberFormat="1" applyFont="1" applyBorder="1"/>
    <xf numFmtId="0" fontId="2" fillId="0" borderId="0" xfId="3" applyFill="1" applyBorder="1"/>
    <xf numFmtId="168" fontId="0" fillId="6" borderId="18" xfId="1" applyNumberFormat="1" applyFont="1" applyFill="1" applyBorder="1" applyAlignment="1"/>
    <xf numFmtId="0" fontId="4" fillId="0" borderId="0" xfId="3" applyFont="1" applyAlignment="1"/>
    <xf numFmtId="0" fontId="4" fillId="0" borderId="0" xfId="3" applyFont="1" applyFill="1" applyAlignment="1"/>
    <xf numFmtId="0" fontId="2" fillId="0" borderId="38" xfId="3" applyBorder="1"/>
    <xf numFmtId="0" fontId="2" fillId="0" borderId="26" xfId="3" applyBorder="1"/>
    <xf numFmtId="0" fontId="2" fillId="0" borderId="26" xfId="3" applyFont="1" applyBorder="1"/>
    <xf numFmtId="0" fontId="2" fillId="0" borderId="39" xfId="3" applyBorder="1"/>
    <xf numFmtId="0" fontId="2" fillId="0" borderId="40" xfId="3" applyBorder="1"/>
    <xf numFmtId="0" fontId="4" fillId="0" borderId="38" xfId="3" applyFont="1" applyFill="1" applyBorder="1"/>
    <xf numFmtId="168" fontId="0" fillId="0" borderId="39" xfId="1" applyNumberFormat="1" applyFont="1" applyBorder="1"/>
    <xf numFmtId="168" fontId="0" fillId="0" borderId="41" xfId="1" applyNumberFormat="1" applyFont="1" applyBorder="1"/>
    <xf numFmtId="3" fontId="0" fillId="6" borderId="28" xfId="1" applyNumberFormat="1" applyFont="1" applyFill="1" applyBorder="1"/>
    <xf numFmtId="3" fontId="0" fillId="0" borderId="28" xfId="1" applyNumberFormat="1" applyFont="1" applyBorder="1"/>
    <xf numFmtId="3" fontId="0" fillId="0" borderId="0" xfId="1" applyNumberFormat="1" applyFont="1" applyBorder="1"/>
    <xf numFmtId="0" fontId="4" fillId="0" borderId="42" xfId="3" applyFont="1" applyFill="1" applyBorder="1"/>
    <xf numFmtId="3" fontId="0" fillId="6" borderId="15" xfId="1" applyNumberFormat="1" applyFont="1" applyFill="1" applyBorder="1"/>
    <xf numFmtId="3" fontId="0" fillId="0" borderId="15" xfId="1" applyNumberFormat="1" applyFont="1" applyBorder="1"/>
    <xf numFmtId="3" fontId="0" fillId="0" borderId="43" xfId="1" applyNumberFormat="1" applyFont="1" applyBorder="1"/>
    <xf numFmtId="0" fontId="4" fillId="0" borderId="5" xfId="3" applyFont="1" applyFill="1" applyBorder="1"/>
    <xf numFmtId="3" fontId="0" fillId="6" borderId="0" xfId="1" applyNumberFormat="1" applyFont="1" applyFill="1" applyBorder="1"/>
    <xf numFmtId="3" fontId="0" fillId="0" borderId="4" xfId="1" applyNumberFormat="1" applyFont="1" applyBorder="1"/>
    <xf numFmtId="0" fontId="2" fillId="0" borderId="5" xfId="3" applyFont="1" applyFill="1" applyBorder="1"/>
    <xf numFmtId="0" fontId="2" fillId="0" borderId="5" xfId="3" applyNumberFormat="1" applyFont="1" applyBorder="1"/>
    <xf numFmtId="3" fontId="0" fillId="6" borderId="4" xfId="1" applyNumberFormat="1" applyFont="1" applyFill="1" applyBorder="1"/>
    <xf numFmtId="49" fontId="2" fillId="0" borderId="30" xfId="3" applyNumberFormat="1" applyBorder="1"/>
    <xf numFmtId="3" fontId="0" fillId="0" borderId="18" xfId="1" applyNumberFormat="1" applyFont="1" applyBorder="1"/>
    <xf numFmtId="3" fontId="0" fillId="0" borderId="44" xfId="1" applyNumberFormat="1" applyFont="1" applyBorder="1"/>
    <xf numFmtId="49" fontId="2" fillId="0" borderId="5" xfId="3" applyNumberFormat="1" applyBorder="1"/>
    <xf numFmtId="3" fontId="2" fillId="0" borderId="0" xfId="1" applyNumberFormat="1" applyFont="1" applyBorder="1"/>
    <xf numFmtId="0" fontId="2" fillId="0" borderId="5" xfId="3" applyFill="1" applyBorder="1"/>
    <xf numFmtId="0" fontId="4" fillId="0" borderId="30" xfId="3" applyFont="1" applyFill="1" applyBorder="1"/>
    <xf numFmtId="3" fontId="4" fillId="0" borderId="20" xfId="1" applyNumberFormat="1" applyFont="1" applyFill="1" applyBorder="1"/>
    <xf numFmtId="3" fontId="0" fillId="0" borderId="20" xfId="1" applyNumberFormat="1" applyFont="1" applyBorder="1"/>
    <xf numFmtId="0" fontId="2" fillId="0" borderId="14" xfId="3" applyFill="1" applyBorder="1"/>
    <xf numFmtId="3" fontId="0" fillId="0" borderId="45" xfId="1" applyNumberFormat="1" applyFont="1" applyFill="1" applyBorder="1"/>
    <xf numFmtId="0" fontId="2" fillId="0" borderId="46" xfId="3" applyFill="1" applyBorder="1"/>
    <xf numFmtId="3" fontId="2" fillId="6" borderId="28" xfId="3" applyNumberFormat="1" applyFill="1" applyBorder="1"/>
    <xf numFmtId="3" fontId="0" fillId="0" borderId="0" xfId="1" applyNumberFormat="1" applyFont="1" applyFill="1" applyBorder="1"/>
    <xf numFmtId="3" fontId="4" fillId="0" borderId="14" xfId="1" applyNumberFormat="1" applyFont="1" applyFill="1" applyBorder="1"/>
    <xf numFmtId="3" fontId="4" fillId="0" borderId="15" xfId="1" applyNumberFormat="1" applyFont="1" applyFill="1" applyBorder="1"/>
    <xf numFmtId="0" fontId="4" fillId="0" borderId="48" xfId="3" applyFont="1" applyFill="1" applyBorder="1"/>
    <xf numFmtId="3" fontId="0" fillId="0" borderId="49" xfId="1" applyNumberFormat="1" applyFont="1" applyBorder="1"/>
    <xf numFmtId="3" fontId="0" fillId="0" borderId="50" xfId="1" applyNumberFormat="1" applyFont="1" applyBorder="1"/>
    <xf numFmtId="0" fontId="4" fillId="0" borderId="34" xfId="3" applyFont="1" applyFill="1" applyBorder="1"/>
    <xf numFmtId="3" fontId="4" fillId="0" borderId="51" xfId="1" applyNumberFormat="1" applyFont="1" applyFill="1" applyBorder="1"/>
    <xf numFmtId="3" fontId="4" fillId="0" borderId="36" xfId="1" applyNumberFormat="1" applyFont="1" applyFill="1" applyBorder="1"/>
    <xf numFmtId="3" fontId="4" fillId="0" borderId="36" xfId="1" applyNumberFormat="1" applyFont="1" applyBorder="1"/>
    <xf numFmtId="3" fontId="0" fillId="0" borderId="36" xfId="1" applyNumberFormat="1" applyFont="1" applyBorder="1"/>
    <xf numFmtId="3" fontId="4" fillId="0" borderId="6" xfId="1" applyNumberFormat="1" applyFont="1" applyBorder="1"/>
    <xf numFmtId="3" fontId="2" fillId="0" borderId="0" xfId="3" applyNumberFormat="1"/>
    <xf numFmtId="0" fontId="4" fillId="0" borderId="0" xfId="3" applyFont="1" applyFill="1" applyBorder="1"/>
    <xf numFmtId="168" fontId="4" fillId="0" borderId="0" xfId="1" applyNumberFormat="1" applyFont="1" applyFill="1" applyBorder="1"/>
    <xf numFmtId="168" fontId="0" fillId="0" borderId="0" xfId="1" applyNumberFormat="1" applyFont="1" applyBorder="1" applyAlignment="1">
      <alignment horizontal="center"/>
    </xf>
    <xf numFmtId="168" fontId="4" fillId="0" borderId="0" xfId="1" applyNumberFormat="1" applyFont="1" applyBorder="1"/>
    <xf numFmtId="168" fontId="0" fillId="0" borderId="0" xfId="1" applyNumberFormat="1" applyFont="1" applyBorder="1"/>
    <xf numFmtId="0" fontId="2" fillId="0" borderId="8" xfId="3" applyBorder="1"/>
    <xf numFmtId="4" fontId="0" fillId="0" borderId="0" xfId="1" applyNumberFormat="1" applyFont="1" applyBorder="1" applyAlignment="1">
      <alignment horizontal="left"/>
    </xf>
    <xf numFmtId="164" fontId="2" fillId="0" borderId="0" xfId="3" applyNumberFormat="1"/>
    <xf numFmtId="168" fontId="2" fillId="0" borderId="0" xfId="3" applyNumberFormat="1"/>
    <xf numFmtId="0" fontId="2" fillId="0" borderId="0" xfId="3" applyBorder="1"/>
    <xf numFmtId="168" fontId="2" fillId="0" borderId="8" xfId="3" applyNumberFormat="1" applyBorder="1"/>
    <xf numFmtId="164" fontId="0" fillId="0" borderId="0" xfId="1" applyFont="1"/>
    <xf numFmtId="0" fontId="4" fillId="0" borderId="0" xfId="3" applyFont="1" applyAlignment="1">
      <alignment horizontal="center"/>
    </xf>
    <xf numFmtId="0" fontId="2" fillId="0" borderId="0" xfId="3" applyAlignment="1">
      <alignment horizontal="center"/>
    </xf>
    <xf numFmtId="0" fontId="3" fillId="0" borderId="0" xfId="3" applyFont="1"/>
    <xf numFmtId="3" fontId="3" fillId="0" borderId="0" xfId="1" applyNumberFormat="1" applyFont="1"/>
    <xf numFmtId="0" fontId="13" fillId="0" borderId="0" xfId="3" applyFont="1"/>
    <xf numFmtId="0" fontId="13" fillId="0" borderId="0" xfId="3" applyFont="1" applyAlignment="1">
      <alignment horizontal="right"/>
    </xf>
    <xf numFmtId="3" fontId="13" fillId="0" borderId="0" xfId="1" applyNumberFormat="1" applyFont="1"/>
    <xf numFmtId="0" fontId="13" fillId="0" borderId="0" xfId="3" applyFont="1" applyAlignment="1"/>
    <xf numFmtId="3" fontId="3" fillId="0" borderId="18" xfId="1" applyNumberFormat="1" applyFont="1" applyBorder="1"/>
    <xf numFmtId="1" fontId="13" fillId="0" borderId="0" xfId="3" applyNumberFormat="1" applyFont="1"/>
    <xf numFmtId="0" fontId="13" fillId="0" borderId="0" xfId="3" applyFont="1" applyFill="1"/>
    <xf numFmtId="3" fontId="3" fillId="0" borderId="18" xfId="3" applyNumberFormat="1" applyFont="1" applyBorder="1"/>
    <xf numFmtId="49" fontId="13" fillId="0" borderId="0" xfId="3" applyNumberFormat="1" applyFont="1"/>
    <xf numFmtId="3" fontId="3" fillId="0" borderId="36" xfId="3" applyNumberFormat="1" applyFont="1" applyBorder="1"/>
    <xf numFmtId="3" fontId="3" fillId="0" borderId="0" xfId="3" applyNumberFormat="1" applyFont="1" applyBorder="1"/>
    <xf numFmtId="3" fontId="13" fillId="4" borderId="0" xfId="3" applyNumberFormat="1" applyFont="1" applyFill="1"/>
    <xf numFmtId="3" fontId="13" fillId="0" borderId="0" xfId="3" applyNumberFormat="1" applyFont="1"/>
    <xf numFmtId="0" fontId="13" fillId="0" borderId="0" xfId="3" applyFont="1" applyBorder="1"/>
    <xf numFmtId="49" fontId="13" fillId="0" borderId="0" xfId="3" applyNumberFormat="1" applyFont="1" applyBorder="1"/>
    <xf numFmtId="168" fontId="13" fillId="0" borderId="0" xfId="1" applyNumberFormat="1" applyFont="1" applyBorder="1"/>
    <xf numFmtId="9" fontId="0" fillId="0" borderId="0" xfId="0" applyNumberFormat="1" applyBorder="1"/>
    <xf numFmtId="10" fontId="0" fillId="0" borderId="0" xfId="2" applyNumberFormat="1" applyFont="1" applyBorder="1"/>
    <xf numFmtId="171" fontId="13" fillId="0" borderId="0" xfId="0" applyNumberFormat="1" applyFont="1"/>
    <xf numFmtId="173" fontId="2" fillId="6" borderId="28" xfId="3" applyNumberFormat="1" applyFill="1" applyBorder="1"/>
    <xf numFmtId="0" fontId="0" fillId="0" borderId="20" xfId="0" applyBorder="1"/>
    <xf numFmtId="0" fontId="0" fillId="0" borderId="20" xfId="0" applyFill="1" applyBorder="1"/>
    <xf numFmtId="164" fontId="0" fillId="0" borderId="20" xfId="1" applyFont="1" applyBorder="1"/>
    <xf numFmtId="164" fontId="0" fillId="4" borderId="20" xfId="1" applyFont="1" applyFill="1" applyBorder="1"/>
    <xf numFmtId="0" fontId="2" fillId="0" borderId="8" xfId="3" applyBorder="1" applyAlignment="1">
      <alignment horizontal="center"/>
    </xf>
    <xf numFmtId="0" fontId="2" fillId="0" borderId="0" xfId="3" applyAlignment="1">
      <alignment horizontal="center"/>
    </xf>
    <xf numFmtId="0" fontId="2" fillId="0" borderId="0" xfId="3" applyAlignment="1"/>
    <xf numFmtId="0" fontId="2" fillId="0" borderId="8" xfId="3" applyBorder="1" applyAlignment="1"/>
    <xf numFmtId="0" fontId="3" fillId="0" borderId="0" xfId="0" applyFont="1" applyAlignment="1"/>
    <xf numFmtId="0" fontId="0" fillId="0" borderId="0" xfId="0" applyAlignment="1"/>
    <xf numFmtId="0" fontId="13" fillId="0" borderId="0" xfId="0" applyFont="1" applyBorder="1" applyAlignment="1">
      <alignment horizontal="left" vertical="top" wrapText="1"/>
    </xf>
    <xf numFmtId="0" fontId="0" fillId="0" borderId="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Fill="1" applyBorder="1" applyAlignment="1">
      <alignment horizontal="left"/>
    </xf>
    <xf numFmtId="0" fontId="0" fillId="0" borderId="0" xfId="0" applyFill="1" applyBorder="1" applyAlignment="1">
      <alignment horizontal="left"/>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10" fontId="3" fillId="0" borderId="0" xfId="2" applyNumberFormat="1" applyFont="1" applyBorder="1" applyAlignment="1">
      <alignment horizontal="center"/>
    </xf>
    <xf numFmtId="0" fontId="13" fillId="0" borderId="0" xfId="0" applyFont="1" applyAlignment="1">
      <alignment horizontal="left" vertical="top" wrapText="1"/>
    </xf>
    <xf numFmtId="3" fontId="0" fillId="0" borderId="0" xfId="0" applyNumberFormat="1" applyAlignment="1">
      <alignment horizontal="right" vertical="justify" wrapText="1" readingOrder="1"/>
    </xf>
    <xf numFmtId="0" fontId="0" fillId="0" borderId="0" xfId="0" applyAlignment="1">
      <alignment horizontal="right" vertical="justify" wrapText="1" readingOrder="1"/>
    </xf>
    <xf numFmtId="0" fontId="13" fillId="0" borderId="0" xfId="0" applyFont="1" applyAlignment="1">
      <alignment horizontal="left"/>
    </xf>
    <xf numFmtId="0" fontId="10" fillId="0" borderId="0" xfId="0" applyFont="1" applyAlignment="1">
      <alignment horizontal="right"/>
    </xf>
    <xf numFmtId="0" fontId="3" fillId="0" borderId="0" xfId="0" applyFont="1" applyAlignment="1">
      <alignment horizontal="right"/>
    </xf>
    <xf numFmtId="0" fontId="10" fillId="0" borderId="0" xfId="0" applyFont="1" applyAlignment="1">
      <alignment horizontal="left"/>
    </xf>
    <xf numFmtId="0" fontId="13" fillId="0" borderId="0" xfId="0" applyFont="1" applyBorder="1" applyAlignment="1">
      <alignment horizontal="right"/>
    </xf>
    <xf numFmtId="0" fontId="13" fillId="0" borderId="0" xfId="0" applyFont="1" applyAlignment="1">
      <alignment horizontal="center"/>
    </xf>
    <xf numFmtId="167" fontId="13" fillId="0" borderId="0" xfId="0" applyNumberFormat="1" applyFont="1" applyAlignment="1">
      <alignment horizontal="right"/>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3" fontId="13" fillId="0" borderId="20" xfId="0" applyNumberFormat="1" applyFont="1" applyBorder="1" applyAlignment="1">
      <alignment horizontal="right"/>
    </xf>
    <xf numFmtId="168" fontId="13" fillId="0" borderId="20" xfId="1" applyNumberFormat="1" applyFont="1" applyBorder="1" applyAlignment="1">
      <alignment horizontal="center" wrapText="1"/>
    </xf>
    <xf numFmtId="168" fontId="13" fillId="0" borderId="17" xfId="1" applyNumberFormat="1" applyFont="1" applyBorder="1" applyAlignment="1">
      <alignment horizontal="center" wrapText="1"/>
    </xf>
    <xf numFmtId="168" fontId="13" fillId="0" borderId="18" xfId="1" applyNumberFormat="1" applyFont="1" applyBorder="1" applyAlignment="1">
      <alignment horizontal="center" wrapText="1"/>
    </xf>
    <xf numFmtId="168" fontId="13" fillId="0" borderId="19" xfId="1" applyNumberFormat="1" applyFont="1" applyBorder="1" applyAlignment="1">
      <alignment horizontal="center" wrapText="1"/>
    </xf>
    <xf numFmtId="3" fontId="13" fillId="0" borderId="20" xfId="0" applyNumberFormat="1" applyFont="1" applyBorder="1" applyAlignment="1">
      <alignment horizontal="right" wrapText="1"/>
    </xf>
    <xf numFmtId="168" fontId="13" fillId="0" borderId="17" xfId="1" applyNumberFormat="1" applyFont="1" applyBorder="1" applyAlignment="1">
      <alignment horizontal="right" wrapText="1"/>
    </xf>
    <xf numFmtId="168" fontId="13" fillId="0" borderId="18" xfId="1" applyNumberFormat="1" applyFont="1" applyBorder="1" applyAlignment="1">
      <alignment horizontal="right" wrapText="1"/>
    </xf>
    <xf numFmtId="168" fontId="13" fillId="0" borderId="19" xfId="1" applyNumberFormat="1" applyFont="1" applyBorder="1" applyAlignment="1">
      <alignment horizontal="right" wrapText="1"/>
    </xf>
    <xf numFmtId="0" fontId="3" fillId="0" borderId="0" xfId="0" applyFont="1" applyAlignment="1">
      <alignment horizontal="left" vertical="top" wrapText="1"/>
    </xf>
    <xf numFmtId="0" fontId="19" fillId="0" borderId="14" xfId="0" applyFont="1" applyBorder="1" applyAlignment="1">
      <alignment horizontal="right"/>
    </xf>
    <xf numFmtId="0" fontId="19" fillId="0" borderId="15" xfId="0" applyFont="1" applyBorder="1" applyAlignment="1">
      <alignment horizontal="right"/>
    </xf>
    <xf numFmtId="0" fontId="19" fillId="0" borderId="17" xfId="0" applyFont="1" applyBorder="1" applyAlignment="1">
      <alignment horizontal="right"/>
    </xf>
    <xf numFmtId="0" fontId="19" fillId="0" borderId="18" xfId="0" applyFont="1" applyBorder="1" applyAlignment="1">
      <alignment horizontal="right"/>
    </xf>
    <xf numFmtId="0" fontId="0" fillId="0" borderId="4" xfId="0" applyFill="1" applyBorder="1" applyAlignment="1">
      <alignment horizontal="left"/>
    </xf>
    <xf numFmtId="0" fontId="9" fillId="0" borderId="0" xfId="0" applyFont="1" applyAlignment="1">
      <alignment horizontal="left"/>
    </xf>
    <xf numFmtId="169" fontId="11" fillId="0" borderId="0" xfId="0" applyNumberFormat="1"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xf>
    <xf numFmtId="0" fontId="9" fillId="0" borderId="0" xfId="0" applyFont="1" applyBorder="1" applyAlignment="1">
      <alignment horizontal="left"/>
    </xf>
    <xf numFmtId="170" fontId="9" fillId="0" borderId="0" xfId="0" applyNumberFormat="1" applyFont="1" applyAlignment="1">
      <alignment horizontal="left"/>
    </xf>
    <xf numFmtId="0" fontId="9" fillId="0" borderId="0" xfId="0" applyFont="1" applyAlignment="1" applyProtection="1">
      <alignment horizontal="left" vertical="center"/>
      <protection locked="0"/>
    </xf>
    <xf numFmtId="168" fontId="11" fillId="0" borderId="0" xfId="1" applyNumberFormat="1" applyFont="1" applyAlignment="1">
      <alignment horizontal="right" vertical="center"/>
    </xf>
    <xf numFmtId="0" fontId="12" fillId="0" borderId="0" xfId="0" applyFont="1" applyAlignment="1" applyProtection="1">
      <alignment horizontal="center" vertical="center"/>
      <protection locked="0"/>
    </xf>
    <xf numFmtId="0" fontId="11" fillId="0" borderId="8" xfId="0" applyFont="1" applyBorder="1" applyAlignment="1">
      <alignment vertical="center"/>
    </xf>
    <xf numFmtId="0" fontId="0" fillId="0" borderId="0" xfId="0" applyAlignment="1">
      <alignment vertical="center"/>
    </xf>
    <xf numFmtId="3" fontId="11" fillId="0" borderId="0" xfId="0" applyNumberFormat="1" applyFont="1" applyBorder="1" applyAlignment="1">
      <alignment horizontal="left" vertical="center"/>
    </xf>
    <xf numFmtId="0" fontId="15" fillId="0" borderId="2" xfId="0" applyFont="1" applyBorder="1" applyAlignment="1">
      <alignment horizontal="center"/>
    </xf>
    <xf numFmtId="0" fontId="9" fillId="0" borderId="0" xfId="0" applyFont="1" applyAlignment="1">
      <alignment horizontal="left" vertical="center"/>
    </xf>
    <xf numFmtId="0" fontId="11" fillId="0" borderId="0" xfId="0" applyFont="1" applyAlignment="1" applyProtection="1">
      <alignment vertical="center"/>
      <protection locked="0"/>
    </xf>
    <xf numFmtId="0" fontId="11" fillId="0" borderId="0" xfId="0" applyFont="1" applyAlignment="1">
      <alignment vertical="center"/>
    </xf>
    <xf numFmtId="0" fontId="11" fillId="0" borderId="0" xfId="0" applyFont="1" applyBorder="1" applyAlignment="1">
      <alignment horizontal="center" vertical="center"/>
    </xf>
    <xf numFmtId="0" fontId="15" fillId="0" borderId="0" xfId="0" applyFont="1" applyBorder="1" applyAlignment="1">
      <alignment horizontal="left" vertical="center"/>
    </xf>
    <xf numFmtId="167" fontId="13" fillId="0" borderId="0" xfId="0" applyNumberFormat="1" applyFont="1" applyBorder="1" applyAlignment="1">
      <alignment horizontal="center" vertical="center"/>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pplyProtection="1">
      <alignment horizontal="right" vertical="center"/>
      <protection locked="0"/>
    </xf>
    <xf numFmtId="0" fontId="11" fillId="0" borderId="0" xfId="0" applyFont="1" applyAlignment="1">
      <alignment horizontal="right" vertical="center"/>
    </xf>
    <xf numFmtId="3" fontId="11" fillId="0" borderId="0" xfId="0" applyNumberFormat="1" applyFont="1" applyAlignment="1" applyProtection="1">
      <alignment vertical="center"/>
      <protection locked="0"/>
    </xf>
    <xf numFmtId="0" fontId="13" fillId="0" borderId="2" xfId="0" applyFont="1" applyBorder="1" applyAlignment="1">
      <alignment horizontal="center"/>
    </xf>
    <xf numFmtId="0" fontId="24" fillId="0" borderId="0" xfId="0" applyFont="1" applyAlignment="1">
      <alignment horizontal="center"/>
    </xf>
    <xf numFmtId="0" fontId="13" fillId="5" borderId="0" xfId="0" applyFont="1" applyFill="1" applyAlignment="1">
      <alignment horizontal="left" vertical="top" wrapText="1"/>
    </xf>
    <xf numFmtId="0" fontId="0" fillId="5" borderId="0" xfId="0" applyFill="1" applyAlignment="1">
      <alignment horizontal="left" vertical="top" wrapText="1"/>
    </xf>
    <xf numFmtId="0" fontId="15" fillId="0" borderId="8" xfId="3" applyFont="1" applyBorder="1" applyAlignment="1">
      <alignment horizontal="center"/>
    </xf>
    <xf numFmtId="0" fontId="2" fillId="0" borderId="8" xfId="3" applyBorder="1" applyAlignment="1">
      <alignment horizontal="center"/>
    </xf>
    <xf numFmtId="0" fontId="2" fillId="0" borderId="0" xfId="3" applyAlignment="1">
      <alignment horizontal="center"/>
    </xf>
    <xf numFmtId="168" fontId="0" fillId="6" borderId="18" xfId="1" applyNumberFormat="1" applyFont="1" applyFill="1" applyBorder="1" applyAlignment="1">
      <alignment horizontal="center"/>
    </xf>
    <xf numFmtId="9" fontId="4" fillId="6" borderId="0" xfId="3" applyNumberFormat="1" applyFont="1" applyFill="1" applyAlignment="1"/>
    <xf numFmtId="0" fontId="2" fillId="0" borderId="0" xfId="3" applyAlignment="1"/>
    <xf numFmtId="168" fontId="0" fillId="6" borderId="0" xfId="1" applyNumberFormat="1" applyFont="1" applyFill="1" applyAlignment="1"/>
    <xf numFmtId="0" fontId="2" fillId="0" borderId="8" xfId="3" applyBorder="1" applyAlignment="1"/>
    <xf numFmtId="3" fontId="0" fillId="6" borderId="46" xfId="1" applyNumberFormat="1" applyFont="1" applyFill="1" applyBorder="1" applyAlignment="1">
      <alignment horizontal="center"/>
    </xf>
    <xf numFmtId="3" fontId="0" fillId="6" borderId="47" xfId="1" applyNumberFormat="1" applyFont="1" applyFill="1" applyBorder="1" applyAlignment="1">
      <alignment horizontal="center"/>
    </xf>
    <xf numFmtId="3" fontId="0" fillId="0" borderId="46" xfId="1" applyNumberFormat="1" applyFont="1" applyBorder="1" applyAlignment="1">
      <alignment horizontal="center"/>
    </xf>
    <xf numFmtId="3" fontId="0" fillId="0" borderId="47" xfId="1" applyNumberFormat="1" applyFont="1" applyBorder="1" applyAlignment="1">
      <alignment horizontal="center"/>
    </xf>
    <xf numFmtId="3" fontId="0" fillId="0" borderId="14" xfId="1" applyNumberFormat="1" applyFont="1" applyBorder="1" applyAlignment="1">
      <alignment horizontal="center"/>
    </xf>
    <xf numFmtId="3" fontId="0" fillId="0" borderId="16" xfId="1" applyNumberFormat="1" applyFont="1" applyBorder="1" applyAlignment="1">
      <alignment horizontal="center"/>
    </xf>
    <xf numFmtId="3" fontId="0" fillId="0" borderId="51" xfId="1" applyNumberFormat="1" applyFont="1" applyBorder="1" applyAlignment="1">
      <alignment horizontal="center"/>
    </xf>
    <xf numFmtId="3" fontId="0" fillId="0" borderId="52" xfId="1" applyNumberFormat="1" applyFont="1" applyBorder="1" applyAlignment="1">
      <alignment horizontal="center"/>
    </xf>
    <xf numFmtId="0" fontId="4" fillId="0" borderId="0" xfId="3" applyFont="1" applyAlignment="1"/>
    <xf numFmtId="0" fontId="16" fillId="0" borderId="0" xfId="3" applyFont="1" applyAlignment="1">
      <alignment horizontal="center"/>
    </xf>
    <xf numFmtId="0" fontId="13" fillId="0" borderId="0" xfId="3" applyFont="1" applyAlignment="1"/>
    <xf numFmtId="0" fontId="15" fillId="0" borderId="0" xfId="3" applyFont="1" applyAlignment="1">
      <alignment horizontal="center"/>
    </xf>
    <xf numFmtId="0" fontId="2" fillId="0" borderId="0" xfId="3" applyFill="1"/>
    <xf numFmtId="0" fontId="2" fillId="9" borderId="0" xfId="3" applyFill="1"/>
    <xf numFmtId="0" fontId="1" fillId="0" borderId="0" xfId="3" applyFont="1"/>
    <xf numFmtId="0" fontId="4" fillId="0" borderId="1" xfId="3" applyFont="1" applyBorder="1" applyAlignment="1"/>
    <xf numFmtId="0" fontId="2" fillId="0" borderId="2" xfId="3" applyBorder="1" applyAlignment="1"/>
    <xf numFmtId="0" fontId="2" fillId="0" borderId="2" xfId="3" applyBorder="1"/>
    <xf numFmtId="0" fontId="4" fillId="0" borderId="2" xfId="3" applyFont="1" applyBorder="1" applyAlignment="1"/>
    <xf numFmtId="0" fontId="2" fillId="0" borderId="3" xfId="3" applyBorder="1" applyAlignment="1"/>
    <xf numFmtId="0" fontId="4" fillId="0" borderId="5" xfId="3" applyFont="1" applyBorder="1" applyAlignment="1">
      <alignment horizontal="center" vertical="center"/>
    </xf>
    <xf numFmtId="0" fontId="2" fillId="0" borderId="0" xfId="3" applyBorder="1" applyAlignment="1">
      <alignment horizontal="center" vertical="center"/>
    </xf>
    <xf numFmtId="0" fontId="11" fillId="0" borderId="0" xfId="3" applyFont="1" applyFill="1" applyBorder="1" applyAlignment="1">
      <alignment horizontal="center" vertical="center"/>
    </xf>
    <xf numFmtId="2" fontId="2" fillId="7" borderId="8" xfId="3" applyNumberFormat="1" applyFill="1" applyBorder="1" applyAlignment="1">
      <alignment horizontal="distributed"/>
    </xf>
    <xf numFmtId="0" fontId="11" fillId="7" borderId="0" xfId="3" applyFont="1" applyFill="1" applyBorder="1" applyAlignment="1">
      <alignment horizontal="center" vertical="center"/>
    </xf>
    <xf numFmtId="0" fontId="2" fillId="0" borderId="0" xfId="3" applyFill="1" applyBorder="1" applyAlignment="1">
      <alignment horizontal="center" vertical="center"/>
    </xf>
    <xf numFmtId="0" fontId="2" fillId="7" borderId="0" xfId="3" applyFill="1" applyBorder="1" applyAlignment="1">
      <alignment horizontal="center" vertical="center"/>
    </xf>
    <xf numFmtId="0" fontId="2" fillId="0" borderId="0" xfId="3" applyBorder="1" applyAlignment="1">
      <alignment horizontal="center"/>
    </xf>
    <xf numFmtId="0" fontId="18" fillId="0" borderId="0" xfId="3" applyFont="1" applyBorder="1" applyAlignment="1">
      <alignment horizontal="center" vertical="center"/>
    </xf>
    <xf numFmtId="168" fontId="2" fillId="7" borderId="0" xfId="4" applyNumberFormat="1" applyFill="1" applyBorder="1" applyAlignment="1">
      <alignment horizontal="center" vertical="center"/>
    </xf>
    <xf numFmtId="0" fontId="2" fillId="0" borderId="0" xfId="3" applyBorder="1" applyAlignment="1"/>
    <xf numFmtId="0" fontId="2" fillId="0" borderId="4" xfId="3" applyBorder="1" applyAlignment="1"/>
    <xf numFmtId="0" fontId="2" fillId="7" borderId="0" xfId="4" applyNumberFormat="1" applyFill="1" applyBorder="1" applyAlignment="1">
      <alignment horizontal="center" vertical="center"/>
    </xf>
    <xf numFmtId="0" fontId="38" fillId="0" borderId="0" xfId="3" applyFont="1" applyBorder="1"/>
    <xf numFmtId="0" fontId="2" fillId="0" borderId="4" xfId="3" applyBorder="1"/>
    <xf numFmtId="0" fontId="4" fillId="0" borderId="5" xfId="3" applyFont="1" applyBorder="1" applyAlignment="1">
      <alignment horizontal="center"/>
    </xf>
    <xf numFmtId="0" fontId="4" fillId="0" borderId="0" xfId="3" applyFont="1" applyBorder="1" applyAlignment="1">
      <alignment horizontal="center"/>
    </xf>
    <xf numFmtId="0" fontId="2" fillId="7" borderId="49" xfId="3" applyFill="1" applyBorder="1" applyAlignment="1">
      <alignment horizontal="center"/>
    </xf>
    <xf numFmtId="0" fontId="19" fillId="0" borderId="0" xfId="3" applyFont="1" applyFill="1" applyBorder="1" applyAlignment="1">
      <alignment horizontal="center" vertical="top"/>
    </xf>
    <xf numFmtId="0" fontId="2" fillId="7" borderId="0" xfId="3" applyFill="1" applyBorder="1" applyAlignment="1">
      <alignment horizontal="center" vertical="center"/>
    </xf>
    <xf numFmtId="0" fontId="4" fillId="0" borderId="0" xfId="3" applyFont="1" applyBorder="1" applyAlignment="1">
      <alignment horizontal="center" vertical="center"/>
    </xf>
    <xf numFmtId="0" fontId="11" fillId="0" borderId="0" xfId="3" applyFont="1" applyBorder="1" applyAlignment="1">
      <alignment horizontal="center" vertical="center"/>
    </xf>
    <xf numFmtId="0" fontId="39" fillId="0" borderId="0" xfId="3" applyFont="1" applyBorder="1" applyAlignment="1">
      <alignment horizontal="center" vertical="top"/>
    </xf>
    <xf numFmtId="0" fontId="11" fillId="0" borderId="0" xfId="3" applyFont="1" applyBorder="1" applyAlignment="1">
      <alignment horizontal="left" vertical="center"/>
    </xf>
    <xf numFmtId="0" fontId="2" fillId="7" borderId="0" xfId="3" applyFill="1" applyBorder="1" applyAlignment="1">
      <alignment horizontal="center"/>
    </xf>
    <xf numFmtId="0" fontId="2" fillId="0" borderId="0" xfId="3" applyFill="1" applyBorder="1" applyAlignment="1">
      <alignment vertical="center"/>
    </xf>
    <xf numFmtId="0" fontId="2" fillId="0" borderId="0" xfId="3" applyNumberFormat="1" applyBorder="1" applyAlignment="1">
      <alignment horizontal="center"/>
    </xf>
    <xf numFmtId="0" fontId="11" fillId="0" borderId="0" xfId="3" applyFont="1" applyBorder="1"/>
    <xf numFmtId="0" fontId="4" fillId="0" borderId="5" xfId="3" applyFont="1" applyBorder="1" applyAlignment="1">
      <alignment horizontal="center" vertical="center"/>
    </xf>
    <xf numFmtId="0" fontId="4" fillId="0" borderId="0" xfId="3" applyFont="1" applyBorder="1" applyAlignment="1">
      <alignment horizontal="center" vertical="center"/>
    </xf>
    <xf numFmtId="0" fontId="11" fillId="0" borderId="0" xfId="3" applyFont="1" applyBorder="1" applyAlignment="1">
      <alignment horizontal="center" vertical="center"/>
    </xf>
    <xf numFmtId="0" fontId="23" fillId="0" borderId="0" xfId="3" applyFont="1" applyBorder="1" applyAlignment="1">
      <alignment horizontal="center" vertical="top"/>
    </xf>
    <xf numFmtId="0" fontId="2" fillId="0" borderId="0" xfId="3" applyBorder="1" applyAlignment="1">
      <alignment horizontal="center" vertical="center"/>
    </xf>
    <xf numFmtId="0" fontId="11" fillId="0" borderId="0" xfId="3" applyFont="1" applyBorder="1" applyAlignment="1">
      <alignment horizontal="left" vertical="center"/>
    </xf>
    <xf numFmtId="0" fontId="2" fillId="0" borderId="0" xfId="3" applyBorder="1" applyAlignment="1">
      <alignment horizontal="center"/>
    </xf>
    <xf numFmtId="0" fontId="19" fillId="0" borderId="0" xfId="3" applyFont="1" applyBorder="1" applyAlignment="1">
      <alignment horizontal="center" vertical="top"/>
    </xf>
    <xf numFmtId="168" fontId="2" fillId="0" borderId="4" xfId="4" applyNumberFormat="1" applyBorder="1" applyAlignment="1">
      <alignment horizontal="center" vertical="center"/>
    </xf>
    <xf numFmtId="0" fontId="4" fillId="0" borderId="5" xfId="3" applyFont="1" applyBorder="1" applyAlignment="1">
      <alignment horizontal="center"/>
    </xf>
    <xf numFmtId="0" fontId="4" fillId="0" borderId="0" xfId="3" applyFont="1" applyBorder="1" applyAlignment="1">
      <alignment horizontal="center"/>
    </xf>
    <xf numFmtId="168" fontId="2" fillId="0" borderId="0" xfId="3" applyNumberFormat="1" applyBorder="1"/>
    <xf numFmtId="0" fontId="37" fillId="0" borderId="0" xfId="3" applyFont="1" applyBorder="1" applyAlignment="1">
      <alignment horizontal="right"/>
    </xf>
    <xf numFmtId="0" fontId="23" fillId="0" borderId="0" xfId="3" applyFont="1" applyBorder="1" applyAlignment="1">
      <alignment horizontal="left" vertical="top"/>
    </xf>
    <xf numFmtId="0" fontId="11" fillId="0" borderId="0" xfId="3" applyFont="1" applyBorder="1" applyAlignment="1">
      <alignment vertical="center"/>
    </xf>
    <xf numFmtId="0" fontId="4" fillId="0" borderId="5" xfId="3" applyFont="1" applyBorder="1"/>
    <xf numFmtId="0" fontId="4" fillId="0" borderId="0" xfId="3" applyFont="1" applyBorder="1"/>
    <xf numFmtId="0" fontId="19" fillId="0" borderId="0" xfId="3" applyFont="1" applyBorder="1" applyAlignment="1">
      <alignment horizontal="left" vertical="top"/>
    </xf>
    <xf numFmtId="0" fontId="37" fillId="0" borderId="0" xfId="3" applyFont="1" applyBorder="1"/>
    <xf numFmtId="168" fontId="2" fillId="0" borderId="4" xfId="4" applyNumberFormat="1" applyBorder="1"/>
    <xf numFmtId="0" fontId="2" fillId="0" borderId="0" xfId="3" applyNumberFormat="1" applyBorder="1" applyAlignment="1">
      <alignment horizontal="center" vertical="center"/>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11" fillId="0" borderId="8" xfId="3" applyFont="1" applyBorder="1" applyAlignment="1">
      <alignment horizontal="center" vertical="center"/>
    </xf>
    <xf numFmtId="0" fontId="2" fillId="0" borderId="8" xfId="3" applyNumberFormat="1" applyBorder="1" applyAlignment="1">
      <alignment horizontal="center"/>
    </xf>
    <xf numFmtId="0" fontId="2" fillId="0" borderId="8" xfId="3" applyBorder="1" applyAlignment="1">
      <alignment horizontal="center" vertical="center"/>
    </xf>
    <xf numFmtId="0" fontId="4" fillId="0" borderId="7" xfId="3" applyFont="1" applyBorder="1" applyAlignment="1">
      <alignment horizontal="center" vertical="center"/>
    </xf>
    <xf numFmtId="49" fontId="18" fillId="0" borderId="8" xfId="3" applyNumberFormat="1" applyFont="1" applyBorder="1" applyAlignment="1">
      <alignment horizontal="center" vertical="center"/>
    </xf>
    <xf numFmtId="0" fontId="2" fillId="7" borderId="8" xfId="3" applyFill="1" applyBorder="1" applyAlignment="1"/>
    <xf numFmtId="0" fontId="11" fillId="0" borderId="8" xfId="3" applyFont="1" applyBorder="1" applyAlignment="1">
      <alignment horizontal="center" vertical="center"/>
    </xf>
    <xf numFmtId="0" fontId="2" fillId="0" borderId="8" xfId="3" applyNumberFormat="1" applyBorder="1" applyAlignment="1">
      <alignment horizontal="center" vertical="center"/>
    </xf>
    <xf numFmtId="0" fontId="2" fillId="0" borderId="9" xfId="3" applyBorder="1"/>
    <xf numFmtId="0" fontId="4" fillId="0" borderId="1" xfId="3" applyFont="1" applyBorder="1" applyAlignment="1">
      <alignment horizontal="center" vertical="center"/>
    </xf>
    <xf numFmtId="49" fontId="18" fillId="0" borderId="2" xfId="3" applyNumberFormat="1" applyFont="1" applyBorder="1" applyAlignment="1">
      <alignment horizontal="center" vertical="center"/>
    </xf>
    <xf numFmtId="0" fontId="2" fillId="0" borderId="39" xfId="3" applyFill="1" applyBorder="1" applyAlignment="1">
      <alignment horizontal="center"/>
    </xf>
    <xf numFmtId="0" fontId="11" fillId="0" borderId="2" xfId="3" applyFont="1" applyFill="1" applyBorder="1" applyAlignment="1">
      <alignment horizontal="center" vertical="center"/>
    </xf>
    <xf numFmtId="0" fontId="19" fillId="0" borderId="2" xfId="3" applyFont="1" applyFill="1" applyBorder="1" applyAlignment="1">
      <alignment horizontal="center" vertical="top"/>
    </xf>
    <xf numFmtId="0" fontId="11" fillId="0" borderId="2" xfId="3" applyFont="1" applyBorder="1" applyAlignment="1">
      <alignment horizontal="center" vertical="center"/>
    </xf>
    <xf numFmtId="0" fontId="2" fillId="0" borderId="2" xfId="3" applyNumberFormat="1" applyBorder="1" applyAlignment="1">
      <alignment horizontal="center" vertical="center"/>
    </xf>
    <xf numFmtId="0" fontId="2" fillId="0" borderId="0" xfId="3" applyFill="1" applyBorder="1" applyAlignment="1">
      <alignment horizontal="center"/>
    </xf>
    <xf numFmtId="0" fontId="11" fillId="0" borderId="8" xfId="3" applyFont="1" applyFill="1" applyBorder="1" applyAlignment="1">
      <alignment horizontal="center" vertical="center"/>
    </xf>
    <xf numFmtId="0" fontId="19" fillId="0" borderId="8" xfId="3" applyFont="1" applyFill="1" applyBorder="1" applyAlignment="1">
      <alignment horizontal="center" vertical="top"/>
    </xf>
    <xf numFmtId="0" fontId="2" fillId="0" borderId="8" xfId="3" applyNumberFormat="1" applyBorder="1" applyAlignment="1">
      <alignment horizontal="center" vertical="center"/>
    </xf>
    <xf numFmtId="0" fontId="2" fillId="7" borderId="39" xfId="3" applyFill="1" applyBorder="1" applyAlignment="1">
      <alignment horizontal="center"/>
    </xf>
    <xf numFmtId="0" fontId="2" fillId="0" borderId="2" xfId="3" applyBorder="1" applyAlignment="1">
      <alignment horizontal="center"/>
    </xf>
    <xf numFmtId="0" fontId="2" fillId="7" borderId="2" xfId="3" applyNumberFormat="1" applyFill="1" applyBorder="1" applyAlignment="1">
      <alignment horizontal="center" vertical="center"/>
    </xf>
    <xf numFmtId="0" fontId="2" fillId="0" borderId="3" xfId="3" applyBorder="1"/>
    <xf numFmtId="49" fontId="18" fillId="0" borderId="0" xfId="3" applyNumberFormat="1" applyFont="1" applyBorder="1" applyAlignment="1">
      <alignment horizontal="center" vertical="center"/>
    </xf>
    <xf numFmtId="0" fontId="2" fillId="7" borderId="0" xfId="3" applyNumberFormat="1" applyFill="1" applyBorder="1" applyAlignment="1">
      <alignment horizontal="center" vertical="center"/>
    </xf>
    <xf numFmtId="0" fontId="18" fillId="0" borderId="8" xfId="3" applyFont="1" applyBorder="1" applyAlignment="1">
      <alignment horizontal="center" vertical="center"/>
    </xf>
    <xf numFmtId="0" fontId="2" fillId="0" borderId="8" xfId="3" applyFill="1" applyBorder="1" applyAlignment="1">
      <alignment horizontal="center"/>
    </xf>
    <xf numFmtId="0" fontId="18" fillId="0" borderId="2" xfId="3" applyFont="1" applyBorder="1" applyAlignment="1">
      <alignment horizontal="center" vertical="center"/>
    </xf>
    <xf numFmtId="0" fontId="4" fillId="0" borderId="0" xfId="3" applyFont="1" applyBorder="1" applyAlignment="1"/>
    <xf numFmtId="168" fontId="2" fillId="7" borderId="0" xfId="4" applyNumberFormat="1" applyFill="1" applyBorder="1"/>
    <xf numFmtId="0" fontId="2" fillId="0" borderId="0" xfId="3" applyFont="1" applyBorder="1"/>
    <xf numFmtId="0" fontId="4" fillId="0" borderId="7" xfId="3" applyFont="1" applyBorder="1"/>
    <xf numFmtId="49" fontId="4" fillId="0" borderId="8" xfId="3" applyNumberFormat="1" applyFont="1" applyBorder="1" applyAlignment="1">
      <alignment horizontal="center"/>
    </xf>
    <xf numFmtId="0" fontId="4" fillId="0" borderId="8" xfId="3" applyFont="1" applyBorder="1" applyAlignment="1">
      <alignment horizontal="center"/>
    </xf>
    <xf numFmtId="0" fontId="11" fillId="0" borderId="8" xfId="3" applyFont="1" applyBorder="1" applyAlignment="1">
      <alignment horizontal="center"/>
    </xf>
    <xf numFmtId="168" fontId="2" fillId="0" borderId="0" xfId="4" applyNumberFormat="1" applyFill="1" applyBorder="1"/>
    <xf numFmtId="49" fontId="4" fillId="0" borderId="0" xfId="3" applyNumberFormat="1" applyFont="1" applyBorder="1" applyAlignment="1">
      <alignment horizontal="center"/>
    </xf>
    <xf numFmtId="0" fontId="2" fillId="0" borderId="0" xfId="3" applyFill="1" applyBorder="1" applyAlignment="1"/>
    <xf numFmtId="0" fontId="11" fillId="0" borderId="0" xfId="3" applyFont="1" applyBorder="1" applyAlignment="1">
      <alignment horizontal="center"/>
    </xf>
    <xf numFmtId="0" fontId="4" fillId="0" borderId="0" xfId="3" applyFont="1" applyFill="1" applyBorder="1" applyAlignment="1"/>
    <xf numFmtId="168" fontId="2" fillId="0" borderId="0" xfId="3" applyNumberFormat="1" applyFill="1" applyBorder="1"/>
    <xf numFmtId="0" fontId="37" fillId="0" borderId="0" xfId="3" applyFont="1" applyFill="1" applyBorder="1" applyAlignment="1">
      <alignment horizontal="right"/>
    </xf>
    <xf numFmtId="0" fontId="2" fillId="0" borderId="0" xfId="3" applyFont="1" applyFill="1" applyBorder="1"/>
    <xf numFmtId="49" fontId="4" fillId="0" borderId="0" xfId="3" applyNumberFormat="1" applyFont="1" applyFill="1" applyBorder="1" applyAlignment="1">
      <alignment horizontal="center"/>
    </xf>
    <xf numFmtId="0" fontId="4" fillId="0" borderId="0" xfId="3" applyFont="1" applyFill="1" applyBorder="1" applyAlignment="1">
      <alignment horizontal="center"/>
    </xf>
    <xf numFmtId="168" fontId="13" fillId="0" borderId="24" xfId="4" applyNumberFormat="1" applyFont="1" applyFill="1" applyBorder="1" applyAlignment="1">
      <alignment horizontal="center"/>
    </xf>
    <xf numFmtId="168" fontId="13" fillId="0" borderId="0" xfId="4" applyNumberFormat="1" applyFont="1" applyFill="1" applyBorder="1" applyAlignment="1">
      <alignment horizontal="center"/>
    </xf>
    <xf numFmtId="0" fontId="4" fillId="0" borderId="22" xfId="3" applyFont="1" applyFill="1" applyBorder="1"/>
    <xf numFmtId="0" fontId="4" fillId="0" borderId="0" xfId="3" applyFont="1" applyFill="1" applyBorder="1" applyAlignment="1">
      <alignment horizontal="left"/>
    </xf>
    <xf numFmtId="168" fontId="2" fillId="0" borderId="22" xfId="3" applyNumberFormat="1" applyFill="1" applyBorder="1"/>
    <xf numFmtId="168" fontId="2" fillId="0" borderId="5" xfId="3" applyNumberFormat="1" applyFill="1" applyBorder="1"/>
    <xf numFmtId="168" fontId="2" fillId="0" borderId="4" xfId="3" applyNumberFormat="1" applyFill="1" applyBorder="1"/>
    <xf numFmtId="168" fontId="4" fillId="0" borderId="22" xfId="4" applyNumberFormat="1" applyFont="1" applyFill="1" applyBorder="1"/>
    <xf numFmtId="168" fontId="4" fillId="0" borderId="0" xfId="3" applyNumberFormat="1" applyFont="1" applyFill="1" applyBorder="1"/>
    <xf numFmtId="168" fontId="4" fillId="0" borderId="0" xfId="4" applyNumberFormat="1" applyFont="1" applyFill="1" applyBorder="1"/>
    <xf numFmtId="168" fontId="0" fillId="0" borderId="22" xfId="4" applyNumberFormat="1" applyFont="1" applyFill="1" applyBorder="1"/>
    <xf numFmtId="0" fontId="2" fillId="0" borderId="22" xfId="3" applyFill="1" applyBorder="1"/>
    <xf numFmtId="168" fontId="4" fillId="0" borderId="24" xfId="4" applyNumberFormat="1" applyFont="1" applyFill="1" applyBorder="1"/>
    <xf numFmtId="168" fontId="2" fillId="0" borderId="23" xfId="3" applyNumberFormat="1" applyFill="1" applyBorder="1"/>
    <xf numFmtId="0" fontId="2" fillId="0" borderId="0" xfId="3" applyFont="1"/>
    <xf numFmtId="0" fontId="38" fillId="0" borderId="0" xfId="3" applyFont="1"/>
    <xf numFmtId="0" fontId="3" fillId="0" borderId="0" xfId="3" applyFont="1" applyAlignment="1">
      <alignment horizontal="right"/>
    </xf>
    <xf numFmtId="0" fontId="3" fillId="0" borderId="0" xfId="3" applyFont="1" applyAlignment="1">
      <alignment horizontal="center"/>
    </xf>
    <xf numFmtId="0" fontId="3" fillId="0" borderId="0" xfId="3" applyFont="1" applyBorder="1" applyAlignment="1">
      <alignment horizontal="center"/>
    </xf>
    <xf numFmtId="0" fontId="11" fillId="0" borderId="0" xfId="3" applyFont="1" applyAlignment="1">
      <alignment horizontal="center" vertical="center"/>
    </xf>
    <xf numFmtId="0" fontId="2" fillId="0" borderId="0" xfId="3" applyAlignment="1">
      <alignment horizontal="center" vertical="center"/>
    </xf>
    <xf numFmtId="0" fontId="2" fillId="0" borderId="0" xfId="3" applyAlignment="1">
      <alignment horizontal="center" vertical="center"/>
    </xf>
    <xf numFmtId="0" fontId="11" fillId="0" borderId="0" xfId="3" applyFont="1" applyAlignment="1">
      <alignment horizontal="left" vertical="center"/>
    </xf>
    <xf numFmtId="0" fontId="2" fillId="0" borderId="0" xfId="3" applyNumberFormat="1" applyAlignment="1">
      <alignment horizontal="center"/>
    </xf>
    <xf numFmtId="0" fontId="11" fillId="0" borderId="0" xfId="3" applyFont="1" applyAlignment="1">
      <alignment horizontal="center"/>
    </xf>
    <xf numFmtId="0" fontId="11" fillId="0" borderId="0" xfId="3" applyFont="1"/>
    <xf numFmtId="0" fontId="2" fillId="0" borderId="0" xfId="3" applyAlignment="1">
      <alignment horizontal="left"/>
    </xf>
    <xf numFmtId="0" fontId="18" fillId="0" borderId="0" xfId="3" applyFont="1" applyBorder="1" applyAlignment="1">
      <alignment horizontal="center"/>
    </xf>
    <xf numFmtId="0" fontId="4" fillId="0" borderId="13" xfId="3" applyFont="1" applyBorder="1"/>
    <xf numFmtId="0" fontId="18" fillId="0" borderId="13" xfId="3" applyFont="1" applyBorder="1" applyAlignment="1">
      <alignment horizontal="center"/>
    </xf>
    <xf numFmtId="0" fontId="11" fillId="0" borderId="0" xfId="3" applyFont="1" applyAlignment="1">
      <alignment horizontal="center"/>
    </xf>
    <xf numFmtId="0" fontId="11" fillId="0" borderId="0" xfId="3" applyFont="1" applyAlignment="1">
      <alignment vertical="center"/>
    </xf>
    <xf numFmtId="2" fontId="2" fillId="0" borderId="0" xfId="3" applyNumberFormat="1"/>
    <xf numFmtId="0" fontId="18" fillId="0" borderId="13" xfId="3" applyFont="1" applyBorder="1"/>
    <xf numFmtId="0" fontId="11" fillId="0" borderId="0" xfId="3" applyFont="1" applyAlignment="1"/>
    <xf numFmtId="168" fontId="9" fillId="0" borderId="0" xfId="4" applyNumberFormat="1" applyFont="1"/>
    <xf numFmtId="168" fontId="9" fillId="0" borderId="0" xfId="4" applyNumberFormat="1" applyFont="1" applyBorder="1" applyAlignment="1">
      <alignment horizontal="center"/>
    </xf>
    <xf numFmtId="0" fontId="3" fillId="0" borderId="0" xfId="3" applyFont="1" applyBorder="1" applyAlignment="1">
      <alignment horizontal="center"/>
    </xf>
    <xf numFmtId="168" fontId="9" fillId="0" borderId="18" xfId="4" applyNumberFormat="1" applyFont="1" applyBorder="1"/>
    <xf numFmtId="168" fontId="9" fillId="0" borderId="36" xfId="4" applyNumberFormat="1" applyFont="1" applyBorder="1"/>
    <xf numFmtId="0" fontId="10" fillId="0" borderId="0" xfId="3" applyFont="1"/>
    <xf numFmtId="168" fontId="0" fillId="0" borderId="0" xfId="4" applyNumberFormat="1" applyFont="1"/>
    <xf numFmtId="2" fontId="2" fillId="0" borderId="0" xfId="5" applyNumberFormat="1"/>
    <xf numFmtId="0" fontId="4" fillId="0" borderId="53" xfId="3" applyFont="1" applyBorder="1" applyAlignment="1"/>
    <xf numFmtId="0" fontId="4" fillId="0" borderId="54" xfId="3" applyFont="1" applyBorder="1" applyAlignment="1"/>
    <xf numFmtId="0" fontId="4" fillId="0" borderId="54" xfId="3" applyFont="1" applyBorder="1"/>
    <xf numFmtId="0" fontId="4" fillId="0" borderId="55" xfId="3" applyFont="1" applyBorder="1" applyAlignment="1"/>
    <xf numFmtId="0" fontId="4" fillId="0" borderId="11" xfId="3" applyFont="1" applyBorder="1" applyAlignment="1"/>
    <xf numFmtId="0" fontId="2" fillId="0" borderId="56" xfId="3" applyBorder="1" applyAlignment="1"/>
    <xf numFmtId="0" fontId="4" fillId="0" borderId="57" xfId="3" applyFont="1" applyBorder="1" applyAlignment="1">
      <alignment horizontal="center"/>
    </xf>
    <xf numFmtId="168" fontId="37" fillId="0" borderId="58" xfId="3" applyNumberFormat="1" applyFont="1" applyFill="1" applyBorder="1" applyAlignment="1"/>
    <xf numFmtId="0" fontId="2" fillId="0" borderId="59" xfId="3" applyBorder="1" applyAlignment="1"/>
    <xf numFmtId="164" fontId="2" fillId="0" borderId="59" xfId="3" applyNumberFormat="1" applyBorder="1" applyAlignment="1"/>
    <xf numFmtId="168" fontId="2" fillId="0" borderId="59" xfId="4" applyNumberFormat="1" applyBorder="1"/>
    <xf numFmtId="168" fontId="2" fillId="0" borderId="59" xfId="3" applyNumberFormat="1" applyBorder="1" applyAlignment="1"/>
    <xf numFmtId="168" fontId="2" fillId="0" borderId="40" xfId="3" applyNumberFormat="1" applyBorder="1" applyAlignment="1"/>
    <xf numFmtId="0" fontId="2" fillId="0" borderId="39" xfId="3" applyBorder="1" applyAlignment="1"/>
    <xf numFmtId="0" fontId="2" fillId="0" borderId="60" xfId="3" applyBorder="1" applyAlignment="1"/>
    <xf numFmtId="168" fontId="2" fillId="0" borderId="59" xfId="3" applyNumberFormat="1" applyBorder="1"/>
    <xf numFmtId="164" fontId="2" fillId="0" borderId="59" xfId="3" applyNumberFormat="1" applyBorder="1"/>
    <xf numFmtId="164" fontId="2" fillId="0" borderId="61" xfId="3" applyNumberFormat="1" applyBorder="1"/>
    <xf numFmtId="168" fontId="37" fillId="0" borderId="62" xfId="3" applyNumberFormat="1" applyFont="1" applyFill="1" applyBorder="1" applyAlignment="1"/>
    <xf numFmtId="0" fontId="2" fillId="0" borderId="20" xfId="3" applyBorder="1" applyAlignment="1"/>
    <xf numFmtId="164" fontId="2" fillId="0" borderId="20" xfId="3" applyNumberFormat="1" applyBorder="1" applyAlignment="1"/>
    <xf numFmtId="168" fontId="2" fillId="0" borderId="20" xfId="4" applyNumberFormat="1" applyBorder="1"/>
    <xf numFmtId="168" fontId="2" fillId="0" borderId="20" xfId="3" applyNumberFormat="1" applyBorder="1" applyAlignment="1"/>
    <xf numFmtId="168" fontId="2" fillId="0" borderId="17" xfId="3" applyNumberFormat="1" applyBorder="1" applyAlignment="1"/>
    <xf numFmtId="0" fontId="2" fillId="0" borderId="18" xfId="3" applyBorder="1" applyAlignment="1"/>
    <xf numFmtId="0" fontId="2" fillId="0" borderId="19" xfId="3" applyBorder="1" applyAlignment="1"/>
    <xf numFmtId="168" fontId="2" fillId="0" borderId="20" xfId="3" applyNumberFormat="1" applyBorder="1"/>
    <xf numFmtId="164" fontId="2" fillId="0" borderId="20" xfId="3" applyNumberFormat="1" applyBorder="1"/>
    <xf numFmtId="164" fontId="2" fillId="0" borderId="31" xfId="3" applyNumberFormat="1" applyBorder="1"/>
    <xf numFmtId="0" fontId="2" fillId="0" borderId="20" xfId="3" applyFill="1" applyBorder="1" applyAlignment="1"/>
    <xf numFmtId="164" fontId="2" fillId="0" borderId="20" xfId="3" applyNumberFormat="1" applyFill="1" applyBorder="1" applyAlignment="1"/>
    <xf numFmtId="168" fontId="2" fillId="0" borderId="20" xfId="4" applyNumberFormat="1" applyFill="1" applyBorder="1"/>
    <xf numFmtId="168" fontId="2" fillId="0" borderId="20" xfId="3" applyNumberFormat="1" applyFill="1" applyBorder="1" applyAlignment="1"/>
    <xf numFmtId="168" fontId="2" fillId="0" borderId="17" xfId="3" applyNumberFormat="1" applyFill="1" applyBorder="1" applyAlignment="1"/>
    <xf numFmtId="0" fontId="2" fillId="0" borderId="18" xfId="3" applyFill="1" applyBorder="1" applyAlignment="1"/>
    <xf numFmtId="168" fontId="2" fillId="0" borderId="20" xfId="3" applyNumberFormat="1" applyFill="1" applyBorder="1"/>
    <xf numFmtId="164" fontId="2" fillId="0" borderId="20" xfId="3" applyNumberFormat="1" applyFill="1" applyBorder="1"/>
    <xf numFmtId="164" fontId="2" fillId="0" borderId="31" xfId="3" applyNumberFormat="1" applyFill="1" applyBorder="1"/>
    <xf numFmtId="168" fontId="37" fillId="0" borderId="63" xfId="3" applyNumberFormat="1" applyFont="1" applyFill="1" applyBorder="1" applyAlignment="1"/>
    <xf numFmtId="0" fontId="2" fillId="0" borderId="64" xfId="3" applyBorder="1" applyAlignment="1"/>
    <xf numFmtId="164" fontId="2" fillId="0" borderId="64" xfId="3" applyNumberFormat="1" applyBorder="1" applyAlignment="1"/>
    <xf numFmtId="168" fontId="2" fillId="0" borderId="64" xfId="4" applyNumberFormat="1" applyBorder="1"/>
    <xf numFmtId="168" fontId="2" fillId="0" borderId="64" xfId="3" applyNumberFormat="1" applyBorder="1" applyAlignment="1"/>
    <xf numFmtId="168" fontId="2" fillId="0" borderId="65" xfId="3" applyNumberFormat="1" applyBorder="1" applyAlignment="1"/>
    <xf numFmtId="0" fontId="2" fillId="0" borderId="66" xfId="3" applyBorder="1" applyAlignment="1"/>
    <xf numFmtId="0" fontId="2" fillId="0" borderId="67" xfId="3" applyBorder="1" applyAlignment="1"/>
    <xf numFmtId="168" fontId="2" fillId="0" borderId="64" xfId="3" applyNumberFormat="1" applyBorder="1"/>
    <xf numFmtId="164" fontId="2" fillId="0" borderId="64" xfId="3" applyNumberFormat="1" applyBorder="1"/>
    <xf numFmtId="164" fontId="2" fillId="0" borderId="68" xfId="3" applyNumberFormat="1" applyBorder="1"/>
    <xf numFmtId="0" fontId="16" fillId="0" borderId="0" xfId="3" applyFont="1"/>
    <xf numFmtId="0" fontId="9" fillId="0" borderId="1" xfId="3" applyFont="1" applyBorder="1"/>
    <xf numFmtId="0" fontId="9" fillId="0" borderId="3" xfId="3" applyFont="1" applyBorder="1"/>
    <xf numFmtId="0" fontId="9" fillId="0" borderId="38" xfId="3" applyNumberFormat="1" applyFont="1" applyBorder="1" applyAlignment="1">
      <alignment horizontal="center"/>
    </xf>
    <xf numFmtId="0" fontId="9" fillId="0" borderId="41" xfId="3" applyNumberFormat="1" applyFont="1" applyBorder="1" applyAlignment="1">
      <alignment horizontal="center"/>
    </xf>
    <xf numFmtId="0" fontId="9" fillId="0" borderId="38" xfId="3" applyFont="1" applyBorder="1" applyAlignment="1">
      <alignment horizontal="center"/>
    </xf>
    <xf numFmtId="0" fontId="9" fillId="0" borderId="41" xfId="3" applyFont="1" applyBorder="1" applyAlignment="1">
      <alignment horizontal="center"/>
    </xf>
    <xf numFmtId="0" fontId="10" fillId="0" borderId="62" xfId="3" applyFont="1" applyBorder="1"/>
    <xf numFmtId="0" fontId="10" fillId="0" borderId="31" xfId="3" applyFont="1" applyBorder="1"/>
    <xf numFmtId="1" fontId="10" fillId="0" borderId="62" xfId="4" applyNumberFormat="1" applyFont="1" applyBorder="1"/>
    <xf numFmtId="1" fontId="10" fillId="0" borderId="31" xfId="4" applyNumberFormat="1" applyFont="1" applyBorder="1"/>
    <xf numFmtId="1" fontId="10" fillId="0" borderId="63" xfId="4" applyNumberFormat="1" applyFont="1" applyBorder="1"/>
    <xf numFmtId="1" fontId="10" fillId="0" borderId="68" xfId="4" applyNumberFormat="1" applyFont="1" applyBorder="1"/>
    <xf numFmtId="1" fontId="10" fillId="0" borderId="69" xfId="4" applyNumberFormat="1" applyFont="1" applyBorder="1"/>
    <xf numFmtId="0" fontId="10" fillId="0" borderId="70" xfId="4" applyNumberFormat="1" applyFont="1" applyBorder="1"/>
    <xf numFmtId="1" fontId="10" fillId="0" borderId="70" xfId="4" applyNumberFormat="1" applyFont="1" applyBorder="1"/>
    <xf numFmtId="0" fontId="2" fillId="0" borderId="25" xfId="3" applyBorder="1" applyAlignment="1">
      <alignment horizontal="left"/>
    </xf>
    <xf numFmtId="0" fontId="2" fillId="0" borderId="27" xfId="3" applyBorder="1" applyAlignment="1">
      <alignment horizontal="left"/>
    </xf>
    <xf numFmtId="0" fontId="2" fillId="0" borderId="62" xfId="3" applyBorder="1"/>
    <xf numFmtId="0" fontId="2" fillId="0" borderId="31" xfId="3" applyBorder="1"/>
    <xf numFmtId="1" fontId="2" fillId="0" borderId="62" xfId="3" applyNumberFormat="1" applyBorder="1"/>
    <xf numFmtId="0" fontId="10" fillId="0" borderId="69" xfId="3" applyFont="1" applyBorder="1"/>
    <xf numFmtId="0" fontId="10" fillId="0" borderId="70" xfId="3" applyFont="1" applyBorder="1"/>
    <xf numFmtId="0" fontId="2" fillId="0" borderId="63" xfId="3" applyBorder="1"/>
    <xf numFmtId="0" fontId="2" fillId="0" borderId="68" xfId="3" applyBorder="1"/>
    <xf numFmtId="0" fontId="10" fillId="0" borderId="58" xfId="3" applyFont="1" applyBorder="1"/>
    <xf numFmtId="0" fontId="10" fillId="0" borderId="61" xfId="3" applyFont="1" applyBorder="1"/>
    <xf numFmtId="0" fontId="2" fillId="0" borderId="44" xfId="3" applyBorder="1"/>
    <xf numFmtId="0" fontId="10" fillId="0" borderId="63" xfId="3" applyFont="1" applyBorder="1"/>
    <xf numFmtId="0" fontId="10" fillId="0" borderId="68" xfId="3" applyFont="1" applyBorder="1"/>
    <xf numFmtId="0" fontId="10" fillId="0" borderId="49" xfId="0" applyFont="1" applyBorder="1" applyAlignment="1">
      <alignment horizontal="center"/>
    </xf>
    <xf numFmtId="168" fontId="0" fillId="4" borderId="20" xfId="1" applyNumberFormat="1" applyFont="1" applyFill="1" applyBorder="1"/>
    <xf numFmtId="168" fontId="0" fillId="0" borderId="20" xfId="1" applyNumberFormat="1" applyFont="1" applyFill="1" applyBorder="1"/>
    <xf numFmtId="168" fontId="0" fillId="0" borderId="0" xfId="1" applyNumberFormat="1" applyFont="1" applyFill="1" applyBorder="1"/>
    <xf numFmtId="168" fontId="2" fillId="0" borderId="0" xfId="1" applyNumberFormat="1" applyFont="1" applyBorder="1"/>
    <xf numFmtId="168" fontId="0" fillId="0" borderId="49" xfId="1" applyNumberFormat="1" applyFont="1" applyBorder="1" applyAlignment="1">
      <alignment horizontal="center"/>
    </xf>
    <xf numFmtId="168" fontId="2" fillId="0" borderId="49" xfId="1" applyNumberFormat="1" applyFont="1" applyBorder="1" applyAlignment="1">
      <alignment horizontal="center"/>
    </xf>
    <xf numFmtId="164" fontId="0" fillId="0" borderId="20" xfId="1" applyNumberFormat="1" applyFont="1" applyBorder="1"/>
    <xf numFmtId="164" fontId="0" fillId="0" borderId="20" xfId="1" applyNumberFormat="1" applyFont="1" applyFill="1" applyBorder="1"/>
    <xf numFmtId="164" fontId="0" fillId="4" borderId="20" xfId="1" applyNumberFormat="1" applyFont="1" applyFill="1" applyBorder="1"/>
    <xf numFmtId="168" fontId="13" fillId="0" borderId="20" xfId="1" applyNumberFormat="1" applyFont="1" applyBorder="1"/>
    <xf numFmtId="168" fontId="13" fillId="8" borderId="20" xfId="1" applyNumberFormat="1" applyFont="1" applyFill="1" applyBorder="1"/>
    <xf numFmtId="168" fontId="13" fillId="4" borderId="20" xfId="1" applyNumberFormat="1" applyFont="1" applyFill="1" applyBorder="1"/>
    <xf numFmtId="168" fontId="13" fillId="0" borderId="20" xfId="0" applyNumberFormat="1" applyFont="1" applyBorder="1"/>
    <xf numFmtId="0" fontId="13" fillId="0" borderId="20" xfId="0" applyFont="1" applyBorder="1"/>
  </cellXfs>
  <cellStyles count="6">
    <cellStyle name="Komma" xfId="1" builtinId="3"/>
    <cellStyle name="Komma 2" xfId="4" xr:uid="{F64B2976-FA6E-4394-B52E-C2EEAAB992CD}"/>
    <cellStyle name="Normal" xfId="0" builtinId="0"/>
    <cellStyle name="Normal 2" xfId="3" xr:uid="{314B0B53-5C3B-4B3F-9E60-6D8FC09B49AE}"/>
    <cellStyle name="Procent" xfId="2" builtinId="5"/>
    <cellStyle name="Procent 2" xfId="5" xr:uid="{CBF32B8D-A25B-405F-AB92-65BE9C8847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da-DK"/>
              <a:t>Optimal pris og mængde er der hvor MR og MC har skæringspunkt</a:t>
            </a:r>
          </a:p>
        </c:rich>
      </c:tx>
      <c:layout>
        <c:manualLayout>
          <c:xMode val="edge"/>
          <c:yMode val="edge"/>
          <c:x val="0.23640398701587104"/>
          <c:y val="1.9575785982924577E-2"/>
        </c:manualLayout>
      </c:layout>
      <c:overlay val="0"/>
      <c:spPr>
        <a:noFill/>
        <a:ln w="25400">
          <a:noFill/>
        </a:ln>
      </c:spPr>
    </c:title>
    <c:autoTitleDeleted val="0"/>
    <c:plotArea>
      <c:layout>
        <c:manualLayout>
          <c:layoutTarget val="inner"/>
          <c:xMode val="edge"/>
          <c:yMode val="edge"/>
          <c:x val="8.324084350721421E-2"/>
          <c:y val="0.12071778140293637"/>
          <c:w val="0.76026637069922309"/>
          <c:h val="0.76019575856443722"/>
        </c:manualLayout>
      </c:layout>
      <c:scatterChart>
        <c:scatterStyle val="lineMarker"/>
        <c:varyColors val="0"/>
        <c:ser>
          <c:idx val="0"/>
          <c:order val="0"/>
          <c:tx>
            <c:strRef>
              <c:f>'Data til graf MR=MC'!$A$2</c:f>
              <c:strCache>
                <c:ptCount val="1"/>
                <c:pt idx="0">
                  <c:v>Afsætning</c:v>
                </c:pt>
              </c:strCache>
            </c:strRef>
          </c:tx>
          <c:spPr>
            <a:ln w="38100">
              <a:solidFill>
                <a:srgbClr val="000080"/>
              </a:solidFill>
              <a:prstDash val="solid"/>
            </a:ln>
          </c:spPr>
          <c:marker>
            <c:symbol val="square"/>
            <c:size val="7"/>
            <c:spPr>
              <a:noFill/>
              <a:ln w="9525">
                <a:noFill/>
              </a:ln>
            </c:spPr>
          </c:marker>
          <c:xVal>
            <c:numRef>
              <c:f>'Data til graf MR=MC'!$B$4:$B$5</c:f>
              <c:numCache>
                <c:formatCode>0</c:formatCode>
                <c:ptCount val="2"/>
                <c:pt idx="0">
                  <c:v>0</c:v>
                </c:pt>
                <c:pt idx="1">
                  <c:v>8000</c:v>
                </c:pt>
              </c:numCache>
            </c:numRef>
          </c:xVal>
          <c:yVal>
            <c:numRef>
              <c:f>'Data til graf MR=MC'!$A$4:$A$5</c:f>
              <c:numCache>
                <c:formatCode>0</c:formatCode>
                <c:ptCount val="2"/>
                <c:pt idx="0">
                  <c:v>10000</c:v>
                </c:pt>
                <c:pt idx="1">
                  <c:v>0</c:v>
                </c:pt>
              </c:numCache>
            </c:numRef>
          </c:yVal>
          <c:smooth val="0"/>
          <c:extLst>
            <c:ext xmlns:c16="http://schemas.microsoft.com/office/drawing/2014/chart" uri="{C3380CC4-5D6E-409C-BE32-E72D297353CC}">
              <c16:uniqueId val="{00000000-5C34-40DE-8781-BFC0001CF990}"/>
            </c:ext>
          </c:extLst>
        </c:ser>
        <c:ser>
          <c:idx val="1"/>
          <c:order val="1"/>
          <c:tx>
            <c:strRef>
              <c:f>'Data til graf MR=MC'!$C$2</c:f>
              <c:strCache>
                <c:ptCount val="1"/>
                <c:pt idx="0">
                  <c:v>MR</c:v>
                </c:pt>
              </c:strCache>
            </c:strRef>
          </c:tx>
          <c:spPr>
            <a:ln w="38100">
              <a:solidFill>
                <a:srgbClr val="FF00FF"/>
              </a:solidFill>
              <a:prstDash val="solid"/>
            </a:ln>
          </c:spPr>
          <c:marker>
            <c:symbol val="square"/>
            <c:size val="7"/>
            <c:spPr>
              <a:noFill/>
              <a:ln w="9525">
                <a:noFill/>
              </a:ln>
            </c:spPr>
          </c:marker>
          <c:xVal>
            <c:numRef>
              <c:f>'Data til graf MR=MC'!$D$4:$D$5</c:f>
              <c:numCache>
                <c:formatCode>0</c:formatCode>
                <c:ptCount val="2"/>
                <c:pt idx="0">
                  <c:v>0</c:v>
                </c:pt>
                <c:pt idx="1">
                  <c:v>4000</c:v>
                </c:pt>
              </c:numCache>
            </c:numRef>
          </c:xVal>
          <c:yVal>
            <c:numRef>
              <c:f>'Data til graf MR=MC'!$C$4:$C$5</c:f>
              <c:numCache>
                <c:formatCode>0</c:formatCode>
                <c:ptCount val="2"/>
                <c:pt idx="0">
                  <c:v>10000</c:v>
                </c:pt>
                <c:pt idx="1">
                  <c:v>0</c:v>
                </c:pt>
              </c:numCache>
            </c:numRef>
          </c:yVal>
          <c:smooth val="0"/>
          <c:extLst>
            <c:ext xmlns:c16="http://schemas.microsoft.com/office/drawing/2014/chart" uri="{C3380CC4-5D6E-409C-BE32-E72D297353CC}">
              <c16:uniqueId val="{00000001-5C34-40DE-8781-BFC0001CF990}"/>
            </c:ext>
          </c:extLst>
        </c:ser>
        <c:ser>
          <c:idx val="2"/>
          <c:order val="2"/>
          <c:tx>
            <c:strRef>
              <c:f>'Data til graf MR=MC'!$E$2:$F$2</c:f>
              <c:strCache>
                <c:ptCount val="1"/>
                <c:pt idx="0">
                  <c:v>MC(1) indtil 3000</c:v>
                </c:pt>
              </c:strCache>
            </c:strRef>
          </c:tx>
          <c:spPr>
            <a:ln w="38100">
              <a:solidFill>
                <a:srgbClr val="FFFF00"/>
              </a:solidFill>
              <a:prstDash val="solid"/>
            </a:ln>
          </c:spPr>
          <c:marker>
            <c:symbol val="square"/>
            <c:size val="7"/>
            <c:spPr>
              <a:noFill/>
              <a:ln w="9525">
                <a:noFill/>
              </a:ln>
            </c:spPr>
          </c:marker>
          <c:xVal>
            <c:numRef>
              <c:f>'Data til graf MR=MC'!$F$4:$F$5</c:f>
              <c:numCache>
                <c:formatCode>General</c:formatCode>
                <c:ptCount val="2"/>
                <c:pt idx="0" formatCode="0">
                  <c:v>0</c:v>
                </c:pt>
                <c:pt idx="1">
                  <c:v>3000</c:v>
                </c:pt>
              </c:numCache>
            </c:numRef>
          </c:xVal>
          <c:yVal>
            <c:numRef>
              <c:f>'Data til graf MR=MC'!$E$4:$E$5</c:f>
              <c:numCache>
                <c:formatCode>0</c:formatCode>
                <c:ptCount val="2"/>
                <c:pt idx="0">
                  <c:v>5500</c:v>
                </c:pt>
                <c:pt idx="1">
                  <c:v>5500</c:v>
                </c:pt>
              </c:numCache>
            </c:numRef>
          </c:yVal>
          <c:smooth val="0"/>
          <c:extLst>
            <c:ext xmlns:c16="http://schemas.microsoft.com/office/drawing/2014/chart" uri="{C3380CC4-5D6E-409C-BE32-E72D297353CC}">
              <c16:uniqueId val="{00000002-5C34-40DE-8781-BFC0001CF990}"/>
            </c:ext>
          </c:extLst>
        </c:ser>
        <c:ser>
          <c:idx val="3"/>
          <c:order val="3"/>
          <c:tx>
            <c:strRef>
              <c:f>'Data til graf MR=MC'!$G$2</c:f>
              <c:strCache>
                <c:ptCount val="1"/>
                <c:pt idx="0">
                  <c:v>Max.kapacitet</c:v>
                </c:pt>
              </c:strCache>
            </c:strRef>
          </c:tx>
          <c:spPr>
            <a:ln w="38100">
              <a:solidFill>
                <a:srgbClr val="00FFFF"/>
              </a:solidFill>
              <a:prstDash val="solid"/>
            </a:ln>
          </c:spPr>
          <c:marker>
            <c:symbol val="none"/>
          </c:marker>
          <c:xVal>
            <c:numRef>
              <c:f>'Data til graf MR=MC'!$H$4:$H$5</c:f>
              <c:numCache>
                <c:formatCode>0</c:formatCode>
                <c:ptCount val="2"/>
                <c:pt idx="0">
                  <c:v>3000</c:v>
                </c:pt>
                <c:pt idx="1">
                  <c:v>3000</c:v>
                </c:pt>
              </c:numCache>
            </c:numRef>
          </c:xVal>
          <c:yVal>
            <c:numRef>
              <c:f>'Data til graf MR=MC'!$G$4:$G$5</c:f>
              <c:numCache>
                <c:formatCode>0</c:formatCode>
                <c:ptCount val="2"/>
                <c:pt idx="0">
                  <c:v>10000</c:v>
                </c:pt>
                <c:pt idx="1">
                  <c:v>0</c:v>
                </c:pt>
              </c:numCache>
            </c:numRef>
          </c:yVal>
          <c:smooth val="0"/>
          <c:extLst>
            <c:ext xmlns:c16="http://schemas.microsoft.com/office/drawing/2014/chart" uri="{C3380CC4-5D6E-409C-BE32-E72D297353CC}">
              <c16:uniqueId val="{00000003-5C34-40DE-8781-BFC0001CF990}"/>
            </c:ext>
          </c:extLst>
        </c:ser>
        <c:ser>
          <c:idx val="4"/>
          <c:order val="4"/>
          <c:tx>
            <c:v>Optimal pris</c:v>
          </c:tx>
          <c:spPr>
            <a:ln w="12700">
              <a:solidFill>
                <a:srgbClr val="800080"/>
              </a:solidFill>
              <a:prstDash val="solid"/>
            </a:ln>
          </c:spPr>
          <c:marker>
            <c:symbol val="none"/>
          </c:marker>
          <c:xVal>
            <c:numRef>
              <c:f>'Data til graf MR=MC'!$J$4:$J$5</c:f>
              <c:numCache>
                <c:formatCode>0</c:formatCode>
                <c:ptCount val="2"/>
                <c:pt idx="0">
                  <c:v>0</c:v>
                </c:pt>
                <c:pt idx="1">
                  <c:v>1800</c:v>
                </c:pt>
              </c:numCache>
            </c:numRef>
          </c:xVal>
          <c:yVal>
            <c:numRef>
              <c:f>'Data til graf MR=MC'!$I$4:$I$5</c:f>
              <c:numCache>
                <c:formatCode>0</c:formatCode>
                <c:ptCount val="2"/>
                <c:pt idx="0">
                  <c:v>7750</c:v>
                </c:pt>
                <c:pt idx="1">
                  <c:v>7750</c:v>
                </c:pt>
              </c:numCache>
            </c:numRef>
          </c:yVal>
          <c:smooth val="0"/>
          <c:extLst>
            <c:ext xmlns:c16="http://schemas.microsoft.com/office/drawing/2014/chart" uri="{C3380CC4-5D6E-409C-BE32-E72D297353CC}">
              <c16:uniqueId val="{00000004-5C34-40DE-8781-BFC0001CF990}"/>
            </c:ext>
          </c:extLst>
        </c:ser>
        <c:ser>
          <c:idx val="5"/>
          <c:order val="5"/>
          <c:tx>
            <c:strRef>
              <c:f>'Data til graf MR=MC'!$K$2</c:f>
              <c:strCache>
                <c:ptCount val="1"/>
                <c:pt idx="0">
                  <c:v>Optimal mængde</c:v>
                </c:pt>
              </c:strCache>
            </c:strRef>
          </c:tx>
          <c:spPr>
            <a:ln w="12700">
              <a:solidFill>
                <a:srgbClr val="800000"/>
              </a:solidFill>
              <a:prstDash val="solid"/>
            </a:ln>
          </c:spPr>
          <c:marker>
            <c:symbol val="none"/>
          </c:marker>
          <c:xVal>
            <c:numRef>
              <c:f>'Data til graf MR=MC'!$L$4:$L$5</c:f>
              <c:numCache>
                <c:formatCode>0</c:formatCode>
                <c:ptCount val="2"/>
                <c:pt idx="0">
                  <c:v>1800</c:v>
                </c:pt>
                <c:pt idx="1">
                  <c:v>1800</c:v>
                </c:pt>
              </c:numCache>
            </c:numRef>
          </c:xVal>
          <c:yVal>
            <c:numRef>
              <c:f>'Data til graf MR=MC'!$K$4:$K$5</c:f>
              <c:numCache>
                <c:formatCode>0</c:formatCode>
                <c:ptCount val="2"/>
                <c:pt idx="0">
                  <c:v>0</c:v>
                </c:pt>
                <c:pt idx="1">
                  <c:v>7750</c:v>
                </c:pt>
              </c:numCache>
            </c:numRef>
          </c:yVal>
          <c:smooth val="0"/>
          <c:extLst>
            <c:ext xmlns:c16="http://schemas.microsoft.com/office/drawing/2014/chart" uri="{C3380CC4-5D6E-409C-BE32-E72D297353CC}">
              <c16:uniqueId val="{00000005-5C34-40DE-8781-BFC0001CF990}"/>
            </c:ext>
          </c:extLst>
        </c:ser>
        <c:ser>
          <c:idx val="6"/>
          <c:order val="6"/>
          <c:tx>
            <c:strRef>
              <c:f>'Data til graf MR=MC'!$E$6:$F$6</c:f>
              <c:strCache>
                <c:ptCount val="1"/>
                <c:pt idx="0">
                  <c:v>MC(2) indtil 0</c:v>
                </c:pt>
              </c:strCache>
            </c:strRef>
          </c:tx>
          <c:spPr>
            <a:ln w="38100">
              <a:solidFill>
                <a:srgbClr val="FF6600"/>
              </a:solidFill>
              <a:prstDash val="solid"/>
            </a:ln>
          </c:spPr>
          <c:marker>
            <c:symbol val="none"/>
          </c:marker>
          <c:xVal>
            <c:numRef>
              <c:f>'Data til graf MR=MC'!$F$8:$F$9</c:f>
              <c:numCache>
                <c:formatCode>General</c:formatCode>
                <c:ptCount val="2"/>
                <c:pt idx="0">
                  <c:v>0</c:v>
                </c:pt>
                <c:pt idx="1">
                  <c:v>0</c:v>
                </c:pt>
              </c:numCache>
            </c:numRef>
          </c:xVal>
          <c:yVal>
            <c:numRef>
              <c:f>'Data til graf MR=MC'!$E$8:$E$9</c:f>
              <c:numCache>
                <c:formatCode>General</c:formatCode>
                <c:ptCount val="2"/>
                <c:pt idx="0">
                  <c:v>0</c:v>
                </c:pt>
                <c:pt idx="1">
                  <c:v>0</c:v>
                </c:pt>
              </c:numCache>
            </c:numRef>
          </c:yVal>
          <c:smooth val="0"/>
          <c:extLst>
            <c:ext xmlns:c16="http://schemas.microsoft.com/office/drawing/2014/chart" uri="{C3380CC4-5D6E-409C-BE32-E72D297353CC}">
              <c16:uniqueId val="{00000006-5C34-40DE-8781-BFC0001CF990}"/>
            </c:ext>
          </c:extLst>
        </c:ser>
        <c:ser>
          <c:idx val="7"/>
          <c:order val="7"/>
          <c:tx>
            <c:strRef>
              <c:f>'Data til graf MR=MC'!$E$10:$F$10</c:f>
              <c:strCache>
                <c:ptCount val="1"/>
                <c:pt idx="0">
                  <c:v>MC(3) indtil 0</c:v>
                </c:pt>
              </c:strCache>
            </c:strRef>
          </c:tx>
          <c:spPr>
            <a:ln w="38100">
              <a:solidFill>
                <a:srgbClr val="FF0000"/>
              </a:solidFill>
              <a:prstDash val="solid"/>
            </a:ln>
          </c:spPr>
          <c:marker>
            <c:symbol val="none"/>
          </c:marker>
          <c:xVal>
            <c:numRef>
              <c:f>'Data til graf MR=MC'!$F$12:$F$13</c:f>
              <c:numCache>
                <c:formatCode>General</c:formatCode>
                <c:ptCount val="2"/>
                <c:pt idx="0">
                  <c:v>0</c:v>
                </c:pt>
                <c:pt idx="1">
                  <c:v>0</c:v>
                </c:pt>
              </c:numCache>
            </c:numRef>
          </c:xVal>
          <c:yVal>
            <c:numRef>
              <c:f>'Data til graf MR=MC'!$E$12:$E$13</c:f>
              <c:numCache>
                <c:formatCode>General</c:formatCode>
                <c:ptCount val="2"/>
                <c:pt idx="0">
                  <c:v>0</c:v>
                </c:pt>
                <c:pt idx="1">
                  <c:v>0</c:v>
                </c:pt>
              </c:numCache>
            </c:numRef>
          </c:yVal>
          <c:smooth val="0"/>
          <c:extLst>
            <c:ext xmlns:c16="http://schemas.microsoft.com/office/drawing/2014/chart" uri="{C3380CC4-5D6E-409C-BE32-E72D297353CC}">
              <c16:uniqueId val="{00000007-5C34-40DE-8781-BFC0001CF990}"/>
            </c:ext>
          </c:extLst>
        </c:ser>
        <c:ser>
          <c:idx val="8"/>
          <c:order val="8"/>
          <c:tx>
            <c:strRef>
              <c:f>'Data til graf MR=MC'!$G$6:$H$6</c:f>
              <c:strCache>
                <c:ptCount val="1"/>
                <c:pt idx="0">
                  <c:v>relation MC(1) og MC(2)</c:v>
                </c:pt>
              </c:strCache>
            </c:strRef>
          </c:tx>
          <c:spPr>
            <a:ln w="12700">
              <a:solidFill>
                <a:srgbClr val="FF9900"/>
              </a:solidFill>
              <a:prstDash val="sysDash"/>
            </a:ln>
          </c:spPr>
          <c:marker>
            <c:symbol val="none"/>
          </c:marker>
          <c:xVal>
            <c:numRef>
              <c:f>'Data til graf MR=MC'!$H$8:$H$9</c:f>
              <c:numCache>
                <c:formatCode>General</c:formatCode>
                <c:ptCount val="2"/>
                <c:pt idx="0" formatCode="0">
                  <c:v>0</c:v>
                </c:pt>
                <c:pt idx="1">
                  <c:v>0</c:v>
                </c:pt>
              </c:numCache>
            </c:numRef>
          </c:xVal>
          <c:yVal>
            <c:numRef>
              <c:f>'Data til graf MR=MC'!$G$8:$G$9</c:f>
              <c:numCache>
                <c:formatCode>General</c:formatCode>
                <c:ptCount val="2"/>
                <c:pt idx="0" formatCode="0">
                  <c:v>0</c:v>
                </c:pt>
                <c:pt idx="1">
                  <c:v>0</c:v>
                </c:pt>
              </c:numCache>
            </c:numRef>
          </c:yVal>
          <c:smooth val="0"/>
          <c:extLst>
            <c:ext xmlns:c16="http://schemas.microsoft.com/office/drawing/2014/chart" uri="{C3380CC4-5D6E-409C-BE32-E72D297353CC}">
              <c16:uniqueId val="{00000008-5C34-40DE-8781-BFC0001CF990}"/>
            </c:ext>
          </c:extLst>
        </c:ser>
        <c:ser>
          <c:idx val="9"/>
          <c:order val="9"/>
          <c:tx>
            <c:strRef>
              <c:f>'Data til graf MR=MC'!$G$10:$H$10</c:f>
              <c:strCache>
                <c:ptCount val="1"/>
                <c:pt idx="0">
                  <c:v>relation MC(2) og MC(3)</c:v>
                </c:pt>
              </c:strCache>
            </c:strRef>
          </c:tx>
          <c:spPr>
            <a:ln w="12700">
              <a:solidFill>
                <a:srgbClr val="FF0000"/>
              </a:solidFill>
              <a:prstDash val="sysDash"/>
            </a:ln>
          </c:spPr>
          <c:marker>
            <c:symbol val="none"/>
          </c:marker>
          <c:xVal>
            <c:numRef>
              <c:f>'Data til graf MR=MC'!$H$12:$H$13</c:f>
              <c:numCache>
                <c:formatCode>General</c:formatCode>
                <c:ptCount val="2"/>
                <c:pt idx="0">
                  <c:v>0</c:v>
                </c:pt>
                <c:pt idx="1">
                  <c:v>0</c:v>
                </c:pt>
              </c:numCache>
            </c:numRef>
          </c:xVal>
          <c:yVal>
            <c:numRef>
              <c:f>'Data til graf MR=MC'!$G$12:$G$13</c:f>
              <c:numCache>
                <c:formatCode>General</c:formatCode>
                <c:ptCount val="2"/>
                <c:pt idx="0">
                  <c:v>0</c:v>
                </c:pt>
                <c:pt idx="1">
                  <c:v>0</c:v>
                </c:pt>
              </c:numCache>
            </c:numRef>
          </c:yVal>
          <c:smooth val="0"/>
          <c:extLst>
            <c:ext xmlns:c16="http://schemas.microsoft.com/office/drawing/2014/chart" uri="{C3380CC4-5D6E-409C-BE32-E72D297353CC}">
              <c16:uniqueId val="{00000009-5C34-40DE-8781-BFC0001CF990}"/>
            </c:ext>
          </c:extLst>
        </c:ser>
        <c:dLbls>
          <c:showLegendKey val="0"/>
          <c:showVal val="0"/>
          <c:showCatName val="0"/>
          <c:showSerName val="0"/>
          <c:showPercent val="0"/>
          <c:showBubbleSize val="0"/>
        </c:dLbls>
        <c:axId val="376776544"/>
        <c:axId val="1"/>
      </c:scatterChart>
      <c:valAx>
        <c:axId val="376776544"/>
        <c:scaling>
          <c:orientation val="minMax"/>
        </c:scaling>
        <c:delete val="0"/>
        <c:axPos val="b"/>
        <c:title>
          <c:tx>
            <c:rich>
              <a:bodyPr/>
              <a:lstStyle/>
              <a:p>
                <a:pPr>
                  <a:defRPr sz="950" b="1" i="0" u="none" strike="noStrike" baseline="0">
                    <a:solidFill>
                      <a:srgbClr val="000000"/>
                    </a:solidFill>
                    <a:latin typeface="Arial"/>
                    <a:ea typeface="Arial"/>
                    <a:cs typeface="Arial"/>
                  </a:defRPr>
                </a:pPr>
                <a:r>
                  <a:rPr lang="da-DK"/>
                  <a:t>Mængde</a:t>
                </a:r>
              </a:p>
            </c:rich>
          </c:tx>
          <c:layout>
            <c:manualLayout>
              <c:xMode val="edge"/>
              <c:yMode val="edge"/>
              <c:x val="0.87902327566464722"/>
              <c:y val="0.871125586808771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a-DK"/>
          </a:p>
        </c:txPr>
        <c:crossAx val="1"/>
        <c:crosses val="autoZero"/>
        <c:crossBetween val="midCat"/>
      </c:valAx>
      <c:valAx>
        <c:axId val="1"/>
        <c:scaling>
          <c:orientation val="minMax"/>
        </c:scaling>
        <c:delete val="0"/>
        <c:axPos val="l"/>
        <c:title>
          <c:tx>
            <c:rich>
              <a:bodyPr rot="-60000" vert="horz"/>
              <a:lstStyle/>
              <a:p>
                <a:pPr algn="ctr">
                  <a:defRPr sz="950" b="1" i="0" u="none" strike="noStrike" baseline="0">
                    <a:solidFill>
                      <a:srgbClr val="000000"/>
                    </a:solidFill>
                    <a:latin typeface="Arial"/>
                    <a:ea typeface="Arial"/>
                    <a:cs typeface="Arial"/>
                  </a:defRPr>
                </a:pPr>
                <a:r>
                  <a:rPr lang="da-DK"/>
                  <a:t>Pris</a:t>
                </a:r>
              </a:p>
            </c:rich>
          </c:tx>
          <c:layout>
            <c:manualLayout>
              <c:xMode val="edge"/>
              <c:yMode val="edge"/>
              <c:x val="4.2175323041797656E-2"/>
              <c:y val="3.588902984208443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a-DK"/>
          </a:p>
        </c:txPr>
        <c:crossAx val="376776544"/>
        <c:crosses val="autoZero"/>
        <c:crossBetween val="midCat"/>
      </c:valAx>
      <c:spPr>
        <a:noFill/>
        <a:ln w="25400">
          <a:noFill/>
        </a:ln>
      </c:spPr>
    </c:plotArea>
    <c:legend>
      <c:legendPos val="r"/>
      <c:layout>
        <c:manualLayout>
          <c:xMode val="edge"/>
          <c:yMode val="edge"/>
          <c:x val="0.83129859940041229"/>
          <c:y val="0.10440454740248856"/>
          <c:w val="0.16426196139459681"/>
          <c:h val="0.5579119446013058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a-DK"/>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da-DK"/>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D6FA7E0-6C49-470D-A23A-7A5999C0BB11}">
  <sheetPr/>
  <sheetViews>
    <sheetView zoomScale="107" workbookViewId="0"/>
  </sheetViews>
  <pageMargins left="0.75" right="0.75" top="1" bottom="1" header="0" footer="0"/>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96699" cy="5616011"/>
    <xdr:graphicFrame macro="">
      <xdr:nvGraphicFramePr>
        <xdr:cNvPr id="2" name="Diagram 1">
          <a:extLst>
            <a:ext uri="{FF2B5EF4-FFF2-40B4-BE49-F238E27FC236}">
              <a16:creationId xmlns:a16="http://schemas.microsoft.com/office/drawing/2014/main" id="{D3F74C15-24D0-46FA-B265-00A1B5F12C8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R%20=%20M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MC knæk i MC"/>
      <sheetName val="Graf MR=MC"/>
      <sheetName val="Data til graf MR=MC"/>
      <sheetName val="MR = MC VO 1 grad"/>
      <sheetName val="MR = MC VO 2 grad"/>
      <sheetName val="MR = MC VO 3 grad"/>
    </sheetNames>
    <sheetDataSet>
      <sheetData sheetId="0" refreshError="1"/>
      <sheetData sheetId="1" refreshError="1"/>
      <sheetData sheetId="2">
        <row r="2">
          <cell r="A2" t="str">
            <v>Afsætning</v>
          </cell>
          <cell r="C2" t="str">
            <v>MR</v>
          </cell>
          <cell r="E2" t="str">
            <v>MC(1) indtil 3000</v>
          </cell>
          <cell r="G2" t="str">
            <v>Max.kapacitet</v>
          </cell>
          <cell r="K2" t="str">
            <v>Optimal mængde</v>
          </cell>
        </row>
        <row r="4">
          <cell r="A4">
            <v>10000</v>
          </cell>
          <cell r="B4">
            <v>0</v>
          </cell>
          <cell r="C4">
            <v>10000</v>
          </cell>
          <cell r="D4">
            <v>0</v>
          </cell>
          <cell r="E4">
            <v>5500</v>
          </cell>
          <cell r="F4">
            <v>0</v>
          </cell>
          <cell r="G4">
            <v>10000</v>
          </cell>
          <cell r="H4">
            <v>3000</v>
          </cell>
          <cell r="I4">
            <v>7750</v>
          </cell>
          <cell r="J4">
            <v>0</v>
          </cell>
          <cell r="K4">
            <v>0</v>
          </cell>
          <cell r="L4">
            <v>1800</v>
          </cell>
        </row>
        <row r="5">
          <cell r="A5">
            <v>0</v>
          </cell>
          <cell r="B5">
            <v>8000</v>
          </cell>
          <cell r="C5">
            <v>0</v>
          </cell>
          <cell r="D5">
            <v>4000</v>
          </cell>
          <cell r="E5">
            <v>5500</v>
          </cell>
          <cell r="F5">
            <v>3000</v>
          </cell>
          <cell r="G5">
            <v>0</v>
          </cell>
          <cell r="H5">
            <v>3000</v>
          </cell>
          <cell r="I5">
            <v>7750</v>
          </cell>
          <cell r="J5">
            <v>1800</v>
          </cell>
          <cell r="K5">
            <v>7750</v>
          </cell>
          <cell r="L5">
            <v>1800</v>
          </cell>
        </row>
        <row r="6">
          <cell r="E6" t="str">
            <v>MC(2) indtil 0</v>
          </cell>
          <cell r="G6" t="str">
            <v>relation MC(1) og MC(2)</v>
          </cell>
        </row>
        <row r="8">
          <cell r="E8">
            <v>0</v>
          </cell>
          <cell r="F8">
            <v>0</v>
          </cell>
          <cell r="G8">
            <v>0</v>
          </cell>
          <cell r="H8">
            <v>0</v>
          </cell>
        </row>
        <row r="9">
          <cell r="E9">
            <v>0</v>
          </cell>
          <cell r="F9">
            <v>0</v>
          </cell>
          <cell r="G9">
            <v>0</v>
          </cell>
          <cell r="H9">
            <v>0</v>
          </cell>
        </row>
        <row r="10">
          <cell r="E10" t="str">
            <v>MC(3) indtil 0</v>
          </cell>
          <cell r="G10" t="str">
            <v>relation MC(2) og MC(3)</v>
          </cell>
        </row>
        <row r="12">
          <cell r="E12">
            <v>0</v>
          </cell>
          <cell r="F12">
            <v>0</v>
          </cell>
          <cell r="G12">
            <v>0</v>
          </cell>
          <cell r="H12">
            <v>0</v>
          </cell>
        </row>
        <row r="13">
          <cell r="E13">
            <v>0</v>
          </cell>
          <cell r="F13">
            <v>0</v>
          </cell>
          <cell r="G13">
            <v>0</v>
          </cell>
          <cell r="H13">
            <v>0</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36C6-2F53-44D1-8FB0-ED39D07015FA}">
  <sheetPr>
    <pageSetUpPr fitToPage="1"/>
  </sheetPr>
  <dimension ref="A1:L149"/>
  <sheetViews>
    <sheetView tabSelected="1" zoomScale="120" zoomScaleNormal="120" workbookViewId="0">
      <selection activeCell="C16" sqref="C16"/>
    </sheetView>
  </sheetViews>
  <sheetFormatPr defaultRowHeight="12.75" x14ac:dyDescent="0.2"/>
  <cols>
    <col min="1" max="1" width="4.85546875" customWidth="1"/>
    <col min="2" max="2" width="9.28515625" customWidth="1"/>
    <col min="3" max="3" width="16.140625" customWidth="1"/>
    <col min="4" max="4" width="23.42578125" customWidth="1"/>
    <col min="5" max="5" width="28.28515625" customWidth="1"/>
    <col min="6" max="6" width="27.7109375" customWidth="1"/>
    <col min="7" max="7" width="28.28515625" customWidth="1"/>
    <col min="8" max="8" width="26.140625" hidden="1" customWidth="1"/>
    <col min="9" max="9" width="24.85546875" hidden="1" customWidth="1"/>
    <col min="10" max="10" width="24.140625" customWidth="1"/>
  </cols>
  <sheetData>
    <row r="1" spans="2:10" ht="18" x14ac:dyDescent="0.25">
      <c r="B1" s="294" t="s">
        <v>85</v>
      </c>
      <c r="C1" s="295"/>
      <c r="D1" s="295"/>
    </row>
    <row r="2" spans="2:10" ht="18" x14ac:dyDescent="0.25">
      <c r="B2" s="159" t="s">
        <v>86</v>
      </c>
      <c r="C2" s="160"/>
      <c r="D2" s="160"/>
      <c r="E2" s="161">
        <v>55000</v>
      </c>
      <c r="F2" s="55" t="s">
        <v>97</v>
      </c>
      <c r="G2" s="55"/>
    </row>
    <row r="3" spans="2:10" ht="18" x14ac:dyDescent="0.25">
      <c r="B3" s="159" t="s">
        <v>188</v>
      </c>
      <c r="C3" s="160"/>
      <c r="D3" s="160"/>
      <c r="E3" s="161">
        <v>35000</v>
      </c>
      <c r="F3" s="55" t="s">
        <v>97</v>
      </c>
      <c r="G3" s="55"/>
    </row>
    <row r="4" spans="2:10" ht="18" x14ac:dyDescent="0.25">
      <c r="B4" s="159" t="s">
        <v>87</v>
      </c>
      <c r="C4" s="160"/>
      <c r="D4" s="160"/>
      <c r="E4" s="161">
        <v>6300000</v>
      </c>
      <c r="F4" s="55"/>
      <c r="G4" s="55"/>
    </row>
    <row r="5" spans="2:10" ht="18" x14ac:dyDescent="0.25">
      <c r="B5" s="159" t="s">
        <v>88</v>
      </c>
      <c r="C5" s="160"/>
      <c r="D5" s="160"/>
      <c r="E5" s="161">
        <v>3500000</v>
      </c>
      <c r="F5" s="55"/>
      <c r="G5" s="55"/>
    </row>
    <row r="6" spans="2:10" ht="18" x14ac:dyDescent="0.25">
      <c r="B6" s="159" t="s">
        <v>90</v>
      </c>
      <c r="C6" s="160"/>
      <c r="D6" s="160"/>
      <c r="E6" s="161">
        <v>350000</v>
      </c>
      <c r="F6" s="55"/>
      <c r="G6" s="55"/>
    </row>
    <row r="7" spans="2:10" ht="18" x14ac:dyDescent="0.25">
      <c r="B7" s="159" t="s">
        <v>91</v>
      </c>
      <c r="C7" s="160"/>
      <c r="D7" s="160"/>
      <c r="E7" s="161">
        <v>2000000</v>
      </c>
      <c r="F7" s="55"/>
      <c r="G7" s="55"/>
    </row>
    <row r="8" spans="2:10" ht="18" x14ac:dyDescent="0.25">
      <c r="B8" s="159" t="s">
        <v>92</v>
      </c>
      <c r="C8" s="160"/>
      <c r="D8" s="160"/>
      <c r="E8" s="161">
        <v>3400000</v>
      </c>
      <c r="F8" s="55"/>
      <c r="G8" s="55"/>
    </row>
    <row r="9" spans="2:10" ht="18" x14ac:dyDescent="0.25">
      <c r="B9" s="159" t="s">
        <v>93</v>
      </c>
      <c r="C9" s="160"/>
      <c r="D9" s="160"/>
      <c r="E9" s="161">
        <v>300000</v>
      </c>
      <c r="F9" s="55"/>
      <c r="G9" s="55"/>
    </row>
    <row r="10" spans="2:10" ht="18" x14ac:dyDescent="0.25">
      <c r="B10" s="159" t="s">
        <v>94</v>
      </c>
      <c r="C10" s="160"/>
      <c r="D10" s="160"/>
      <c r="E10" s="161">
        <v>700000</v>
      </c>
      <c r="F10" s="55"/>
      <c r="G10" s="55"/>
    </row>
    <row r="11" spans="2:10" ht="18" x14ac:dyDescent="0.25">
      <c r="B11" s="159" t="s">
        <v>187</v>
      </c>
      <c r="C11" s="160"/>
      <c r="D11" s="160"/>
      <c r="E11" s="161">
        <v>1200000</v>
      </c>
      <c r="F11" s="55"/>
      <c r="G11" s="55"/>
    </row>
    <row r="12" spans="2:10" ht="18" x14ac:dyDescent="0.25">
      <c r="B12" s="159" t="s">
        <v>96</v>
      </c>
      <c r="C12" s="160"/>
      <c r="D12" s="160"/>
      <c r="E12" s="161">
        <v>6000000</v>
      </c>
      <c r="F12" s="55"/>
      <c r="G12" s="55"/>
    </row>
    <row r="13" spans="2:10" ht="15.75" x14ac:dyDescent="0.25">
      <c r="B13" s="111" t="s">
        <v>68</v>
      </c>
      <c r="C13" s="112">
        <v>10</v>
      </c>
    </row>
    <row r="14" spans="2:10" ht="16.5" thickBot="1" x14ac:dyDescent="0.3">
      <c r="B14" s="111" t="s">
        <v>69</v>
      </c>
      <c r="C14" s="113">
        <v>0.1</v>
      </c>
    </row>
    <row r="15" spans="2:10" ht="64.5" customHeight="1" thickBot="1" x14ac:dyDescent="0.3">
      <c r="B15" s="114" t="s">
        <v>70</v>
      </c>
      <c r="C15" s="115" t="s">
        <v>71</v>
      </c>
      <c r="D15" s="116" t="s">
        <v>72</v>
      </c>
      <c r="E15" s="114" t="s">
        <v>73</v>
      </c>
      <c r="F15" s="117" t="s">
        <v>74</v>
      </c>
      <c r="G15" s="114" t="s">
        <v>75</v>
      </c>
      <c r="H15" s="114" t="s">
        <v>76</v>
      </c>
      <c r="I15" s="117" t="str">
        <f>CONCATENATE("Nutidsværdien ved den interne rente (IRR) ",(ROUND(G139,4)*100)," %")</f>
        <v>Nutidsværdien ved den interne rente (IRR) 10,68 %</v>
      </c>
      <c r="J15" s="117" t="s">
        <v>77</v>
      </c>
    </row>
    <row r="16" spans="2:10" ht="18" x14ac:dyDescent="0.25">
      <c r="B16" s="118">
        <v>0</v>
      </c>
      <c r="C16" s="119">
        <v>0</v>
      </c>
      <c r="D16" s="119">
        <f>E4+E5+E6</f>
        <v>10150000</v>
      </c>
      <c r="E16" s="120">
        <f t="shared" ref="E16:E79" si="0">C16-D16</f>
        <v>-10150000</v>
      </c>
      <c r="F16" s="121">
        <f t="shared" ref="F16:F79" si="1">IF(B16&lt;=$C$13,POWER((1+$C$14),(B16*-1)),"-")</f>
        <v>1</v>
      </c>
      <c r="G16" s="122">
        <f>E16</f>
        <v>-10150000</v>
      </c>
      <c r="H16" s="123">
        <f t="shared" ref="H16:H79" si="2">IF(B16&lt;=$C$13,POWER((1+$G$139),(B16*-1)),"-")</f>
        <v>1</v>
      </c>
      <c r="I16" s="124">
        <f>G16</f>
        <v>-10150000</v>
      </c>
      <c r="J16" s="125"/>
    </row>
    <row r="17" spans="2:12" ht="18" x14ac:dyDescent="0.25">
      <c r="B17" s="126">
        <f t="shared" ref="B17:B80" si="3">B16+1</f>
        <v>1</v>
      </c>
      <c r="C17" s="127">
        <f>E7+E8+E9</f>
        <v>5700000</v>
      </c>
      <c r="D17" s="127">
        <v>0</v>
      </c>
      <c r="E17" s="128">
        <f t="shared" si="0"/>
        <v>5700000</v>
      </c>
      <c r="F17" s="129">
        <f t="shared" si="1"/>
        <v>0.90909090909090906</v>
      </c>
      <c r="G17" s="130">
        <f t="shared" ref="G17:G80" si="4">PV($C$14,B17,0,E17)*-1</f>
        <v>5181818.1818181816</v>
      </c>
      <c r="H17" s="131">
        <f t="shared" si="2"/>
        <v>0.90353980225100083</v>
      </c>
      <c r="I17" s="132">
        <f t="shared" ref="I17:I80" si="5">PV($G$139,B17,0,E17)*-1</f>
        <v>5150176.8728307048</v>
      </c>
      <c r="J17" s="130">
        <f>PMT($C$14,$C$13,$G$137)*-1</f>
        <v>43095.903063403304</v>
      </c>
    </row>
    <row r="18" spans="2:12" ht="18" x14ac:dyDescent="0.25">
      <c r="B18" s="126">
        <f t="shared" si="3"/>
        <v>2</v>
      </c>
      <c r="C18" s="127">
        <f>$E$10</f>
        <v>700000</v>
      </c>
      <c r="D18" s="127">
        <v>0</v>
      </c>
      <c r="E18" s="128">
        <f t="shared" si="0"/>
        <v>700000</v>
      </c>
      <c r="F18" s="129">
        <f t="shared" si="1"/>
        <v>0.82644628099173545</v>
      </c>
      <c r="G18" s="130">
        <f t="shared" si="4"/>
        <v>578512.39669421478</v>
      </c>
      <c r="H18" s="131">
        <f t="shared" si="2"/>
        <v>0.81638417425177756</v>
      </c>
      <c r="I18" s="132">
        <f t="shared" si="5"/>
        <v>571468.92197624431</v>
      </c>
      <c r="J18" s="130">
        <f t="shared" ref="J18:J81" si="6">IF(B18&lt;=$C$13,$J$17,0)</f>
        <v>43095.903063403304</v>
      </c>
    </row>
    <row r="19" spans="2:12" ht="18" x14ac:dyDescent="0.25">
      <c r="B19" s="126">
        <f t="shared" si="3"/>
        <v>3</v>
      </c>
      <c r="C19" s="127">
        <f t="shared" ref="C19:C25" si="7">$E$10</f>
        <v>700000</v>
      </c>
      <c r="D19" s="127">
        <v>0</v>
      </c>
      <c r="E19" s="128">
        <f t="shared" si="0"/>
        <v>700000</v>
      </c>
      <c r="F19" s="129">
        <f t="shared" si="1"/>
        <v>0.75131480090157754</v>
      </c>
      <c r="G19" s="130">
        <f t="shared" si="4"/>
        <v>525920.36063110433</v>
      </c>
      <c r="H19" s="131">
        <f t="shared" si="2"/>
        <v>0.73763559536429779</v>
      </c>
      <c r="I19" s="132">
        <f t="shared" si="5"/>
        <v>516344.91675500839</v>
      </c>
      <c r="J19" s="130">
        <f t="shared" si="6"/>
        <v>43095.903063403304</v>
      </c>
    </row>
    <row r="20" spans="2:12" ht="18" x14ac:dyDescent="0.25">
      <c r="B20" s="126">
        <f t="shared" si="3"/>
        <v>4</v>
      </c>
      <c r="C20" s="127">
        <f t="shared" si="7"/>
        <v>700000</v>
      </c>
      <c r="D20" s="127">
        <v>0</v>
      </c>
      <c r="E20" s="128">
        <f t="shared" si="0"/>
        <v>700000</v>
      </c>
      <c r="F20" s="129">
        <f t="shared" si="1"/>
        <v>0.68301345536507052</v>
      </c>
      <c r="G20" s="130">
        <f t="shared" si="4"/>
        <v>478109.41875554936</v>
      </c>
      <c r="H20" s="131">
        <f t="shared" si="2"/>
        <v>0.66648311996875675</v>
      </c>
      <c r="I20" s="132">
        <f t="shared" si="5"/>
        <v>466538.1839781297</v>
      </c>
      <c r="J20" s="130">
        <f t="shared" si="6"/>
        <v>43095.903063403304</v>
      </c>
    </row>
    <row r="21" spans="2:12" ht="18" x14ac:dyDescent="0.25">
      <c r="B21" s="126">
        <f t="shared" si="3"/>
        <v>5</v>
      </c>
      <c r="C21" s="127">
        <f t="shared" si="7"/>
        <v>700000</v>
      </c>
      <c r="D21" s="127">
        <f>E11</f>
        <v>1200000</v>
      </c>
      <c r="E21" s="128">
        <f>(C21-D21)</f>
        <v>-500000</v>
      </c>
      <c r="F21" s="129">
        <f t="shared" si="1"/>
        <v>0.62092132305915493</v>
      </c>
      <c r="G21" s="130">
        <f t="shared" si="4"/>
        <v>-310460.66152957745</v>
      </c>
      <c r="H21" s="131">
        <f t="shared" si="2"/>
        <v>0.60219402642020048</v>
      </c>
      <c r="I21" s="132">
        <f t="shared" si="5"/>
        <v>-301097.01321010024</v>
      </c>
      <c r="J21" s="130">
        <f t="shared" si="6"/>
        <v>43095.903063403304</v>
      </c>
    </row>
    <row r="22" spans="2:12" ht="18" x14ac:dyDescent="0.25">
      <c r="B22" s="126">
        <f t="shared" si="3"/>
        <v>6</v>
      </c>
      <c r="C22" s="127">
        <f t="shared" si="7"/>
        <v>700000</v>
      </c>
      <c r="D22" s="127">
        <v>0</v>
      </c>
      <c r="E22" s="128">
        <f t="shared" si="0"/>
        <v>700000</v>
      </c>
      <c r="F22" s="129">
        <f t="shared" si="1"/>
        <v>0.56447393005377722</v>
      </c>
      <c r="G22" s="130">
        <f t="shared" si="4"/>
        <v>395131.75103764399</v>
      </c>
      <c r="H22" s="131">
        <f t="shared" si="2"/>
        <v>0.54410627154844182</v>
      </c>
      <c r="I22" s="132">
        <f t="shared" si="5"/>
        <v>380874.39008390933</v>
      </c>
      <c r="J22" s="130">
        <f t="shared" si="6"/>
        <v>43095.903063403304</v>
      </c>
    </row>
    <row r="23" spans="2:12" ht="18" x14ac:dyDescent="0.25">
      <c r="B23" s="126">
        <f t="shared" si="3"/>
        <v>7</v>
      </c>
      <c r="C23" s="127">
        <f t="shared" si="7"/>
        <v>700000</v>
      </c>
      <c r="D23" s="127">
        <v>0</v>
      </c>
      <c r="E23" s="128">
        <f t="shared" si="0"/>
        <v>700000</v>
      </c>
      <c r="F23" s="129">
        <f t="shared" si="1"/>
        <v>0.51315811823070645</v>
      </c>
      <c r="G23" s="130">
        <f t="shared" si="4"/>
        <v>359210.68276149454</v>
      </c>
      <c r="H23" s="131">
        <f t="shared" si="2"/>
        <v>0.49162167299840859</v>
      </c>
      <c r="I23" s="132">
        <f t="shared" si="5"/>
        <v>344135.171098886</v>
      </c>
      <c r="J23" s="130">
        <f t="shared" si="6"/>
        <v>43095.903063403304</v>
      </c>
    </row>
    <row r="24" spans="2:12" ht="18" x14ac:dyDescent="0.25">
      <c r="B24" s="126">
        <f t="shared" si="3"/>
        <v>8</v>
      </c>
      <c r="C24" s="127">
        <f t="shared" si="7"/>
        <v>700000</v>
      </c>
      <c r="D24" s="127">
        <v>0</v>
      </c>
      <c r="E24" s="128">
        <f t="shared" si="0"/>
        <v>700000</v>
      </c>
      <c r="F24" s="129">
        <f t="shared" si="1"/>
        <v>0.46650738020973315</v>
      </c>
      <c r="G24" s="130">
        <f t="shared" si="4"/>
        <v>326555.16614681319</v>
      </c>
      <c r="H24" s="131">
        <f t="shared" si="2"/>
        <v>0.44419974920328814</v>
      </c>
      <c r="I24" s="132">
        <f t="shared" si="5"/>
        <v>310939.8244423017</v>
      </c>
      <c r="J24" s="130">
        <f t="shared" si="6"/>
        <v>43095.903063403304</v>
      </c>
      <c r="L24" s="133"/>
    </row>
    <row r="25" spans="2:12" ht="18" x14ac:dyDescent="0.25">
      <c r="B25" s="126">
        <f t="shared" si="3"/>
        <v>9</v>
      </c>
      <c r="C25" s="127">
        <f t="shared" si="7"/>
        <v>700000</v>
      </c>
      <c r="D25" s="127">
        <v>0</v>
      </c>
      <c r="E25" s="128">
        <f t="shared" si="0"/>
        <v>700000</v>
      </c>
      <c r="F25" s="129">
        <f t="shared" si="1"/>
        <v>0.42409761837248466</v>
      </c>
      <c r="G25" s="130">
        <f t="shared" si="4"/>
        <v>296868.33286073926</v>
      </c>
      <c r="H25" s="131">
        <f t="shared" si="2"/>
        <v>0.40135215355508308</v>
      </c>
      <c r="I25" s="132">
        <f t="shared" si="5"/>
        <v>280946.50748855819</v>
      </c>
      <c r="J25" s="130">
        <f t="shared" si="6"/>
        <v>43095.903063403304</v>
      </c>
    </row>
    <row r="26" spans="2:12" ht="18.75" thickBot="1" x14ac:dyDescent="0.3">
      <c r="B26" s="134">
        <f t="shared" si="3"/>
        <v>10</v>
      </c>
      <c r="C26" s="135">
        <f>E12+E10</f>
        <v>6700000</v>
      </c>
      <c r="D26" s="135">
        <v>0</v>
      </c>
      <c r="E26" s="136">
        <f t="shared" si="0"/>
        <v>6700000</v>
      </c>
      <c r="F26" s="137">
        <f t="shared" si="1"/>
        <v>0.38554328942953148</v>
      </c>
      <c r="G26" s="138">
        <f t="shared" si="4"/>
        <v>2583140.0391778611</v>
      </c>
      <c r="H26" s="139">
        <f t="shared" si="2"/>
        <v>0.36263764545617305</v>
      </c>
      <c r="I26" s="140">
        <f t="shared" si="5"/>
        <v>2429672.2245563595</v>
      </c>
      <c r="J26" s="138">
        <f t="shared" si="6"/>
        <v>43095.903063403304</v>
      </c>
    </row>
    <row r="27" spans="2:12" ht="18" hidden="1" x14ac:dyDescent="0.25">
      <c r="B27" s="126">
        <f t="shared" si="3"/>
        <v>11</v>
      </c>
      <c r="C27" s="127">
        <v>0</v>
      </c>
      <c r="D27" s="127">
        <v>0</v>
      </c>
      <c r="E27" s="128">
        <f t="shared" si="0"/>
        <v>0</v>
      </c>
      <c r="F27" s="129" t="str">
        <f t="shared" si="1"/>
        <v>-</v>
      </c>
      <c r="G27" s="130">
        <f t="shared" si="4"/>
        <v>0</v>
      </c>
      <c r="H27" s="131" t="str">
        <f t="shared" si="2"/>
        <v>-</v>
      </c>
      <c r="I27" s="132">
        <f t="shared" si="5"/>
        <v>0</v>
      </c>
      <c r="J27" s="130">
        <f t="shared" si="6"/>
        <v>0</v>
      </c>
    </row>
    <row r="28" spans="2:12" ht="18" hidden="1" x14ac:dyDescent="0.25">
      <c r="B28" s="126">
        <f t="shared" si="3"/>
        <v>12</v>
      </c>
      <c r="C28" s="127">
        <v>0</v>
      </c>
      <c r="D28" s="127">
        <v>0</v>
      </c>
      <c r="E28" s="128">
        <f t="shared" si="0"/>
        <v>0</v>
      </c>
      <c r="F28" s="129" t="str">
        <f t="shared" si="1"/>
        <v>-</v>
      </c>
      <c r="G28" s="130">
        <f t="shared" si="4"/>
        <v>0</v>
      </c>
      <c r="H28" s="131" t="str">
        <f t="shared" si="2"/>
        <v>-</v>
      </c>
      <c r="I28" s="132">
        <f t="shared" si="5"/>
        <v>0</v>
      </c>
      <c r="J28" s="130">
        <f t="shared" si="6"/>
        <v>0</v>
      </c>
    </row>
    <row r="29" spans="2:12" ht="18" hidden="1" x14ac:dyDescent="0.25">
      <c r="B29" s="126">
        <f t="shared" si="3"/>
        <v>13</v>
      </c>
      <c r="C29" s="127">
        <v>0</v>
      </c>
      <c r="D29" s="127">
        <v>0</v>
      </c>
      <c r="E29" s="128">
        <f t="shared" si="0"/>
        <v>0</v>
      </c>
      <c r="F29" s="129" t="str">
        <f t="shared" si="1"/>
        <v>-</v>
      </c>
      <c r="G29" s="130">
        <f t="shared" si="4"/>
        <v>0</v>
      </c>
      <c r="H29" s="131" t="str">
        <f t="shared" si="2"/>
        <v>-</v>
      </c>
      <c r="I29" s="132">
        <f t="shared" si="5"/>
        <v>0</v>
      </c>
      <c r="J29" s="130">
        <f t="shared" si="6"/>
        <v>0</v>
      </c>
      <c r="L29" s="133"/>
    </row>
    <row r="30" spans="2:12" ht="18" hidden="1" x14ac:dyDescent="0.25">
      <c r="B30" s="126">
        <f t="shared" si="3"/>
        <v>14</v>
      </c>
      <c r="C30" s="127">
        <v>0</v>
      </c>
      <c r="D30" s="127">
        <v>0</v>
      </c>
      <c r="E30" s="128">
        <f t="shared" si="0"/>
        <v>0</v>
      </c>
      <c r="F30" s="129" t="str">
        <f t="shared" si="1"/>
        <v>-</v>
      </c>
      <c r="G30" s="130">
        <f t="shared" si="4"/>
        <v>0</v>
      </c>
      <c r="H30" s="131" t="str">
        <f t="shared" si="2"/>
        <v>-</v>
      </c>
      <c r="I30" s="132">
        <f t="shared" si="5"/>
        <v>0</v>
      </c>
      <c r="J30" s="130">
        <f t="shared" si="6"/>
        <v>0</v>
      </c>
    </row>
    <row r="31" spans="2:12" ht="18" hidden="1" x14ac:dyDescent="0.25">
      <c r="B31" s="126">
        <f t="shared" si="3"/>
        <v>15</v>
      </c>
      <c r="C31" s="127">
        <v>0</v>
      </c>
      <c r="D31" s="127">
        <v>0</v>
      </c>
      <c r="E31" s="128">
        <f t="shared" si="0"/>
        <v>0</v>
      </c>
      <c r="F31" s="129" t="str">
        <f t="shared" si="1"/>
        <v>-</v>
      </c>
      <c r="G31" s="130">
        <f t="shared" si="4"/>
        <v>0</v>
      </c>
      <c r="H31" s="131" t="str">
        <f t="shared" si="2"/>
        <v>-</v>
      </c>
      <c r="I31" s="132">
        <f t="shared" si="5"/>
        <v>0</v>
      </c>
      <c r="J31" s="130">
        <f t="shared" si="6"/>
        <v>0</v>
      </c>
    </row>
    <row r="32" spans="2:12" ht="18" hidden="1" x14ac:dyDescent="0.25">
      <c r="B32" s="126">
        <f t="shared" si="3"/>
        <v>16</v>
      </c>
      <c r="C32" s="127">
        <v>0</v>
      </c>
      <c r="D32" s="127">
        <v>0</v>
      </c>
      <c r="E32" s="128">
        <f t="shared" si="0"/>
        <v>0</v>
      </c>
      <c r="F32" s="129" t="str">
        <f t="shared" si="1"/>
        <v>-</v>
      </c>
      <c r="G32" s="130">
        <f t="shared" si="4"/>
        <v>0</v>
      </c>
      <c r="H32" s="131" t="str">
        <f t="shared" si="2"/>
        <v>-</v>
      </c>
      <c r="I32" s="132">
        <f t="shared" si="5"/>
        <v>0</v>
      </c>
      <c r="J32" s="130">
        <f t="shared" si="6"/>
        <v>0</v>
      </c>
    </row>
    <row r="33" spans="2:10" ht="18" hidden="1" x14ac:dyDescent="0.25">
      <c r="B33" s="126">
        <f t="shared" si="3"/>
        <v>17</v>
      </c>
      <c r="C33" s="127">
        <v>0</v>
      </c>
      <c r="D33" s="127">
        <v>0</v>
      </c>
      <c r="E33" s="128">
        <f t="shared" si="0"/>
        <v>0</v>
      </c>
      <c r="F33" s="129" t="str">
        <f t="shared" si="1"/>
        <v>-</v>
      </c>
      <c r="G33" s="130">
        <f t="shared" si="4"/>
        <v>0</v>
      </c>
      <c r="H33" s="131" t="str">
        <f t="shared" si="2"/>
        <v>-</v>
      </c>
      <c r="I33" s="132">
        <f t="shared" si="5"/>
        <v>0</v>
      </c>
      <c r="J33" s="130">
        <f t="shared" si="6"/>
        <v>0</v>
      </c>
    </row>
    <row r="34" spans="2:10" ht="18" hidden="1" x14ac:dyDescent="0.25">
      <c r="B34" s="126">
        <f t="shared" si="3"/>
        <v>18</v>
      </c>
      <c r="C34" s="127">
        <v>0</v>
      </c>
      <c r="D34" s="127">
        <v>0</v>
      </c>
      <c r="E34" s="128">
        <f t="shared" si="0"/>
        <v>0</v>
      </c>
      <c r="F34" s="129" t="str">
        <f t="shared" si="1"/>
        <v>-</v>
      </c>
      <c r="G34" s="130">
        <f t="shared" si="4"/>
        <v>0</v>
      </c>
      <c r="H34" s="131" t="str">
        <f t="shared" si="2"/>
        <v>-</v>
      </c>
      <c r="I34" s="132">
        <f t="shared" si="5"/>
        <v>0</v>
      </c>
      <c r="J34" s="130">
        <f t="shared" si="6"/>
        <v>0</v>
      </c>
    </row>
    <row r="35" spans="2:10" ht="18" hidden="1" x14ac:dyDescent="0.25">
      <c r="B35" s="126">
        <f t="shared" si="3"/>
        <v>19</v>
      </c>
      <c r="C35" s="127">
        <v>0</v>
      </c>
      <c r="D35" s="127">
        <v>0</v>
      </c>
      <c r="E35" s="128">
        <f t="shared" si="0"/>
        <v>0</v>
      </c>
      <c r="F35" s="129" t="str">
        <f t="shared" si="1"/>
        <v>-</v>
      </c>
      <c r="G35" s="130">
        <f t="shared" si="4"/>
        <v>0</v>
      </c>
      <c r="H35" s="131" t="str">
        <f t="shared" si="2"/>
        <v>-</v>
      </c>
      <c r="I35" s="132">
        <f t="shared" si="5"/>
        <v>0</v>
      </c>
      <c r="J35" s="130">
        <f t="shared" si="6"/>
        <v>0</v>
      </c>
    </row>
    <row r="36" spans="2:10" ht="18" hidden="1" x14ac:dyDescent="0.25">
      <c r="B36" s="126">
        <f t="shared" si="3"/>
        <v>20</v>
      </c>
      <c r="C36" s="127">
        <v>0</v>
      </c>
      <c r="D36" s="127">
        <v>0</v>
      </c>
      <c r="E36" s="128">
        <f t="shared" si="0"/>
        <v>0</v>
      </c>
      <c r="F36" s="129" t="str">
        <f t="shared" si="1"/>
        <v>-</v>
      </c>
      <c r="G36" s="130">
        <f t="shared" si="4"/>
        <v>0</v>
      </c>
      <c r="H36" s="131" t="str">
        <f t="shared" si="2"/>
        <v>-</v>
      </c>
      <c r="I36" s="132">
        <f t="shared" si="5"/>
        <v>0</v>
      </c>
      <c r="J36" s="130">
        <f t="shared" si="6"/>
        <v>0</v>
      </c>
    </row>
    <row r="37" spans="2:10" ht="18" hidden="1" x14ac:dyDescent="0.25">
      <c r="B37" s="126">
        <f t="shared" si="3"/>
        <v>21</v>
      </c>
      <c r="C37" s="127">
        <v>0</v>
      </c>
      <c r="D37" s="127">
        <v>0</v>
      </c>
      <c r="E37" s="128">
        <f t="shared" si="0"/>
        <v>0</v>
      </c>
      <c r="F37" s="129" t="str">
        <f t="shared" si="1"/>
        <v>-</v>
      </c>
      <c r="G37" s="130">
        <f t="shared" si="4"/>
        <v>0</v>
      </c>
      <c r="H37" s="131" t="str">
        <f t="shared" si="2"/>
        <v>-</v>
      </c>
      <c r="I37" s="132">
        <f t="shared" si="5"/>
        <v>0</v>
      </c>
      <c r="J37" s="130">
        <f t="shared" si="6"/>
        <v>0</v>
      </c>
    </row>
    <row r="38" spans="2:10" ht="18" hidden="1" x14ac:dyDescent="0.25">
      <c r="B38" s="126">
        <f t="shared" si="3"/>
        <v>22</v>
      </c>
      <c r="C38" s="127">
        <v>0</v>
      </c>
      <c r="D38" s="127">
        <v>0</v>
      </c>
      <c r="E38" s="128">
        <f t="shared" si="0"/>
        <v>0</v>
      </c>
      <c r="F38" s="129" t="str">
        <f t="shared" si="1"/>
        <v>-</v>
      </c>
      <c r="G38" s="130">
        <f t="shared" si="4"/>
        <v>0</v>
      </c>
      <c r="H38" s="131" t="str">
        <f t="shared" si="2"/>
        <v>-</v>
      </c>
      <c r="I38" s="132">
        <f t="shared" si="5"/>
        <v>0</v>
      </c>
      <c r="J38" s="130">
        <f t="shared" si="6"/>
        <v>0</v>
      </c>
    </row>
    <row r="39" spans="2:10" ht="18" hidden="1" x14ac:dyDescent="0.25">
      <c r="B39" s="126">
        <f t="shared" si="3"/>
        <v>23</v>
      </c>
      <c r="C39" s="127">
        <v>0</v>
      </c>
      <c r="D39" s="127">
        <v>0</v>
      </c>
      <c r="E39" s="128">
        <f t="shared" si="0"/>
        <v>0</v>
      </c>
      <c r="F39" s="129" t="str">
        <f t="shared" si="1"/>
        <v>-</v>
      </c>
      <c r="G39" s="130">
        <f t="shared" si="4"/>
        <v>0</v>
      </c>
      <c r="H39" s="131" t="str">
        <f t="shared" si="2"/>
        <v>-</v>
      </c>
      <c r="I39" s="132">
        <f t="shared" si="5"/>
        <v>0</v>
      </c>
      <c r="J39" s="130">
        <f t="shared" si="6"/>
        <v>0</v>
      </c>
    </row>
    <row r="40" spans="2:10" ht="18" hidden="1" x14ac:dyDescent="0.25">
      <c r="B40" s="126">
        <f t="shared" si="3"/>
        <v>24</v>
      </c>
      <c r="C40" s="127">
        <v>0</v>
      </c>
      <c r="D40" s="127">
        <v>0</v>
      </c>
      <c r="E40" s="128">
        <f t="shared" si="0"/>
        <v>0</v>
      </c>
      <c r="F40" s="129" t="str">
        <f t="shared" si="1"/>
        <v>-</v>
      </c>
      <c r="G40" s="130">
        <f t="shared" si="4"/>
        <v>0</v>
      </c>
      <c r="H40" s="131" t="str">
        <f t="shared" si="2"/>
        <v>-</v>
      </c>
      <c r="I40" s="132">
        <f t="shared" si="5"/>
        <v>0</v>
      </c>
      <c r="J40" s="130">
        <f t="shared" si="6"/>
        <v>0</v>
      </c>
    </row>
    <row r="41" spans="2:10" ht="18" hidden="1" x14ac:dyDescent="0.25">
      <c r="B41" s="126">
        <f t="shared" si="3"/>
        <v>25</v>
      </c>
      <c r="C41" s="127">
        <v>0</v>
      </c>
      <c r="D41" s="127">
        <v>0</v>
      </c>
      <c r="E41" s="128">
        <f t="shared" si="0"/>
        <v>0</v>
      </c>
      <c r="F41" s="129" t="str">
        <f t="shared" si="1"/>
        <v>-</v>
      </c>
      <c r="G41" s="130">
        <f t="shared" si="4"/>
        <v>0</v>
      </c>
      <c r="H41" s="131" t="str">
        <f t="shared" si="2"/>
        <v>-</v>
      </c>
      <c r="I41" s="132">
        <f t="shared" si="5"/>
        <v>0</v>
      </c>
      <c r="J41" s="130">
        <f t="shared" si="6"/>
        <v>0</v>
      </c>
    </row>
    <row r="42" spans="2:10" ht="18" hidden="1" x14ac:dyDescent="0.25">
      <c r="B42" s="126">
        <f t="shared" si="3"/>
        <v>26</v>
      </c>
      <c r="C42" s="127">
        <v>0</v>
      </c>
      <c r="D42" s="127">
        <v>0</v>
      </c>
      <c r="E42" s="128">
        <f t="shared" si="0"/>
        <v>0</v>
      </c>
      <c r="F42" s="129" t="str">
        <f t="shared" si="1"/>
        <v>-</v>
      </c>
      <c r="G42" s="130">
        <f t="shared" si="4"/>
        <v>0</v>
      </c>
      <c r="H42" s="131" t="str">
        <f t="shared" si="2"/>
        <v>-</v>
      </c>
      <c r="I42" s="132">
        <f t="shared" si="5"/>
        <v>0</v>
      </c>
      <c r="J42" s="130">
        <f t="shared" si="6"/>
        <v>0</v>
      </c>
    </row>
    <row r="43" spans="2:10" ht="18" hidden="1" x14ac:dyDescent="0.25">
      <c r="B43" s="126">
        <f t="shared" si="3"/>
        <v>27</v>
      </c>
      <c r="C43" s="127">
        <v>0</v>
      </c>
      <c r="D43" s="127">
        <v>0</v>
      </c>
      <c r="E43" s="128">
        <f t="shared" si="0"/>
        <v>0</v>
      </c>
      <c r="F43" s="129" t="str">
        <f t="shared" si="1"/>
        <v>-</v>
      </c>
      <c r="G43" s="130">
        <f t="shared" si="4"/>
        <v>0</v>
      </c>
      <c r="H43" s="131" t="str">
        <f t="shared" si="2"/>
        <v>-</v>
      </c>
      <c r="I43" s="132">
        <f t="shared" si="5"/>
        <v>0</v>
      </c>
      <c r="J43" s="130">
        <f t="shared" si="6"/>
        <v>0</v>
      </c>
    </row>
    <row r="44" spans="2:10" ht="18" hidden="1" x14ac:dyDescent="0.25">
      <c r="B44" s="126">
        <f t="shared" si="3"/>
        <v>28</v>
      </c>
      <c r="C44" s="127">
        <v>0</v>
      </c>
      <c r="D44" s="127">
        <v>0</v>
      </c>
      <c r="E44" s="128">
        <f t="shared" si="0"/>
        <v>0</v>
      </c>
      <c r="F44" s="129" t="str">
        <f t="shared" si="1"/>
        <v>-</v>
      </c>
      <c r="G44" s="130">
        <f t="shared" si="4"/>
        <v>0</v>
      </c>
      <c r="H44" s="131" t="str">
        <f t="shared" si="2"/>
        <v>-</v>
      </c>
      <c r="I44" s="132">
        <f t="shared" si="5"/>
        <v>0</v>
      </c>
      <c r="J44" s="130">
        <f t="shared" si="6"/>
        <v>0</v>
      </c>
    </row>
    <row r="45" spans="2:10" ht="18" hidden="1" x14ac:dyDescent="0.25">
      <c r="B45" s="126">
        <f t="shared" si="3"/>
        <v>29</v>
      </c>
      <c r="C45" s="127">
        <v>0</v>
      </c>
      <c r="D45" s="127">
        <v>0</v>
      </c>
      <c r="E45" s="128">
        <f t="shared" si="0"/>
        <v>0</v>
      </c>
      <c r="F45" s="129" t="str">
        <f t="shared" si="1"/>
        <v>-</v>
      </c>
      <c r="G45" s="130">
        <f t="shared" si="4"/>
        <v>0</v>
      </c>
      <c r="H45" s="131" t="str">
        <f t="shared" si="2"/>
        <v>-</v>
      </c>
      <c r="I45" s="132">
        <f t="shared" si="5"/>
        <v>0</v>
      </c>
      <c r="J45" s="130">
        <f t="shared" si="6"/>
        <v>0</v>
      </c>
    </row>
    <row r="46" spans="2:10" ht="18" hidden="1" x14ac:dyDescent="0.25">
      <c r="B46" s="126">
        <f t="shared" si="3"/>
        <v>30</v>
      </c>
      <c r="C46" s="127">
        <v>0</v>
      </c>
      <c r="D46" s="127">
        <v>0</v>
      </c>
      <c r="E46" s="128">
        <f t="shared" si="0"/>
        <v>0</v>
      </c>
      <c r="F46" s="129" t="str">
        <f t="shared" si="1"/>
        <v>-</v>
      </c>
      <c r="G46" s="130">
        <f t="shared" si="4"/>
        <v>0</v>
      </c>
      <c r="H46" s="131" t="str">
        <f t="shared" si="2"/>
        <v>-</v>
      </c>
      <c r="I46" s="132">
        <f t="shared" si="5"/>
        <v>0</v>
      </c>
      <c r="J46" s="130">
        <f t="shared" si="6"/>
        <v>0</v>
      </c>
    </row>
    <row r="47" spans="2:10" ht="18" hidden="1" x14ac:dyDescent="0.25">
      <c r="B47" s="126">
        <f t="shared" si="3"/>
        <v>31</v>
      </c>
      <c r="C47" s="127">
        <v>0</v>
      </c>
      <c r="D47" s="127">
        <v>0</v>
      </c>
      <c r="E47" s="128">
        <f t="shared" si="0"/>
        <v>0</v>
      </c>
      <c r="F47" s="129" t="str">
        <f t="shared" si="1"/>
        <v>-</v>
      </c>
      <c r="G47" s="130">
        <f t="shared" si="4"/>
        <v>0</v>
      </c>
      <c r="H47" s="131" t="str">
        <f t="shared" si="2"/>
        <v>-</v>
      </c>
      <c r="I47" s="132">
        <f t="shared" si="5"/>
        <v>0</v>
      </c>
      <c r="J47" s="130">
        <f t="shared" si="6"/>
        <v>0</v>
      </c>
    </row>
    <row r="48" spans="2:10" ht="18" hidden="1" x14ac:dyDescent="0.25">
      <c r="B48" s="126">
        <f t="shared" si="3"/>
        <v>32</v>
      </c>
      <c r="C48" s="127">
        <v>0</v>
      </c>
      <c r="D48" s="127">
        <v>0</v>
      </c>
      <c r="E48" s="128">
        <f t="shared" si="0"/>
        <v>0</v>
      </c>
      <c r="F48" s="129" t="str">
        <f t="shared" si="1"/>
        <v>-</v>
      </c>
      <c r="G48" s="130">
        <f t="shared" si="4"/>
        <v>0</v>
      </c>
      <c r="H48" s="131" t="str">
        <f t="shared" si="2"/>
        <v>-</v>
      </c>
      <c r="I48" s="132">
        <f t="shared" si="5"/>
        <v>0</v>
      </c>
      <c r="J48" s="130">
        <f t="shared" si="6"/>
        <v>0</v>
      </c>
    </row>
    <row r="49" spans="2:10" ht="18" hidden="1" x14ac:dyDescent="0.25">
      <c r="B49" s="126">
        <f t="shared" si="3"/>
        <v>33</v>
      </c>
      <c r="C49" s="127">
        <v>0</v>
      </c>
      <c r="D49" s="127">
        <v>0</v>
      </c>
      <c r="E49" s="128">
        <f t="shared" si="0"/>
        <v>0</v>
      </c>
      <c r="F49" s="129" t="str">
        <f t="shared" si="1"/>
        <v>-</v>
      </c>
      <c r="G49" s="130">
        <f t="shared" si="4"/>
        <v>0</v>
      </c>
      <c r="H49" s="131" t="str">
        <f t="shared" si="2"/>
        <v>-</v>
      </c>
      <c r="I49" s="132">
        <f t="shared" si="5"/>
        <v>0</v>
      </c>
      <c r="J49" s="130">
        <f t="shared" si="6"/>
        <v>0</v>
      </c>
    </row>
    <row r="50" spans="2:10" ht="18" hidden="1" x14ac:dyDescent="0.25">
      <c r="B50" s="126">
        <f t="shared" si="3"/>
        <v>34</v>
      </c>
      <c r="C50" s="127">
        <v>0</v>
      </c>
      <c r="D50" s="127">
        <v>0</v>
      </c>
      <c r="E50" s="128">
        <f t="shared" si="0"/>
        <v>0</v>
      </c>
      <c r="F50" s="129" t="str">
        <f t="shared" si="1"/>
        <v>-</v>
      </c>
      <c r="G50" s="130">
        <f t="shared" si="4"/>
        <v>0</v>
      </c>
      <c r="H50" s="131" t="str">
        <f t="shared" si="2"/>
        <v>-</v>
      </c>
      <c r="I50" s="132">
        <f t="shared" si="5"/>
        <v>0</v>
      </c>
      <c r="J50" s="130">
        <f t="shared" si="6"/>
        <v>0</v>
      </c>
    </row>
    <row r="51" spans="2:10" ht="18" hidden="1" x14ac:dyDescent="0.25">
      <c r="B51" s="126">
        <f t="shared" si="3"/>
        <v>35</v>
      </c>
      <c r="C51" s="127">
        <v>0</v>
      </c>
      <c r="D51" s="127">
        <v>0</v>
      </c>
      <c r="E51" s="128">
        <f t="shared" si="0"/>
        <v>0</v>
      </c>
      <c r="F51" s="129" t="str">
        <f t="shared" si="1"/>
        <v>-</v>
      </c>
      <c r="G51" s="130">
        <f t="shared" si="4"/>
        <v>0</v>
      </c>
      <c r="H51" s="131" t="str">
        <f t="shared" si="2"/>
        <v>-</v>
      </c>
      <c r="I51" s="132">
        <f t="shared" si="5"/>
        <v>0</v>
      </c>
      <c r="J51" s="130">
        <f t="shared" si="6"/>
        <v>0</v>
      </c>
    </row>
    <row r="52" spans="2:10" ht="18" hidden="1" x14ac:dyDescent="0.25">
      <c r="B52" s="126">
        <f t="shared" si="3"/>
        <v>36</v>
      </c>
      <c r="C52" s="127">
        <v>0</v>
      </c>
      <c r="D52" s="127">
        <v>0</v>
      </c>
      <c r="E52" s="128">
        <f t="shared" si="0"/>
        <v>0</v>
      </c>
      <c r="F52" s="129" t="str">
        <f t="shared" si="1"/>
        <v>-</v>
      </c>
      <c r="G52" s="130">
        <f t="shared" si="4"/>
        <v>0</v>
      </c>
      <c r="H52" s="131" t="str">
        <f t="shared" si="2"/>
        <v>-</v>
      </c>
      <c r="I52" s="132">
        <f t="shared" si="5"/>
        <v>0</v>
      </c>
      <c r="J52" s="130">
        <f t="shared" si="6"/>
        <v>0</v>
      </c>
    </row>
    <row r="53" spans="2:10" ht="18" hidden="1" x14ac:dyDescent="0.25">
      <c r="B53" s="126">
        <f t="shared" si="3"/>
        <v>37</v>
      </c>
      <c r="C53" s="127">
        <v>0</v>
      </c>
      <c r="D53" s="127">
        <v>0</v>
      </c>
      <c r="E53" s="128">
        <f t="shared" si="0"/>
        <v>0</v>
      </c>
      <c r="F53" s="129" t="str">
        <f t="shared" si="1"/>
        <v>-</v>
      </c>
      <c r="G53" s="130">
        <f t="shared" si="4"/>
        <v>0</v>
      </c>
      <c r="H53" s="131" t="str">
        <f t="shared" si="2"/>
        <v>-</v>
      </c>
      <c r="I53" s="132">
        <f t="shared" si="5"/>
        <v>0</v>
      </c>
      <c r="J53" s="130">
        <f t="shared" si="6"/>
        <v>0</v>
      </c>
    </row>
    <row r="54" spans="2:10" ht="18" hidden="1" x14ac:dyDescent="0.25">
      <c r="B54" s="126">
        <f t="shared" si="3"/>
        <v>38</v>
      </c>
      <c r="C54" s="127">
        <v>0</v>
      </c>
      <c r="D54" s="127">
        <v>0</v>
      </c>
      <c r="E54" s="128">
        <f t="shared" si="0"/>
        <v>0</v>
      </c>
      <c r="F54" s="129" t="str">
        <f t="shared" si="1"/>
        <v>-</v>
      </c>
      <c r="G54" s="130">
        <f t="shared" si="4"/>
        <v>0</v>
      </c>
      <c r="H54" s="131" t="str">
        <f t="shared" si="2"/>
        <v>-</v>
      </c>
      <c r="I54" s="132">
        <f t="shared" si="5"/>
        <v>0</v>
      </c>
      <c r="J54" s="130">
        <f t="shared" si="6"/>
        <v>0</v>
      </c>
    </row>
    <row r="55" spans="2:10" ht="18" hidden="1" x14ac:dyDescent="0.25">
      <c r="B55" s="126">
        <f t="shared" si="3"/>
        <v>39</v>
      </c>
      <c r="C55" s="127">
        <v>0</v>
      </c>
      <c r="D55" s="127">
        <v>0</v>
      </c>
      <c r="E55" s="128">
        <f t="shared" si="0"/>
        <v>0</v>
      </c>
      <c r="F55" s="129" t="str">
        <f t="shared" si="1"/>
        <v>-</v>
      </c>
      <c r="G55" s="130">
        <f t="shared" si="4"/>
        <v>0</v>
      </c>
      <c r="H55" s="131" t="str">
        <f t="shared" si="2"/>
        <v>-</v>
      </c>
      <c r="I55" s="132">
        <f t="shared" si="5"/>
        <v>0</v>
      </c>
      <c r="J55" s="130">
        <f t="shared" si="6"/>
        <v>0</v>
      </c>
    </row>
    <row r="56" spans="2:10" ht="18" hidden="1" x14ac:dyDescent="0.25">
      <c r="B56" s="126">
        <f t="shared" si="3"/>
        <v>40</v>
      </c>
      <c r="C56" s="127">
        <v>0</v>
      </c>
      <c r="D56" s="127">
        <v>0</v>
      </c>
      <c r="E56" s="128">
        <f t="shared" si="0"/>
        <v>0</v>
      </c>
      <c r="F56" s="129" t="str">
        <f t="shared" si="1"/>
        <v>-</v>
      </c>
      <c r="G56" s="130">
        <f t="shared" si="4"/>
        <v>0</v>
      </c>
      <c r="H56" s="131" t="str">
        <f t="shared" si="2"/>
        <v>-</v>
      </c>
      <c r="I56" s="132">
        <f t="shared" si="5"/>
        <v>0</v>
      </c>
      <c r="J56" s="130">
        <f t="shared" si="6"/>
        <v>0</v>
      </c>
    </row>
    <row r="57" spans="2:10" ht="18" hidden="1" x14ac:dyDescent="0.25">
      <c r="B57" s="126">
        <f t="shared" si="3"/>
        <v>41</v>
      </c>
      <c r="C57" s="127">
        <v>0</v>
      </c>
      <c r="D57" s="127">
        <v>0</v>
      </c>
      <c r="E57" s="128">
        <f t="shared" si="0"/>
        <v>0</v>
      </c>
      <c r="F57" s="129" t="str">
        <f t="shared" si="1"/>
        <v>-</v>
      </c>
      <c r="G57" s="130">
        <f t="shared" si="4"/>
        <v>0</v>
      </c>
      <c r="H57" s="131" t="str">
        <f t="shared" si="2"/>
        <v>-</v>
      </c>
      <c r="I57" s="132">
        <f t="shared" si="5"/>
        <v>0</v>
      </c>
      <c r="J57" s="130">
        <f t="shared" si="6"/>
        <v>0</v>
      </c>
    </row>
    <row r="58" spans="2:10" ht="18" hidden="1" x14ac:dyDescent="0.25">
      <c r="B58" s="126">
        <f t="shared" si="3"/>
        <v>42</v>
      </c>
      <c r="C58" s="127">
        <v>0</v>
      </c>
      <c r="D58" s="127">
        <v>0</v>
      </c>
      <c r="E58" s="128">
        <f t="shared" si="0"/>
        <v>0</v>
      </c>
      <c r="F58" s="129" t="str">
        <f t="shared" si="1"/>
        <v>-</v>
      </c>
      <c r="G58" s="130">
        <f t="shared" si="4"/>
        <v>0</v>
      </c>
      <c r="H58" s="131" t="str">
        <f t="shared" si="2"/>
        <v>-</v>
      </c>
      <c r="I58" s="132">
        <f t="shared" si="5"/>
        <v>0</v>
      </c>
      <c r="J58" s="130">
        <f t="shared" si="6"/>
        <v>0</v>
      </c>
    </row>
    <row r="59" spans="2:10" ht="18" hidden="1" x14ac:dyDescent="0.25">
      <c r="B59" s="126">
        <f t="shared" si="3"/>
        <v>43</v>
      </c>
      <c r="C59" s="127">
        <v>0</v>
      </c>
      <c r="D59" s="127">
        <v>0</v>
      </c>
      <c r="E59" s="128">
        <f t="shared" si="0"/>
        <v>0</v>
      </c>
      <c r="F59" s="129" t="str">
        <f t="shared" si="1"/>
        <v>-</v>
      </c>
      <c r="G59" s="130">
        <f t="shared" si="4"/>
        <v>0</v>
      </c>
      <c r="H59" s="131" t="str">
        <f t="shared" si="2"/>
        <v>-</v>
      </c>
      <c r="I59" s="132">
        <f t="shared" si="5"/>
        <v>0</v>
      </c>
      <c r="J59" s="130">
        <f t="shared" si="6"/>
        <v>0</v>
      </c>
    </row>
    <row r="60" spans="2:10" ht="18" hidden="1" x14ac:dyDescent="0.25">
      <c r="B60" s="126">
        <f t="shared" si="3"/>
        <v>44</v>
      </c>
      <c r="C60" s="127">
        <v>0</v>
      </c>
      <c r="D60" s="127">
        <v>0</v>
      </c>
      <c r="E60" s="128">
        <f t="shared" si="0"/>
        <v>0</v>
      </c>
      <c r="F60" s="129" t="str">
        <f t="shared" si="1"/>
        <v>-</v>
      </c>
      <c r="G60" s="130">
        <f t="shared" si="4"/>
        <v>0</v>
      </c>
      <c r="H60" s="131" t="str">
        <f t="shared" si="2"/>
        <v>-</v>
      </c>
      <c r="I60" s="132">
        <f t="shared" si="5"/>
        <v>0</v>
      </c>
      <c r="J60" s="130">
        <f t="shared" si="6"/>
        <v>0</v>
      </c>
    </row>
    <row r="61" spans="2:10" ht="18" hidden="1" x14ac:dyDescent="0.25">
      <c r="B61" s="126">
        <f t="shared" si="3"/>
        <v>45</v>
      </c>
      <c r="C61" s="127">
        <v>0</v>
      </c>
      <c r="D61" s="127">
        <v>0</v>
      </c>
      <c r="E61" s="128">
        <f t="shared" si="0"/>
        <v>0</v>
      </c>
      <c r="F61" s="129" t="str">
        <f t="shared" si="1"/>
        <v>-</v>
      </c>
      <c r="G61" s="130">
        <f t="shared" si="4"/>
        <v>0</v>
      </c>
      <c r="H61" s="131" t="str">
        <f t="shared" si="2"/>
        <v>-</v>
      </c>
      <c r="I61" s="132">
        <f t="shared" si="5"/>
        <v>0</v>
      </c>
      <c r="J61" s="130">
        <f t="shared" si="6"/>
        <v>0</v>
      </c>
    </row>
    <row r="62" spans="2:10" ht="18" hidden="1" x14ac:dyDescent="0.25">
      <c r="B62" s="126">
        <f t="shared" si="3"/>
        <v>46</v>
      </c>
      <c r="C62" s="127">
        <v>0</v>
      </c>
      <c r="D62" s="127">
        <v>0</v>
      </c>
      <c r="E62" s="128">
        <f t="shared" si="0"/>
        <v>0</v>
      </c>
      <c r="F62" s="129" t="str">
        <f t="shared" si="1"/>
        <v>-</v>
      </c>
      <c r="G62" s="130">
        <f t="shared" si="4"/>
        <v>0</v>
      </c>
      <c r="H62" s="131" t="str">
        <f t="shared" si="2"/>
        <v>-</v>
      </c>
      <c r="I62" s="132">
        <f t="shared" si="5"/>
        <v>0</v>
      </c>
      <c r="J62" s="130">
        <f t="shared" si="6"/>
        <v>0</v>
      </c>
    </row>
    <row r="63" spans="2:10" ht="18" hidden="1" x14ac:dyDescent="0.25">
      <c r="B63" s="126">
        <f t="shared" si="3"/>
        <v>47</v>
      </c>
      <c r="C63" s="127">
        <v>0</v>
      </c>
      <c r="D63" s="127">
        <v>0</v>
      </c>
      <c r="E63" s="128">
        <f t="shared" si="0"/>
        <v>0</v>
      </c>
      <c r="F63" s="129" t="str">
        <f t="shared" si="1"/>
        <v>-</v>
      </c>
      <c r="G63" s="130">
        <f t="shared" si="4"/>
        <v>0</v>
      </c>
      <c r="H63" s="131" t="str">
        <f t="shared" si="2"/>
        <v>-</v>
      </c>
      <c r="I63" s="132">
        <f t="shared" si="5"/>
        <v>0</v>
      </c>
      <c r="J63" s="130">
        <f t="shared" si="6"/>
        <v>0</v>
      </c>
    </row>
    <row r="64" spans="2:10" ht="18" hidden="1" x14ac:dyDescent="0.25">
      <c r="B64" s="126">
        <f t="shared" si="3"/>
        <v>48</v>
      </c>
      <c r="C64" s="127">
        <v>0</v>
      </c>
      <c r="D64" s="127">
        <v>0</v>
      </c>
      <c r="E64" s="128">
        <f t="shared" si="0"/>
        <v>0</v>
      </c>
      <c r="F64" s="129" t="str">
        <f t="shared" si="1"/>
        <v>-</v>
      </c>
      <c r="G64" s="130">
        <f t="shared" si="4"/>
        <v>0</v>
      </c>
      <c r="H64" s="131" t="str">
        <f t="shared" si="2"/>
        <v>-</v>
      </c>
      <c r="I64" s="132">
        <f t="shared" si="5"/>
        <v>0</v>
      </c>
      <c r="J64" s="130">
        <f t="shared" si="6"/>
        <v>0</v>
      </c>
    </row>
    <row r="65" spans="2:10" ht="18" hidden="1" x14ac:dyDescent="0.25">
      <c r="B65" s="126">
        <f t="shared" si="3"/>
        <v>49</v>
      </c>
      <c r="C65" s="127">
        <v>0</v>
      </c>
      <c r="D65" s="127">
        <v>0</v>
      </c>
      <c r="E65" s="128">
        <f t="shared" si="0"/>
        <v>0</v>
      </c>
      <c r="F65" s="129" t="str">
        <f t="shared" si="1"/>
        <v>-</v>
      </c>
      <c r="G65" s="130">
        <f t="shared" si="4"/>
        <v>0</v>
      </c>
      <c r="H65" s="131" t="str">
        <f t="shared" si="2"/>
        <v>-</v>
      </c>
      <c r="I65" s="132">
        <f t="shared" si="5"/>
        <v>0</v>
      </c>
      <c r="J65" s="130">
        <f t="shared" si="6"/>
        <v>0</v>
      </c>
    </row>
    <row r="66" spans="2:10" ht="18" hidden="1" x14ac:dyDescent="0.25">
      <c r="B66" s="126">
        <f t="shared" si="3"/>
        <v>50</v>
      </c>
      <c r="C66" s="127">
        <v>0</v>
      </c>
      <c r="D66" s="127">
        <v>0</v>
      </c>
      <c r="E66" s="128">
        <f t="shared" si="0"/>
        <v>0</v>
      </c>
      <c r="F66" s="129" t="str">
        <f t="shared" si="1"/>
        <v>-</v>
      </c>
      <c r="G66" s="130">
        <f t="shared" si="4"/>
        <v>0</v>
      </c>
      <c r="H66" s="131" t="str">
        <f t="shared" si="2"/>
        <v>-</v>
      </c>
      <c r="I66" s="132">
        <f t="shared" si="5"/>
        <v>0</v>
      </c>
      <c r="J66" s="130">
        <f t="shared" si="6"/>
        <v>0</v>
      </c>
    </row>
    <row r="67" spans="2:10" ht="18" hidden="1" x14ac:dyDescent="0.25">
      <c r="B67" s="126">
        <f t="shared" si="3"/>
        <v>51</v>
      </c>
      <c r="C67" s="127">
        <v>0</v>
      </c>
      <c r="D67" s="127">
        <v>0</v>
      </c>
      <c r="E67" s="128">
        <f t="shared" si="0"/>
        <v>0</v>
      </c>
      <c r="F67" s="129" t="str">
        <f t="shared" si="1"/>
        <v>-</v>
      </c>
      <c r="G67" s="130">
        <f t="shared" si="4"/>
        <v>0</v>
      </c>
      <c r="H67" s="131" t="str">
        <f t="shared" si="2"/>
        <v>-</v>
      </c>
      <c r="I67" s="132">
        <f t="shared" si="5"/>
        <v>0</v>
      </c>
      <c r="J67" s="130">
        <f t="shared" si="6"/>
        <v>0</v>
      </c>
    </row>
    <row r="68" spans="2:10" ht="18" hidden="1" x14ac:dyDescent="0.25">
      <c r="B68" s="126">
        <f t="shared" si="3"/>
        <v>52</v>
      </c>
      <c r="C68" s="127">
        <v>0</v>
      </c>
      <c r="D68" s="127">
        <v>0</v>
      </c>
      <c r="E68" s="128">
        <f t="shared" si="0"/>
        <v>0</v>
      </c>
      <c r="F68" s="129" t="str">
        <f t="shared" si="1"/>
        <v>-</v>
      </c>
      <c r="G68" s="130">
        <f t="shared" si="4"/>
        <v>0</v>
      </c>
      <c r="H68" s="131" t="str">
        <f t="shared" si="2"/>
        <v>-</v>
      </c>
      <c r="I68" s="132">
        <f t="shared" si="5"/>
        <v>0</v>
      </c>
      <c r="J68" s="130">
        <f t="shared" si="6"/>
        <v>0</v>
      </c>
    </row>
    <row r="69" spans="2:10" ht="18" hidden="1" x14ac:dyDescent="0.25">
      <c r="B69" s="126">
        <f t="shared" si="3"/>
        <v>53</v>
      </c>
      <c r="C69" s="127">
        <v>0</v>
      </c>
      <c r="D69" s="127">
        <v>0</v>
      </c>
      <c r="E69" s="128">
        <f t="shared" si="0"/>
        <v>0</v>
      </c>
      <c r="F69" s="129" t="str">
        <f t="shared" si="1"/>
        <v>-</v>
      </c>
      <c r="G69" s="130">
        <f t="shared" si="4"/>
        <v>0</v>
      </c>
      <c r="H69" s="131" t="str">
        <f t="shared" si="2"/>
        <v>-</v>
      </c>
      <c r="I69" s="132">
        <f t="shared" si="5"/>
        <v>0</v>
      </c>
      <c r="J69" s="130">
        <f t="shared" si="6"/>
        <v>0</v>
      </c>
    </row>
    <row r="70" spans="2:10" ht="18" hidden="1" x14ac:dyDescent="0.25">
      <c r="B70" s="126">
        <f t="shared" si="3"/>
        <v>54</v>
      </c>
      <c r="C70" s="127">
        <v>0</v>
      </c>
      <c r="D70" s="127">
        <v>0</v>
      </c>
      <c r="E70" s="128">
        <f t="shared" si="0"/>
        <v>0</v>
      </c>
      <c r="F70" s="129" t="str">
        <f t="shared" si="1"/>
        <v>-</v>
      </c>
      <c r="G70" s="130">
        <f t="shared" si="4"/>
        <v>0</v>
      </c>
      <c r="H70" s="131" t="str">
        <f t="shared" si="2"/>
        <v>-</v>
      </c>
      <c r="I70" s="132">
        <f t="shared" si="5"/>
        <v>0</v>
      </c>
      <c r="J70" s="130">
        <f t="shared" si="6"/>
        <v>0</v>
      </c>
    </row>
    <row r="71" spans="2:10" ht="18" hidden="1" x14ac:dyDescent="0.25">
      <c r="B71" s="126">
        <f t="shared" si="3"/>
        <v>55</v>
      </c>
      <c r="C71" s="127">
        <v>0</v>
      </c>
      <c r="D71" s="127">
        <v>0</v>
      </c>
      <c r="E71" s="128">
        <f t="shared" si="0"/>
        <v>0</v>
      </c>
      <c r="F71" s="129" t="str">
        <f t="shared" si="1"/>
        <v>-</v>
      </c>
      <c r="G71" s="130">
        <f t="shared" si="4"/>
        <v>0</v>
      </c>
      <c r="H71" s="131" t="str">
        <f t="shared" si="2"/>
        <v>-</v>
      </c>
      <c r="I71" s="132">
        <f t="shared" si="5"/>
        <v>0</v>
      </c>
      <c r="J71" s="130">
        <f t="shared" si="6"/>
        <v>0</v>
      </c>
    </row>
    <row r="72" spans="2:10" ht="18" hidden="1" x14ac:dyDescent="0.25">
      <c r="B72" s="126">
        <f t="shared" si="3"/>
        <v>56</v>
      </c>
      <c r="C72" s="127">
        <v>0</v>
      </c>
      <c r="D72" s="127">
        <v>0</v>
      </c>
      <c r="E72" s="128">
        <f t="shared" si="0"/>
        <v>0</v>
      </c>
      <c r="F72" s="129" t="str">
        <f t="shared" si="1"/>
        <v>-</v>
      </c>
      <c r="G72" s="130">
        <f t="shared" si="4"/>
        <v>0</v>
      </c>
      <c r="H72" s="131" t="str">
        <f t="shared" si="2"/>
        <v>-</v>
      </c>
      <c r="I72" s="132">
        <f t="shared" si="5"/>
        <v>0</v>
      </c>
      <c r="J72" s="130">
        <f t="shared" si="6"/>
        <v>0</v>
      </c>
    </row>
    <row r="73" spans="2:10" ht="18" hidden="1" x14ac:dyDescent="0.25">
      <c r="B73" s="126">
        <f t="shared" si="3"/>
        <v>57</v>
      </c>
      <c r="C73" s="127">
        <v>0</v>
      </c>
      <c r="D73" s="127">
        <v>0</v>
      </c>
      <c r="E73" s="128">
        <f t="shared" si="0"/>
        <v>0</v>
      </c>
      <c r="F73" s="129" t="str">
        <f t="shared" si="1"/>
        <v>-</v>
      </c>
      <c r="G73" s="130">
        <f t="shared" si="4"/>
        <v>0</v>
      </c>
      <c r="H73" s="131" t="str">
        <f t="shared" si="2"/>
        <v>-</v>
      </c>
      <c r="I73" s="132">
        <f t="shared" si="5"/>
        <v>0</v>
      </c>
      <c r="J73" s="130">
        <f t="shared" si="6"/>
        <v>0</v>
      </c>
    </row>
    <row r="74" spans="2:10" ht="18" hidden="1" x14ac:dyDescent="0.25">
      <c r="B74" s="126">
        <f t="shared" si="3"/>
        <v>58</v>
      </c>
      <c r="C74" s="127">
        <v>0</v>
      </c>
      <c r="D74" s="127">
        <v>0</v>
      </c>
      <c r="E74" s="128">
        <f t="shared" si="0"/>
        <v>0</v>
      </c>
      <c r="F74" s="129" t="str">
        <f t="shared" si="1"/>
        <v>-</v>
      </c>
      <c r="G74" s="130">
        <f t="shared" si="4"/>
        <v>0</v>
      </c>
      <c r="H74" s="131" t="str">
        <f t="shared" si="2"/>
        <v>-</v>
      </c>
      <c r="I74" s="132">
        <f t="shared" si="5"/>
        <v>0</v>
      </c>
      <c r="J74" s="130">
        <f t="shared" si="6"/>
        <v>0</v>
      </c>
    </row>
    <row r="75" spans="2:10" ht="18" hidden="1" x14ac:dyDescent="0.25">
      <c r="B75" s="126">
        <f t="shared" si="3"/>
        <v>59</v>
      </c>
      <c r="C75" s="127">
        <v>0</v>
      </c>
      <c r="D75" s="127">
        <v>0</v>
      </c>
      <c r="E75" s="128">
        <f t="shared" si="0"/>
        <v>0</v>
      </c>
      <c r="F75" s="129" t="str">
        <f t="shared" si="1"/>
        <v>-</v>
      </c>
      <c r="G75" s="130">
        <f t="shared" si="4"/>
        <v>0</v>
      </c>
      <c r="H75" s="131" t="str">
        <f t="shared" si="2"/>
        <v>-</v>
      </c>
      <c r="I75" s="132">
        <f t="shared" si="5"/>
        <v>0</v>
      </c>
      <c r="J75" s="130">
        <f t="shared" si="6"/>
        <v>0</v>
      </c>
    </row>
    <row r="76" spans="2:10" ht="18" hidden="1" x14ac:dyDescent="0.25">
      <c r="B76" s="126">
        <f t="shared" si="3"/>
        <v>60</v>
      </c>
      <c r="C76" s="127">
        <v>0</v>
      </c>
      <c r="D76" s="127">
        <v>0</v>
      </c>
      <c r="E76" s="128">
        <f t="shared" si="0"/>
        <v>0</v>
      </c>
      <c r="F76" s="129" t="str">
        <f t="shared" si="1"/>
        <v>-</v>
      </c>
      <c r="G76" s="130">
        <f t="shared" si="4"/>
        <v>0</v>
      </c>
      <c r="H76" s="131" t="str">
        <f t="shared" si="2"/>
        <v>-</v>
      </c>
      <c r="I76" s="132">
        <f t="shared" si="5"/>
        <v>0</v>
      </c>
      <c r="J76" s="130">
        <f t="shared" si="6"/>
        <v>0</v>
      </c>
    </row>
    <row r="77" spans="2:10" ht="18" hidden="1" x14ac:dyDescent="0.25">
      <c r="B77" s="126">
        <f t="shared" si="3"/>
        <v>61</v>
      </c>
      <c r="C77" s="127">
        <v>0</v>
      </c>
      <c r="D77" s="127">
        <v>0</v>
      </c>
      <c r="E77" s="128">
        <f t="shared" si="0"/>
        <v>0</v>
      </c>
      <c r="F77" s="129" t="str">
        <f t="shared" si="1"/>
        <v>-</v>
      </c>
      <c r="G77" s="130">
        <f t="shared" si="4"/>
        <v>0</v>
      </c>
      <c r="H77" s="131" t="str">
        <f t="shared" si="2"/>
        <v>-</v>
      </c>
      <c r="I77" s="132">
        <f t="shared" si="5"/>
        <v>0</v>
      </c>
      <c r="J77" s="130">
        <f t="shared" si="6"/>
        <v>0</v>
      </c>
    </row>
    <row r="78" spans="2:10" ht="18" hidden="1" x14ac:dyDescent="0.25">
      <c r="B78" s="126">
        <f t="shared" si="3"/>
        <v>62</v>
      </c>
      <c r="C78" s="127">
        <v>0</v>
      </c>
      <c r="D78" s="127">
        <v>0</v>
      </c>
      <c r="E78" s="128">
        <f t="shared" si="0"/>
        <v>0</v>
      </c>
      <c r="F78" s="129" t="str">
        <f t="shared" si="1"/>
        <v>-</v>
      </c>
      <c r="G78" s="130">
        <f t="shared" si="4"/>
        <v>0</v>
      </c>
      <c r="H78" s="131" t="str">
        <f t="shared" si="2"/>
        <v>-</v>
      </c>
      <c r="I78" s="132">
        <f t="shared" si="5"/>
        <v>0</v>
      </c>
      <c r="J78" s="130">
        <f t="shared" si="6"/>
        <v>0</v>
      </c>
    </row>
    <row r="79" spans="2:10" ht="18" hidden="1" x14ac:dyDescent="0.25">
      <c r="B79" s="126">
        <f t="shared" si="3"/>
        <v>63</v>
      </c>
      <c r="C79" s="127">
        <v>0</v>
      </c>
      <c r="D79" s="127">
        <v>0</v>
      </c>
      <c r="E79" s="128">
        <f t="shared" si="0"/>
        <v>0</v>
      </c>
      <c r="F79" s="129" t="str">
        <f t="shared" si="1"/>
        <v>-</v>
      </c>
      <c r="G79" s="130">
        <f t="shared" si="4"/>
        <v>0</v>
      </c>
      <c r="H79" s="131" t="str">
        <f t="shared" si="2"/>
        <v>-</v>
      </c>
      <c r="I79" s="132">
        <f t="shared" si="5"/>
        <v>0</v>
      </c>
      <c r="J79" s="130">
        <f t="shared" si="6"/>
        <v>0</v>
      </c>
    </row>
    <row r="80" spans="2:10" ht="18" hidden="1" x14ac:dyDescent="0.25">
      <c r="B80" s="126">
        <f t="shared" si="3"/>
        <v>64</v>
      </c>
      <c r="C80" s="127">
        <v>0</v>
      </c>
      <c r="D80" s="127">
        <v>0</v>
      </c>
      <c r="E80" s="128">
        <f t="shared" ref="E80:E136" si="8">C80-D80</f>
        <v>0</v>
      </c>
      <c r="F80" s="129" t="str">
        <f t="shared" ref="F80:F136" si="9">IF(B80&lt;=$C$13,POWER((1+$C$14),(B80*-1)),"-")</f>
        <v>-</v>
      </c>
      <c r="G80" s="130">
        <f t="shared" si="4"/>
        <v>0</v>
      </c>
      <c r="H80" s="131" t="str">
        <f t="shared" ref="H80:H136" si="10">IF(B80&lt;=$C$13,POWER((1+$G$139),(B80*-1)),"-")</f>
        <v>-</v>
      </c>
      <c r="I80" s="132">
        <f t="shared" si="5"/>
        <v>0</v>
      </c>
      <c r="J80" s="130">
        <f t="shared" si="6"/>
        <v>0</v>
      </c>
    </row>
    <row r="81" spans="2:10" ht="18" hidden="1" x14ac:dyDescent="0.25">
      <c r="B81" s="126">
        <f t="shared" ref="B81:B136" si="11">B80+1</f>
        <v>65</v>
      </c>
      <c r="C81" s="127">
        <v>0</v>
      </c>
      <c r="D81" s="127">
        <v>0</v>
      </c>
      <c r="E81" s="128">
        <f t="shared" si="8"/>
        <v>0</v>
      </c>
      <c r="F81" s="129" t="str">
        <f t="shared" si="9"/>
        <v>-</v>
      </c>
      <c r="G81" s="130">
        <f t="shared" ref="G81:G136" si="12">PV($C$14,B81,0,E81)*-1</f>
        <v>0</v>
      </c>
      <c r="H81" s="131" t="str">
        <f t="shared" si="10"/>
        <v>-</v>
      </c>
      <c r="I81" s="132">
        <f t="shared" ref="I81:I136" si="13">PV($G$139,B81,0,E81)*-1</f>
        <v>0</v>
      </c>
      <c r="J81" s="130">
        <f t="shared" si="6"/>
        <v>0</v>
      </c>
    </row>
    <row r="82" spans="2:10" ht="18" hidden="1" x14ac:dyDescent="0.25">
      <c r="B82" s="126">
        <f t="shared" si="11"/>
        <v>66</v>
      </c>
      <c r="C82" s="127">
        <v>0</v>
      </c>
      <c r="D82" s="127">
        <v>0</v>
      </c>
      <c r="E82" s="128">
        <f t="shared" si="8"/>
        <v>0</v>
      </c>
      <c r="F82" s="129" t="str">
        <f t="shared" si="9"/>
        <v>-</v>
      </c>
      <c r="G82" s="130">
        <f t="shared" si="12"/>
        <v>0</v>
      </c>
      <c r="H82" s="131" t="str">
        <f t="shared" si="10"/>
        <v>-</v>
      </c>
      <c r="I82" s="132">
        <f t="shared" si="13"/>
        <v>0</v>
      </c>
      <c r="J82" s="130">
        <f t="shared" ref="J82:J136" si="14">IF(B82&lt;=$C$13,$J$17,0)</f>
        <v>0</v>
      </c>
    </row>
    <row r="83" spans="2:10" ht="18" hidden="1" x14ac:dyDescent="0.25">
      <c r="B83" s="126">
        <f t="shared" si="11"/>
        <v>67</v>
      </c>
      <c r="C83" s="127">
        <v>0</v>
      </c>
      <c r="D83" s="127">
        <v>0</v>
      </c>
      <c r="E83" s="128">
        <f t="shared" si="8"/>
        <v>0</v>
      </c>
      <c r="F83" s="129" t="str">
        <f t="shared" si="9"/>
        <v>-</v>
      </c>
      <c r="G83" s="130">
        <f t="shared" si="12"/>
        <v>0</v>
      </c>
      <c r="H83" s="131" t="str">
        <f t="shared" si="10"/>
        <v>-</v>
      </c>
      <c r="I83" s="132">
        <f t="shared" si="13"/>
        <v>0</v>
      </c>
      <c r="J83" s="130">
        <f t="shared" si="14"/>
        <v>0</v>
      </c>
    </row>
    <row r="84" spans="2:10" ht="18" hidden="1" x14ac:dyDescent="0.25">
      <c r="B84" s="126">
        <f t="shared" si="11"/>
        <v>68</v>
      </c>
      <c r="C84" s="127">
        <v>0</v>
      </c>
      <c r="D84" s="127">
        <v>0</v>
      </c>
      <c r="E84" s="128">
        <f t="shared" si="8"/>
        <v>0</v>
      </c>
      <c r="F84" s="129" t="str">
        <f t="shared" si="9"/>
        <v>-</v>
      </c>
      <c r="G84" s="130">
        <f t="shared" si="12"/>
        <v>0</v>
      </c>
      <c r="H84" s="131" t="str">
        <f t="shared" si="10"/>
        <v>-</v>
      </c>
      <c r="I84" s="132">
        <f t="shared" si="13"/>
        <v>0</v>
      </c>
      <c r="J84" s="130">
        <f t="shared" si="14"/>
        <v>0</v>
      </c>
    </row>
    <row r="85" spans="2:10" ht="18" hidden="1" x14ac:dyDescent="0.25">
      <c r="B85" s="126">
        <f t="shared" si="11"/>
        <v>69</v>
      </c>
      <c r="C85" s="127">
        <v>0</v>
      </c>
      <c r="D85" s="127">
        <v>0</v>
      </c>
      <c r="E85" s="128">
        <f t="shared" si="8"/>
        <v>0</v>
      </c>
      <c r="F85" s="129" t="str">
        <f t="shared" si="9"/>
        <v>-</v>
      </c>
      <c r="G85" s="130">
        <f t="shared" si="12"/>
        <v>0</v>
      </c>
      <c r="H85" s="131" t="str">
        <f t="shared" si="10"/>
        <v>-</v>
      </c>
      <c r="I85" s="132">
        <f t="shared" si="13"/>
        <v>0</v>
      </c>
      <c r="J85" s="130">
        <f t="shared" si="14"/>
        <v>0</v>
      </c>
    </row>
    <row r="86" spans="2:10" ht="18" hidden="1" x14ac:dyDescent="0.25">
      <c r="B86" s="126">
        <f t="shared" si="11"/>
        <v>70</v>
      </c>
      <c r="C86" s="127">
        <v>0</v>
      </c>
      <c r="D86" s="127">
        <v>0</v>
      </c>
      <c r="E86" s="128">
        <f t="shared" si="8"/>
        <v>0</v>
      </c>
      <c r="F86" s="129" t="str">
        <f t="shared" si="9"/>
        <v>-</v>
      </c>
      <c r="G86" s="130">
        <f t="shared" si="12"/>
        <v>0</v>
      </c>
      <c r="H86" s="131" t="str">
        <f t="shared" si="10"/>
        <v>-</v>
      </c>
      <c r="I86" s="132">
        <f t="shared" si="13"/>
        <v>0</v>
      </c>
      <c r="J86" s="130">
        <f t="shared" si="14"/>
        <v>0</v>
      </c>
    </row>
    <row r="87" spans="2:10" ht="18" hidden="1" x14ac:dyDescent="0.25">
      <c r="B87" s="126">
        <f t="shared" si="11"/>
        <v>71</v>
      </c>
      <c r="C87" s="127">
        <v>0</v>
      </c>
      <c r="D87" s="127">
        <v>0</v>
      </c>
      <c r="E87" s="128">
        <f t="shared" si="8"/>
        <v>0</v>
      </c>
      <c r="F87" s="129" t="str">
        <f t="shared" si="9"/>
        <v>-</v>
      </c>
      <c r="G87" s="130">
        <f t="shared" si="12"/>
        <v>0</v>
      </c>
      <c r="H87" s="131" t="str">
        <f t="shared" si="10"/>
        <v>-</v>
      </c>
      <c r="I87" s="132">
        <f t="shared" si="13"/>
        <v>0</v>
      </c>
      <c r="J87" s="130">
        <f t="shared" si="14"/>
        <v>0</v>
      </c>
    </row>
    <row r="88" spans="2:10" ht="18" hidden="1" x14ac:dyDescent="0.25">
      <c r="B88" s="126">
        <f t="shared" si="11"/>
        <v>72</v>
      </c>
      <c r="C88" s="127">
        <v>0</v>
      </c>
      <c r="D88" s="127">
        <v>0</v>
      </c>
      <c r="E88" s="128">
        <f t="shared" si="8"/>
        <v>0</v>
      </c>
      <c r="F88" s="129" t="str">
        <f t="shared" si="9"/>
        <v>-</v>
      </c>
      <c r="G88" s="130">
        <f t="shared" si="12"/>
        <v>0</v>
      </c>
      <c r="H88" s="131" t="str">
        <f t="shared" si="10"/>
        <v>-</v>
      </c>
      <c r="I88" s="132">
        <f t="shared" si="13"/>
        <v>0</v>
      </c>
      <c r="J88" s="130">
        <f t="shared" si="14"/>
        <v>0</v>
      </c>
    </row>
    <row r="89" spans="2:10" ht="18" hidden="1" x14ac:dyDescent="0.25">
      <c r="B89" s="126">
        <f t="shared" si="11"/>
        <v>73</v>
      </c>
      <c r="C89" s="127">
        <v>0</v>
      </c>
      <c r="D89" s="127">
        <v>0</v>
      </c>
      <c r="E89" s="128">
        <f t="shared" si="8"/>
        <v>0</v>
      </c>
      <c r="F89" s="129" t="str">
        <f t="shared" si="9"/>
        <v>-</v>
      </c>
      <c r="G89" s="130">
        <f t="shared" si="12"/>
        <v>0</v>
      </c>
      <c r="H89" s="131" t="str">
        <f t="shared" si="10"/>
        <v>-</v>
      </c>
      <c r="I89" s="132">
        <f t="shared" si="13"/>
        <v>0</v>
      </c>
      <c r="J89" s="130">
        <f t="shared" si="14"/>
        <v>0</v>
      </c>
    </row>
    <row r="90" spans="2:10" ht="18" hidden="1" x14ac:dyDescent="0.25">
      <c r="B90" s="126">
        <f t="shared" si="11"/>
        <v>74</v>
      </c>
      <c r="C90" s="127">
        <v>0</v>
      </c>
      <c r="D90" s="127">
        <v>0</v>
      </c>
      <c r="E90" s="128">
        <f t="shared" si="8"/>
        <v>0</v>
      </c>
      <c r="F90" s="129" t="str">
        <f t="shared" si="9"/>
        <v>-</v>
      </c>
      <c r="G90" s="130">
        <f t="shared" si="12"/>
        <v>0</v>
      </c>
      <c r="H90" s="131" t="str">
        <f t="shared" si="10"/>
        <v>-</v>
      </c>
      <c r="I90" s="132">
        <f t="shared" si="13"/>
        <v>0</v>
      </c>
      <c r="J90" s="130">
        <f t="shared" si="14"/>
        <v>0</v>
      </c>
    </row>
    <row r="91" spans="2:10" ht="18" hidden="1" x14ac:dyDescent="0.25">
      <c r="B91" s="126">
        <f t="shared" si="11"/>
        <v>75</v>
      </c>
      <c r="C91" s="127">
        <v>0</v>
      </c>
      <c r="D91" s="127">
        <v>0</v>
      </c>
      <c r="E91" s="128">
        <f t="shared" si="8"/>
        <v>0</v>
      </c>
      <c r="F91" s="129" t="str">
        <f t="shared" si="9"/>
        <v>-</v>
      </c>
      <c r="G91" s="130">
        <f t="shared" si="12"/>
        <v>0</v>
      </c>
      <c r="H91" s="131" t="str">
        <f t="shared" si="10"/>
        <v>-</v>
      </c>
      <c r="I91" s="132">
        <f t="shared" si="13"/>
        <v>0</v>
      </c>
      <c r="J91" s="130">
        <f t="shared" si="14"/>
        <v>0</v>
      </c>
    </row>
    <row r="92" spans="2:10" ht="18" hidden="1" x14ac:dyDescent="0.25">
      <c r="B92" s="126">
        <f t="shared" si="11"/>
        <v>76</v>
      </c>
      <c r="C92" s="127">
        <v>0</v>
      </c>
      <c r="D92" s="127">
        <v>0</v>
      </c>
      <c r="E92" s="128">
        <f t="shared" si="8"/>
        <v>0</v>
      </c>
      <c r="F92" s="129" t="str">
        <f t="shared" si="9"/>
        <v>-</v>
      </c>
      <c r="G92" s="130">
        <f t="shared" si="12"/>
        <v>0</v>
      </c>
      <c r="H92" s="131" t="str">
        <f t="shared" si="10"/>
        <v>-</v>
      </c>
      <c r="I92" s="132">
        <f t="shared" si="13"/>
        <v>0</v>
      </c>
      <c r="J92" s="130">
        <f t="shared" si="14"/>
        <v>0</v>
      </c>
    </row>
    <row r="93" spans="2:10" ht="18" hidden="1" x14ac:dyDescent="0.25">
      <c r="B93" s="126">
        <f t="shared" si="11"/>
        <v>77</v>
      </c>
      <c r="C93" s="127">
        <v>0</v>
      </c>
      <c r="D93" s="127">
        <v>0</v>
      </c>
      <c r="E93" s="128">
        <f t="shared" si="8"/>
        <v>0</v>
      </c>
      <c r="F93" s="129" t="str">
        <f t="shared" si="9"/>
        <v>-</v>
      </c>
      <c r="G93" s="130">
        <f t="shared" si="12"/>
        <v>0</v>
      </c>
      <c r="H93" s="131" t="str">
        <f t="shared" si="10"/>
        <v>-</v>
      </c>
      <c r="I93" s="132">
        <f t="shared" si="13"/>
        <v>0</v>
      </c>
      <c r="J93" s="130">
        <f t="shared" si="14"/>
        <v>0</v>
      </c>
    </row>
    <row r="94" spans="2:10" ht="18" hidden="1" x14ac:dyDescent="0.25">
      <c r="B94" s="126">
        <f t="shared" si="11"/>
        <v>78</v>
      </c>
      <c r="C94" s="127">
        <v>0</v>
      </c>
      <c r="D94" s="127">
        <v>0</v>
      </c>
      <c r="E94" s="128">
        <f t="shared" si="8"/>
        <v>0</v>
      </c>
      <c r="F94" s="129" t="str">
        <f t="shared" si="9"/>
        <v>-</v>
      </c>
      <c r="G94" s="130">
        <f t="shared" si="12"/>
        <v>0</v>
      </c>
      <c r="H94" s="131" t="str">
        <f t="shared" si="10"/>
        <v>-</v>
      </c>
      <c r="I94" s="132">
        <f t="shared" si="13"/>
        <v>0</v>
      </c>
      <c r="J94" s="130">
        <f t="shared" si="14"/>
        <v>0</v>
      </c>
    </row>
    <row r="95" spans="2:10" ht="18" hidden="1" x14ac:dyDescent="0.25">
      <c r="B95" s="126">
        <f t="shared" si="11"/>
        <v>79</v>
      </c>
      <c r="C95" s="127">
        <v>0</v>
      </c>
      <c r="D95" s="127">
        <v>0</v>
      </c>
      <c r="E95" s="128">
        <f t="shared" si="8"/>
        <v>0</v>
      </c>
      <c r="F95" s="129" t="str">
        <f t="shared" si="9"/>
        <v>-</v>
      </c>
      <c r="G95" s="130">
        <f t="shared" si="12"/>
        <v>0</v>
      </c>
      <c r="H95" s="131" t="str">
        <f t="shared" si="10"/>
        <v>-</v>
      </c>
      <c r="I95" s="132">
        <f t="shared" si="13"/>
        <v>0</v>
      </c>
      <c r="J95" s="130">
        <f t="shared" si="14"/>
        <v>0</v>
      </c>
    </row>
    <row r="96" spans="2:10" ht="18" hidden="1" x14ac:dyDescent="0.25">
      <c r="B96" s="126">
        <f t="shared" si="11"/>
        <v>80</v>
      </c>
      <c r="C96" s="127">
        <v>0</v>
      </c>
      <c r="D96" s="127">
        <v>0</v>
      </c>
      <c r="E96" s="128">
        <f t="shared" si="8"/>
        <v>0</v>
      </c>
      <c r="F96" s="129" t="str">
        <f t="shared" si="9"/>
        <v>-</v>
      </c>
      <c r="G96" s="130">
        <f t="shared" si="12"/>
        <v>0</v>
      </c>
      <c r="H96" s="131" t="str">
        <f t="shared" si="10"/>
        <v>-</v>
      </c>
      <c r="I96" s="132">
        <f t="shared" si="13"/>
        <v>0</v>
      </c>
      <c r="J96" s="130">
        <f t="shared" si="14"/>
        <v>0</v>
      </c>
    </row>
    <row r="97" spans="2:10" ht="18" hidden="1" x14ac:dyDescent="0.25">
      <c r="B97" s="126">
        <f t="shared" si="11"/>
        <v>81</v>
      </c>
      <c r="C97" s="127">
        <v>0</v>
      </c>
      <c r="D97" s="127">
        <v>0</v>
      </c>
      <c r="E97" s="128">
        <f t="shared" si="8"/>
        <v>0</v>
      </c>
      <c r="F97" s="129" t="str">
        <f t="shared" si="9"/>
        <v>-</v>
      </c>
      <c r="G97" s="130">
        <f t="shared" si="12"/>
        <v>0</v>
      </c>
      <c r="H97" s="131" t="str">
        <f t="shared" si="10"/>
        <v>-</v>
      </c>
      <c r="I97" s="132">
        <f t="shared" si="13"/>
        <v>0</v>
      </c>
      <c r="J97" s="130">
        <f t="shared" si="14"/>
        <v>0</v>
      </c>
    </row>
    <row r="98" spans="2:10" ht="18" hidden="1" x14ac:dyDescent="0.25">
      <c r="B98" s="126">
        <f t="shared" si="11"/>
        <v>82</v>
      </c>
      <c r="C98" s="127">
        <v>0</v>
      </c>
      <c r="D98" s="127">
        <v>0</v>
      </c>
      <c r="E98" s="128">
        <f t="shared" si="8"/>
        <v>0</v>
      </c>
      <c r="F98" s="129" t="str">
        <f t="shared" si="9"/>
        <v>-</v>
      </c>
      <c r="G98" s="130">
        <f t="shared" si="12"/>
        <v>0</v>
      </c>
      <c r="H98" s="131" t="str">
        <f t="shared" si="10"/>
        <v>-</v>
      </c>
      <c r="I98" s="132">
        <f t="shared" si="13"/>
        <v>0</v>
      </c>
      <c r="J98" s="130">
        <f t="shared" si="14"/>
        <v>0</v>
      </c>
    </row>
    <row r="99" spans="2:10" ht="18" hidden="1" x14ac:dyDescent="0.25">
      <c r="B99" s="126">
        <f t="shared" si="11"/>
        <v>83</v>
      </c>
      <c r="C99" s="127">
        <v>0</v>
      </c>
      <c r="D99" s="127">
        <v>0</v>
      </c>
      <c r="E99" s="128">
        <f t="shared" si="8"/>
        <v>0</v>
      </c>
      <c r="F99" s="129" t="str">
        <f t="shared" si="9"/>
        <v>-</v>
      </c>
      <c r="G99" s="130">
        <f t="shared" si="12"/>
        <v>0</v>
      </c>
      <c r="H99" s="131" t="str">
        <f t="shared" si="10"/>
        <v>-</v>
      </c>
      <c r="I99" s="132">
        <f t="shared" si="13"/>
        <v>0</v>
      </c>
      <c r="J99" s="130">
        <f t="shared" si="14"/>
        <v>0</v>
      </c>
    </row>
    <row r="100" spans="2:10" ht="18" hidden="1" x14ac:dyDescent="0.25">
      <c r="B100" s="126">
        <f t="shared" si="11"/>
        <v>84</v>
      </c>
      <c r="C100" s="127">
        <v>0</v>
      </c>
      <c r="D100" s="127">
        <v>0</v>
      </c>
      <c r="E100" s="128">
        <f t="shared" si="8"/>
        <v>0</v>
      </c>
      <c r="F100" s="129" t="str">
        <f t="shared" si="9"/>
        <v>-</v>
      </c>
      <c r="G100" s="130">
        <f t="shared" si="12"/>
        <v>0</v>
      </c>
      <c r="H100" s="131" t="str">
        <f t="shared" si="10"/>
        <v>-</v>
      </c>
      <c r="I100" s="132">
        <f t="shared" si="13"/>
        <v>0</v>
      </c>
      <c r="J100" s="130">
        <f t="shared" si="14"/>
        <v>0</v>
      </c>
    </row>
    <row r="101" spans="2:10" ht="18" hidden="1" x14ac:dyDescent="0.25">
      <c r="B101" s="126">
        <f t="shared" si="11"/>
        <v>85</v>
      </c>
      <c r="C101" s="127">
        <v>0</v>
      </c>
      <c r="D101" s="127">
        <v>0</v>
      </c>
      <c r="E101" s="128">
        <f t="shared" si="8"/>
        <v>0</v>
      </c>
      <c r="F101" s="129" t="str">
        <f t="shared" si="9"/>
        <v>-</v>
      </c>
      <c r="G101" s="130">
        <f t="shared" si="12"/>
        <v>0</v>
      </c>
      <c r="H101" s="131" t="str">
        <f t="shared" si="10"/>
        <v>-</v>
      </c>
      <c r="I101" s="132">
        <f t="shared" si="13"/>
        <v>0</v>
      </c>
      <c r="J101" s="130">
        <f t="shared" si="14"/>
        <v>0</v>
      </c>
    </row>
    <row r="102" spans="2:10" ht="18" hidden="1" x14ac:dyDescent="0.25">
      <c r="B102" s="126">
        <f t="shared" si="11"/>
        <v>86</v>
      </c>
      <c r="C102" s="127">
        <v>0</v>
      </c>
      <c r="D102" s="127">
        <v>0</v>
      </c>
      <c r="E102" s="128">
        <f t="shared" si="8"/>
        <v>0</v>
      </c>
      <c r="F102" s="129" t="str">
        <f t="shared" si="9"/>
        <v>-</v>
      </c>
      <c r="G102" s="130">
        <f t="shared" si="12"/>
        <v>0</v>
      </c>
      <c r="H102" s="131" t="str">
        <f t="shared" si="10"/>
        <v>-</v>
      </c>
      <c r="I102" s="132">
        <f t="shared" si="13"/>
        <v>0</v>
      </c>
      <c r="J102" s="130">
        <f t="shared" si="14"/>
        <v>0</v>
      </c>
    </row>
    <row r="103" spans="2:10" ht="18" hidden="1" x14ac:dyDescent="0.25">
      <c r="B103" s="126">
        <f t="shared" si="11"/>
        <v>87</v>
      </c>
      <c r="C103" s="127">
        <v>0</v>
      </c>
      <c r="D103" s="127">
        <v>0</v>
      </c>
      <c r="E103" s="128">
        <f t="shared" si="8"/>
        <v>0</v>
      </c>
      <c r="F103" s="129" t="str">
        <f t="shared" si="9"/>
        <v>-</v>
      </c>
      <c r="G103" s="130">
        <f t="shared" si="12"/>
        <v>0</v>
      </c>
      <c r="H103" s="131" t="str">
        <f t="shared" si="10"/>
        <v>-</v>
      </c>
      <c r="I103" s="132">
        <f t="shared" si="13"/>
        <v>0</v>
      </c>
      <c r="J103" s="130">
        <f t="shared" si="14"/>
        <v>0</v>
      </c>
    </row>
    <row r="104" spans="2:10" ht="18" hidden="1" x14ac:dyDescent="0.25">
      <c r="B104" s="126">
        <f t="shared" si="11"/>
        <v>88</v>
      </c>
      <c r="C104" s="127">
        <v>0</v>
      </c>
      <c r="D104" s="127">
        <v>0</v>
      </c>
      <c r="E104" s="128">
        <f t="shared" si="8"/>
        <v>0</v>
      </c>
      <c r="F104" s="129" t="str">
        <f t="shared" si="9"/>
        <v>-</v>
      </c>
      <c r="G104" s="130">
        <f t="shared" si="12"/>
        <v>0</v>
      </c>
      <c r="H104" s="131" t="str">
        <f t="shared" si="10"/>
        <v>-</v>
      </c>
      <c r="I104" s="132">
        <f t="shared" si="13"/>
        <v>0</v>
      </c>
      <c r="J104" s="130">
        <f t="shared" si="14"/>
        <v>0</v>
      </c>
    </row>
    <row r="105" spans="2:10" ht="18" hidden="1" x14ac:dyDescent="0.25">
      <c r="B105" s="126">
        <f t="shared" si="11"/>
        <v>89</v>
      </c>
      <c r="C105" s="127">
        <v>0</v>
      </c>
      <c r="D105" s="127">
        <v>0</v>
      </c>
      <c r="E105" s="128">
        <f t="shared" si="8"/>
        <v>0</v>
      </c>
      <c r="F105" s="129" t="str">
        <f t="shared" si="9"/>
        <v>-</v>
      </c>
      <c r="G105" s="130">
        <f t="shared" si="12"/>
        <v>0</v>
      </c>
      <c r="H105" s="131" t="str">
        <f t="shared" si="10"/>
        <v>-</v>
      </c>
      <c r="I105" s="132">
        <f t="shared" si="13"/>
        <v>0</v>
      </c>
      <c r="J105" s="130">
        <f t="shared" si="14"/>
        <v>0</v>
      </c>
    </row>
    <row r="106" spans="2:10" ht="18" hidden="1" x14ac:dyDescent="0.25">
      <c r="B106" s="126">
        <f t="shared" si="11"/>
        <v>90</v>
      </c>
      <c r="C106" s="127">
        <v>0</v>
      </c>
      <c r="D106" s="127">
        <v>0</v>
      </c>
      <c r="E106" s="128">
        <f t="shared" si="8"/>
        <v>0</v>
      </c>
      <c r="F106" s="129" t="str">
        <f t="shared" si="9"/>
        <v>-</v>
      </c>
      <c r="G106" s="130">
        <f t="shared" si="12"/>
        <v>0</v>
      </c>
      <c r="H106" s="131" t="str">
        <f t="shared" si="10"/>
        <v>-</v>
      </c>
      <c r="I106" s="132">
        <f t="shared" si="13"/>
        <v>0</v>
      </c>
      <c r="J106" s="130">
        <f t="shared" si="14"/>
        <v>0</v>
      </c>
    </row>
    <row r="107" spans="2:10" ht="18" hidden="1" x14ac:dyDescent="0.25">
      <c r="B107" s="126">
        <f t="shared" si="11"/>
        <v>91</v>
      </c>
      <c r="C107" s="127">
        <v>0</v>
      </c>
      <c r="D107" s="127">
        <v>0</v>
      </c>
      <c r="E107" s="128">
        <f t="shared" si="8"/>
        <v>0</v>
      </c>
      <c r="F107" s="129" t="str">
        <f t="shared" si="9"/>
        <v>-</v>
      </c>
      <c r="G107" s="130">
        <f t="shared" si="12"/>
        <v>0</v>
      </c>
      <c r="H107" s="131" t="str">
        <f t="shared" si="10"/>
        <v>-</v>
      </c>
      <c r="I107" s="132">
        <f t="shared" si="13"/>
        <v>0</v>
      </c>
      <c r="J107" s="130">
        <f t="shared" si="14"/>
        <v>0</v>
      </c>
    </row>
    <row r="108" spans="2:10" ht="18" hidden="1" x14ac:dyDescent="0.25">
      <c r="B108" s="126">
        <f t="shared" si="11"/>
        <v>92</v>
      </c>
      <c r="C108" s="127">
        <v>0</v>
      </c>
      <c r="D108" s="127">
        <v>0</v>
      </c>
      <c r="E108" s="128">
        <f t="shared" si="8"/>
        <v>0</v>
      </c>
      <c r="F108" s="129" t="str">
        <f t="shared" si="9"/>
        <v>-</v>
      </c>
      <c r="G108" s="130">
        <f t="shared" si="12"/>
        <v>0</v>
      </c>
      <c r="H108" s="131" t="str">
        <f t="shared" si="10"/>
        <v>-</v>
      </c>
      <c r="I108" s="132">
        <f t="shared" si="13"/>
        <v>0</v>
      </c>
      <c r="J108" s="130">
        <f t="shared" si="14"/>
        <v>0</v>
      </c>
    </row>
    <row r="109" spans="2:10" ht="18" hidden="1" x14ac:dyDescent="0.25">
      <c r="B109" s="126">
        <f t="shared" si="11"/>
        <v>93</v>
      </c>
      <c r="C109" s="127">
        <v>0</v>
      </c>
      <c r="D109" s="127">
        <v>0</v>
      </c>
      <c r="E109" s="128">
        <f t="shared" si="8"/>
        <v>0</v>
      </c>
      <c r="F109" s="129" t="str">
        <f t="shared" si="9"/>
        <v>-</v>
      </c>
      <c r="G109" s="130">
        <f t="shared" si="12"/>
        <v>0</v>
      </c>
      <c r="H109" s="131" t="str">
        <f t="shared" si="10"/>
        <v>-</v>
      </c>
      <c r="I109" s="132">
        <f t="shared" si="13"/>
        <v>0</v>
      </c>
      <c r="J109" s="130">
        <f t="shared" si="14"/>
        <v>0</v>
      </c>
    </row>
    <row r="110" spans="2:10" ht="18" hidden="1" x14ac:dyDescent="0.25">
      <c r="B110" s="126">
        <f t="shared" si="11"/>
        <v>94</v>
      </c>
      <c r="C110" s="127">
        <v>0</v>
      </c>
      <c r="D110" s="127">
        <v>0</v>
      </c>
      <c r="E110" s="128">
        <f t="shared" si="8"/>
        <v>0</v>
      </c>
      <c r="F110" s="129" t="str">
        <f t="shared" si="9"/>
        <v>-</v>
      </c>
      <c r="G110" s="130">
        <f t="shared" si="12"/>
        <v>0</v>
      </c>
      <c r="H110" s="131" t="str">
        <f t="shared" si="10"/>
        <v>-</v>
      </c>
      <c r="I110" s="132">
        <f t="shared" si="13"/>
        <v>0</v>
      </c>
      <c r="J110" s="130">
        <f t="shared" si="14"/>
        <v>0</v>
      </c>
    </row>
    <row r="111" spans="2:10" ht="18" hidden="1" x14ac:dyDescent="0.25">
      <c r="B111" s="126">
        <f t="shared" si="11"/>
        <v>95</v>
      </c>
      <c r="C111" s="127">
        <v>0</v>
      </c>
      <c r="D111" s="127">
        <v>0</v>
      </c>
      <c r="E111" s="128">
        <f t="shared" si="8"/>
        <v>0</v>
      </c>
      <c r="F111" s="129" t="str">
        <f t="shared" si="9"/>
        <v>-</v>
      </c>
      <c r="G111" s="130">
        <f t="shared" si="12"/>
        <v>0</v>
      </c>
      <c r="H111" s="131" t="str">
        <f t="shared" si="10"/>
        <v>-</v>
      </c>
      <c r="I111" s="132">
        <f t="shared" si="13"/>
        <v>0</v>
      </c>
      <c r="J111" s="130">
        <f t="shared" si="14"/>
        <v>0</v>
      </c>
    </row>
    <row r="112" spans="2:10" ht="18" hidden="1" x14ac:dyDescent="0.25">
      <c r="B112" s="126">
        <f t="shared" si="11"/>
        <v>96</v>
      </c>
      <c r="C112" s="127">
        <v>0</v>
      </c>
      <c r="D112" s="127">
        <v>0</v>
      </c>
      <c r="E112" s="128">
        <f t="shared" si="8"/>
        <v>0</v>
      </c>
      <c r="F112" s="129" t="str">
        <f t="shared" si="9"/>
        <v>-</v>
      </c>
      <c r="G112" s="130">
        <f t="shared" si="12"/>
        <v>0</v>
      </c>
      <c r="H112" s="131" t="str">
        <f t="shared" si="10"/>
        <v>-</v>
      </c>
      <c r="I112" s="132">
        <f t="shared" si="13"/>
        <v>0</v>
      </c>
      <c r="J112" s="130">
        <f t="shared" si="14"/>
        <v>0</v>
      </c>
    </row>
    <row r="113" spans="2:10" ht="18" hidden="1" x14ac:dyDescent="0.25">
      <c r="B113" s="126">
        <f t="shared" si="11"/>
        <v>97</v>
      </c>
      <c r="C113" s="127">
        <v>0</v>
      </c>
      <c r="D113" s="127">
        <v>0</v>
      </c>
      <c r="E113" s="128">
        <f t="shared" si="8"/>
        <v>0</v>
      </c>
      <c r="F113" s="129" t="str">
        <f t="shared" si="9"/>
        <v>-</v>
      </c>
      <c r="G113" s="130">
        <f t="shared" si="12"/>
        <v>0</v>
      </c>
      <c r="H113" s="131" t="str">
        <f t="shared" si="10"/>
        <v>-</v>
      </c>
      <c r="I113" s="132">
        <f t="shared" si="13"/>
        <v>0</v>
      </c>
      <c r="J113" s="130">
        <f t="shared" si="14"/>
        <v>0</v>
      </c>
    </row>
    <row r="114" spans="2:10" ht="18" hidden="1" x14ac:dyDescent="0.25">
      <c r="B114" s="126">
        <f t="shared" si="11"/>
        <v>98</v>
      </c>
      <c r="C114" s="127">
        <v>0</v>
      </c>
      <c r="D114" s="127">
        <v>0</v>
      </c>
      <c r="E114" s="128">
        <f t="shared" si="8"/>
        <v>0</v>
      </c>
      <c r="F114" s="129" t="str">
        <f t="shared" si="9"/>
        <v>-</v>
      </c>
      <c r="G114" s="130">
        <f t="shared" si="12"/>
        <v>0</v>
      </c>
      <c r="H114" s="131" t="str">
        <f t="shared" si="10"/>
        <v>-</v>
      </c>
      <c r="I114" s="132">
        <f t="shared" si="13"/>
        <v>0</v>
      </c>
      <c r="J114" s="130">
        <f t="shared" si="14"/>
        <v>0</v>
      </c>
    </row>
    <row r="115" spans="2:10" ht="18" hidden="1" x14ac:dyDescent="0.25">
      <c r="B115" s="126">
        <f t="shared" si="11"/>
        <v>99</v>
      </c>
      <c r="C115" s="127">
        <v>0</v>
      </c>
      <c r="D115" s="127">
        <v>0</v>
      </c>
      <c r="E115" s="128">
        <f t="shared" si="8"/>
        <v>0</v>
      </c>
      <c r="F115" s="129" t="str">
        <f t="shared" si="9"/>
        <v>-</v>
      </c>
      <c r="G115" s="130">
        <f t="shared" si="12"/>
        <v>0</v>
      </c>
      <c r="H115" s="131" t="str">
        <f t="shared" si="10"/>
        <v>-</v>
      </c>
      <c r="I115" s="132">
        <f t="shared" si="13"/>
        <v>0</v>
      </c>
      <c r="J115" s="130">
        <f t="shared" si="14"/>
        <v>0</v>
      </c>
    </row>
    <row r="116" spans="2:10" ht="18" hidden="1" x14ac:dyDescent="0.25">
      <c r="B116" s="126">
        <f t="shared" si="11"/>
        <v>100</v>
      </c>
      <c r="C116" s="127">
        <v>0</v>
      </c>
      <c r="D116" s="127">
        <v>0</v>
      </c>
      <c r="E116" s="128">
        <f t="shared" si="8"/>
        <v>0</v>
      </c>
      <c r="F116" s="129" t="str">
        <f t="shared" si="9"/>
        <v>-</v>
      </c>
      <c r="G116" s="130">
        <f t="shared" si="12"/>
        <v>0</v>
      </c>
      <c r="H116" s="131" t="str">
        <f t="shared" si="10"/>
        <v>-</v>
      </c>
      <c r="I116" s="132">
        <f t="shared" si="13"/>
        <v>0</v>
      </c>
      <c r="J116" s="130">
        <f t="shared" si="14"/>
        <v>0</v>
      </c>
    </row>
    <row r="117" spans="2:10" ht="18" hidden="1" x14ac:dyDescent="0.25">
      <c r="B117" s="126">
        <f t="shared" si="11"/>
        <v>101</v>
      </c>
      <c r="C117" s="127">
        <v>0</v>
      </c>
      <c r="D117" s="127">
        <v>0</v>
      </c>
      <c r="E117" s="128">
        <f t="shared" si="8"/>
        <v>0</v>
      </c>
      <c r="F117" s="129" t="str">
        <f t="shared" si="9"/>
        <v>-</v>
      </c>
      <c r="G117" s="130">
        <f t="shared" si="12"/>
        <v>0</v>
      </c>
      <c r="H117" s="131" t="str">
        <f t="shared" si="10"/>
        <v>-</v>
      </c>
      <c r="I117" s="132">
        <f t="shared" si="13"/>
        <v>0</v>
      </c>
      <c r="J117" s="130">
        <f t="shared" si="14"/>
        <v>0</v>
      </c>
    </row>
    <row r="118" spans="2:10" ht="18" hidden="1" x14ac:dyDescent="0.25">
      <c r="B118" s="126">
        <f t="shared" si="11"/>
        <v>102</v>
      </c>
      <c r="C118" s="127">
        <v>0</v>
      </c>
      <c r="D118" s="127">
        <v>0</v>
      </c>
      <c r="E118" s="128">
        <f t="shared" si="8"/>
        <v>0</v>
      </c>
      <c r="F118" s="129" t="str">
        <f t="shared" si="9"/>
        <v>-</v>
      </c>
      <c r="G118" s="130">
        <f t="shared" si="12"/>
        <v>0</v>
      </c>
      <c r="H118" s="131" t="str">
        <f t="shared" si="10"/>
        <v>-</v>
      </c>
      <c r="I118" s="132">
        <f t="shared" si="13"/>
        <v>0</v>
      </c>
      <c r="J118" s="130">
        <f t="shared" si="14"/>
        <v>0</v>
      </c>
    </row>
    <row r="119" spans="2:10" ht="18" hidden="1" x14ac:dyDescent="0.25">
      <c r="B119" s="126">
        <f t="shared" si="11"/>
        <v>103</v>
      </c>
      <c r="C119" s="127">
        <v>0</v>
      </c>
      <c r="D119" s="127">
        <v>0</v>
      </c>
      <c r="E119" s="128">
        <f t="shared" si="8"/>
        <v>0</v>
      </c>
      <c r="F119" s="129" t="str">
        <f t="shared" si="9"/>
        <v>-</v>
      </c>
      <c r="G119" s="130">
        <f t="shared" si="12"/>
        <v>0</v>
      </c>
      <c r="H119" s="131" t="str">
        <f t="shared" si="10"/>
        <v>-</v>
      </c>
      <c r="I119" s="132">
        <f t="shared" si="13"/>
        <v>0</v>
      </c>
      <c r="J119" s="130">
        <f t="shared" si="14"/>
        <v>0</v>
      </c>
    </row>
    <row r="120" spans="2:10" ht="18" hidden="1" x14ac:dyDescent="0.25">
      <c r="B120" s="126">
        <f t="shared" si="11"/>
        <v>104</v>
      </c>
      <c r="C120" s="127">
        <v>0</v>
      </c>
      <c r="D120" s="127">
        <v>0</v>
      </c>
      <c r="E120" s="128">
        <f t="shared" si="8"/>
        <v>0</v>
      </c>
      <c r="F120" s="129" t="str">
        <f t="shared" si="9"/>
        <v>-</v>
      </c>
      <c r="G120" s="130">
        <f t="shared" si="12"/>
        <v>0</v>
      </c>
      <c r="H120" s="131" t="str">
        <f t="shared" si="10"/>
        <v>-</v>
      </c>
      <c r="I120" s="132">
        <f t="shared" si="13"/>
        <v>0</v>
      </c>
      <c r="J120" s="130">
        <f t="shared" si="14"/>
        <v>0</v>
      </c>
    </row>
    <row r="121" spans="2:10" ht="18" hidden="1" x14ac:dyDescent="0.25">
      <c r="B121" s="126">
        <f t="shared" si="11"/>
        <v>105</v>
      </c>
      <c r="C121" s="127">
        <v>0</v>
      </c>
      <c r="D121" s="127">
        <v>0</v>
      </c>
      <c r="E121" s="128">
        <f t="shared" si="8"/>
        <v>0</v>
      </c>
      <c r="F121" s="129" t="str">
        <f t="shared" si="9"/>
        <v>-</v>
      </c>
      <c r="G121" s="130">
        <f t="shared" si="12"/>
        <v>0</v>
      </c>
      <c r="H121" s="131" t="str">
        <f t="shared" si="10"/>
        <v>-</v>
      </c>
      <c r="I121" s="132">
        <f t="shared" si="13"/>
        <v>0</v>
      </c>
      <c r="J121" s="130">
        <f t="shared" si="14"/>
        <v>0</v>
      </c>
    </row>
    <row r="122" spans="2:10" ht="18" hidden="1" x14ac:dyDescent="0.25">
      <c r="B122" s="126">
        <f t="shared" si="11"/>
        <v>106</v>
      </c>
      <c r="C122" s="127">
        <v>0</v>
      </c>
      <c r="D122" s="127">
        <v>0</v>
      </c>
      <c r="E122" s="128">
        <f t="shared" si="8"/>
        <v>0</v>
      </c>
      <c r="F122" s="129" t="str">
        <f t="shared" si="9"/>
        <v>-</v>
      </c>
      <c r="G122" s="130">
        <f t="shared" si="12"/>
        <v>0</v>
      </c>
      <c r="H122" s="131" t="str">
        <f t="shared" si="10"/>
        <v>-</v>
      </c>
      <c r="I122" s="132">
        <f t="shared" si="13"/>
        <v>0</v>
      </c>
      <c r="J122" s="130">
        <f t="shared" si="14"/>
        <v>0</v>
      </c>
    </row>
    <row r="123" spans="2:10" ht="18" hidden="1" x14ac:dyDescent="0.25">
      <c r="B123" s="126">
        <f t="shared" si="11"/>
        <v>107</v>
      </c>
      <c r="C123" s="127">
        <v>0</v>
      </c>
      <c r="D123" s="127">
        <v>0</v>
      </c>
      <c r="E123" s="128">
        <f t="shared" si="8"/>
        <v>0</v>
      </c>
      <c r="F123" s="129" t="str">
        <f t="shared" si="9"/>
        <v>-</v>
      </c>
      <c r="G123" s="130">
        <f t="shared" si="12"/>
        <v>0</v>
      </c>
      <c r="H123" s="131" t="str">
        <f t="shared" si="10"/>
        <v>-</v>
      </c>
      <c r="I123" s="132">
        <f t="shared" si="13"/>
        <v>0</v>
      </c>
      <c r="J123" s="130">
        <f t="shared" si="14"/>
        <v>0</v>
      </c>
    </row>
    <row r="124" spans="2:10" ht="18" hidden="1" x14ac:dyDescent="0.25">
      <c r="B124" s="126">
        <f t="shared" si="11"/>
        <v>108</v>
      </c>
      <c r="C124" s="127">
        <v>0</v>
      </c>
      <c r="D124" s="127">
        <v>0</v>
      </c>
      <c r="E124" s="128">
        <f t="shared" si="8"/>
        <v>0</v>
      </c>
      <c r="F124" s="129" t="str">
        <f t="shared" si="9"/>
        <v>-</v>
      </c>
      <c r="G124" s="130">
        <f t="shared" si="12"/>
        <v>0</v>
      </c>
      <c r="H124" s="131" t="str">
        <f t="shared" si="10"/>
        <v>-</v>
      </c>
      <c r="I124" s="132">
        <f t="shared" si="13"/>
        <v>0</v>
      </c>
      <c r="J124" s="130">
        <f t="shared" si="14"/>
        <v>0</v>
      </c>
    </row>
    <row r="125" spans="2:10" ht="18" hidden="1" x14ac:dyDescent="0.25">
      <c r="B125" s="126">
        <f t="shared" si="11"/>
        <v>109</v>
      </c>
      <c r="C125" s="127">
        <v>0</v>
      </c>
      <c r="D125" s="127">
        <v>0</v>
      </c>
      <c r="E125" s="128">
        <f t="shared" si="8"/>
        <v>0</v>
      </c>
      <c r="F125" s="129" t="str">
        <f t="shared" si="9"/>
        <v>-</v>
      </c>
      <c r="G125" s="130">
        <f t="shared" si="12"/>
        <v>0</v>
      </c>
      <c r="H125" s="131" t="str">
        <f t="shared" si="10"/>
        <v>-</v>
      </c>
      <c r="I125" s="132">
        <f t="shared" si="13"/>
        <v>0</v>
      </c>
      <c r="J125" s="130">
        <f t="shared" si="14"/>
        <v>0</v>
      </c>
    </row>
    <row r="126" spans="2:10" ht="18" hidden="1" x14ac:dyDescent="0.25">
      <c r="B126" s="126">
        <f t="shared" si="11"/>
        <v>110</v>
      </c>
      <c r="C126" s="127">
        <v>0</v>
      </c>
      <c r="D126" s="127">
        <v>0</v>
      </c>
      <c r="E126" s="128">
        <f t="shared" si="8"/>
        <v>0</v>
      </c>
      <c r="F126" s="129" t="str">
        <f t="shared" si="9"/>
        <v>-</v>
      </c>
      <c r="G126" s="130">
        <f t="shared" si="12"/>
        <v>0</v>
      </c>
      <c r="H126" s="131" t="str">
        <f t="shared" si="10"/>
        <v>-</v>
      </c>
      <c r="I126" s="132">
        <f t="shared" si="13"/>
        <v>0</v>
      </c>
      <c r="J126" s="130">
        <f t="shared" si="14"/>
        <v>0</v>
      </c>
    </row>
    <row r="127" spans="2:10" ht="18" hidden="1" x14ac:dyDescent="0.25">
      <c r="B127" s="126">
        <f t="shared" si="11"/>
        <v>111</v>
      </c>
      <c r="C127" s="127">
        <v>0</v>
      </c>
      <c r="D127" s="127">
        <v>0</v>
      </c>
      <c r="E127" s="128">
        <f t="shared" si="8"/>
        <v>0</v>
      </c>
      <c r="F127" s="129" t="str">
        <f t="shared" si="9"/>
        <v>-</v>
      </c>
      <c r="G127" s="130">
        <f t="shared" si="12"/>
        <v>0</v>
      </c>
      <c r="H127" s="131" t="str">
        <f t="shared" si="10"/>
        <v>-</v>
      </c>
      <c r="I127" s="132">
        <f t="shared" si="13"/>
        <v>0</v>
      </c>
      <c r="J127" s="130">
        <f t="shared" si="14"/>
        <v>0</v>
      </c>
    </row>
    <row r="128" spans="2:10" ht="18" hidden="1" x14ac:dyDescent="0.25">
      <c r="B128" s="126">
        <f t="shared" si="11"/>
        <v>112</v>
      </c>
      <c r="C128" s="127">
        <v>0</v>
      </c>
      <c r="D128" s="127">
        <v>0</v>
      </c>
      <c r="E128" s="128">
        <f t="shared" si="8"/>
        <v>0</v>
      </c>
      <c r="F128" s="129" t="str">
        <f t="shared" si="9"/>
        <v>-</v>
      </c>
      <c r="G128" s="130">
        <f t="shared" si="12"/>
        <v>0</v>
      </c>
      <c r="H128" s="131" t="str">
        <f t="shared" si="10"/>
        <v>-</v>
      </c>
      <c r="I128" s="132">
        <f t="shared" si="13"/>
        <v>0</v>
      </c>
      <c r="J128" s="130">
        <f t="shared" si="14"/>
        <v>0</v>
      </c>
    </row>
    <row r="129" spans="2:10" ht="18" hidden="1" x14ac:dyDescent="0.25">
      <c r="B129" s="126">
        <f t="shared" si="11"/>
        <v>113</v>
      </c>
      <c r="C129" s="127">
        <v>0</v>
      </c>
      <c r="D129" s="127">
        <v>0</v>
      </c>
      <c r="E129" s="128">
        <f t="shared" si="8"/>
        <v>0</v>
      </c>
      <c r="F129" s="129" t="str">
        <f t="shared" si="9"/>
        <v>-</v>
      </c>
      <c r="G129" s="130">
        <f t="shared" si="12"/>
        <v>0</v>
      </c>
      <c r="H129" s="131" t="str">
        <f t="shared" si="10"/>
        <v>-</v>
      </c>
      <c r="I129" s="132">
        <f t="shared" si="13"/>
        <v>0</v>
      </c>
      <c r="J129" s="130">
        <f t="shared" si="14"/>
        <v>0</v>
      </c>
    </row>
    <row r="130" spans="2:10" ht="18" hidden="1" x14ac:dyDescent="0.25">
      <c r="B130" s="126">
        <f t="shared" si="11"/>
        <v>114</v>
      </c>
      <c r="C130" s="127">
        <v>0</v>
      </c>
      <c r="D130" s="127">
        <v>0</v>
      </c>
      <c r="E130" s="128">
        <f t="shared" si="8"/>
        <v>0</v>
      </c>
      <c r="F130" s="129" t="str">
        <f t="shared" si="9"/>
        <v>-</v>
      </c>
      <c r="G130" s="130">
        <f t="shared" si="12"/>
        <v>0</v>
      </c>
      <c r="H130" s="131" t="str">
        <f t="shared" si="10"/>
        <v>-</v>
      </c>
      <c r="I130" s="132">
        <f t="shared" si="13"/>
        <v>0</v>
      </c>
      <c r="J130" s="130">
        <f t="shared" si="14"/>
        <v>0</v>
      </c>
    </row>
    <row r="131" spans="2:10" ht="18" hidden="1" x14ac:dyDescent="0.25">
      <c r="B131" s="126">
        <f t="shared" si="11"/>
        <v>115</v>
      </c>
      <c r="C131" s="127">
        <v>0</v>
      </c>
      <c r="D131" s="127">
        <v>0</v>
      </c>
      <c r="E131" s="128">
        <f t="shared" si="8"/>
        <v>0</v>
      </c>
      <c r="F131" s="129" t="str">
        <f t="shared" si="9"/>
        <v>-</v>
      </c>
      <c r="G131" s="130">
        <f t="shared" si="12"/>
        <v>0</v>
      </c>
      <c r="H131" s="131" t="str">
        <f t="shared" si="10"/>
        <v>-</v>
      </c>
      <c r="I131" s="132">
        <f t="shared" si="13"/>
        <v>0</v>
      </c>
      <c r="J131" s="130">
        <f t="shared" si="14"/>
        <v>0</v>
      </c>
    </row>
    <row r="132" spans="2:10" ht="18" hidden="1" x14ac:dyDescent="0.25">
      <c r="B132" s="126">
        <f t="shared" si="11"/>
        <v>116</v>
      </c>
      <c r="C132" s="127">
        <v>0</v>
      </c>
      <c r="D132" s="127">
        <v>0</v>
      </c>
      <c r="E132" s="128">
        <f t="shared" si="8"/>
        <v>0</v>
      </c>
      <c r="F132" s="129" t="str">
        <f t="shared" si="9"/>
        <v>-</v>
      </c>
      <c r="G132" s="130">
        <f t="shared" si="12"/>
        <v>0</v>
      </c>
      <c r="H132" s="131" t="str">
        <f t="shared" si="10"/>
        <v>-</v>
      </c>
      <c r="I132" s="132">
        <f t="shared" si="13"/>
        <v>0</v>
      </c>
      <c r="J132" s="130">
        <f t="shared" si="14"/>
        <v>0</v>
      </c>
    </row>
    <row r="133" spans="2:10" ht="18" hidden="1" x14ac:dyDescent="0.25">
      <c r="B133" s="126">
        <f t="shared" si="11"/>
        <v>117</v>
      </c>
      <c r="C133" s="127">
        <v>0</v>
      </c>
      <c r="D133" s="127">
        <v>0</v>
      </c>
      <c r="E133" s="128">
        <f t="shared" si="8"/>
        <v>0</v>
      </c>
      <c r="F133" s="129" t="str">
        <f t="shared" si="9"/>
        <v>-</v>
      </c>
      <c r="G133" s="130">
        <f t="shared" si="12"/>
        <v>0</v>
      </c>
      <c r="H133" s="131" t="str">
        <f t="shared" si="10"/>
        <v>-</v>
      </c>
      <c r="I133" s="132">
        <f t="shared" si="13"/>
        <v>0</v>
      </c>
      <c r="J133" s="130">
        <f t="shared" si="14"/>
        <v>0</v>
      </c>
    </row>
    <row r="134" spans="2:10" ht="18" hidden="1" x14ac:dyDescent="0.25">
      <c r="B134" s="126">
        <f t="shared" si="11"/>
        <v>118</v>
      </c>
      <c r="C134" s="127">
        <v>0</v>
      </c>
      <c r="D134" s="127">
        <v>0</v>
      </c>
      <c r="E134" s="128">
        <f t="shared" si="8"/>
        <v>0</v>
      </c>
      <c r="F134" s="129" t="str">
        <f t="shared" si="9"/>
        <v>-</v>
      </c>
      <c r="G134" s="130">
        <f t="shared" si="12"/>
        <v>0</v>
      </c>
      <c r="H134" s="131" t="str">
        <f t="shared" si="10"/>
        <v>-</v>
      </c>
      <c r="I134" s="132">
        <f t="shared" si="13"/>
        <v>0</v>
      </c>
      <c r="J134" s="130">
        <f t="shared" si="14"/>
        <v>0</v>
      </c>
    </row>
    <row r="135" spans="2:10" ht="18" hidden="1" x14ac:dyDescent="0.25">
      <c r="B135" s="126">
        <f t="shared" si="11"/>
        <v>119</v>
      </c>
      <c r="C135" s="127">
        <v>0</v>
      </c>
      <c r="D135" s="127">
        <v>0</v>
      </c>
      <c r="E135" s="128">
        <f t="shared" si="8"/>
        <v>0</v>
      </c>
      <c r="F135" s="129" t="str">
        <f t="shared" si="9"/>
        <v>-</v>
      </c>
      <c r="G135" s="130">
        <f t="shared" si="12"/>
        <v>0</v>
      </c>
      <c r="H135" s="131" t="str">
        <f t="shared" si="10"/>
        <v>-</v>
      </c>
      <c r="I135" s="132">
        <f t="shared" si="13"/>
        <v>0</v>
      </c>
      <c r="J135" s="130">
        <f t="shared" si="14"/>
        <v>0</v>
      </c>
    </row>
    <row r="136" spans="2:10" ht="18.75" hidden="1" thickBot="1" x14ac:dyDescent="0.3">
      <c r="B136" s="134">
        <f t="shared" si="11"/>
        <v>120</v>
      </c>
      <c r="C136" s="135">
        <v>0</v>
      </c>
      <c r="D136" s="135">
        <v>0</v>
      </c>
      <c r="E136" s="136">
        <f t="shared" si="8"/>
        <v>0</v>
      </c>
      <c r="F136" s="137" t="str">
        <f t="shared" si="9"/>
        <v>-</v>
      </c>
      <c r="G136" s="138">
        <f t="shared" si="12"/>
        <v>0</v>
      </c>
      <c r="H136" s="139" t="str">
        <f t="shared" si="10"/>
        <v>-</v>
      </c>
      <c r="I136" s="140">
        <f t="shared" si="13"/>
        <v>0</v>
      </c>
      <c r="J136" s="138">
        <f t="shared" si="14"/>
        <v>0</v>
      </c>
    </row>
    <row r="137" spans="2:10" ht="18.75" thickBot="1" x14ac:dyDescent="0.3">
      <c r="B137" s="141" t="s">
        <v>78</v>
      </c>
      <c r="C137" s="142"/>
      <c r="D137" s="142"/>
      <c r="E137" s="142"/>
      <c r="F137" s="142"/>
      <c r="G137" s="143">
        <f>SUM(G16:G136)</f>
        <v>264805.66835402558</v>
      </c>
      <c r="H137" s="144"/>
      <c r="I137" s="145">
        <f>SUM(I16:I136)</f>
        <v>1.862645149230957E-9</v>
      </c>
      <c r="J137" s="55"/>
    </row>
    <row r="138" spans="2:10" ht="18.75" thickBot="1" x14ac:dyDescent="0.3">
      <c r="B138" s="146" t="s">
        <v>79</v>
      </c>
      <c r="C138" s="147"/>
      <c r="D138" s="147"/>
      <c r="E138" s="147"/>
      <c r="F138" s="147"/>
      <c r="G138" s="148">
        <f>J17</f>
        <v>43095.903063403304</v>
      </c>
      <c r="H138" s="149"/>
      <c r="I138" s="149"/>
      <c r="J138" s="55"/>
    </row>
    <row r="139" spans="2:10" ht="18.75" thickBot="1" x14ac:dyDescent="0.3">
      <c r="B139" s="150" t="s">
        <v>80</v>
      </c>
      <c r="C139" s="151"/>
      <c r="D139" s="151"/>
      <c r="E139" s="151"/>
      <c r="F139" s="151"/>
      <c r="G139" s="152">
        <f>IRR(E16:E136)</f>
        <v>0.1067581057399869</v>
      </c>
      <c r="H139" s="153"/>
      <c r="I139" s="153"/>
      <c r="J139" s="55"/>
    </row>
    <row r="140" spans="2:10" ht="18.75" thickBot="1" x14ac:dyDescent="0.3">
      <c r="B140" s="141" t="s">
        <v>81</v>
      </c>
      <c r="C140" s="142"/>
      <c r="D140" s="142"/>
      <c r="E140" s="142"/>
      <c r="F140" s="142"/>
      <c r="G140" s="154">
        <f>NPER(C14,G142,G16,0)</f>
        <v>9.5832259130144664</v>
      </c>
      <c r="H140" s="155"/>
      <c r="I140" s="155"/>
      <c r="J140" s="55"/>
    </row>
    <row r="141" spans="2:10" hidden="1" x14ac:dyDescent="0.2">
      <c r="B141" s="156" t="s">
        <v>82</v>
      </c>
      <c r="G141" s="157">
        <f>SUM(G17:G136)</f>
        <v>10414805.668354023</v>
      </c>
      <c r="H141" s="157"/>
      <c r="I141" s="157"/>
    </row>
    <row r="142" spans="2:10" hidden="1" x14ac:dyDescent="0.2">
      <c r="B142" s="156" t="s">
        <v>83</v>
      </c>
      <c r="G142" s="158">
        <f>PMT(C14,C13,G141,0)*-1</f>
        <v>1694961.6611208958</v>
      </c>
      <c r="H142" s="158"/>
      <c r="I142" s="158"/>
    </row>
    <row r="144" spans="2:10" ht="18" x14ac:dyDescent="0.25">
      <c r="B144" s="55" t="s">
        <v>84</v>
      </c>
    </row>
    <row r="145" spans="1:7" ht="78.599999999999994" customHeight="1" x14ac:dyDescent="0.2">
      <c r="B145" s="296" t="str">
        <f>CONCATENATE("Da nutidsværdien er ",IF(G137&gt;=0,"positiv med ","negativ med "),"kr. ",ROUND(G137,0)," er investeringen ",IF(G137&gt;=0,"rentabel ","ikke rentabel "),"og bør ",IF(G137&gt;=0,"foretages. ","ikke foretages. "),"Den interne rente er på ",ROUND(G139,4)*100," hvilket er ",IF(ROUND((G139-C14),4)*100&gt;0,ROUND((G139-C14),4)*100,ROUND((G139-C14),4)*-100)," %-point ",IF(C14&lt;=G139,"over ","under "),"kalkulationsrenten på ",ROUND(C14,2)*100," %. ","Hvis man omregner nutidsværdien til en annuitet bliver det årlige ",IF(G137&gt;=0,"overskud ","underskud "),"på kr. ",ROUND(G138,0),". ","Både den ",IF(G137&gt;=0,"postive ","negative "),"nutidsværdi og det at den interne rente er ",IF(G137&gt;=0,"over ","under "),"kalkulationsrenten bekræfter os i at investeringen ",IF(G137&gt;=0,"bør foretages.","ikke bør foretages."))</f>
        <v>Da nutidsværdien er positiv med kr. 264806 er investeringen rentabel og bør foretages. Den interne rente er på 10,68 hvilket er 0,68 %-point over kalkulationsrenten på 10 %. Hvis man omregner nutidsværdien til en annuitet bliver det årlige overskud på kr. 43096. Både den postive nutidsværdi og det at den interne rente er over kalkulationsrenten bekræfter os i at investeringen bør foretages.</v>
      </c>
      <c r="C145" s="296"/>
      <c r="D145" s="296"/>
      <c r="E145" s="296"/>
      <c r="F145" s="296"/>
      <c r="G145" s="296"/>
    </row>
    <row r="146" spans="1:7" ht="18" x14ac:dyDescent="0.25">
      <c r="A146" s="162" t="s">
        <v>98</v>
      </c>
      <c r="B146" s="163" t="s">
        <v>99</v>
      </c>
      <c r="C146" s="163"/>
      <c r="D146" s="55"/>
      <c r="E146" s="55"/>
      <c r="F146" s="55"/>
      <c r="G146" s="55"/>
    </row>
    <row r="147" spans="1:7" ht="18" x14ac:dyDescent="0.25">
      <c r="B147" s="109" t="s">
        <v>100</v>
      </c>
      <c r="C147" s="163"/>
      <c r="D147" s="55"/>
      <c r="E147" s="55"/>
      <c r="F147" s="55"/>
      <c r="G147" s="106">
        <f>1200000</f>
        <v>1200000</v>
      </c>
    </row>
    <row r="148" spans="1:7" ht="18" x14ac:dyDescent="0.25">
      <c r="B148" s="109" t="s">
        <v>101</v>
      </c>
      <c r="C148" s="55"/>
      <c r="D148" s="55"/>
      <c r="E148" s="110">
        <f>G137</f>
        <v>264805.66835402558</v>
      </c>
      <c r="F148" s="284">
        <f>F21</f>
        <v>0.62092132305915493</v>
      </c>
      <c r="G148" s="106">
        <f>E148/F148</f>
        <v>426472.17694084189</v>
      </c>
    </row>
    <row r="149" spans="1:7" ht="18" x14ac:dyDescent="0.25">
      <c r="B149" s="109" t="s">
        <v>102</v>
      </c>
      <c r="C149" s="55"/>
      <c r="D149" s="55"/>
      <c r="E149" s="55"/>
      <c r="F149" s="55"/>
      <c r="G149" s="106">
        <f>G147+G148</f>
        <v>1626472.1769408418</v>
      </c>
    </row>
  </sheetData>
  <mergeCells count="2">
    <mergeCell ref="B1:D1"/>
    <mergeCell ref="B145:G145"/>
  </mergeCells>
  <pageMargins left="0.78740157480314965" right="0.39370078740157483" top="0.98425196850393704" bottom="0.98425196850393704" header="0" footer="0"/>
  <pageSetup paperSize="9" scale="61"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6291-1AB2-4057-A8A8-73ECF5766881}">
  <sheetPr>
    <pageSetUpPr fitToPage="1"/>
  </sheetPr>
  <dimension ref="A1:N25"/>
  <sheetViews>
    <sheetView workbookViewId="0">
      <selection activeCell="B10" sqref="B10"/>
    </sheetView>
  </sheetViews>
  <sheetFormatPr defaultRowHeight="12.75" x14ac:dyDescent="0.2"/>
  <cols>
    <col min="1" max="1" width="13.28515625" customWidth="1"/>
    <col min="2" max="2" width="14.28515625" customWidth="1"/>
    <col min="3" max="3" width="17.7109375" customWidth="1"/>
    <col min="4" max="4" width="14" bestFit="1" customWidth="1"/>
    <col min="5" max="5" width="17.140625" bestFit="1" customWidth="1"/>
    <col min="6" max="6" width="17.140625" customWidth="1"/>
    <col min="7" max="7" width="22.140625" bestFit="1" customWidth="1"/>
  </cols>
  <sheetData>
    <row r="1" spans="1:14" ht="18" x14ac:dyDescent="0.25">
      <c r="A1" s="55" t="s">
        <v>205</v>
      </c>
      <c r="B1" s="55"/>
      <c r="C1" s="55"/>
      <c r="D1" s="55"/>
      <c r="E1" s="55"/>
      <c r="F1" s="55"/>
      <c r="G1" s="55"/>
      <c r="H1" s="55"/>
      <c r="I1" s="55"/>
      <c r="J1" s="55"/>
      <c r="K1" s="55"/>
      <c r="L1" s="55"/>
      <c r="M1" s="55"/>
      <c r="N1" s="55"/>
    </row>
    <row r="2" spans="1:14" ht="18" x14ac:dyDescent="0.25">
      <c r="A2" s="321" t="s">
        <v>209</v>
      </c>
      <c r="B2" s="321"/>
      <c r="C2" s="321"/>
      <c r="D2" s="321"/>
      <c r="E2" s="321"/>
      <c r="F2" s="321"/>
      <c r="G2" s="321"/>
      <c r="H2" s="55"/>
      <c r="I2" s="55"/>
      <c r="J2" s="55"/>
      <c r="K2" s="55"/>
      <c r="L2" s="55"/>
      <c r="M2" s="55"/>
      <c r="N2" s="55"/>
    </row>
    <row r="3" spans="1:14" ht="18" x14ac:dyDescent="0.25">
      <c r="A3" s="627" t="s">
        <v>206</v>
      </c>
      <c r="B3" s="627" t="s">
        <v>207</v>
      </c>
      <c r="C3" s="627" t="s">
        <v>208</v>
      </c>
      <c r="D3" s="627" t="s">
        <v>195</v>
      </c>
      <c r="E3" s="627" t="s">
        <v>197</v>
      </c>
      <c r="F3" s="627" t="s">
        <v>198</v>
      </c>
      <c r="G3" s="627" t="s">
        <v>200</v>
      </c>
      <c r="H3" s="55"/>
      <c r="I3" s="55"/>
      <c r="J3" s="55"/>
      <c r="K3" s="55"/>
      <c r="L3" s="55"/>
      <c r="M3" s="55"/>
      <c r="N3" s="55"/>
    </row>
    <row r="4" spans="1:14" ht="18" x14ac:dyDescent="0.25">
      <c r="A4" s="627">
        <v>10000</v>
      </c>
      <c r="B4" s="627">
        <v>0</v>
      </c>
      <c r="C4" s="627">
        <f>A4*B4</f>
        <v>0</v>
      </c>
      <c r="D4" s="627">
        <v>5500</v>
      </c>
      <c r="E4" s="627">
        <f>D4*B4</f>
        <v>0</v>
      </c>
      <c r="F4" s="627">
        <f>C4-E4</f>
        <v>0</v>
      </c>
      <c r="G4" s="627"/>
      <c r="H4" s="55"/>
      <c r="I4" s="55"/>
      <c r="J4" s="55"/>
      <c r="K4" s="55"/>
      <c r="L4" s="55"/>
      <c r="M4" s="55"/>
      <c r="N4" s="55"/>
    </row>
    <row r="5" spans="1:14" ht="18" x14ac:dyDescent="0.25">
      <c r="A5" s="627">
        <v>9500</v>
      </c>
      <c r="B5" s="627">
        <v>400</v>
      </c>
      <c r="C5" s="627">
        <f t="shared" ref="C5:C18" si="0">A5*B5</f>
        <v>3800000</v>
      </c>
      <c r="D5" s="627">
        <v>5500</v>
      </c>
      <c r="E5" s="627">
        <f t="shared" ref="E5:E18" si="1">D5*B5</f>
        <v>2200000</v>
      </c>
      <c r="F5" s="627">
        <f t="shared" ref="F5:F18" si="2">C5-E5</f>
        <v>1600000</v>
      </c>
      <c r="G5" s="627">
        <f>(F5-F4)/(B5-B4)</f>
        <v>4000</v>
      </c>
      <c r="H5" s="55"/>
      <c r="I5" s="55"/>
      <c r="J5" s="55"/>
      <c r="K5" s="55"/>
      <c r="L5" s="55"/>
      <c r="M5" s="55"/>
      <c r="N5" s="55"/>
    </row>
    <row r="6" spans="1:14" ht="18" x14ac:dyDescent="0.25">
      <c r="A6" s="627">
        <v>9250</v>
      </c>
      <c r="B6" s="627">
        <v>600</v>
      </c>
      <c r="C6" s="627">
        <f t="shared" si="0"/>
        <v>5550000</v>
      </c>
      <c r="D6" s="627">
        <v>5500</v>
      </c>
      <c r="E6" s="627">
        <f t="shared" si="1"/>
        <v>3300000</v>
      </c>
      <c r="F6" s="627">
        <f t="shared" si="2"/>
        <v>2250000</v>
      </c>
      <c r="G6" s="627">
        <f t="shared" ref="G6:G18" si="3">(F6-F5)/(B6-B5)</f>
        <v>3250</v>
      </c>
      <c r="H6" s="55"/>
      <c r="I6" s="55"/>
      <c r="J6" s="55"/>
      <c r="K6" s="55"/>
      <c r="L6" s="55"/>
      <c r="M6" s="55"/>
      <c r="N6" s="55"/>
    </row>
    <row r="7" spans="1:14" ht="18" x14ac:dyDescent="0.25">
      <c r="A7" s="627">
        <v>9000</v>
      </c>
      <c r="B7" s="627">
        <v>800</v>
      </c>
      <c r="C7" s="627">
        <f t="shared" si="0"/>
        <v>7200000</v>
      </c>
      <c r="D7" s="627">
        <v>5500</v>
      </c>
      <c r="E7" s="627">
        <f t="shared" si="1"/>
        <v>4400000</v>
      </c>
      <c r="F7" s="627">
        <f t="shared" si="2"/>
        <v>2800000</v>
      </c>
      <c r="G7" s="627">
        <f t="shared" si="3"/>
        <v>2750</v>
      </c>
      <c r="H7" s="55"/>
      <c r="I7" s="55"/>
      <c r="J7" s="55"/>
      <c r="K7" s="55"/>
      <c r="L7" s="55"/>
      <c r="M7" s="55"/>
      <c r="N7" s="55"/>
    </row>
    <row r="8" spans="1:14" ht="18" x14ac:dyDescent="0.25">
      <c r="A8" s="627">
        <v>8750</v>
      </c>
      <c r="B8" s="627">
        <v>1000</v>
      </c>
      <c r="C8" s="627">
        <f t="shared" si="0"/>
        <v>8750000</v>
      </c>
      <c r="D8" s="627">
        <v>5500</v>
      </c>
      <c r="E8" s="627">
        <f t="shared" si="1"/>
        <v>5500000</v>
      </c>
      <c r="F8" s="627">
        <f t="shared" si="2"/>
        <v>3250000</v>
      </c>
      <c r="G8" s="627">
        <f t="shared" si="3"/>
        <v>2250</v>
      </c>
      <c r="H8" s="55"/>
      <c r="I8" s="55"/>
      <c r="J8" s="55"/>
      <c r="K8" s="55"/>
      <c r="L8" s="55"/>
      <c r="M8" s="55"/>
      <c r="N8" s="55"/>
    </row>
    <row r="9" spans="1:14" ht="18" x14ac:dyDescent="0.25">
      <c r="A9" s="627">
        <v>8500</v>
      </c>
      <c r="B9" s="627">
        <v>1200</v>
      </c>
      <c r="C9" s="627">
        <f t="shared" si="0"/>
        <v>10200000</v>
      </c>
      <c r="D9" s="627">
        <v>5500</v>
      </c>
      <c r="E9" s="627">
        <f t="shared" si="1"/>
        <v>6600000</v>
      </c>
      <c r="F9" s="627">
        <f t="shared" si="2"/>
        <v>3600000</v>
      </c>
      <c r="G9" s="627">
        <f t="shared" si="3"/>
        <v>1750</v>
      </c>
      <c r="H9" s="55"/>
      <c r="I9" s="55"/>
      <c r="J9" s="55"/>
      <c r="K9" s="55"/>
      <c r="L9" s="55"/>
      <c r="M9" s="55"/>
      <c r="N9" s="55"/>
    </row>
    <row r="10" spans="1:14" ht="18" x14ac:dyDescent="0.25">
      <c r="A10" s="627">
        <v>8250</v>
      </c>
      <c r="B10" s="627">
        <v>1400</v>
      </c>
      <c r="C10" s="627">
        <f t="shared" si="0"/>
        <v>11550000</v>
      </c>
      <c r="D10" s="627">
        <v>5500</v>
      </c>
      <c r="E10" s="627">
        <f t="shared" si="1"/>
        <v>7700000</v>
      </c>
      <c r="F10" s="627">
        <f t="shared" si="2"/>
        <v>3850000</v>
      </c>
      <c r="G10" s="627">
        <f t="shared" si="3"/>
        <v>1250</v>
      </c>
      <c r="H10" s="55"/>
      <c r="I10" s="55"/>
      <c r="J10" s="55"/>
      <c r="K10" s="55"/>
      <c r="L10" s="55"/>
      <c r="M10" s="55"/>
      <c r="N10" s="55"/>
    </row>
    <row r="11" spans="1:14" ht="18" x14ac:dyDescent="0.25">
      <c r="A11" s="627">
        <v>8000</v>
      </c>
      <c r="B11" s="627">
        <v>1600</v>
      </c>
      <c r="C11" s="627">
        <f t="shared" si="0"/>
        <v>12800000</v>
      </c>
      <c r="D11" s="627">
        <v>5500</v>
      </c>
      <c r="E11" s="627">
        <f t="shared" si="1"/>
        <v>8800000</v>
      </c>
      <c r="F11" s="627">
        <f t="shared" si="2"/>
        <v>4000000</v>
      </c>
      <c r="G11" s="627">
        <f t="shared" si="3"/>
        <v>750</v>
      </c>
      <c r="H11" s="55"/>
      <c r="I11" s="55"/>
      <c r="J11" s="55"/>
      <c r="K11" s="55"/>
      <c r="L11" s="55"/>
      <c r="M11" s="55"/>
      <c r="N11" s="55"/>
    </row>
    <row r="12" spans="1:14" ht="18" x14ac:dyDescent="0.25">
      <c r="A12" s="629">
        <v>7750</v>
      </c>
      <c r="B12" s="629">
        <v>1800</v>
      </c>
      <c r="C12" s="629">
        <f t="shared" si="0"/>
        <v>13950000</v>
      </c>
      <c r="D12" s="629">
        <v>5500</v>
      </c>
      <c r="E12" s="629">
        <f t="shared" si="1"/>
        <v>9900000</v>
      </c>
      <c r="F12" s="629">
        <f t="shared" si="2"/>
        <v>4050000</v>
      </c>
      <c r="G12" s="629">
        <f>(F12-F11)/(B12-B11)</f>
        <v>250</v>
      </c>
      <c r="H12" s="55"/>
      <c r="I12" s="55"/>
      <c r="J12" s="55"/>
      <c r="K12" s="55"/>
      <c r="L12" s="55"/>
      <c r="M12" s="55"/>
      <c r="N12" s="55"/>
    </row>
    <row r="13" spans="1:14" ht="18" x14ac:dyDescent="0.25">
      <c r="A13" s="627">
        <v>7500</v>
      </c>
      <c r="B13" s="627">
        <v>2000</v>
      </c>
      <c r="C13" s="627">
        <f t="shared" si="0"/>
        <v>15000000</v>
      </c>
      <c r="D13" s="627">
        <v>5500</v>
      </c>
      <c r="E13" s="627">
        <f t="shared" si="1"/>
        <v>11000000</v>
      </c>
      <c r="F13" s="627">
        <f t="shared" si="2"/>
        <v>4000000</v>
      </c>
      <c r="G13" s="627">
        <f t="shared" si="3"/>
        <v>-250</v>
      </c>
      <c r="H13" s="55"/>
      <c r="I13" s="55"/>
      <c r="J13" s="55"/>
      <c r="K13" s="55"/>
      <c r="L13" s="55"/>
      <c r="M13" s="55"/>
      <c r="N13" s="55"/>
    </row>
    <row r="14" spans="1:14" ht="18" x14ac:dyDescent="0.25">
      <c r="A14" s="627">
        <v>7250</v>
      </c>
      <c r="B14" s="627">
        <v>2200</v>
      </c>
      <c r="C14" s="627">
        <f t="shared" si="0"/>
        <v>15950000</v>
      </c>
      <c r="D14" s="627">
        <v>5500</v>
      </c>
      <c r="E14" s="627">
        <f t="shared" si="1"/>
        <v>12100000</v>
      </c>
      <c r="F14" s="627">
        <f t="shared" si="2"/>
        <v>3850000</v>
      </c>
      <c r="G14" s="627">
        <f t="shared" si="3"/>
        <v>-750</v>
      </c>
      <c r="H14" s="55"/>
      <c r="I14" s="55"/>
      <c r="J14" s="55"/>
      <c r="K14" s="55"/>
      <c r="L14" s="55"/>
      <c r="M14" s="55"/>
      <c r="N14" s="55"/>
    </row>
    <row r="15" spans="1:14" ht="18" x14ac:dyDescent="0.25">
      <c r="A15" s="627">
        <v>7000</v>
      </c>
      <c r="B15" s="627">
        <v>2400</v>
      </c>
      <c r="C15" s="627">
        <f t="shared" si="0"/>
        <v>16800000</v>
      </c>
      <c r="D15" s="627">
        <v>5500</v>
      </c>
      <c r="E15" s="627">
        <f t="shared" si="1"/>
        <v>13200000</v>
      </c>
      <c r="F15" s="627">
        <f t="shared" si="2"/>
        <v>3600000</v>
      </c>
      <c r="G15" s="627">
        <f t="shared" si="3"/>
        <v>-1250</v>
      </c>
      <c r="H15" s="55"/>
      <c r="I15" s="55"/>
      <c r="J15" s="55"/>
      <c r="K15" s="55"/>
      <c r="L15" s="55"/>
      <c r="M15" s="55"/>
      <c r="N15" s="55"/>
    </row>
    <row r="16" spans="1:14" ht="18" x14ac:dyDescent="0.25">
      <c r="A16" s="627">
        <v>6750</v>
      </c>
      <c r="B16" s="627">
        <v>2600</v>
      </c>
      <c r="C16" s="627">
        <f t="shared" si="0"/>
        <v>17550000</v>
      </c>
      <c r="D16" s="627">
        <v>5500</v>
      </c>
      <c r="E16" s="627">
        <f t="shared" si="1"/>
        <v>14300000</v>
      </c>
      <c r="F16" s="627">
        <f t="shared" si="2"/>
        <v>3250000</v>
      </c>
      <c r="G16" s="627">
        <f t="shared" si="3"/>
        <v>-1750</v>
      </c>
      <c r="H16" s="55"/>
      <c r="I16" s="55"/>
      <c r="J16" s="55"/>
      <c r="K16" s="55"/>
      <c r="L16" s="55"/>
      <c r="M16" s="55"/>
      <c r="N16" s="55"/>
    </row>
    <row r="17" spans="1:14" ht="18" x14ac:dyDescent="0.25">
      <c r="A17" s="627">
        <v>6500</v>
      </c>
      <c r="B17" s="627">
        <v>2800</v>
      </c>
      <c r="C17" s="627">
        <f t="shared" si="0"/>
        <v>18200000</v>
      </c>
      <c r="D17" s="627">
        <v>5500</v>
      </c>
      <c r="E17" s="627">
        <f t="shared" si="1"/>
        <v>15400000</v>
      </c>
      <c r="F17" s="627">
        <f t="shared" si="2"/>
        <v>2800000</v>
      </c>
      <c r="G17" s="627">
        <f t="shared" si="3"/>
        <v>-2250</v>
      </c>
      <c r="H17" s="55"/>
      <c r="I17" s="55"/>
      <c r="J17" s="55"/>
      <c r="K17" s="55"/>
      <c r="L17" s="55"/>
      <c r="M17" s="55"/>
      <c r="N17" s="55"/>
    </row>
    <row r="18" spans="1:14" ht="18" x14ac:dyDescent="0.25">
      <c r="A18" s="627">
        <v>6250</v>
      </c>
      <c r="B18" s="627">
        <v>3000</v>
      </c>
      <c r="C18" s="627">
        <f t="shared" si="0"/>
        <v>18750000</v>
      </c>
      <c r="D18" s="627">
        <v>5500</v>
      </c>
      <c r="E18" s="627">
        <f t="shared" si="1"/>
        <v>16500000</v>
      </c>
      <c r="F18" s="627">
        <f t="shared" si="2"/>
        <v>2250000</v>
      </c>
      <c r="G18" s="627">
        <f t="shared" si="3"/>
        <v>-2750</v>
      </c>
      <c r="H18" s="55"/>
      <c r="I18" s="55"/>
      <c r="J18" s="55"/>
      <c r="K18" s="55"/>
      <c r="L18" s="55"/>
      <c r="M18" s="55"/>
      <c r="N18" s="55"/>
    </row>
    <row r="19" spans="1:14" ht="18" x14ac:dyDescent="0.25">
      <c r="A19" s="55" t="s">
        <v>210</v>
      </c>
      <c r="B19" s="55"/>
      <c r="C19" s="55"/>
      <c r="D19" s="55"/>
      <c r="E19" s="55"/>
      <c r="F19" s="55"/>
      <c r="G19" s="55"/>
      <c r="H19" s="55"/>
      <c r="I19" s="55"/>
      <c r="J19" s="55"/>
      <c r="K19" s="55"/>
      <c r="L19" s="55"/>
      <c r="M19" s="55"/>
      <c r="N19" s="55"/>
    </row>
    <row r="20" spans="1:14" ht="18" x14ac:dyDescent="0.25">
      <c r="A20" s="55"/>
      <c r="B20" s="55"/>
      <c r="C20" s="55"/>
      <c r="D20" s="55"/>
      <c r="E20" s="55"/>
      <c r="F20" s="55"/>
      <c r="G20" s="55"/>
      <c r="H20" s="55"/>
      <c r="I20" s="55"/>
      <c r="J20" s="55"/>
      <c r="K20" s="55"/>
      <c r="L20" s="55"/>
      <c r="M20" s="55"/>
      <c r="N20" s="55"/>
    </row>
    <row r="21" spans="1:14" ht="18" x14ac:dyDescent="0.25">
      <c r="A21" s="55"/>
      <c r="B21" s="55"/>
      <c r="C21" s="55"/>
      <c r="D21" s="55"/>
      <c r="E21" s="55"/>
      <c r="F21" s="55"/>
      <c r="G21" s="55"/>
      <c r="H21" s="55"/>
      <c r="I21" s="55"/>
      <c r="J21" s="55"/>
      <c r="K21" s="55"/>
      <c r="L21" s="55"/>
      <c r="M21" s="55"/>
      <c r="N21" s="55"/>
    </row>
    <row r="22" spans="1:14" ht="18" x14ac:dyDescent="0.25">
      <c r="A22" s="55"/>
      <c r="B22" s="55"/>
      <c r="C22" s="55"/>
      <c r="D22" s="55"/>
      <c r="E22" s="55"/>
      <c r="F22" s="55"/>
      <c r="G22" s="55"/>
      <c r="H22" s="55"/>
      <c r="I22" s="55"/>
      <c r="J22" s="55"/>
      <c r="K22" s="55"/>
      <c r="L22" s="55"/>
      <c r="M22" s="55"/>
      <c r="N22" s="55"/>
    </row>
    <row r="23" spans="1:14" ht="18" x14ac:dyDescent="0.25">
      <c r="A23" s="55"/>
      <c r="B23" s="55"/>
      <c r="C23" s="55"/>
      <c r="D23" s="55"/>
      <c r="E23" s="55"/>
      <c r="F23" s="55"/>
      <c r="G23" s="55"/>
      <c r="H23" s="55"/>
      <c r="I23" s="55"/>
      <c r="J23" s="55"/>
      <c r="K23" s="55"/>
      <c r="L23" s="55"/>
      <c r="M23" s="55"/>
      <c r="N23" s="55"/>
    </row>
    <row r="24" spans="1:14" ht="18" x14ac:dyDescent="0.25">
      <c r="A24" s="55"/>
      <c r="B24" s="55"/>
      <c r="C24" s="55"/>
      <c r="D24" s="55"/>
      <c r="E24" s="55"/>
      <c r="F24" s="55"/>
      <c r="G24" s="55"/>
      <c r="H24" s="55"/>
      <c r="I24" s="55"/>
      <c r="J24" s="55"/>
      <c r="K24" s="55"/>
      <c r="L24" s="55"/>
      <c r="M24" s="55"/>
      <c r="N24" s="55"/>
    </row>
    <row r="25" spans="1:14" ht="18" x14ac:dyDescent="0.25">
      <c r="A25" s="55"/>
      <c r="B25" s="55"/>
      <c r="C25" s="55"/>
      <c r="D25" s="55"/>
      <c r="E25" s="55"/>
      <c r="F25" s="55"/>
      <c r="G25" s="55"/>
      <c r="H25" s="55"/>
      <c r="I25" s="55"/>
      <c r="J25" s="55"/>
      <c r="K25" s="55"/>
      <c r="L25" s="55"/>
      <c r="M25" s="55"/>
      <c r="N25" s="55"/>
    </row>
  </sheetData>
  <mergeCells count="1">
    <mergeCell ref="A2:G2"/>
  </mergeCells>
  <pageMargins left="0.70866141732283472" right="0.70866141732283472" top="0.74803149606299213" bottom="0.74803149606299213" header="0.31496062992125984" footer="0.31496062992125984"/>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6789A-200F-4781-9892-B8A005141588}">
  <sheetPr>
    <pageSetUpPr fitToPage="1"/>
  </sheetPr>
  <dimension ref="A1:O37"/>
  <sheetViews>
    <sheetView zoomScale="70" zoomScaleNormal="70" workbookViewId="0">
      <selection activeCell="F33" sqref="F33"/>
    </sheetView>
  </sheetViews>
  <sheetFormatPr defaultRowHeight="12.75" x14ac:dyDescent="0.2"/>
  <cols>
    <col min="1" max="1" width="3.85546875" bestFit="1" customWidth="1"/>
    <col min="2" max="2" width="13.28515625" customWidth="1"/>
    <col min="3" max="3" width="14.28515625" customWidth="1"/>
    <col min="4" max="4" width="17.7109375" customWidth="1"/>
    <col min="5" max="5" width="14" bestFit="1" customWidth="1"/>
    <col min="6" max="6" width="17.140625" bestFit="1" customWidth="1"/>
    <col min="7" max="7" width="17.140625" customWidth="1"/>
    <col min="8" max="8" width="22.140625" bestFit="1" customWidth="1"/>
  </cols>
  <sheetData>
    <row r="1" spans="1:15" ht="18" x14ac:dyDescent="0.25">
      <c r="B1" s="55" t="s">
        <v>205</v>
      </c>
      <c r="C1" s="55"/>
      <c r="D1" s="55"/>
      <c r="E1" s="55"/>
      <c r="F1" s="55"/>
      <c r="G1" s="55"/>
      <c r="H1" s="55"/>
      <c r="I1" s="55"/>
      <c r="J1" s="55"/>
      <c r="K1" s="55"/>
      <c r="L1" s="55"/>
      <c r="M1" s="55"/>
      <c r="N1" s="55"/>
      <c r="O1" s="55"/>
    </row>
    <row r="2" spans="1:15" ht="18" x14ac:dyDescent="0.25">
      <c r="B2" s="321" t="s">
        <v>209</v>
      </c>
      <c r="C2" s="321"/>
      <c r="D2" s="321"/>
      <c r="E2" s="321"/>
      <c r="F2" s="321"/>
      <c r="G2" s="321"/>
      <c r="H2" s="321"/>
      <c r="I2" s="55"/>
      <c r="J2" s="55"/>
      <c r="K2" s="55"/>
      <c r="L2" s="55"/>
      <c r="M2" s="55"/>
      <c r="N2" s="55"/>
      <c r="O2" s="55"/>
    </row>
    <row r="3" spans="1:15" ht="18" x14ac:dyDescent="0.25">
      <c r="B3" s="627" t="s">
        <v>206</v>
      </c>
      <c r="C3" s="627" t="s">
        <v>207</v>
      </c>
      <c r="D3" s="627" t="s">
        <v>208</v>
      </c>
      <c r="E3" s="627" t="s">
        <v>195</v>
      </c>
      <c r="F3" s="627" t="s">
        <v>197</v>
      </c>
      <c r="G3" s="627" t="s">
        <v>198</v>
      </c>
      <c r="H3" s="627" t="s">
        <v>200</v>
      </c>
      <c r="I3" s="55"/>
      <c r="J3" s="55"/>
      <c r="K3" s="55"/>
      <c r="L3" s="55"/>
      <c r="M3" s="55"/>
      <c r="N3" s="55"/>
      <c r="O3" s="55"/>
    </row>
    <row r="4" spans="1:15" ht="18" x14ac:dyDescent="0.25">
      <c r="B4" s="627">
        <v>10000</v>
      </c>
      <c r="C4" s="627">
        <v>0</v>
      </c>
      <c r="D4" s="627">
        <f>B4*C4</f>
        <v>0</v>
      </c>
      <c r="E4" s="627">
        <v>5500</v>
      </c>
      <c r="F4" s="627">
        <f>E4*C4</f>
        <v>0</v>
      </c>
      <c r="G4" s="627">
        <f>D4-F4</f>
        <v>0</v>
      </c>
      <c r="H4" s="627"/>
      <c r="I4" s="55"/>
      <c r="J4" s="55"/>
      <c r="K4" s="55"/>
      <c r="L4" s="55"/>
      <c r="M4" s="55"/>
      <c r="N4" s="55"/>
      <c r="O4" s="55"/>
    </row>
    <row r="5" spans="1:15" ht="18" x14ac:dyDescent="0.25">
      <c r="B5" s="627">
        <v>9500</v>
      </c>
      <c r="C5" s="627">
        <v>400</v>
      </c>
      <c r="D5" s="627">
        <f>B5*C5</f>
        <v>3800000</v>
      </c>
      <c r="E5" s="627">
        <v>5500</v>
      </c>
      <c r="F5" s="627">
        <f>E5*C5</f>
        <v>2200000</v>
      </c>
      <c r="G5" s="627">
        <f>D5-F5</f>
        <v>1600000</v>
      </c>
      <c r="H5" s="627">
        <f>(G5-G4)/(C5-C4)</f>
        <v>4000</v>
      </c>
      <c r="I5" s="55"/>
      <c r="J5" s="55"/>
      <c r="K5" s="55"/>
      <c r="L5" s="55"/>
      <c r="M5" s="55"/>
      <c r="N5" s="55"/>
      <c r="O5" s="55"/>
    </row>
    <row r="6" spans="1:15" ht="18" x14ac:dyDescent="0.25">
      <c r="B6" s="627">
        <v>9250</v>
      </c>
      <c r="C6" s="627">
        <v>600</v>
      </c>
      <c r="D6" s="627">
        <f>B6*C6</f>
        <v>5550000</v>
      </c>
      <c r="E6" s="627">
        <v>5500</v>
      </c>
      <c r="F6" s="627">
        <f>E6*C6</f>
        <v>3300000</v>
      </c>
      <c r="G6" s="627">
        <f>D6-F6</f>
        <v>2250000</v>
      </c>
      <c r="H6" s="627">
        <f>(G6-G5)/(C6-C5)</f>
        <v>3250</v>
      </c>
      <c r="I6" s="55"/>
      <c r="J6" s="55"/>
      <c r="K6" s="55"/>
      <c r="L6" s="55"/>
      <c r="M6" s="55"/>
      <c r="N6" s="55"/>
      <c r="O6" s="55"/>
    </row>
    <row r="7" spans="1:15" ht="18" x14ac:dyDescent="0.25">
      <c r="B7" s="627">
        <v>9000</v>
      </c>
      <c r="C7" s="627">
        <v>800</v>
      </c>
      <c r="D7" s="627">
        <f>B7*C7</f>
        <v>7200000</v>
      </c>
      <c r="E7" s="627">
        <v>5500</v>
      </c>
      <c r="F7" s="627">
        <f>E7*C7</f>
        <v>4400000</v>
      </c>
      <c r="G7" s="627">
        <f>D7-F7</f>
        <v>2800000</v>
      </c>
      <c r="H7" s="627">
        <f>(G7-G6)/(C7-C6)</f>
        <v>2750</v>
      </c>
      <c r="I7" s="55"/>
      <c r="J7" s="55"/>
      <c r="K7" s="55"/>
      <c r="L7" s="55"/>
      <c r="M7" s="55"/>
      <c r="N7" s="55"/>
      <c r="O7" s="55"/>
    </row>
    <row r="8" spans="1:15" ht="18" x14ac:dyDescent="0.25">
      <c r="B8" s="627">
        <v>8750</v>
      </c>
      <c r="C8" s="627">
        <v>1000</v>
      </c>
      <c r="D8" s="627">
        <f>B8*C8</f>
        <v>8750000</v>
      </c>
      <c r="E8" s="627">
        <v>5500</v>
      </c>
      <c r="F8" s="627">
        <f>E8*C8</f>
        <v>5500000</v>
      </c>
      <c r="G8" s="627">
        <f>D8-F8</f>
        <v>3250000</v>
      </c>
      <c r="H8" s="627">
        <f>(G8-G7)/(C8-C7)</f>
        <v>2250</v>
      </c>
      <c r="I8" s="55"/>
      <c r="J8" s="55"/>
      <c r="K8" s="55"/>
      <c r="L8" s="55"/>
      <c r="M8" s="55"/>
      <c r="N8" s="55"/>
      <c r="O8" s="55"/>
    </row>
    <row r="9" spans="1:15" ht="18" x14ac:dyDescent="0.25">
      <c r="B9" s="627">
        <v>8500</v>
      </c>
      <c r="C9" s="627">
        <v>1200</v>
      </c>
      <c r="D9" s="627">
        <f>B9*C9</f>
        <v>10200000</v>
      </c>
      <c r="E9" s="627">
        <v>5500</v>
      </c>
      <c r="F9" s="627">
        <f>E9*C9</f>
        <v>6600000</v>
      </c>
      <c r="G9" s="627">
        <f>D9-F9</f>
        <v>3600000</v>
      </c>
      <c r="H9" s="627">
        <f>(G9-G8)/(C9-C8)</f>
        <v>1750</v>
      </c>
      <c r="I9" s="55"/>
      <c r="J9" s="55"/>
      <c r="K9" s="55"/>
      <c r="L9" s="55"/>
      <c r="M9" s="55"/>
      <c r="N9" s="55"/>
      <c r="O9" s="55"/>
    </row>
    <row r="10" spans="1:15" ht="18" x14ac:dyDescent="0.25">
      <c r="B10" s="627">
        <v>8250</v>
      </c>
      <c r="C10" s="627">
        <v>1400</v>
      </c>
      <c r="D10" s="627">
        <f>B10*C10</f>
        <v>11550000</v>
      </c>
      <c r="E10" s="627">
        <v>5500</v>
      </c>
      <c r="F10" s="627">
        <f>E10*C10</f>
        <v>7700000</v>
      </c>
      <c r="G10" s="627">
        <f>D10-F10</f>
        <v>3850000</v>
      </c>
      <c r="H10" s="627">
        <f>(G10-G9)/(C10-C9)</f>
        <v>1250</v>
      </c>
      <c r="I10" s="55"/>
      <c r="J10" s="55"/>
      <c r="K10" s="55"/>
      <c r="L10" s="55"/>
      <c r="M10" s="55"/>
      <c r="N10" s="55"/>
      <c r="O10" s="55"/>
    </row>
    <row r="11" spans="1:15" ht="18" x14ac:dyDescent="0.25">
      <c r="A11" s="162" t="s">
        <v>213</v>
      </c>
      <c r="B11" s="628">
        <v>8000</v>
      </c>
      <c r="C11" s="628">
        <v>1600</v>
      </c>
      <c r="D11" s="628">
        <f>B11*C11</f>
        <v>12800000</v>
      </c>
      <c r="E11" s="628">
        <v>5500</v>
      </c>
      <c r="F11" s="628">
        <f>E11*C11</f>
        <v>8800000</v>
      </c>
      <c r="G11" s="628">
        <f>D11-F11</f>
        <v>4000000</v>
      </c>
      <c r="H11" s="628">
        <f>(G11-G10)/(C11-C10)</f>
        <v>750</v>
      </c>
      <c r="I11" s="55"/>
      <c r="J11" s="55"/>
      <c r="K11" s="55"/>
      <c r="L11" s="55"/>
      <c r="M11" s="55"/>
      <c r="N11" s="55"/>
      <c r="O11" s="55"/>
    </row>
    <row r="12" spans="1:15" ht="18" x14ac:dyDescent="0.25">
      <c r="A12" s="162" t="s">
        <v>214</v>
      </c>
      <c r="B12" s="629">
        <v>7750</v>
      </c>
      <c r="C12" s="629">
        <v>1800</v>
      </c>
      <c r="D12" s="629">
        <f t="shared" ref="D5:D18" si="0">B12*C12</f>
        <v>13950000</v>
      </c>
      <c r="E12" s="629">
        <v>5500</v>
      </c>
      <c r="F12" s="629">
        <f t="shared" ref="F5:F18" si="1">E12*C12</f>
        <v>9900000</v>
      </c>
      <c r="G12" s="629">
        <f t="shared" ref="G5:G18" si="2">D12-F12</f>
        <v>4050000</v>
      </c>
      <c r="H12" s="629">
        <f>(G12-G11)/(C12-C11)</f>
        <v>250</v>
      </c>
      <c r="I12" s="55"/>
      <c r="J12" s="55"/>
      <c r="K12" s="55"/>
      <c r="L12" s="55"/>
      <c r="M12" s="55"/>
      <c r="N12" s="55"/>
      <c r="O12" s="55"/>
    </row>
    <row r="13" spans="1:15" ht="18" x14ac:dyDescent="0.25">
      <c r="B13" s="627">
        <v>7500</v>
      </c>
      <c r="C13" s="627">
        <v>2000</v>
      </c>
      <c r="D13" s="627">
        <f t="shared" si="0"/>
        <v>15000000</v>
      </c>
      <c r="E13" s="627">
        <v>5500</v>
      </c>
      <c r="F13" s="627">
        <f t="shared" si="1"/>
        <v>11000000</v>
      </c>
      <c r="G13" s="627">
        <f t="shared" si="2"/>
        <v>4000000</v>
      </c>
      <c r="H13" s="627">
        <f t="shared" ref="H6:H18" si="3">(G13-G12)/(C13-C12)</f>
        <v>-250</v>
      </c>
      <c r="I13" s="55"/>
      <c r="J13" s="55"/>
      <c r="K13" s="55"/>
      <c r="L13" s="55"/>
      <c r="M13" s="55"/>
      <c r="N13" s="55"/>
      <c r="O13" s="55"/>
    </row>
    <row r="14" spans="1:15" ht="18" x14ac:dyDescent="0.25">
      <c r="B14" s="627">
        <v>7250</v>
      </c>
      <c r="C14" s="627">
        <v>2200</v>
      </c>
      <c r="D14" s="627">
        <f t="shared" si="0"/>
        <v>15950000</v>
      </c>
      <c r="E14" s="627">
        <v>5500</v>
      </c>
      <c r="F14" s="627">
        <f t="shared" si="1"/>
        <v>12100000</v>
      </c>
      <c r="G14" s="627">
        <f t="shared" si="2"/>
        <v>3850000</v>
      </c>
      <c r="H14" s="627">
        <f t="shared" si="3"/>
        <v>-750</v>
      </c>
      <c r="I14" s="55"/>
      <c r="J14" s="55"/>
      <c r="K14" s="55"/>
      <c r="L14" s="55"/>
      <c r="M14" s="55"/>
      <c r="N14" s="55"/>
      <c r="O14" s="55"/>
    </row>
    <row r="15" spans="1:15" ht="18" x14ac:dyDescent="0.25">
      <c r="B15" s="627">
        <v>7000</v>
      </c>
      <c r="C15" s="627">
        <v>2400</v>
      </c>
      <c r="D15" s="627">
        <f t="shared" si="0"/>
        <v>16800000</v>
      </c>
      <c r="E15" s="627">
        <v>5500</v>
      </c>
      <c r="F15" s="627">
        <f t="shared" si="1"/>
        <v>13200000</v>
      </c>
      <c r="G15" s="627">
        <f t="shared" si="2"/>
        <v>3600000</v>
      </c>
      <c r="H15" s="627">
        <f t="shared" si="3"/>
        <v>-1250</v>
      </c>
      <c r="I15" s="55"/>
      <c r="J15" s="55"/>
      <c r="K15" s="55"/>
      <c r="L15" s="55"/>
      <c r="M15" s="55"/>
      <c r="N15" s="55"/>
      <c r="O15" s="55"/>
    </row>
    <row r="16" spans="1:15" ht="18" x14ac:dyDescent="0.25">
      <c r="B16" s="627">
        <v>6750</v>
      </c>
      <c r="C16" s="627">
        <v>2600</v>
      </c>
      <c r="D16" s="627">
        <f t="shared" si="0"/>
        <v>17550000</v>
      </c>
      <c r="E16" s="627">
        <v>5500</v>
      </c>
      <c r="F16" s="627">
        <f t="shared" si="1"/>
        <v>14300000</v>
      </c>
      <c r="G16" s="627">
        <f t="shared" si="2"/>
        <v>3250000</v>
      </c>
      <c r="H16" s="627">
        <f t="shared" si="3"/>
        <v>-1750</v>
      </c>
      <c r="I16" s="55"/>
      <c r="J16" s="55"/>
      <c r="K16" s="55"/>
      <c r="L16" s="55"/>
      <c r="M16" s="55"/>
      <c r="N16" s="55"/>
      <c r="O16" s="55"/>
    </row>
    <row r="17" spans="1:15" ht="18" x14ac:dyDescent="0.25">
      <c r="B17" s="627">
        <v>6500</v>
      </c>
      <c r="C17" s="627">
        <v>2800</v>
      </c>
      <c r="D17" s="627">
        <f t="shared" si="0"/>
        <v>18200000</v>
      </c>
      <c r="E17" s="627">
        <v>5500</v>
      </c>
      <c r="F17" s="627">
        <f t="shared" si="1"/>
        <v>15400000</v>
      </c>
      <c r="G17" s="627">
        <f t="shared" si="2"/>
        <v>2800000</v>
      </c>
      <c r="H17" s="627">
        <f t="shared" si="3"/>
        <v>-2250</v>
      </c>
      <c r="I17" s="55"/>
      <c r="J17" s="55"/>
      <c r="K17" s="55"/>
      <c r="L17" s="55"/>
      <c r="M17" s="55"/>
      <c r="N17" s="55"/>
      <c r="O17" s="55"/>
    </row>
    <row r="18" spans="1:15" ht="18" x14ac:dyDescent="0.25">
      <c r="B18" s="627">
        <v>6250</v>
      </c>
      <c r="C18" s="627">
        <v>3000</v>
      </c>
      <c r="D18" s="627">
        <f t="shared" si="0"/>
        <v>18750000</v>
      </c>
      <c r="E18" s="627">
        <v>5500</v>
      </c>
      <c r="F18" s="627">
        <f t="shared" si="1"/>
        <v>16500000</v>
      </c>
      <c r="G18" s="627">
        <f t="shared" si="2"/>
        <v>2250000</v>
      </c>
      <c r="H18" s="627">
        <f t="shared" si="3"/>
        <v>-2750</v>
      </c>
      <c r="I18" s="55"/>
      <c r="J18" s="55"/>
      <c r="K18" s="55"/>
      <c r="L18" s="55"/>
      <c r="M18" s="55"/>
      <c r="N18" s="55"/>
      <c r="O18" s="55"/>
    </row>
    <row r="19" spans="1:15" ht="18" x14ac:dyDescent="0.25">
      <c r="B19" s="55" t="s">
        <v>210</v>
      </c>
      <c r="C19" s="55"/>
      <c r="D19" s="55"/>
      <c r="E19" s="55"/>
      <c r="F19" s="55"/>
      <c r="G19" s="55"/>
      <c r="H19" s="55"/>
      <c r="I19" s="55"/>
      <c r="J19" s="55"/>
      <c r="K19" s="55"/>
      <c r="L19" s="55"/>
      <c r="M19" s="55"/>
      <c r="N19" s="55"/>
      <c r="O19" s="55"/>
    </row>
    <row r="20" spans="1:15" ht="18" x14ac:dyDescent="0.25">
      <c r="B20" s="55"/>
      <c r="C20" s="55"/>
      <c r="D20" s="55"/>
      <c r="E20" s="55"/>
      <c r="F20" s="55"/>
      <c r="G20" s="55"/>
      <c r="H20" s="55"/>
      <c r="I20" s="55"/>
      <c r="J20" s="55"/>
      <c r="K20" s="55"/>
      <c r="L20" s="55"/>
      <c r="M20" s="55"/>
      <c r="N20" s="55"/>
      <c r="O20" s="55"/>
    </row>
    <row r="21" spans="1:15" ht="18" x14ac:dyDescent="0.25">
      <c r="B21" s="321" t="s">
        <v>211</v>
      </c>
      <c r="C21" s="321"/>
      <c r="D21" s="321"/>
      <c r="E21" s="321"/>
      <c r="F21" s="321"/>
      <c r="G21" s="321"/>
      <c r="H21" s="321"/>
      <c r="I21" s="55"/>
      <c r="J21" s="55"/>
      <c r="K21" s="55"/>
      <c r="L21" s="55"/>
      <c r="M21" s="55"/>
      <c r="N21" s="55"/>
      <c r="O21" s="55"/>
    </row>
    <row r="22" spans="1:15" ht="18" x14ac:dyDescent="0.25">
      <c r="B22" s="627" t="s">
        <v>206</v>
      </c>
      <c r="C22" s="627" t="s">
        <v>207</v>
      </c>
      <c r="D22" s="627" t="s">
        <v>208</v>
      </c>
      <c r="E22" s="627" t="s">
        <v>195</v>
      </c>
      <c r="F22" s="627" t="s">
        <v>197</v>
      </c>
      <c r="G22" s="627" t="s">
        <v>198</v>
      </c>
      <c r="H22" s="627" t="s">
        <v>200</v>
      </c>
      <c r="I22" s="55"/>
      <c r="J22" s="55"/>
      <c r="K22" s="55"/>
      <c r="L22" s="55"/>
      <c r="M22" s="55"/>
      <c r="N22" s="55"/>
      <c r="O22" s="55"/>
    </row>
    <row r="23" spans="1:15" ht="18" x14ac:dyDescent="0.25">
      <c r="B23" s="627">
        <v>0</v>
      </c>
      <c r="C23" s="627">
        <v>0</v>
      </c>
      <c r="D23" s="627">
        <f>B23*C23</f>
        <v>0</v>
      </c>
      <c r="E23" s="627">
        <v>0</v>
      </c>
      <c r="F23" s="627">
        <f>E23*C23</f>
        <v>0</v>
      </c>
      <c r="G23" s="627">
        <f>D23-F23</f>
        <v>0</v>
      </c>
      <c r="H23" s="627"/>
      <c r="I23" s="55"/>
      <c r="J23" s="55"/>
      <c r="K23" s="55"/>
      <c r="L23" s="55"/>
      <c r="M23" s="55"/>
      <c r="N23" s="55"/>
      <c r="O23" s="55"/>
    </row>
    <row r="24" spans="1:15" ht="18" x14ac:dyDescent="0.25">
      <c r="B24" s="627">
        <v>6000</v>
      </c>
      <c r="C24" s="627">
        <v>1400</v>
      </c>
      <c r="D24" s="627">
        <f t="shared" ref="D24" si="4">B24*C24</f>
        <v>8400000</v>
      </c>
      <c r="E24" s="627">
        <v>5500</v>
      </c>
      <c r="F24" s="627">
        <f t="shared" ref="F24" si="5">E24*C24</f>
        <v>7700000</v>
      </c>
      <c r="G24" s="627">
        <f t="shared" ref="G24" si="6">D24-F24</f>
        <v>700000</v>
      </c>
      <c r="H24" s="627">
        <f>(G24-G23)/(C24-C23)</f>
        <v>500</v>
      </c>
      <c r="I24" s="55"/>
      <c r="J24" s="55"/>
      <c r="K24" s="55"/>
      <c r="L24" s="55"/>
      <c r="M24" s="55"/>
      <c r="N24" s="55"/>
      <c r="O24" s="55"/>
    </row>
    <row r="25" spans="1:15" ht="18" x14ac:dyDescent="0.25">
      <c r="B25" s="106"/>
      <c r="C25" s="106"/>
      <c r="D25" s="106"/>
      <c r="E25" s="106"/>
      <c r="F25" s="106"/>
      <c r="G25" s="106"/>
      <c r="H25" s="106"/>
      <c r="I25" s="55"/>
      <c r="J25" s="55"/>
      <c r="K25" s="55"/>
      <c r="L25" s="55"/>
      <c r="M25" s="55"/>
      <c r="N25" s="55"/>
      <c r="O25" s="55"/>
    </row>
    <row r="26" spans="1:15" ht="18" x14ac:dyDescent="0.25">
      <c r="A26" s="162" t="s">
        <v>213</v>
      </c>
      <c r="B26" s="627" t="s">
        <v>212</v>
      </c>
      <c r="C26" s="627"/>
      <c r="D26" s="627"/>
      <c r="E26" s="627"/>
      <c r="F26" s="627"/>
      <c r="G26" s="627"/>
      <c r="H26" s="627"/>
    </row>
    <row r="27" spans="1:15" ht="18" x14ac:dyDescent="0.25">
      <c r="B27" s="630" t="str">
        <f>B22</f>
        <v>Pris</v>
      </c>
      <c r="C27" s="630" t="str">
        <f t="shared" ref="C27:H27" si="7">C22</f>
        <v>Afsætning</v>
      </c>
      <c r="D27" s="630" t="str">
        <f t="shared" si="7"/>
        <v>omsætning</v>
      </c>
      <c r="E27" s="630" t="str">
        <f t="shared" si="7"/>
        <v>VE</v>
      </c>
      <c r="F27" s="630" t="str">
        <f t="shared" si="7"/>
        <v>VO</v>
      </c>
      <c r="G27" s="630" t="str">
        <f t="shared" si="7"/>
        <v>DB</v>
      </c>
      <c r="H27" s="630" t="str">
        <f t="shared" si="7"/>
        <v>Differensbidrag</v>
      </c>
    </row>
    <row r="28" spans="1:15" ht="18" x14ac:dyDescent="0.25">
      <c r="B28" s="630">
        <f>B11</f>
        <v>8000</v>
      </c>
      <c r="C28" s="630">
        <f>C11</f>
        <v>1600</v>
      </c>
      <c r="D28" s="630">
        <f>D11</f>
        <v>12800000</v>
      </c>
      <c r="E28" s="630">
        <f t="shared" ref="C28:H28" si="8">E11</f>
        <v>5500</v>
      </c>
      <c r="F28" s="630">
        <f t="shared" si="8"/>
        <v>8800000</v>
      </c>
      <c r="G28" s="630">
        <f t="shared" si="8"/>
        <v>4000000</v>
      </c>
      <c r="H28" s="630">
        <f t="shared" si="8"/>
        <v>750</v>
      </c>
    </row>
    <row r="29" spans="1:15" ht="18" x14ac:dyDescent="0.25">
      <c r="B29" s="630">
        <f>B24</f>
        <v>6000</v>
      </c>
      <c r="C29" s="630">
        <f t="shared" ref="C29:H29" si="9">C24</f>
        <v>1400</v>
      </c>
      <c r="D29" s="630">
        <f t="shared" si="9"/>
        <v>8400000</v>
      </c>
      <c r="E29" s="630">
        <f t="shared" si="9"/>
        <v>5500</v>
      </c>
      <c r="F29" s="630">
        <f t="shared" si="9"/>
        <v>7700000</v>
      </c>
      <c r="G29" s="630">
        <f t="shared" si="9"/>
        <v>700000</v>
      </c>
      <c r="H29" s="630">
        <f t="shared" si="9"/>
        <v>500</v>
      </c>
    </row>
    <row r="30" spans="1:15" ht="18" x14ac:dyDescent="0.25">
      <c r="B30" s="631"/>
      <c r="C30" s="630">
        <f>SUM(C28:C29)</f>
        <v>3000</v>
      </c>
      <c r="D30" s="630">
        <f t="shared" ref="D30:G30" si="10">SUM(D28:D29)</f>
        <v>21200000</v>
      </c>
      <c r="E30" s="630"/>
      <c r="F30" s="630">
        <f t="shared" si="10"/>
        <v>16500000</v>
      </c>
      <c r="G30" s="630">
        <f t="shared" si="10"/>
        <v>4700000</v>
      </c>
      <c r="H30" s="631"/>
    </row>
    <row r="31" spans="1:15" ht="18" x14ac:dyDescent="0.25">
      <c r="B31" s="55"/>
      <c r="C31" s="55"/>
      <c r="D31" s="55"/>
      <c r="E31" s="55"/>
      <c r="F31" s="55"/>
      <c r="G31" s="55"/>
      <c r="H31" s="55"/>
    </row>
    <row r="32" spans="1:15" ht="18" x14ac:dyDescent="0.25">
      <c r="B32" s="55"/>
      <c r="C32" s="55"/>
      <c r="D32" s="55"/>
      <c r="E32" s="55"/>
      <c r="F32" s="55"/>
      <c r="G32" s="55"/>
      <c r="H32" s="55"/>
    </row>
    <row r="33" spans="2:8" ht="18" x14ac:dyDescent="0.25">
      <c r="B33" s="55"/>
      <c r="C33" s="55"/>
      <c r="D33" s="55"/>
      <c r="E33" s="55"/>
      <c r="F33" s="55"/>
      <c r="G33" s="55"/>
      <c r="H33" s="55"/>
    </row>
    <row r="34" spans="2:8" ht="18" x14ac:dyDescent="0.25">
      <c r="B34" s="55"/>
      <c r="C34" s="55"/>
      <c r="D34" s="55"/>
      <c r="E34" s="55"/>
      <c r="F34" s="55"/>
      <c r="G34" s="55"/>
      <c r="H34" s="55"/>
    </row>
    <row r="35" spans="2:8" ht="18" x14ac:dyDescent="0.25">
      <c r="B35" s="55"/>
      <c r="C35" s="55"/>
      <c r="D35" s="55"/>
      <c r="E35" s="55"/>
      <c r="F35" s="55"/>
      <c r="G35" s="55"/>
      <c r="H35" s="55"/>
    </row>
    <row r="36" spans="2:8" ht="18" x14ac:dyDescent="0.25">
      <c r="B36" s="55"/>
      <c r="C36" s="55"/>
      <c r="D36" s="55"/>
      <c r="E36" s="55"/>
      <c r="F36" s="55"/>
      <c r="G36" s="55"/>
      <c r="H36" s="55"/>
    </row>
    <row r="37" spans="2:8" ht="18" x14ac:dyDescent="0.25">
      <c r="B37" s="55"/>
      <c r="C37" s="55"/>
      <c r="D37" s="55"/>
      <c r="E37" s="55"/>
      <c r="F37" s="55"/>
      <c r="G37" s="55"/>
      <c r="H37" s="55"/>
    </row>
  </sheetData>
  <mergeCells count="2">
    <mergeCell ref="B2:H2"/>
    <mergeCell ref="B21:H21"/>
  </mergeCells>
  <pageMargins left="0.70866141732283472" right="0.70866141732283472" top="0.74803149606299213" bottom="0.74803149606299213" header="0.31496062992125984" footer="0.31496062992125984"/>
  <pageSetup paperSize="9" scale="7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2E27-FF26-4C2E-A811-773FB50506F8}">
  <dimension ref="A1:V136"/>
  <sheetViews>
    <sheetView zoomScale="90" zoomScaleNormal="100" workbookViewId="0">
      <selection activeCell="J31" sqref="J31"/>
    </sheetView>
  </sheetViews>
  <sheetFormatPr defaultRowHeight="12.75" x14ac:dyDescent="0.2"/>
  <cols>
    <col min="1" max="1" width="13" style="167" customWidth="1"/>
    <col min="2" max="2" width="3.140625" style="167" customWidth="1"/>
    <col min="3" max="3" width="3.28515625" style="167" customWidth="1"/>
    <col min="4" max="4" width="10.140625" style="167" customWidth="1"/>
    <col min="5" max="5" width="13" style="167" customWidth="1"/>
    <col min="6" max="6" width="3" style="167" customWidth="1"/>
    <col min="7" max="7" width="1.85546875" style="167" customWidth="1"/>
    <col min="8" max="8" width="2.7109375" style="167" customWidth="1"/>
    <col min="9" max="9" width="14" style="167" bestFit="1" customWidth="1"/>
    <col min="10" max="10" width="4.28515625" style="167" customWidth="1"/>
    <col min="11" max="11" width="7.28515625" style="167" bestFit="1" customWidth="1"/>
    <col min="12" max="12" width="3" style="167" customWidth="1"/>
    <col min="13" max="13" width="15.140625" style="167" bestFit="1" customWidth="1"/>
    <col min="14" max="14" width="8.42578125" style="167" customWidth="1"/>
    <col min="15" max="15" width="3.28515625" style="167" customWidth="1"/>
    <col min="16" max="16" width="2.140625" style="167" customWidth="1"/>
    <col min="17" max="17" width="3.85546875" style="167" customWidth="1"/>
    <col min="18" max="18" width="7.7109375" style="167" customWidth="1"/>
    <col min="19" max="19" width="3.140625" style="167" customWidth="1"/>
    <col min="20" max="20" width="2.42578125" style="167" customWidth="1"/>
    <col min="21" max="21" width="11.28515625" style="167" bestFit="1" customWidth="1"/>
    <col min="22" max="22" width="11.28515625" style="167" customWidth="1"/>
    <col min="23" max="16384" width="9.140625" style="167"/>
  </cols>
  <sheetData>
    <row r="1" spans="1:21" ht="27" thickBot="1" x14ac:dyDescent="0.45">
      <c r="A1" s="390" t="s">
        <v>215</v>
      </c>
      <c r="B1" s="391" t="s">
        <v>214</v>
      </c>
      <c r="H1" s="392" t="s">
        <v>216</v>
      </c>
      <c r="I1" s="264"/>
    </row>
    <row r="2" spans="1:21" x14ac:dyDescent="0.2">
      <c r="A2" s="393" t="s">
        <v>217</v>
      </c>
      <c r="B2" s="394"/>
      <c r="C2" s="394"/>
      <c r="D2" s="394"/>
      <c r="E2" s="394"/>
      <c r="F2" s="394"/>
      <c r="G2" s="394"/>
      <c r="H2" s="394"/>
      <c r="I2" s="394"/>
      <c r="J2" s="395"/>
      <c r="K2" s="393" t="s">
        <v>218</v>
      </c>
      <c r="L2" s="396"/>
      <c r="M2" s="394"/>
      <c r="N2" s="394"/>
      <c r="O2" s="394"/>
      <c r="P2" s="394"/>
      <c r="Q2" s="394"/>
      <c r="R2" s="394"/>
      <c r="S2" s="394"/>
      <c r="T2" s="394"/>
      <c r="U2" s="397"/>
    </row>
    <row r="3" spans="1:21" ht="13.5" thickBot="1" x14ac:dyDescent="0.25">
      <c r="A3" s="398" t="s">
        <v>207</v>
      </c>
      <c r="B3" s="399" t="s">
        <v>219</v>
      </c>
      <c r="C3" s="400" t="s">
        <v>26</v>
      </c>
      <c r="D3" s="400"/>
      <c r="E3" s="401">
        <v>-1.25</v>
      </c>
      <c r="F3" s="402" t="s">
        <v>220</v>
      </c>
      <c r="G3" s="403"/>
      <c r="H3" s="402" t="s">
        <v>221</v>
      </c>
      <c r="I3" s="404">
        <v>10000</v>
      </c>
      <c r="J3" s="405"/>
      <c r="K3" s="398" t="s">
        <v>222</v>
      </c>
      <c r="L3" s="406" t="s">
        <v>26</v>
      </c>
      <c r="M3" s="407">
        <v>0</v>
      </c>
      <c r="N3" s="407"/>
      <c r="O3" s="408"/>
      <c r="P3" s="408"/>
      <c r="Q3" s="408"/>
      <c r="R3" s="408"/>
      <c r="S3" s="408"/>
      <c r="T3" s="408"/>
      <c r="U3" s="409"/>
    </row>
    <row r="4" spans="1:21" x14ac:dyDescent="0.2">
      <c r="A4" s="398"/>
      <c r="B4" s="399"/>
      <c r="C4" s="400"/>
      <c r="D4" s="400"/>
      <c r="E4" s="410">
        <v>1</v>
      </c>
      <c r="F4" s="402"/>
      <c r="G4" s="403"/>
      <c r="H4" s="402"/>
      <c r="I4" s="404"/>
      <c r="J4" s="405"/>
      <c r="K4" s="398"/>
      <c r="L4" s="406"/>
      <c r="M4" s="407"/>
      <c r="N4" s="407"/>
      <c r="O4" s="259"/>
      <c r="P4" s="259"/>
      <c r="Q4" s="411"/>
      <c r="R4" s="259"/>
      <c r="S4" s="259"/>
      <c r="T4" s="259"/>
      <c r="U4" s="412"/>
    </row>
    <row r="5" spans="1:21" ht="14.25" customHeight="1" x14ac:dyDescent="0.2">
      <c r="A5" s="413"/>
      <c r="B5" s="414"/>
      <c r="C5" s="414"/>
      <c r="D5" s="414"/>
      <c r="E5" s="414"/>
      <c r="F5" s="414"/>
      <c r="G5" s="414"/>
      <c r="H5" s="414"/>
      <c r="I5" s="414"/>
      <c r="J5" s="414"/>
      <c r="K5" s="398" t="s">
        <v>197</v>
      </c>
      <c r="L5" s="406" t="s">
        <v>26</v>
      </c>
      <c r="M5" s="406"/>
      <c r="N5" s="415">
        <v>0</v>
      </c>
      <c r="O5" s="400" t="str">
        <f>F3</f>
        <v>X</v>
      </c>
      <c r="P5" s="416">
        <v>2</v>
      </c>
      <c r="Q5" s="400" t="s">
        <v>221</v>
      </c>
      <c r="R5" s="417">
        <v>5500</v>
      </c>
      <c r="S5" s="400" t="str">
        <f>O5</f>
        <v>X</v>
      </c>
      <c r="T5" s="259"/>
      <c r="U5" s="412"/>
    </row>
    <row r="6" spans="1:21" ht="13.5" customHeight="1" thickBot="1" x14ac:dyDescent="0.25">
      <c r="A6" s="398" t="s">
        <v>107</v>
      </c>
      <c r="B6" s="418"/>
      <c r="C6" s="419" t="s">
        <v>26</v>
      </c>
      <c r="D6" s="419"/>
      <c r="E6" s="290">
        <f>E3</f>
        <v>-1.25</v>
      </c>
      <c r="F6" s="419" t="str">
        <f>F3</f>
        <v>X</v>
      </c>
      <c r="G6" s="420">
        <v>2</v>
      </c>
      <c r="H6" s="419" t="s">
        <v>221</v>
      </c>
      <c r="I6" s="399">
        <f>I3</f>
        <v>10000</v>
      </c>
      <c r="J6" s="421" t="str">
        <f>F3</f>
        <v>X</v>
      </c>
      <c r="K6" s="398"/>
      <c r="L6" s="406"/>
      <c r="M6" s="406"/>
      <c r="N6" s="422">
        <v>1</v>
      </c>
      <c r="O6" s="400"/>
      <c r="P6" s="416"/>
      <c r="Q6" s="400"/>
      <c r="R6" s="423"/>
      <c r="S6" s="400"/>
      <c r="T6" s="259"/>
      <c r="U6" s="412"/>
    </row>
    <row r="7" spans="1:21" ht="20.25" x14ac:dyDescent="0.3">
      <c r="A7" s="398"/>
      <c r="B7" s="418"/>
      <c r="C7" s="419"/>
      <c r="D7" s="419"/>
      <c r="E7" s="424">
        <f>E4</f>
        <v>1</v>
      </c>
      <c r="F7" s="419"/>
      <c r="G7" s="420"/>
      <c r="H7" s="419"/>
      <c r="I7" s="399"/>
      <c r="J7" s="421"/>
      <c r="K7" s="173"/>
      <c r="L7" s="259"/>
      <c r="M7" s="259"/>
      <c r="N7" s="259"/>
      <c r="O7" s="259"/>
      <c r="P7" s="279"/>
      <c r="Q7" s="425"/>
      <c r="R7" s="259"/>
      <c r="S7" s="259"/>
      <c r="T7" s="259"/>
      <c r="U7" s="412"/>
    </row>
    <row r="8" spans="1:21" ht="20.25" x14ac:dyDescent="0.2">
      <c r="A8" s="426"/>
      <c r="B8" s="427"/>
      <c r="C8" s="428"/>
      <c r="D8" s="428"/>
      <c r="E8" s="424"/>
      <c r="F8" s="428"/>
      <c r="G8" s="429"/>
      <c r="H8" s="428"/>
      <c r="I8" s="430"/>
      <c r="J8" s="431"/>
      <c r="K8" s="398" t="s">
        <v>223</v>
      </c>
      <c r="L8" s="406" t="s">
        <v>26</v>
      </c>
      <c r="M8" s="406"/>
      <c r="N8" s="432">
        <f t="shared" ref="N8:S8" si="0">N5</f>
        <v>0</v>
      </c>
      <c r="O8" s="419" t="str">
        <f t="shared" si="0"/>
        <v>X</v>
      </c>
      <c r="P8" s="433">
        <f t="shared" si="0"/>
        <v>2</v>
      </c>
      <c r="Q8" s="419" t="str">
        <f t="shared" si="0"/>
        <v>+</v>
      </c>
      <c r="R8" s="399">
        <f t="shared" si="0"/>
        <v>5500</v>
      </c>
      <c r="S8" s="419" t="str">
        <f t="shared" si="0"/>
        <v>X</v>
      </c>
      <c r="T8" s="419" t="s">
        <v>221</v>
      </c>
      <c r="U8" s="434">
        <f>M3</f>
        <v>0</v>
      </c>
    </row>
    <row r="9" spans="1:21" ht="20.25" x14ac:dyDescent="0.2">
      <c r="A9" s="435"/>
      <c r="B9" s="436"/>
      <c r="C9" s="432"/>
      <c r="D9" s="432"/>
      <c r="E9" s="437"/>
      <c r="F9" s="438"/>
      <c r="G9" s="439"/>
      <c r="H9" s="440"/>
      <c r="I9" s="259"/>
      <c r="J9" s="259"/>
      <c r="K9" s="398"/>
      <c r="L9" s="406"/>
      <c r="M9" s="406"/>
      <c r="N9" s="432">
        <f>N6</f>
        <v>1</v>
      </c>
      <c r="O9" s="419"/>
      <c r="P9" s="433"/>
      <c r="Q9" s="419"/>
      <c r="R9" s="399"/>
      <c r="S9" s="419"/>
      <c r="T9" s="419"/>
      <c r="U9" s="434"/>
    </row>
    <row r="10" spans="1:21" ht="21" x14ac:dyDescent="0.3">
      <c r="A10" s="435"/>
      <c r="B10" s="436"/>
      <c r="C10" s="432"/>
      <c r="D10" s="432"/>
      <c r="E10" s="437"/>
      <c r="F10" s="438"/>
      <c r="G10" s="439"/>
      <c r="H10" s="440"/>
      <c r="I10" s="259"/>
      <c r="J10" s="259"/>
      <c r="K10" s="441"/>
      <c r="L10" s="442"/>
      <c r="M10" s="259"/>
      <c r="N10" s="259"/>
      <c r="O10" s="428"/>
      <c r="P10" s="443"/>
      <c r="Q10" s="425"/>
      <c r="R10" s="259"/>
      <c r="S10" s="444"/>
      <c r="T10" s="411"/>
      <c r="U10" s="445"/>
    </row>
    <row r="11" spans="1:21" ht="13.5" thickBot="1" x14ac:dyDescent="0.25">
      <c r="A11" s="398" t="s">
        <v>224</v>
      </c>
      <c r="B11" s="418"/>
      <c r="C11" s="419" t="s">
        <v>26</v>
      </c>
      <c r="D11" s="419"/>
      <c r="E11" s="290">
        <f>E6*2</f>
        <v>-2.5</v>
      </c>
      <c r="F11" s="419" t="str">
        <f>F6</f>
        <v>X</v>
      </c>
      <c r="G11" s="259"/>
      <c r="H11" s="419" t="s">
        <v>221</v>
      </c>
      <c r="I11" s="399">
        <f>I6</f>
        <v>10000</v>
      </c>
      <c r="J11" s="399"/>
      <c r="K11" s="398" t="s">
        <v>225</v>
      </c>
      <c r="L11" s="406" t="s">
        <v>26</v>
      </c>
      <c r="M11" s="406"/>
      <c r="N11" s="432">
        <f>N5*P8</f>
        <v>0</v>
      </c>
      <c r="O11" s="419" t="str">
        <f>O8</f>
        <v>X</v>
      </c>
      <c r="P11" s="259"/>
      <c r="Q11" s="419" t="str">
        <f>Q8</f>
        <v>+</v>
      </c>
      <c r="R11" s="446">
        <f>R5</f>
        <v>5500</v>
      </c>
      <c r="S11" s="259"/>
      <c r="T11" s="259"/>
      <c r="U11" s="412"/>
    </row>
    <row r="12" spans="1:21" ht="13.5" thickBot="1" x14ac:dyDescent="0.25">
      <c r="A12" s="447"/>
      <c r="B12" s="448"/>
      <c r="C12" s="449"/>
      <c r="D12" s="449"/>
      <c r="E12" s="450">
        <f>E4</f>
        <v>1</v>
      </c>
      <c r="F12" s="449"/>
      <c r="G12" s="255"/>
      <c r="H12" s="449"/>
      <c r="I12" s="451"/>
      <c r="J12" s="451"/>
      <c r="K12" s="398"/>
      <c r="L12" s="406"/>
      <c r="M12" s="406"/>
      <c r="N12" s="432">
        <f>N9</f>
        <v>1</v>
      </c>
      <c r="O12" s="419"/>
      <c r="P12" s="259"/>
      <c r="Q12" s="419"/>
      <c r="R12" s="446"/>
      <c r="S12" s="259"/>
      <c r="T12" s="259"/>
      <c r="U12" s="412"/>
    </row>
    <row r="13" spans="1:21" ht="21.75" customHeight="1" thickBot="1" x14ac:dyDescent="0.25">
      <c r="A13" s="427"/>
      <c r="B13" s="427"/>
      <c r="C13" s="428"/>
      <c r="D13" s="428"/>
      <c r="E13" s="424"/>
      <c r="F13" s="428"/>
      <c r="G13" s="259"/>
      <c r="H13" s="428"/>
      <c r="I13" s="430"/>
      <c r="J13" s="430"/>
      <c r="K13" s="452" t="s">
        <v>226</v>
      </c>
      <c r="L13" s="453" t="s">
        <v>26</v>
      </c>
      <c r="M13" s="453"/>
      <c r="N13" s="454">
        <v>3000</v>
      </c>
      <c r="O13" s="454"/>
      <c r="P13" s="454"/>
      <c r="Q13" s="455" t="str">
        <f>O11</f>
        <v>X</v>
      </c>
      <c r="R13" s="456"/>
      <c r="S13" s="255"/>
      <c r="T13" s="255"/>
      <c r="U13" s="457"/>
    </row>
    <row r="14" spans="1:21" ht="14.25" customHeight="1" x14ac:dyDescent="0.2">
      <c r="A14" s="427"/>
      <c r="B14" s="427"/>
      <c r="C14" s="428"/>
      <c r="D14" s="428"/>
      <c r="E14" s="424"/>
      <c r="F14" s="428"/>
      <c r="G14" s="259"/>
      <c r="H14" s="428"/>
      <c r="I14" s="430"/>
      <c r="J14" s="430"/>
      <c r="K14" s="458" t="s">
        <v>227</v>
      </c>
      <c r="L14" s="459" t="s">
        <v>26</v>
      </c>
      <c r="M14" s="459"/>
      <c r="N14" s="460">
        <f>N16*0.5</f>
        <v>0</v>
      </c>
      <c r="O14" s="461" t="str">
        <f>O16</f>
        <v>X</v>
      </c>
      <c r="P14" s="462">
        <f>P5</f>
        <v>2</v>
      </c>
      <c r="Q14" s="463" t="s">
        <v>221</v>
      </c>
      <c r="R14" s="464">
        <f>R16</f>
        <v>0</v>
      </c>
      <c r="S14" s="463" t="str">
        <f>O14</f>
        <v>X</v>
      </c>
      <c r="T14" s="259"/>
      <c r="U14" s="412"/>
    </row>
    <row r="15" spans="1:21" ht="14.25" customHeight="1" thickBot="1" x14ac:dyDescent="0.25">
      <c r="A15" s="427"/>
      <c r="B15" s="427"/>
      <c r="C15" s="428"/>
      <c r="D15" s="428"/>
      <c r="E15" s="424"/>
      <c r="F15" s="428"/>
      <c r="G15" s="259"/>
      <c r="H15" s="428"/>
      <c r="I15" s="430"/>
      <c r="J15" s="430"/>
      <c r="K15" s="447"/>
      <c r="L15" s="453"/>
      <c r="M15" s="453"/>
      <c r="N15" s="465">
        <f>N17</f>
        <v>1</v>
      </c>
      <c r="O15" s="466"/>
      <c r="P15" s="467"/>
      <c r="Q15" s="449"/>
      <c r="R15" s="468"/>
      <c r="S15" s="449"/>
      <c r="T15" s="259"/>
      <c r="U15" s="412"/>
    </row>
    <row r="16" spans="1:21" ht="13.5" customHeight="1" x14ac:dyDescent="0.2">
      <c r="A16" s="427"/>
      <c r="B16" s="427"/>
      <c r="C16" s="428"/>
      <c r="D16" s="428"/>
      <c r="E16" s="424"/>
      <c r="F16" s="428"/>
      <c r="G16" s="259"/>
      <c r="H16" s="428"/>
      <c r="I16" s="430"/>
      <c r="J16" s="430"/>
      <c r="K16" s="458" t="s">
        <v>228</v>
      </c>
      <c r="L16" s="459" t="str">
        <f>L13</f>
        <v>=</v>
      </c>
      <c r="M16" s="459"/>
      <c r="N16" s="469">
        <v>0</v>
      </c>
      <c r="O16" s="463" t="str">
        <f>O11</f>
        <v>X</v>
      </c>
      <c r="P16" s="470"/>
      <c r="Q16" s="463" t="str">
        <f>Q11</f>
        <v>+</v>
      </c>
      <c r="R16" s="471">
        <v>0</v>
      </c>
      <c r="S16" s="395"/>
      <c r="T16" s="395"/>
      <c r="U16" s="472"/>
    </row>
    <row r="17" spans="1:21" ht="14.25" customHeight="1" x14ac:dyDescent="0.2">
      <c r="A17" s="427"/>
      <c r="B17" s="427"/>
      <c r="C17" s="428"/>
      <c r="D17" s="428"/>
      <c r="E17" s="424"/>
      <c r="F17" s="428"/>
      <c r="G17" s="259"/>
      <c r="H17" s="428"/>
      <c r="I17" s="430"/>
      <c r="J17" s="430"/>
      <c r="K17" s="398"/>
      <c r="L17" s="473"/>
      <c r="M17" s="473"/>
      <c r="N17" s="422">
        <v>1</v>
      </c>
      <c r="O17" s="419"/>
      <c r="P17" s="405"/>
      <c r="Q17" s="419"/>
      <c r="R17" s="474"/>
      <c r="S17" s="259"/>
      <c r="T17" s="259"/>
      <c r="U17" s="412"/>
    </row>
    <row r="18" spans="1:21" ht="21.75" customHeight="1" thickBot="1" x14ac:dyDescent="0.25">
      <c r="A18" s="427"/>
      <c r="B18" s="427"/>
      <c r="C18" s="428"/>
      <c r="D18" s="428"/>
      <c r="E18" s="424"/>
      <c r="F18" s="428"/>
      <c r="G18" s="259"/>
      <c r="H18" s="428"/>
      <c r="I18" s="430"/>
      <c r="J18" s="430"/>
      <c r="K18" s="452" t="s">
        <v>226</v>
      </c>
      <c r="L18" s="453" t="str">
        <f>L16</f>
        <v>=</v>
      </c>
      <c r="M18" s="475"/>
      <c r="N18" s="454">
        <v>0</v>
      </c>
      <c r="O18" s="454"/>
      <c r="P18" s="454"/>
      <c r="Q18" s="455" t="str">
        <f>Q13</f>
        <v>X</v>
      </c>
      <c r="R18" s="456"/>
      <c r="S18" s="255"/>
      <c r="T18" s="255"/>
      <c r="U18" s="457"/>
    </row>
    <row r="19" spans="1:21" ht="15" customHeight="1" x14ac:dyDescent="0.2">
      <c r="A19" s="427"/>
      <c r="B19" s="427"/>
      <c r="C19" s="428"/>
      <c r="D19" s="428"/>
      <c r="E19" s="424"/>
      <c r="F19" s="428"/>
      <c r="G19" s="259"/>
      <c r="H19" s="428"/>
      <c r="I19" s="430"/>
      <c r="J19" s="430"/>
      <c r="K19" s="458" t="s">
        <v>229</v>
      </c>
      <c r="L19" s="459" t="s">
        <v>26</v>
      </c>
      <c r="M19" s="459"/>
      <c r="N19" s="460">
        <f>N21*0.5</f>
        <v>0</v>
      </c>
      <c r="O19" s="461" t="str">
        <f>O16</f>
        <v>X</v>
      </c>
      <c r="P19" s="462">
        <f>P14</f>
        <v>2</v>
      </c>
      <c r="Q19" s="463" t="s">
        <v>221</v>
      </c>
      <c r="R19" s="464">
        <f>R21</f>
        <v>0</v>
      </c>
      <c r="S19" s="463" t="str">
        <f>S14</f>
        <v>X</v>
      </c>
      <c r="T19" s="259"/>
      <c r="U19" s="412"/>
    </row>
    <row r="20" spans="1:21" ht="14.25" customHeight="1" thickBot="1" x14ac:dyDescent="0.25">
      <c r="A20" s="427"/>
      <c r="B20" s="427"/>
      <c r="C20" s="428"/>
      <c r="D20" s="428"/>
      <c r="E20" s="424"/>
      <c r="F20" s="428"/>
      <c r="G20" s="259"/>
      <c r="H20" s="428"/>
      <c r="I20" s="430"/>
      <c r="J20" s="430"/>
      <c r="K20" s="447"/>
      <c r="L20" s="453"/>
      <c r="M20" s="453"/>
      <c r="N20" s="476">
        <f>N22</f>
        <v>1</v>
      </c>
      <c r="O20" s="466"/>
      <c r="P20" s="467"/>
      <c r="Q20" s="449"/>
      <c r="R20" s="468"/>
      <c r="S20" s="449"/>
      <c r="T20" s="259"/>
      <c r="U20" s="412"/>
    </row>
    <row r="21" spans="1:21" ht="15.75" customHeight="1" x14ac:dyDescent="0.2">
      <c r="A21" s="427"/>
      <c r="B21" s="427"/>
      <c r="C21" s="428"/>
      <c r="D21" s="428"/>
      <c r="E21" s="424"/>
      <c r="F21" s="428"/>
      <c r="G21" s="259"/>
      <c r="H21" s="428"/>
      <c r="I21" s="430"/>
      <c r="J21" s="430"/>
      <c r="K21" s="458" t="s">
        <v>230</v>
      </c>
      <c r="L21" s="459" t="str">
        <f>L16</f>
        <v>=</v>
      </c>
      <c r="M21" s="477"/>
      <c r="N21" s="469">
        <v>0</v>
      </c>
      <c r="O21" s="463" t="str">
        <f>O16</f>
        <v>X</v>
      </c>
      <c r="P21" s="395"/>
      <c r="Q21" s="463" t="str">
        <f>Q16</f>
        <v>+</v>
      </c>
      <c r="R21" s="471">
        <v>0</v>
      </c>
      <c r="S21" s="395"/>
      <c r="T21" s="395"/>
      <c r="U21" s="472"/>
    </row>
    <row r="22" spans="1:21" ht="14.25" customHeight="1" x14ac:dyDescent="0.2">
      <c r="A22" s="427"/>
      <c r="B22" s="427"/>
      <c r="C22" s="428"/>
      <c r="D22" s="428"/>
      <c r="E22" s="424"/>
      <c r="F22" s="428"/>
      <c r="G22" s="259"/>
      <c r="H22" s="428"/>
      <c r="I22" s="430"/>
      <c r="J22" s="430"/>
      <c r="K22" s="398"/>
      <c r="L22" s="406"/>
      <c r="M22" s="406"/>
      <c r="N22" s="422">
        <v>1</v>
      </c>
      <c r="O22" s="419"/>
      <c r="P22" s="259"/>
      <c r="Q22" s="419"/>
      <c r="R22" s="474"/>
      <c r="S22" s="259"/>
      <c r="T22" s="259"/>
      <c r="U22" s="412"/>
    </row>
    <row r="23" spans="1:21" ht="19.5" customHeight="1" thickBot="1" x14ac:dyDescent="0.35">
      <c r="A23" s="478" t="s">
        <v>231</v>
      </c>
      <c r="B23" s="408"/>
      <c r="C23" s="259" t="str">
        <f>C6</f>
        <v>=</v>
      </c>
      <c r="D23" s="479">
        <v>3000</v>
      </c>
      <c r="E23" s="437"/>
      <c r="F23" s="438"/>
      <c r="G23" s="259"/>
      <c r="H23" s="480"/>
      <c r="I23" s="259"/>
      <c r="J23" s="259"/>
      <c r="K23" s="481" t="s">
        <v>226</v>
      </c>
      <c r="L23" s="482" t="str">
        <f>L21</f>
        <v>=</v>
      </c>
      <c r="M23" s="483"/>
      <c r="N23" s="454">
        <v>0</v>
      </c>
      <c r="O23" s="454"/>
      <c r="P23" s="454"/>
      <c r="Q23" s="484" t="str">
        <f>Q18</f>
        <v>X</v>
      </c>
      <c r="R23" s="255"/>
      <c r="S23" s="255"/>
      <c r="T23" s="255"/>
      <c r="U23" s="457"/>
    </row>
    <row r="24" spans="1:21" ht="19.5" customHeight="1" x14ac:dyDescent="0.3">
      <c r="A24" s="478"/>
      <c r="B24" s="408"/>
      <c r="C24" s="259"/>
      <c r="D24" s="485"/>
      <c r="E24" s="437"/>
      <c r="F24" s="438"/>
      <c r="G24" s="259"/>
      <c r="H24" s="480"/>
      <c r="I24" s="259"/>
      <c r="J24" s="259"/>
      <c r="K24" s="442"/>
      <c r="L24" s="486"/>
      <c r="M24" s="436"/>
      <c r="N24" s="487"/>
      <c r="O24" s="487"/>
      <c r="P24" s="487"/>
      <c r="Q24" s="488"/>
      <c r="R24" s="259"/>
      <c r="S24" s="259"/>
      <c r="T24" s="259"/>
      <c r="U24" s="259"/>
    </row>
    <row r="25" spans="1:21" ht="19.5" customHeight="1" x14ac:dyDescent="0.3">
      <c r="A25" s="478"/>
      <c r="B25" s="408"/>
      <c r="C25" s="259"/>
      <c r="D25" s="485"/>
      <c r="E25" s="437"/>
      <c r="F25" s="438"/>
      <c r="G25" s="259"/>
      <c r="H25" s="480"/>
      <c r="I25" s="259"/>
      <c r="J25" s="259"/>
      <c r="K25" s="442"/>
      <c r="L25" s="486"/>
      <c r="M25" s="436"/>
      <c r="N25" s="487"/>
      <c r="O25" s="487"/>
      <c r="P25" s="487"/>
      <c r="Q25" s="488"/>
      <c r="R25" s="259"/>
      <c r="S25" s="259"/>
      <c r="T25" s="259"/>
      <c r="U25" s="259"/>
    </row>
    <row r="26" spans="1:21" ht="19.5" customHeight="1" x14ac:dyDescent="0.3">
      <c r="A26" s="478"/>
      <c r="B26" s="408"/>
      <c r="C26" s="259"/>
      <c r="D26" s="485"/>
      <c r="E26" s="437"/>
      <c r="F26" s="438"/>
      <c r="G26" s="259"/>
      <c r="H26" s="480"/>
      <c r="I26" s="259"/>
      <c r="J26" s="259"/>
      <c r="K26" s="442"/>
      <c r="L26" s="486"/>
      <c r="M26" s="436"/>
      <c r="N26" s="487"/>
      <c r="O26" s="487"/>
      <c r="P26" s="487"/>
      <c r="Q26" s="488"/>
      <c r="R26" s="259"/>
      <c r="S26" s="259"/>
      <c r="T26" s="259"/>
      <c r="U26" s="259"/>
    </row>
    <row r="27" spans="1:21" ht="19.5" customHeight="1" x14ac:dyDescent="0.3">
      <c r="A27" s="478"/>
      <c r="B27" s="408"/>
      <c r="C27" s="259"/>
      <c r="D27" s="485"/>
      <c r="E27" s="437"/>
      <c r="F27" s="438"/>
      <c r="G27" s="259"/>
      <c r="H27" s="480"/>
      <c r="I27" s="259"/>
      <c r="J27" s="259"/>
      <c r="K27" s="442"/>
      <c r="L27" s="486"/>
      <c r="M27" s="436"/>
      <c r="N27" s="487"/>
      <c r="O27" s="487"/>
      <c r="P27" s="487"/>
      <c r="Q27" s="488"/>
      <c r="R27" s="259"/>
      <c r="S27" s="259"/>
      <c r="T27" s="259"/>
      <c r="U27" s="259"/>
    </row>
    <row r="28" spans="1:21" ht="19.5" customHeight="1" x14ac:dyDescent="0.3">
      <c r="A28" s="478"/>
      <c r="B28" s="408"/>
      <c r="C28" s="259"/>
      <c r="D28" s="485"/>
      <c r="E28" s="437"/>
      <c r="F28" s="438"/>
      <c r="G28" s="259"/>
      <c r="H28" s="480"/>
      <c r="I28" s="259"/>
      <c r="J28" s="259"/>
      <c r="K28" s="442"/>
      <c r="L28" s="486"/>
      <c r="M28" s="436"/>
      <c r="N28" s="487"/>
      <c r="O28" s="487"/>
      <c r="P28" s="487"/>
      <c r="Q28" s="488"/>
      <c r="R28" s="259"/>
      <c r="S28" s="259"/>
      <c r="T28" s="259"/>
      <c r="U28" s="259"/>
    </row>
    <row r="29" spans="1:21" ht="19.5" customHeight="1" x14ac:dyDescent="0.3">
      <c r="A29" s="478"/>
      <c r="B29" s="408"/>
      <c r="C29" s="259"/>
      <c r="D29" s="485"/>
      <c r="E29" s="437"/>
      <c r="F29" s="438"/>
      <c r="G29" s="259"/>
      <c r="H29" s="480"/>
      <c r="I29" s="259"/>
      <c r="J29" s="259"/>
      <c r="K29" s="442"/>
      <c r="L29" s="486"/>
      <c r="M29" s="436"/>
      <c r="N29" s="487"/>
      <c r="O29" s="487"/>
      <c r="P29" s="487"/>
      <c r="Q29" s="488"/>
      <c r="R29" s="259"/>
      <c r="S29" s="259"/>
      <c r="T29" s="259"/>
      <c r="U29" s="259"/>
    </row>
    <row r="30" spans="1:21" ht="19.5" customHeight="1" x14ac:dyDescent="0.3">
      <c r="A30" s="478"/>
      <c r="B30" s="408"/>
      <c r="C30" s="259"/>
      <c r="D30" s="485"/>
      <c r="E30" s="437"/>
      <c r="F30" s="438"/>
      <c r="G30" s="259"/>
      <c r="H30" s="480"/>
      <c r="I30" s="259"/>
      <c r="J30" s="259"/>
      <c r="K30" s="442"/>
      <c r="L30" s="486"/>
      <c r="M30" s="436"/>
      <c r="N30" s="487"/>
      <c r="O30" s="487"/>
      <c r="P30" s="487"/>
      <c r="Q30" s="488"/>
      <c r="R30" s="259"/>
      <c r="S30" s="259"/>
      <c r="T30" s="259"/>
      <c r="U30" s="259"/>
    </row>
    <row r="31" spans="1:21" ht="19.5" customHeight="1" x14ac:dyDescent="0.3">
      <c r="A31" s="478"/>
      <c r="B31" s="408"/>
      <c r="C31" s="259"/>
      <c r="D31" s="485"/>
      <c r="E31" s="437"/>
      <c r="F31" s="438"/>
      <c r="G31" s="259"/>
      <c r="H31" s="480"/>
      <c r="I31" s="259"/>
      <c r="J31" s="259"/>
      <c r="K31" s="442"/>
      <c r="L31" s="486"/>
      <c r="M31" s="436"/>
      <c r="N31" s="487"/>
      <c r="O31" s="487"/>
      <c r="P31" s="487"/>
      <c r="Q31" s="488"/>
      <c r="R31" s="259"/>
      <c r="S31" s="259"/>
      <c r="T31" s="259"/>
      <c r="U31" s="259"/>
    </row>
    <row r="32" spans="1:21" ht="19.5" customHeight="1" x14ac:dyDescent="0.3">
      <c r="A32" s="478"/>
      <c r="B32" s="408"/>
      <c r="C32" s="259"/>
      <c r="D32" s="485"/>
      <c r="E32" s="437"/>
      <c r="F32" s="438"/>
      <c r="G32" s="259"/>
      <c r="H32" s="480"/>
      <c r="I32" s="259"/>
      <c r="J32" s="259"/>
      <c r="K32" s="442"/>
      <c r="L32" s="486"/>
      <c r="M32" s="436"/>
      <c r="N32" s="487"/>
      <c r="O32" s="487"/>
      <c r="P32" s="487"/>
      <c r="Q32" s="488"/>
      <c r="R32" s="259"/>
      <c r="S32" s="259"/>
      <c r="T32" s="259"/>
      <c r="U32" s="259"/>
    </row>
    <row r="33" spans="1:21" ht="19.5" customHeight="1" x14ac:dyDescent="0.3">
      <c r="A33" s="478"/>
      <c r="B33" s="408"/>
      <c r="C33" s="259"/>
      <c r="D33" s="485"/>
      <c r="E33" s="437"/>
      <c r="F33" s="438"/>
      <c r="G33" s="259"/>
      <c r="H33" s="480"/>
      <c r="I33" s="259"/>
      <c r="J33" s="259"/>
      <c r="K33" s="442"/>
      <c r="L33" s="486"/>
      <c r="M33" s="436"/>
      <c r="N33" s="487"/>
      <c r="O33" s="487"/>
      <c r="P33" s="487"/>
      <c r="Q33" s="488"/>
      <c r="R33" s="259"/>
      <c r="S33" s="259"/>
      <c r="T33" s="259"/>
      <c r="U33" s="259"/>
    </row>
    <row r="34" spans="1:21" ht="19.5" customHeight="1" x14ac:dyDescent="0.3">
      <c r="A34" s="478"/>
      <c r="B34" s="408"/>
      <c r="C34" s="259"/>
      <c r="D34" s="485"/>
      <c r="E34" s="437"/>
      <c r="F34" s="438"/>
      <c r="G34" s="259"/>
      <c r="H34" s="480"/>
      <c r="I34" s="259"/>
      <c r="J34" s="259"/>
      <c r="K34" s="442"/>
      <c r="L34" s="486"/>
      <c r="M34" s="436"/>
      <c r="N34" s="487"/>
      <c r="O34" s="487"/>
      <c r="P34" s="487"/>
      <c r="Q34" s="488"/>
      <c r="R34" s="259"/>
      <c r="S34" s="259"/>
      <c r="T34" s="259"/>
      <c r="U34" s="259"/>
    </row>
    <row r="35" spans="1:21" ht="19.5" customHeight="1" thickBot="1" x14ac:dyDescent="0.35">
      <c r="A35" s="489"/>
      <c r="B35" s="487"/>
      <c r="C35" s="199"/>
      <c r="D35" s="485"/>
      <c r="E35" s="490"/>
      <c r="F35" s="491"/>
      <c r="G35" s="199"/>
      <c r="H35" s="492"/>
      <c r="I35" s="199"/>
      <c r="J35" s="199"/>
      <c r="K35" s="250"/>
      <c r="L35" s="493"/>
      <c r="M35" s="494"/>
      <c r="N35" s="487"/>
      <c r="O35" s="487"/>
      <c r="P35" s="487"/>
      <c r="Q35" s="488"/>
      <c r="R35" s="259"/>
      <c r="S35" s="259"/>
      <c r="T35" s="259"/>
      <c r="U35" s="259"/>
    </row>
    <row r="36" spans="1:21" ht="19.5" customHeight="1" thickBot="1" x14ac:dyDescent="0.35">
      <c r="A36" s="489" t="s">
        <v>232</v>
      </c>
      <c r="B36" s="487"/>
      <c r="C36" s="199"/>
      <c r="D36" s="485"/>
      <c r="E36" s="495" t="str">
        <f>IF(E48=E49,"Ja","Nej")</f>
        <v>Ja</v>
      </c>
      <c r="F36" s="496"/>
      <c r="G36" s="496"/>
      <c r="H36" s="496"/>
      <c r="I36" s="495" t="str">
        <f>IF(I48=I49,"Ja","Nej")</f>
        <v>Nej</v>
      </c>
      <c r="J36" s="496"/>
      <c r="K36" s="496"/>
      <c r="L36" s="496"/>
      <c r="M36" s="495" t="str">
        <f>IF(M48=M49,"Ja","Nej")</f>
        <v>Nej</v>
      </c>
      <c r="N36" s="487"/>
      <c r="O36" s="487"/>
      <c r="P36" s="487"/>
      <c r="Q36" s="488"/>
      <c r="R36" s="259"/>
      <c r="S36" s="259"/>
      <c r="T36" s="259"/>
      <c r="U36" s="259"/>
    </row>
    <row r="37" spans="1:21" ht="19.5" customHeight="1" x14ac:dyDescent="0.3">
      <c r="A37" s="489" t="s">
        <v>233</v>
      </c>
      <c r="B37" s="487"/>
      <c r="C37" s="199"/>
      <c r="D37" s="485"/>
      <c r="E37" s="497" t="str">
        <f>CONCATENATE("MR=",K11)</f>
        <v>MR=MC(1)</v>
      </c>
      <c r="F37" s="250"/>
      <c r="G37" s="250"/>
      <c r="H37" s="250"/>
      <c r="I37" s="497" t="str">
        <f>CONCATENATE("MR=",K16)</f>
        <v>MR=MC(2)</v>
      </c>
      <c r="J37" s="250"/>
      <c r="K37" s="250"/>
      <c r="L37" s="250"/>
      <c r="M37" s="497" t="str">
        <f>CONCATENATE("MR=",K21)</f>
        <v>MR=MC(3)</v>
      </c>
      <c r="N37" s="487"/>
      <c r="O37" s="487"/>
      <c r="P37" s="487"/>
      <c r="Q37" s="488"/>
      <c r="R37" s="259"/>
      <c r="S37" s="259"/>
      <c r="T37" s="259"/>
      <c r="U37" s="259"/>
    </row>
    <row r="38" spans="1:21" ht="19.5" customHeight="1" x14ac:dyDescent="0.3">
      <c r="A38" s="498" t="s">
        <v>234</v>
      </c>
      <c r="B38" s="498"/>
      <c r="C38" s="498"/>
      <c r="D38" s="498"/>
      <c r="E38" s="499">
        <f>IF($E$3=0,(IF(N5=0,N13,($I$11-R$11)/(($E$11/$E$12*-1)+(N$11/N$12)))),($I$11-R11)/(($E$11/$E$12*-1)+(N$11/N$12)))</f>
        <v>1800</v>
      </c>
      <c r="F38" s="500"/>
      <c r="G38" s="490"/>
      <c r="H38" s="501"/>
      <c r="I38" s="499">
        <f>IF($E$3=0,(IF($N$16=0,$N$18,($I$11-$R16)/(($E$11/$E$12*-1)+($N16/$N17)))),($I$11-$R16)/(($E$11/$E$12*-1)+($N16/$N17)))</f>
        <v>4000</v>
      </c>
      <c r="J38" s="500"/>
      <c r="K38" s="490"/>
      <c r="L38" s="501"/>
      <c r="M38" s="499">
        <f>IF($E$3=0,(IF($N$21=0,$N$23,($I$11-$R21)/(($E$11/$E$12*-1)+($N21/$N22)))),($I$11-$R21)/(($E$11/$E$12*-1)+($N21/$N22)))</f>
        <v>4000</v>
      </c>
      <c r="N38" s="487"/>
      <c r="O38" s="487"/>
      <c r="P38" s="487"/>
      <c r="Q38" s="488"/>
      <c r="R38" s="259"/>
      <c r="S38" s="259"/>
      <c r="T38" s="259"/>
      <c r="U38" s="259"/>
    </row>
    <row r="39" spans="1:21" ht="19.5" customHeight="1" x14ac:dyDescent="0.3">
      <c r="A39" s="489" t="s">
        <v>235</v>
      </c>
      <c r="B39" s="487"/>
      <c r="C39" s="199"/>
      <c r="D39" s="485"/>
      <c r="E39" s="499">
        <f>N13</f>
        <v>3000</v>
      </c>
      <c r="F39" s="491"/>
      <c r="G39" s="199"/>
      <c r="H39" s="492"/>
      <c r="I39" s="499">
        <f>N18</f>
        <v>0</v>
      </c>
      <c r="J39" s="490"/>
      <c r="K39" s="490"/>
      <c r="L39" s="490"/>
      <c r="M39" s="499">
        <f>N23</f>
        <v>0</v>
      </c>
      <c r="N39" s="487"/>
      <c r="O39" s="487"/>
      <c r="P39" s="487"/>
      <c r="Q39" s="488"/>
      <c r="R39" s="259"/>
      <c r="S39" s="259"/>
      <c r="T39" s="259"/>
      <c r="U39" s="259"/>
    </row>
    <row r="40" spans="1:21" ht="19.5" customHeight="1" x14ac:dyDescent="0.3">
      <c r="A40" s="489" t="s">
        <v>236</v>
      </c>
      <c r="B40" s="487"/>
      <c r="C40" s="199"/>
      <c r="D40" s="485"/>
      <c r="E40" s="499">
        <v>0</v>
      </c>
      <c r="F40" s="491"/>
      <c r="G40" s="199"/>
      <c r="H40" s="492"/>
      <c r="I40" s="499">
        <f>N13</f>
        <v>3000</v>
      </c>
      <c r="J40" s="490"/>
      <c r="K40" s="490"/>
      <c r="L40" s="490"/>
      <c r="M40" s="499">
        <f>N18</f>
        <v>0</v>
      </c>
      <c r="N40" s="487"/>
      <c r="O40" s="487"/>
      <c r="P40" s="487"/>
      <c r="Q40" s="488"/>
      <c r="R40" s="259"/>
      <c r="S40" s="259"/>
      <c r="T40" s="259"/>
      <c r="U40" s="259"/>
    </row>
    <row r="41" spans="1:21" ht="19.5" customHeight="1" x14ac:dyDescent="0.3">
      <c r="A41" s="489" t="s">
        <v>237</v>
      </c>
      <c r="B41" s="487"/>
      <c r="C41" s="199"/>
      <c r="D41" s="485"/>
      <c r="E41" s="499">
        <f>D23</f>
        <v>3000</v>
      </c>
      <c r="F41" s="491"/>
      <c r="G41" s="199"/>
      <c r="H41" s="492"/>
      <c r="I41" s="499">
        <f>D23</f>
        <v>3000</v>
      </c>
      <c r="J41" s="490"/>
      <c r="K41" s="490"/>
      <c r="L41" s="490"/>
      <c r="M41" s="499">
        <f>D23</f>
        <v>3000</v>
      </c>
      <c r="N41" s="487"/>
      <c r="O41" s="487"/>
      <c r="P41" s="487"/>
      <c r="Q41" s="488"/>
      <c r="R41" s="259"/>
      <c r="S41" s="259"/>
      <c r="T41" s="259"/>
      <c r="U41" s="259"/>
    </row>
    <row r="42" spans="1:21" ht="19.5" customHeight="1" x14ac:dyDescent="0.3">
      <c r="A42" s="489" t="s">
        <v>238</v>
      </c>
      <c r="B42" s="487"/>
      <c r="C42" s="199"/>
      <c r="D42" s="485"/>
      <c r="E42" s="499">
        <f>IF(IF(E38&lt;E39,IF(E41&gt;E38&gt;E40,E38),IF(E38&lt;E40,0,MIN(E39,E41)))&gt;E41,E41,IF(E38&lt;E39,IF(E41&gt;E38&gt;E40,E38),IF(E38&lt;E40,0,MIN(E39,E41))))</f>
        <v>1800</v>
      </c>
      <c r="F42" s="500"/>
      <c r="G42" s="490"/>
      <c r="H42" s="501"/>
      <c r="I42" s="499">
        <f>IF(IF(I38&lt;I39,IF(I41&gt;I38&gt;I40,I38),IF(I38&lt;I40,0,MIN(I39,I41)))&gt;I41,I41,IF(I38&lt;I39,IF(I41&gt;I38&gt;I40,I38),IF(I38&lt;I40,0,MIN(I39,I41))))</f>
        <v>0</v>
      </c>
      <c r="J42" s="500"/>
      <c r="K42" s="490"/>
      <c r="L42" s="501"/>
      <c r="M42" s="499">
        <f>IF(IF(IF(M38&lt;M39,IF(M41&gt;M38&gt;M40,M38),IF(M38&lt;M40,0,MIN(M39,M41)))&lt;M40,M40,IF(M38&lt;M39,IF(M41&gt;M38&gt;M40,M38),IF(M38&lt;M40,0,MIN(M39,M41))))&gt;M41,M41,IF(IF(M38&lt;M39,IF(M41&gt;M38&gt;M40,M38),IF(M38&lt;M40,0,MIN(M39,M41)))&lt;M40,M40,IF(M38&lt;M39,IF(M41&gt;M38&gt;M40,M38),IF(M38&lt;M40,0,MIN(M39,M41)))))</f>
        <v>0</v>
      </c>
      <c r="N42" s="487"/>
      <c r="O42" s="487"/>
      <c r="P42" s="487"/>
      <c r="Q42" s="488"/>
      <c r="R42" s="259"/>
      <c r="S42" s="259"/>
      <c r="T42" s="259"/>
      <c r="U42" s="259"/>
    </row>
    <row r="43" spans="1:21" ht="19.5" customHeight="1" x14ac:dyDescent="0.3">
      <c r="A43" s="489" t="s">
        <v>206</v>
      </c>
      <c r="B43" s="487"/>
      <c r="C43" s="199"/>
      <c r="D43" s="485"/>
      <c r="E43" s="499">
        <f>E42*($E$3/$E$4)+$I$3</f>
        <v>7750</v>
      </c>
      <c r="F43" s="491"/>
      <c r="G43" s="199"/>
      <c r="H43" s="492"/>
      <c r="I43" s="499">
        <f>I42*($E$3/$E$4)+$I$3</f>
        <v>10000</v>
      </c>
      <c r="J43" s="490"/>
      <c r="K43" s="490"/>
      <c r="L43" s="490"/>
      <c r="M43" s="499">
        <f>IF(M42=0,0,M42*($E$3/$E$4)+$I$3)</f>
        <v>0</v>
      </c>
      <c r="N43" s="487"/>
      <c r="O43" s="487"/>
      <c r="P43" s="487"/>
      <c r="Q43" s="488"/>
      <c r="R43" s="259"/>
      <c r="S43" s="259"/>
      <c r="T43" s="259"/>
      <c r="U43" s="259"/>
    </row>
    <row r="44" spans="1:21" ht="19.5" customHeight="1" x14ac:dyDescent="0.3">
      <c r="A44" s="489" t="s">
        <v>208</v>
      </c>
      <c r="B44" s="487"/>
      <c r="C44" s="199"/>
      <c r="D44" s="485"/>
      <c r="E44" s="502">
        <f>E42*E43</f>
        <v>13950000</v>
      </c>
      <c r="F44" s="503"/>
      <c r="G44" s="503"/>
      <c r="H44" s="503"/>
      <c r="I44" s="502">
        <f>I42*I43</f>
        <v>0</v>
      </c>
      <c r="J44" s="504"/>
      <c r="K44" s="504"/>
      <c r="L44" s="504"/>
      <c r="M44" s="502">
        <f>M42*M43</f>
        <v>0</v>
      </c>
      <c r="N44" s="487"/>
      <c r="O44" s="487"/>
      <c r="P44" s="487"/>
      <c r="Q44" s="488"/>
      <c r="R44" s="259"/>
      <c r="S44" s="259"/>
      <c r="T44" s="259"/>
      <c r="U44" s="259"/>
    </row>
    <row r="45" spans="1:21" ht="19.5" customHeight="1" x14ac:dyDescent="0.3">
      <c r="A45" s="489" t="s">
        <v>239</v>
      </c>
      <c r="B45" s="487"/>
      <c r="C45" s="199"/>
      <c r="D45" s="485"/>
      <c r="E45" s="505">
        <f>POWER(E42,$P$5)*$N$5/$N$6+($R$5*E42)</f>
        <v>9900000</v>
      </c>
      <c r="F45" s="491"/>
      <c r="G45" s="199"/>
      <c r="H45" s="492"/>
      <c r="I45" s="505">
        <f>IF(D23&gt;N13,POWER($N$13,$P$5)*$N$5/$N$6+($R$5*$N$13),POWER(D23,$P$5)*$N$5/$N$6+($R$5*D23))</f>
        <v>16500000</v>
      </c>
      <c r="J45" s="199"/>
      <c r="K45" s="250"/>
      <c r="L45" s="493"/>
      <c r="M45" s="505">
        <f>IF(N18=0,0,POWER($N$13,$P$5)*$N$5/$N$6+($R$5*$N$13))</f>
        <v>0</v>
      </c>
      <c r="N45" s="487"/>
      <c r="O45" s="487"/>
      <c r="P45" s="487"/>
      <c r="Q45" s="488"/>
      <c r="R45" s="259"/>
      <c r="S45" s="259"/>
      <c r="T45" s="259"/>
      <c r="U45" s="259"/>
    </row>
    <row r="46" spans="1:21" ht="19.5" customHeight="1" x14ac:dyDescent="0.3">
      <c r="A46" s="489" t="s">
        <v>240</v>
      </c>
      <c r="B46" s="487"/>
      <c r="C46" s="199"/>
      <c r="D46" s="485"/>
      <c r="E46" s="505"/>
      <c r="F46" s="491"/>
      <c r="G46" s="199"/>
      <c r="H46" s="492"/>
      <c r="I46" s="505">
        <f>IF(((POWER($I$42,$P$14)*($N$14/$N$15)+($R$14*$I$42)))-((POWER(($N$13),$P$14)*$N$14)/$N$15+($R$14*($N$13)))&lt;0,0,((POWER($I$42,$P$14)*($N$14/$N$15)+($R$14*$I$42)))-((POWER(($N$13),$P$14)*$N$14)/$N$15+($R$14*($N$13))))</f>
        <v>0</v>
      </c>
      <c r="J46" s="199"/>
      <c r="K46" s="250"/>
      <c r="L46" s="493"/>
      <c r="M46" s="505">
        <f>IF(((POWER(N18,$P$14)*($N$14/$N$15)+($R$14*N18)))-((POWER(($N$13),$P$14)*$N$14)/$N$15+($R$14*($N$13)))&lt;0,0,((POWER(N18,$P$14)*($N$14/$N$15)+($R$14*N18)))-((POWER(($N$13),$P$14)*$N$14)/$N$15+($R$14*($N$13))))</f>
        <v>0</v>
      </c>
      <c r="N46" s="487"/>
      <c r="O46" s="487"/>
      <c r="P46" s="487"/>
      <c r="Q46" s="488"/>
      <c r="R46" s="259"/>
      <c r="S46" s="259"/>
      <c r="T46" s="259"/>
      <c r="U46" s="259"/>
    </row>
    <row r="47" spans="1:21" ht="19.5" customHeight="1" thickBot="1" x14ac:dyDescent="0.35">
      <c r="A47" s="489" t="s">
        <v>241</v>
      </c>
      <c r="B47" s="487"/>
      <c r="C47" s="199"/>
      <c r="D47" s="485"/>
      <c r="E47" s="505"/>
      <c r="F47" s="491"/>
      <c r="G47" s="199"/>
      <c r="H47" s="492"/>
      <c r="I47" s="506"/>
      <c r="J47" s="199"/>
      <c r="K47" s="250"/>
      <c r="L47" s="493"/>
      <c r="M47" s="505">
        <f>(POWER(M42,$P$19)*($N$19/$N$20)+($R$19*M42)-(POWER(($N$18),$P$19)*($N$19/$N$20)+($R$19*($N$18))))</f>
        <v>0</v>
      </c>
      <c r="N47" s="487"/>
      <c r="O47" s="487"/>
      <c r="P47" s="487"/>
      <c r="Q47" s="488"/>
      <c r="R47" s="259"/>
      <c r="S47" s="259"/>
      <c r="T47" s="259"/>
      <c r="U47" s="259"/>
    </row>
    <row r="48" spans="1:21" ht="19.5" customHeight="1" thickBot="1" x14ac:dyDescent="0.35">
      <c r="A48" s="489" t="s">
        <v>198</v>
      </c>
      <c r="B48" s="487"/>
      <c r="C48" s="199"/>
      <c r="D48" s="485"/>
      <c r="E48" s="507">
        <f>E44-E45-E46-E47</f>
        <v>4050000</v>
      </c>
      <c r="F48" s="504"/>
      <c r="G48" s="504"/>
      <c r="H48" s="504"/>
      <c r="I48" s="507">
        <f>I44-I45-I46-I47</f>
        <v>-16500000</v>
      </c>
      <c r="J48" s="504"/>
      <c r="K48" s="504"/>
      <c r="L48" s="504"/>
      <c r="M48" s="507">
        <f>M44-M45-M46-M47</f>
        <v>0</v>
      </c>
      <c r="N48" s="487"/>
      <c r="O48" s="487"/>
      <c r="P48" s="487"/>
      <c r="Q48" s="488"/>
      <c r="R48" s="259"/>
      <c r="S48" s="259"/>
      <c r="T48" s="259"/>
      <c r="U48" s="259"/>
    </row>
    <row r="49" spans="1:21" ht="19.5" hidden="1" customHeight="1" x14ac:dyDescent="0.3">
      <c r="A49" s="489" t="s">
        <v>242</v>
      </c>
      <c r="B49" s="487"/>
      <c r="C49" s="199"/>
      <c r="D49" s="485"/>
      <c r="E49" s="499">
        <f>MAX($E$48,$I$48,$M$48)</f>
        <v>4050000</v>
      </c>
      <c r="F49" s="490"/>
      <c r="G49" s="490"/>
      <c r="H49" s="490"/>
      <c r="I49" s="499">
        <f>MAX($E$48,$I$48,$M$48)</f>
        <v>4050000</v>
      </c>
      <c r="J49" s="490"/>
      <c r="K49" s="490"/>
      <c r="L49" s="490"/>
      <c r="M49" s="499">
        <f>MAX($E$48,$I$48,$M$48)</f>
        <v>4050000</v>
      </c>
      <c r="N49" s="487"/>
      <c r="O49" s="487"/>
      <c r="P49" s="487"/>
      <c r="Q49" s="488"/>
      <c r="R49" s="259"/>
      <c r="S49" s="259"/>
      <c r="T49" s="259"/>
      <c r="U49" s="259"/>
    </row>
    <row r="50" spans="1:21" ht="19.5" customHeight="1" x14ac:dyDescent="0.3">
      <c r="A50" s="489" t="s">
        <v>243</v>
      </c>
      <c r="B50" s="487"/>
      <c r="C50" s="199"/>
      <c r="D50" s="485"/>
      <c r="E50" s="499">
        <f>$M$3</f>
        <v>0</v>
      </c>
      <c r="F50" s="490"/>
      <c r="G50" s="490"/>
      <c r="H50" s="490"/>
      <c r="I50" s="499">
        <f>$M$3</f>
        <v>0</v>
      </c>
      <c r="J50" s="490"/>
      <c r="K50" s="490"/>
      <c r="L50" s="490"/>
      <c r="M50" s="499">
        <f>$M$3</f>
        <v>0</v>
      </c>
      <c r="N50" s="487"/>
      <c r="O50" s="487"/>
      <c r="P50" s="487"/>
      <c r="Q50" s="488"/>
      <c r="R50" s="259"/>
      <c r="S50" s="259"/>
      <c r="T50" s="259"/>
      <c r="U50" s="259"/>
    </row>
    <row r="51" spans="1:21" ht="19.5" customHeight="1" thickBot="1" x14ac:dyDescent="0.35">
      <c r="A51" s="489" t="s">
        <v>244</v>
      </c>
      <c r="B51" s="487"/>
      <c r="C51" s="199"/>
      <c r="D51" s="485"/>
      <c r="E51" s="508">
        <f>E48-E50</f>
        <v>4050000</v>
      </c>
      <c r="F51" s="490"/>
      <c r="G51" s="490"/>
      <c r="H51" s="490"/>
      <c r="I51" s="508">
        <f>I48-I50</f>
        <v>-16500000</v>
      </c>
      <c r="J51" s="490"/>
      <c r="K51" s="490"/>
      <c r="L51" s="490"/>
      <c r="M51" s="508">
        <f>M48-M50</f>
        <v>0</v>
      </c>
      <c r="N51" s="487"/>
      <c r="O51" s="487"/>
      <c r="P51" s="487"/>
      <c r="Q51" s="488"/>
      <c r="R51" s="259"/>
      <c r="S51" s="259"/>
      <c r="T51" s="259"/>
      <c r="U51" s="259"/>
    </row>
    <row r="52" spans="1:21" x14ac:dyDescent="0.2">
      <c r="H52" s="509"/>
      <c r="Q52" s="510"/>
    </row>
    <row r="53" spans="1:21" x14ac:dyDescent="0.2">
      <c r="H53" s="509"/>
      <c r="Q53" s="510"/>
    </row>
    <row r="54" spans="1:21" x14ac:dyDescent="0.2">
      <c r="H54" s="509"/>
      <c r="Q54" s="510"/>
    </row>
    <row r="55" spans="1:21" x14ac:dyDescent="0.2">
      <c r="H55" s="509"/>
      <c r="Q55" s="510"/>
    </row>
    <row r="56" spans="1:21" x14ac:dyDescent="0.2">
      <c r="H56" s="509"/>
      <c r="Q56" s="510"/>
    </row>
    <row r="57" spans="1:21" x14ac:dyDescent="0.2">
      <c r="H57" s="509"/>
      <c r="Q57" s="510"/>
    </row>
    <row r="58" spans="1:21" x14ac:dyDescent="0.2">
      <c r="H58" s="509"/>
      <c r="Q58" s="510"/>
    </row>
    <row r="59" spans="1:21" x14ac:dyDescent="0.2">
      <c r="H59" s="509"/>
      <c r="Q59" s="510"/>
    </row>
    <row r="60" spans="1:21" x14ac:dyDescent="0.2">
      <c r="H60" s="509"/>
      <c r="Q60" s="510"/>
    </row>
    <row r="61" spans="1:21" x14ac:dyDescent="0.2">
      <c r="H61" s="509"/>
      <c r="Q61" s="510"/>
    </row>
    <row r="62" spans="1:21" x14ac:dyDescent="0.2">
      <c r="H62" s="509"/>
      <c r="Q62" s="510"/>
    </row>
    <row r="63" spans="1:21" x14ac:dyDescent="0.2">
      <c r="H63" s="509"/>
      <c r="Q63" s="510"/>
    </row>
    <row r="64" spans="1:21" x14ac:dyDescent="0.2">
      <c r="H64" s="509"/>
      <c r="Q64" s="510"/>
    </row>
    <row r="65" spans="1:18" x14ac:dyDescent="0.2">
      <c r="H65" s="509"/>
      <c r="Q65" s="510"/>
    </row>
    <row r="66" spans="1:18" x14ac:dyDescent="0.2">
      <c r="H66" s="509"/>
      <c r="Q66" s="510"/>
    </row>
    <row r="67" spans="1:18" x14ac:dyDescent="0.2">
      <c r="H67" s="509"/>
      <c r="Q67" s="510"/>
    </row>
    <row r="68" spans="1:18" x14ac:dyDescent="0.2">
      <c r="H68" s="509"/>
      <c r="Q68" s="510"/>
    </row>
    <row r="69" spans="1:18" x14ac:dyDescent="0.2">
      <c r="H69" s="509"/>
      <c r="Q69" s="510"/>
    </row>
    <row r="70" spans="1:18" x14ac:dyDescent="0.2">
      <c r="H70" s="509"/>
      <c r="Q70" s="510"/>
    </row>
    <row r="71" spans="1:18" x14ac:dyDescent="0.2">
      <c r="H71" s="509"/>
      <c r="Q71" s="510"/>
    </row>
    <row r="72" spans="1:18" x14ac:dyDescent="0.2">
      <c r="H72" s="509"/>
      <c r="Q72" s="510"/>
    </row>
    <row r="73" spans="1:18" x14ac:dyDescent="0.2">
      <c r="H73" s="509"/>
      <c r="Q73" s="510"/>
    </row>
    <row r="74" spans="1:18" x14ac:dyDescent="0.2">
      <c r="H74" s="509"/>
      <c r="Q74" s="510"/>
    </row>
    <row r="75" spans="1:18" x14ac:dyDescent="0.2">
      <c r="H75" s="509"/>
      <c r="Q75" s="510"/>
    </row>
    <row r="76" spans="1:18" x14ac:dyDescent="0.2">
      <c r="H76" s="509"/>
      <c r="Q76" s="510"/>
    </row>
    <row r="77" spans="1:18" x14ac:dyDescent="0.2">
      <c r="A77" s="167" t="s">
        <v>245</v>
      </c>
      <c r="H77" s="509"/>
      <c r="Q77" s="510"/>
    </row>
    <row r="78" spans="1:18" x14ac:dyDescent="0.2">
      <c r="H78" s="509"/>
      <c r="Q78" s="510"/>
    </row>
    <row r="79" spans="1:18" ht="18" x14ac:dyDescent="0.25">
      <c r="H79" s="509"/>
      <c r="I79" s="511" t="s">
        <v>224</v>
      </c>
      <c r="J79" s="512" t="s">
        <v>26</v>
      </c>
      <c r="K79" s="513" t="str">
        <f>IF($E$49=$E$48,"MC(1)",IF($I$49=$I$48,"MC(2)",IF($M$49=$M$48,"MC(3)")))</f>
        <v>MC(1)</v>
      </c>
      <c r="L79" s="513"/>
      <c r="Q79" s="510"/>
    </row>
    <row r="80" spans="1:18" ht="18" customHeight="1" thickBot="1" x14ac:dyDescent="0.25">
      <c r="D80" s="291"/>
      <c r="E80" s="290">
        <f>E11</f>
        <v>-2.5</v>
      </c>
      <c r="F80" s="514" t="str">
        <f>F11</f>
        <v>X</v>
      </c>
      <c r="G80" s="515"/>
      <c r="H80" s="514" t="str">
        <f>H11</f>
        <v>+</v>
      </c>
      <c r="I80" s="516">
        <f>I11</f>
        <v>10000</v>
      </c>
      <c r="J80" s="514" t="str">
        <f>J79</f>
        <v>=</v>
      </c>
      <c r="K80" s="372"/>
      <c r="L80" s="372"/>
      <c r="M80" s="255">
        <f>IF($K$79=$K$11,N11,IF($K$79=$K$16,N16,IF($K$79=$K$21,N21)))</f>
        <v>0</v>
      </c>
      <c r="N80" s="517" t="str">
        <f>O11</f>
        <v>X</v>
      </c>
      <c r="O80" s="514" t="str">
        <f>Q11</f>
        <v>+</v>
      </c>
      <c r="P80" s="516">
        <f>IF(K79=K11,R11,IF(K16=K79,R16,IF(K21=K79,R21)))</f>
        <v>5500</v>
      </c>
      <c r="Q80" s="516"/>
      <c r="R80" s="516"/>
    </row>
    <row r="81" spans="1:18" ht="18" customHeight="1" x14ac:dyDescent="0.2">
      <c r="E81" s="518">
        <f>E12</f>
        <v>1</v>
      </c>
      <c r="F81" s="514"/>
      <c r="G81" s="515"/>
      <c r="H81" s="514"/>
      <c r="I81" s="516"/>
      <c r="J81" s="514"/>
      <c r="K81" s="372"/>
      <c r="L81" s="372"/>
      <c r="M81" s="259">
        <f>IF($K$79=$K$11,N12,IF($K$79=$K$16,N17,IF($K$79=$K$21,N22)))</f>
        <v>1</v>
      </c>
      <c r="N81" s="517"/>
      <c r="O81" s="514"/>
      <c r="P81" s="516"/>
      <c r="Q81" s="516"/>
      <c r="R81" s="516"/>
    </row>
    <row r="82" spans="1:18" x14ac:dyDescent="0.2">
      <c r="H82" s="509"/>
      <c r="J82" s="291"/>
      <c r="Q82" s="510"/>
    </row>
    <row r="83" spans="1:18" ht="20.25" x14ac:dyDescent="0.3">
      <c r="H83" s="509"/>
      <c r="I83" s="291">
        <f>I80-P80</f>
        <v>4500</v>
      </c>
      <c r="J83" s="519" t="str">
        <f>J80</f>
        <v>=</v>
      </c>
      <c r="M83" s="167">
        <f>-1*(E80/E81)+(M80/M81)</f>
        <v>2.5</v>
      </c>
      <c r="N83" s="520" t="str">
        <f>N80</f>
        <v>X</v>
      </c>
      <c r="Q83" s="510"/>
    </row>
    <row r="84" spans="1:18" x14ac:dyDescent="0.2">
      <c r="H84" s="509"/>
    </row>
    <row r="85" spans="1:18" ht="20.25" x14ac:dyDescent="0.3">
      <c r="A85" s="521" t="str">
        <f>IF(I85&gt;I86,"Da løsningen overstiger max. mængde er den ugyldig"," ")</f>
        <v xml:space="preserve"> </v>
      </c>
      <c r="B85" s="521"/>
      <c r="C85" s="521"/>
      <c r="D85" s="521"/>
      <c r="E85" s="521"/>
      <c r="F85" s="521"/>
      <c r="G85" s="521"/>
      <c r="H85" s="521"/>
      <c r="I85" s="167">
        <f>IF(M83=0,"Kan ikke løses",I83/M83)</f>
        <v>1800</v>
      </c>
      <c r="J85" s="488" t="str">
        <f>J83</f>
        <v>=</v>
      </c>
      <c r="K85" s="522" t="str">
        <f>O5</f>
        <v>X</v>
      </c>
      <c r="L85" s="442"/>
      <c r="N85" s="442"/>
      <c r="O85" s="442"/>
      <c r="Q85" s="510"/>
    </row>
    <row r="86" spans="1:18" ht="21" thickBot="1" x14ac:dyDescent="0.35">
      <c r="H86" s="509"/>
      <c r="I86" s="523">
        <f>IF($E$49=$E$48,$E$42,IF($I$49=$I$48,$I$42,IF($M$49=$M$48,$M$42)))</f>
        <v>1800</v>
      </c>
      <c r="J86" s="524" t="str">
        <f>J85</f>
        <v>=</v>
      </c>
      <c r="K86" s="524" t="str">
        <f>O8</f>
        <v>X</v>
      </c>
      <c r="L86" s="523"/>
      <c r="Q86" s="510"/>
    </row>
    <row r="87" spans="1:18" ht="13.5" thickTop="1" x14ac:dyDescent="0.2">
      <c r="H87" s="509"/>
      <c r="I87" s="442"/>
      <c r="J87" s="436"/>
      <c r="K87" s="436"/>
      <c r="L87" s="442"/>
      <c r="Q87" s="510"/>
    </row>
    <row r="88" spans="1:18" ht="20.25" x14ac:dyDescent="0.3">
      <c r="A88" s="167">
        <f>I86</f>
        <v>1800</v>
      </c>
      <c r="B88" s="520" t="str">
        <f>J85</f>
        <v>=</v>
      </c>
      <c r="C88" s="520" t="str">
        <f>K85</f>
        <v>X</v>
      </c>
      <c r="D88" s="167" t="s">
        <v>246</v>
      </c>
      <c r="H88" s="509"/>
    </row>
    <row r="89" spans="1:18" ht="12.75" customHeight="1" x14ac:dyDescent="0.3">
      <c r="B89" s="520"/>
      <c r="C89" s="520"/>
      <c r="H89" s="509"/>
    </row>
    <row r="90" spans="1:18" ht="21" thickBot="1" x14ac:dyDescent="0.25">
      <c r="B90" s="525"/>
      <c r="C90" s="514" t="str">
        <f>B3</f>
        <v>P</v>
      </c>
      <c r="D90" s="514" t="str">
        <f>C3</f>
        <v>=</v>
      </c>
      <c r="E90" s="290">
        <f>E3</f>
        <v>-1.25</v>
      </c>
      <c r="F90" s="514" t="str">
        <f>F3</f>
        <v>X</v>
      </c>
      <c r="G90" s="526"/>
      <c r="H90" s="514" t="str">
        <f>H3</f>
        <v>+</v>
      </c>
      <c r="I90" s="516">
        <f>I3</f>
        <v>10000</v>
      </c>
    </row>
    <row r="91" spans="1:18" ht="17.25" customHeight="1" x14ac:dyDescent="0.2">
      <c r="B91" s="525"/>
      <c r="C91" s="514"/>
      <c r="D91" s="514"/>
      <c r="E91" s="518">
        <f>E4</f>
        <v>1</v>
      </c>
      <c r="F91" s="514"/>
      <c r="G91" s="526"/>
      <c r="H91" s="514"/>
      <c r="I91" s="516"/>
    </row>
    <row r="92" spans="1:18" ht="20.25" x14ac:dyDescent="0.3">
      <c r="C92" s="520" t="str">
        <f>C90</f>
        <v>P</v>
      </c>
      <c r="D92" s="519" t="str">
        <f>D90</f>
        <v>=</v>
      </c>
      <c r="E92" s="527">
        <f>I86*(E90/E91)</f>
        <v>-2250</v>
      </c>
      <c r="H92" s="520" t="str">
        <f>H90</f>
        <v>+</v>
      </c>
      <c r="I92" s="291">
        <f>I90</f>
        <v>10000</v>
      </c>
    </row>
    <row r="93" spans="1:18" ht="21" thickBot="1" x14ac:dyDescent="0.35">
      <c r="C93" s="528" t="str">
        <f>C92</f>
        <v>P</v>
      </c>
      <c r="D93" s="524" t="str">
        <f>D92</f>
        <v>=</v>
      </c>
      <c r="E93" s="523">
        <f>I92+E92</f>
        <v>7750</v>
      </c>
    </row>
    <row r="94" spans="1:18" ht="13.5" thickTop="1" x14ac:dyDescent="0.2"/>
    <row r="95" spans="1:18" ht="20.25" x14ac:dyDescent="0.3">
      <c r="A95" s="525" t="s">
        <v>247</v>
      </c>
      <c r="B95" s="525"/>
      <c r="C95" s="525"/>
      <c r="D95" s="525"/>
      <c r="E95" s="525"/>
      <c r="F95" s="525"/>
      <c r="G95" s="525"/>
      <c r="H95" s="525"/>
      <c r="I95" s="525"/>
      <c r="J95" s="525"/>
      <c r="K95" s="525"/>
      <c r="L95" s="525"/>
      <c r="M95" s="525"/>
    </row>
    <row r="96" spans="1:18" ht="20.25" x14ac:dyDescent="0.3">
      <c r="A96" s="266" t="s">
        <v>107</v>
      </c>
      <c r="B96" s="266"/>
      <c r="C96" s="266"/>
      <c r="D96" s="266"/>
      <c r="E96" s="167">
        <f>E93</f>
        <v>7750</v>
      </c>
      <c r="G96" s="529" t="s">
        <v>29</v>
      </c>
      <c r="I96" s="167">
        <f>I86</f>
        <v>1800</v>
      </c>
      <c r="M96" s="530">
        <f>E96*I96</f>
        <v>13950000</v>
      </c>
    </row>
    <row r="97" spans="1:22" ht="18" x14ac:dyDescent="0.25">
      <c r="A97" s="274" t="s">
        <v>248</v>
      </c>
      <c r="B97" s="266"/>
      <c r="C97" s="266"/>
      <c r="D97" s="266"/>
      <c r="M97" s="531">
        <f>IF($E$49=$E$48,E45,IF($I$49=$I$48,(I45+I46),IF($M$49=$M$48,(M45+M46+M47))))</f>
        <v>9900000</v>
      </c>
      <c r="N97" s="532"/>
    </row>
    <row r="98" spans="1:22" ht="18" x14ac:dyDescent="0.25">
      <c r="A98" s="264" t="s">
        <v>198</v>
      </c>
      <c r="B98" s="264"/>
      <c r="C98" s="264"/>
      <c r="D98" s="264"/>
      <c r="E98" s="195"/>
      <c r="F98" s="195"/>
      <c r="G98" s="195"/>
      <c r="H98" s="195"/>
      <c r="I98" s="195"/>
      <c r="J98" s="195"/>
      <c r="K98" s="195"/>
      <c r="L98" s="195"/>
      <c r="M98" s="533">
        <f>M96-M97</f>
        <v>4050000</v>
      </c>
    </row>
    <row r="99" spans="1:22" ht="18" x14ac:dyDescent="0.25">
      <c r="A99" s="266" t="s">
        <v>243</v>
      </c>
      <c r="B99" s="266"/>
      <c r="C99" s="266"/>
      <c r="D99" s="266"/>
      <c r="M99" s="530">
        <f>M3</f>
        <v>0</v>
      </c>
    </row>
    <row r="100" spans="1:22" ht="18.75" thickBot="1" x14ac:dyDescent="0.3">
      <c r="A100" s="266" t="s">
        <v>244</v>
      </c>
      <c r="B100" s="266"/>
      <c r="C100" s="266"/>
      <c r="D100" s="266"/>
      <c r="M100" s="534">
        <f>M98-M99</f>
        <v>4050000</v>
      </c>
    </row>
    <row r="101" spans="1:22" ht="13.5" thickTop="1" x14ac:dyDescent="0.2"/>
    <row r="102" spans="1:22" ht="15" x14ac:dyDescent="0.2">
      <c r="A102" s="535" t="s">
        <v>249</v>
      </c>
      <c r="B102" s="535"/>
      <c r="C102" s="535"/>
      <c r="D102" s="535"/>
      <c r="E102" s="535"/>
    </row>
    <row r="103" spans="1:22" ht="15" x14ac:dyDescent="0.2">
      <c r="A103" s="535" t="s">
        <v>250</v>
      </c>
      <c r="B103" s="535"/>
      <c r="C103" s="535"/>
      <c r="D103" s="535"/>
      <c r="E103" s="535"/>
      <c r="I103" s="167">
        <f>E93</f>
        <v>7750</v>
      </c>
      <c r="J103" s="167" t="s">
        <v>251</v>
      </c>
      <c r="K103" s="536">
        <f>I3-E93</f>
        <v>2250</v>
      </c>
      <c r="M103" s="537">
        <f>I103/K103*-1</f>
        <v>-3.4444444444444446</v>
      </c>
    </row>
    <row r="104" spans="1:22" ht="15" x14ac:dyDescent="0.2">
      <c r="A104" s="535" t="str">
        <f>IF(M103&gt;-1,"Uelastisk","Elastisk")</f>
        <v>Elastisk</v>
      </c>
      <c r="B104" s="535"/>
      <c r="C104" s="535"/>
      <c r="D104" s="535"/>
      <c r="E104" s="535"/>
    </row>
    <row r="107" spans="1:22" x14ac:dyDescent="0.2">
      <c r="A107" s="375"/>
      <c r="B107" s="375"/>
      <c r="C107" s="375"/>
      <c r="D107" s="375"/>
    </row>
    <row r="108" spans="1:22" x14ac:dyDescent="0.2">
      <c r="A108" s="375"/>
      <c r="B108" s="375"/>
      <c r="C108" s="375"/>
      <c r="D108" s="375"/>
      <c r="V108" s="195"/>
    </row>
    <row r="115" spans="1:22" ht="27" thickBot="1" x14ac:dyDescent="0.45">
      <c r="A115" s="375"/>
      <c r="B115" s="375"/>
      <c r="C115" s="375"/>
      <c r="D115" s="375"/>
      <c r="F115" s="392" t="s">
        <v>252</v>
      </c>
      <c r="G115" s="292"/>
      <c r="H115" s="292"/>
      <c r="I115" s="292"/>
      <c r="J115" s="293"/>
      <c r="K115" s="293"/>
      <c r="L115" s="293"/>
      <c r="N115" s="293"/>
      <c r="O115" s="293"/>
      <c r="P115" s="293"/>
      <c r="Q115" s="293"/>
      <c r="R115" s="375"/>
      <c r="S115" s="375"/>
      <c r="T115" s="375"/>
    </row>
    <row r="116" spans="1:22" ht="13.5" thickBot="1" x14ac:dyDescent="0.25">
      <c r="A116" s="538" t="s">
        <v>253</v>
      </c>
      <c r="B116" s="539"/>
      <c r="C116" s="539" t="s">
        <v>206</v>
      </c>
      <c r="D116" s="539"/>
      <c r="E116" s="540" t="s">
        <v>208</v>
      </c>
      <c r="F116" s="539" t="s">
        <v>254</v>
      </c>
      <c r="G116" s="539"/>
      <c r="H116" s="539"/>
      <c r="I116" s="539"/>
      <c r="J116" s="541" t="s">
        <v>198</v>
      </c>
      <c r="K116" s="542"/>
      <c r="L116" s="543"/>
      <c r="M116" s="540" t="s">
        <v>255</v>
      </c>
      <c r="N116" s="539" t="s">
        <v>244</v>
      </c>
      <c r="O116" s="539"/>
      <c r="P116" s="539"/>
      <c r="Q116" s="539"/>
      <c r="R116" s="539" t="s">
        <v>224</v>
      </c>
      <c r="S116" s="539"/>
      <c r="T116" s="539"/>
      <c r="U116" s="540" t="s">
        <v>256</v>
      </c>
      <c r="V116" s="544" t="s">
        <v>257</v>
      </c>
    </row>
    <row r="117" spans="1:22" ht="14.25" x14ac:dyDescent="0.2">
      <c r="A117" s="545">
        <f>$A$120*-60%+$A$120</f>
        <v>720</v>
      </c>
      <c r="B117" s="546"/>
      <c r="C117" s="547">
        <f t="shared" ref="C117:C124" si="1">A117*($E$90/$E$91)+$I$90</f>
        <v>9100</v>
      </c>
      <c r="D117" s="547"/>
      <c r="E117" s="548">
        <f t="shared" ref="E117:E124" si="2">C117*A117</f>
        <v>6552000</v>
      </c>
      <c r="F117" s="549">
        <f t="shared" ref="F117:F124" si="3">(POWER(A117,$P$5))*($N$5/$N$6)+($R$5*A117)</f>
        <v>3960000</v>
      </c>
      <c r="G117" s="546"/>
      <c r="H117" s="546"/>
      <c r="I117" s="546"/>
      <c r="J117" s="550">
        <f t="shared" ref="J117:J124" si="4">E117-F117</f>
        <v>2592000</v>
      </c>
      <c r="K117" s="551"/>
      <c r="L117" s="552"/>
      <c r="M117" s="553">
        <f t="shared" ref="M117:M124" si="5">$M$3</f>
        <v>0</v>
      </c>
      <c r="N117" s="549">
        <f t="shared" ref="N117:N124" si="6">J117-M117</f>
        <v>2592000</v>
      </c>
      <c r="O117" s="546"/>
      <c r="P117" s="546"/>
      <c r="Q117" s="546"/>
      <c r="R117" s="547">
        <f t="shared" ref="R117:R124" si="7">$I$11+($E$11/$E$12)*A117</f>
        <v>8200</v>
      </c>
      <c r="S117" s="547"/>
      <c r="T117" s="547"/>
      <c r="U117" s="554">
        <f t="shared" ref="U117:U124" si="8">$R$11+($N$11/$N$12)*A117</f>
        <v>5500</v>
      </c>
      <c r="V117" s="555">
        <f t="shared" ref="V117:V124" si="9">R117-U117</f>
        <v>2700</v>
      </c>
    </row>
    <row r="118" spans="1:22" ht="14.25" x14ac:dyDescent="0.2">
      <c r="A118" s="556">
        <f>$A$120*-40%+$A$120</f>
        <v>1080</v>
      </c>
      <c r="B118" s="557"/>
      <c r="C118" s="558">
        <f t="shared" si="1"/>
        <v>8650</v>
      </c>
      <c r="D118" s="558"/>
      <c r="E118" s="559">
        <f t="shared" si="2"/>
        <v>9342000</v>
      </c>
      <c r="F118" s="560">
        <f t="shared" si="3"/>
        <v>5940000</v>
      </c>
      <c r="G118" s="557"/>
      <c r="H118" s="557"/>
      <c r="I118" s="557"/>
      <c r="J118" s="561">
        <f t="shared" si="4"/>
        <v>3402000</v>
      </c>
      <c r="K118" s="562"/>
      <c r="L118" s="563"/>
      <c r="M118" s="564">
        <f t="shared" si="5"/>
        <v>0</v>
      </c>
      <c r="N118" s="560">
        <f t="shared" si="6"/>
        <v>3402000</v>
      </c>
      <c r="O118" s="557"/>
      <c r="P118" s="557"/>
      <c r="Q118" s="557"/>
      <c r="R118" s="558">
        <f t="shared" si="7"/>
        <v>7300</v>
      </c>
      <c r="S118" s="558"/>
      <c r="T118" s="558"/>
      <c r="U118" s="565">
        <f t="shared" si="8"/>
        <v>5500</v>
      </c>
      <c r="V118" s="566">
        <f t="shared" si="9"/>
        <v>1800</v>
      </c>
    </row>
    <row r="119" spans="1:22" ht="14.25" x14ac:dyDescent="0.2">
      <c r="A119" s="556">
        <f>$A$120*-20%+$A$120</f>
        <v>1440</v>
      </c>
      <c r="B119" s="557"/>
      <c r="C119" s="558">
        <f t="shared" si="1"/>
        <v>8200</v>
      </c>
      <c r="D119" s="558"/>
      <c r="E119" s="559">
        <f t="shared" si="2"/>
        <v>11808000</v>
      </c>
      <c r="F119" s="560">
        <f t="shared" si="3"/>
        <v>7920000</v>
      </c>
      <c r="G119" s="557"/>
      <c r="H119" s="557"/>
      <c r="I119" s="557"/>
      <c r="J119" s="561">
        <f t="shared" si="4"/>
        <v>3888000</v>
      </c>
      <c r="K119" s="562"/>
      <c r="L119" s="563"/>
      <c r="M119" s="564">
        <f t="shared" si="5"/>
        <v>0</v>
      </c>
      <c r="N119" s="560">
        <f t="shared" si="6"/>
        <v>3888000</v>
      </c>
      <c r="O119" s="557"/>
      <c r="P119" s="557"/>
      <c r="Q119" s="557"/>
      <c r="R119" s="558">
        <f t="shared" si="7"/>
        <v>6400</v>
      </c>
      <c r="S119" s="558"/>
      <c r="T119" s="558"/>
      <c r="U119" s="565">
        <f t="shared" si="8"/>
        <v>5500</v>
      </c>
      <c r="V119" s="566">
        <f t="shared" si="9"/>
        <v>900</v>
      </c>
    </row>
    <row r="120" spans="1:22" ht="14.25" x14ac:dyDescent="0.2">
      <c r="A120" s="556">
        <f>I86</f>
        <v>1800</v>
      </c>
      <c r="B120" s="567"/>
      <c r="C120" s="568">
        <f t="shared" si="1"/>
        <v>7750</v>
      </c>
      <c r="D120" s="568"/>
      <c r="E120" s="569">
        <f t="shared" si="2"/>
        <v>13950000</v>
      </c>
      <c r="F120" s="570">
        <f t="shared" si="3"/>
        <v>9900000</v>
      </c>
      <c r="G120" s="567"/>
      <c r="H120" s="567"/>
      <c r="I120" s="567"/>
      <c r="J120" s="571">
        <f t="shared" si="4"/>
        <v>4050000</v>
      </c>
      <c r="K120" s="572"/>
      <c r="L120" s="563"/>
      <c r="M120" s="573">
        <f t="shared" si="5"/>
        <v>0</v>
      </c>
      <c r="N120" s="570">
        <f t="shared" si="6"/>
        <v>4050000</v>
      </c>
      <c r="O120" s="567"/>
      <c r="P120" s="567"/>
      <c r="Q120" s="567"/>
      <c r="R120" s="568">
        <f t="shared" si="7"/>
        <v>5500</v>
      </c>
      <c r="S120" s="568"/>
      <c r="T120" s="568"/>
      <c r="U120" s="574">
        <f t="shared" si="8"/>
        <v>5500</v>
      </c>
      <c r="V120" s="575">
        <f t="shared" si="9"/>
        <v>0</v>
      </c>
    </row>
    <row r="121" spans="1:22" ht="14.25" x14ac:dyDescent="0.2">
      <c r="A121" s="556">
        <f>$A$120*20%+$A$120</f>
        <v>2160</v>
      </c>
      <c r="B121" s="557"/>
      <c r="C121" s="558">
        <f t="shared" si="1"/>
        <v>7300</v>
      </c>
      <c r="D121" s="558"/>
      <c r="E121" s="559">
        <f t="shared" si="2"/>
        <v>15768000</v>
      </c>
      <c r="F121" s="560">
        <f t="shared" si="3"/>
        <v>11880000</v>
      </c>
      <c r="G121" s="557"/>
      <c r="H121" s="557"/>
      <c r="I121" s="557"/>
      <c r="J121" s="561">
        <f t="shared" si="4"/>
        <v>3888000</v>
      </c>
      <c r="K121" s="562"/>
      <c r="L121" s="563"/>
      <c r="M121" s="564">
        <f t="shared" si="5"/>
        <v>0</v>
      </c>
      <c r="N121" s="560">
        <f t="shared" si="6"/>
        <v>3888000</v>
      </c>
      <c r="O121" s="557"/>
      <c r="P121" s="557"/>
      <c r="Q121" s="557"/>
      <c r="R121" s="558">
        <f t="shared" si="7"/>
        <v>4600</v>
      </c>
      <c r="S121" s="558"/>
      <c r="T121" s="558"/>
      <c r="U121" s="565">
        <f t="shared" si="8"/>
        <v>5500</v>
      </c>
      <c r="V121" s="566">
        <f t="shared" si="9"/>
        <v>-900</v>
      </c>
    </row>
    <row r="122" spans="1:22" ht="14.25" x14ac:dyDescent="0.2">
      <c r="A122" s="556">
        <f>$A$120*40%+$A$120</f>
        <v>2520</v>
      </c>
      <c r="B122" s="557"/>
      <c r="C122" s="558">
        <f t="shared" si="1"/>
        <v>6850</v>
      </c>
      <c r="D122" s="558"/>
      <c r="E122" s="559">
        <f t="shared" si="2"/>
        <v>17262000</v>
      </c>
      <c r="F122" s="560">
        <f t="shared" si="3"/>
        <v>13860000</v>
      </c>
      <c r="G122" s="557"/>
      <c r="H122" s="557"/>
      <c r="I122" s="557"/>
      <c r="J122" s="561">
        <f t="shared" si="4"/>
        <v>3402000</v>
      </c>
      <c r="K122" s="562"/>
      <c r="L122" s="563"/>
      <c r="M122" s="564">
        <f t="shared" si="5"/>
        <v>0</v>
      </c>
      <c r="N122" s="560">
        <f t="shared" si="6"/>
        <v>3402000</v>
      </c>
      <c r="O122" s="557"/>
      <c r="P122" s="557"/>
      <c r="Q122" s="557"/>
      <c r="R122" s="558">
        <f t="shared" si="7"/>
        <v>3700</v>
      </c>
      <c r="S122" s="558"/>
      <c r="T122" s="558"/>
      <c r="U122" s="565">
        <f t="shared" si="8"/>
        <v>5500</v>
      </c>
      <c r="V122" s="566">
        <f t="shared" si="9"/>
        <v>-1800</v>
      </c>
    </row>
    <row r="123" spans="1:22" ht="14.25" x14ac:dyDescent="0.2">
      <c r="A123" s="556">
        <f>$A$120*60%+$A$120</f>
        <v>2880</v>
      </c>
      <c r="B123" s="557"/>
      <c r="C123" s="558">
        <f t="shared" si="1"/>
        <v>6400</v>
      </c>
      <c r="D123" s="558"/>
      <c r="E123" s="559">
        <f t="shared" si="2"/>
        <v>18432000</v>
      </c>
      <c r="F123" s="560">
        <f t="shared" si="3"/>
        <v>15840000</v>
      </c>
      <c r="G123" s="557"/>
      <c r="H123" s="557"/>
      <c r="I123" s="557"/>
      <c r="J123" s="561">
        <f t="shared" si="4"/>
        <v>2592000</v>
      </c>
      <c r="K123" s="562"/>
      <c r="L123" s="563"/>
      <c r="M123" s="564">
        <f t="shared" si="5"/>
        <v>0</v>
      </c>
      <c r="N123" s="560">
        <f t="shared" si="6"/>
        <v>2592000</v>
      </c>
      <c r="O123" s="557"/>
      <c r="P123" s="557"/>
      <c r="Q123" s="557"/>
      <c r="R123" s="558">
        <f t="shared" si="7"/>
        <v>2800</v>
      </c>
      <c r="S123" s="558"/>
      <c r="T123" s="558"/>
      <c r="U123" s="565">
        <f t="shared" si="8"/>
        <v>5500</v>
      </c>
      <c r="V123" s="566">
        <f t="shared" si="9"/>
        <v>-2700</v>
      </c>
    </row>
    <row r="124" spans="1:22" ht="15" thickBot="1" x14ac:dyDescent="0.25">
      <c r="A124" s="576">
        <f>$A$120*80%+$A$120</f>
        <v>3240</v>
      </c>
      <c r="B124" s="577"/>
      <c r="C124" s="578">
        <f t="shared" si="1"/>
        <v>5950</v>
      </c>
      <c r="D124" s="578"/>
      <c r="E124" s="579">
        <f t="shared" si="2"/>
        <v>19278000</v>
      </c>
      <c r="F124" s="580">
        <f t="shared" si="3"/>
        <v>17820000</v>
      </c>
      <c r="G124" s="577"/>
      <c r="H124" s="577"/>
      <c r="I124" s="577"/>
      <c r="J124" s="581">
        <f t="shared" si="4"/>
        <v>1458000</v>
      </c>
      <c r="K124" s="582"/>
      <c r="L124" s="583"/>
      <c r="M124" s="584">
        <f t="shared" si="5"/>
        <v>0</v>
      </c>
      <c r="N124" s="580">
        <f t="shared" si="6"/>
        <v>1458000</v>
      </c>
      <c r="O124" s="577"/>
      <c r="P124" s="577"/>
      <c r="Q124" s="577"/>
      <c r="R124" s="578">
        <f t="shared" si="7"/>
        <v>1900</v>
      </c>
      <c r="S124" s="578"/>
      <c r="T124" s="578"/>
      <c r="U124" s="585">
        <f t="shared" si="8"/>
        <v>5500</v>
      </c>
      <c r="V124" s="586">
        <f t="shared" si="9"/>
        <v>-3600</v>
      </c>
    </row>
    <row r="125" spans="1:22" x14ac:dyDescent="0.2">
      <c r="A125" s="375"/>
      <c r="B125" s="375"/>
      <c r="C125" s="375"/>
      <c r="D125" s="375"/>
      <c r="F125" s="375"/>
      <c r="G125" s="375"/>
      <c r="H125" s="375"/>
      <c r="I125" s="375"/>
      <c r="J125" s="372"/>
      <c r="K125" s="372"/>
      <c r="L125" s="372"/>
      <c r="N125" s="375"/>
      <c r="O125" s="375"/>
      <c r="P125" s="375"/>
      <c r="Q125" s="375"/>
      <c r="R125" s="375"/>
      <c r="S125" s="375"/>
      <c r="T125" s="375"/>
    </row>
    <row r="126" spans="1:22" x14ac:dyDescent="0.2">
      <c r="A126" s="375"/>
      <c r="B126" s="375"/>
      <c r="C126" s="375"/>
      <c r="D126" s="375"/>
      <c r="F126" s="375"/>
      <c r="G126" s="375"/>
      <c r="H126" s="375"/>
      <c r="I126" s="375"/>
      <c r="J126" s="372"/>
      <c r="K126" s="372"/>
      <c r="L126" s="372"/>
      <c r="N126" s="375"/>
      <c r="O126" s="375"/>
      <c r="P126" s="375"/>
      <c r="Q126" s="375"/>
      <c r="R126" s="375"/>
      <c r="S126" s="375"/>
      <c r="T126" s="375"/>
    </row>
    <row r="127" spans="1:22" x14ac:dyDescent="0.2">
      <c r="A127" s="375"/>
      <c r="B127" s="375"/>
      <c r="C127" s="375"/>
      <c r="D127" s="375"/>
      <c r="F127" s="375"/>
      <c r="G127" s="375"/>
      <c r="H127" s="375"/>
      <c r="I127" s="375"/>
      <c r="J127" s="372"/>
      <c r="K127" s="372"/>
      <c r="L127" s="372"/>
      <c r="N127" s="375"/>
      <c r="O127" s="375"/>
      <c r="P127" s="375"/>
      <c r="Q127" s="375"/>
      <c r="R127" s="375"/>
      <c r="S127" s="375"/>
      <c r="T127" s="375"/>
    </row>
    <row r="128" spans="1:22" x14ac:dyDescent="0.2">
      <c r="A128" s="375"/>
      <c r="B128" s="375"/>
      <c r="C128" s="375"/>
      <c r="D128" s="375"/>
      <c r="F128" s="375"/>
      <c r="G128" s="375"/>
      <c r="H128" s="375"/>
      <c r="I128" s="375"/>
      <c r="J128" s="372"/>
      <c r="K128" s="372"/>
      <c r="L128" s="372"/>
      <c r="N128" s="375"/>
      <c r="O128" s="375"/>
      <c r="P128" s="375"/>
      <c r="Q128" s="375"/>
      <c r="R128" s="375"/>
      <c r="S128" s="375"/>
      <c r="T128" s="375"/>
    </row>
    <row r="129" spans="1:20" x14ac:dyDescent="0.2">
      <c r="A129" s="375"/>
      <c r="B129" s="375"/>
      <c r="C129" s="375"/>
      <c r="D129" s="375"/>
      <c r="F129" s="375"/>
      <c r="G129" s="375"/>
      <c r="H129" s="375"/>
      <c r="I129" s="375"/>
      <c r="J129" s="375"/>
      <c r="K129" s="375"/>
      <c r="L129" s="292"/>
      <c r="N129" s="375"/>
      <c r="O129" s="375"/>
      <c r="P129" s="375"/>
      <c r="Q129" s="375"/>
      <c r="R129" s="375"/>
      <c r="S129" s="375"/>
      <c r="T129" s="375"/>
    </row>
    <row r="130" spans="1:20" x14ac:dyDescent="0.2">
      <c r="A130" s="375"/>
      <c r="B130" s="375"/>
      <c r="C130" s="375"/>
      <c r="D130" s="375"/>
      <c r="F130" s="375"/>
      <c r="G130" s="375"/>
      <c r="H130" s="375"/>
      <c r="I130" s="375"/>
      <c r="J130" s="375"/>
      <c r="K130" s="375"/>
      <c r="L130" s="292"/>
      <c r="N130" s="375"/>
      <c r="O130" s="375"/>
      <c r="P130" s="375"/>
      <c r="Q130" s="375"/>
      <c r="R130" s="375"/>
      <c r="S130" s="375"/>
      <c r="T130" s="375"/>
    </row>
    <row r="131" spans="1:20" x14ac:dyDescent="0.2">
      <c r="A131" s="375"/>
      <c r="B131" s="375"/>
      <c r="C131" s="375"/>
      <c r="D131" s="375"/>
      <c r="F131" s="375"/>
      <c r="G131" s="375"/>
      <c r="H131" s="375"/>
      <c r="I131" s="375"/>
      <c r="J131" s="375"/>
      <c r="K131" s="375"/>
      <c r="L131" s="292"/>
      <c r="N131" s="375"/>
      <c r="O131" s="375"/>
      <c r="P131" s="375"/>
      <c r="Q131" s="375"/>
      <c r="R131" s="375"/>
      <c r="S131" s="375"/>
      <c r="T131" s="375"/>
    </row>
    <row r="132" spans="1:20" x14ac:dyDescent="0.2">
      <c r="A132" s="375"/>
      <c r="B132" s="375"/>
      <c r="C132" s="375"/>
      <c r="D132" s="375"/>
      <c r="F132" s="375"/>
      <c r="G132" s="375"/>
      <c r="H132" s="375"/>
      <c r="I132" s="375"/>
      <c r="J132" s="375"/>
      <c r="K132" s="375"/>
      <c r="L132" s="292"/>
      <c r="N132" s="375"/>
      <c r="O132" s="375"/>
      <c r="P132" s="375"/>
      <c r="Q132" s="375"/>
      <c r="R132" s="375"/>
      <c r="S132" s="375"/>
      <c r="T132" s="375"/>
    </row>
    <row r="133" spans="1:20" x14ac:dyDescent="0.2">
      <c r="A133" s="375"/>
      <c r="B133" s="375"/>
      <c r="C133" s="375"/>
      <c r="D133" s="375"/>
      <c r="F133" s="375"/>
      <c r="G133" s="375"/>
      <c r="H133" s="375"/>
      <c r="I133" s="375"/>
      <c r="J133" s="375"/>
      <c r="K133" s="375"/>
      <c r="L133" s="292"/>
      <c r="N133" s="375"/>
      <c r="O133" s="375"/>
      <c r="P133" s="375"/>
      <c r="Q133" s="375"/>
      <c r="R133" s="375"/>
      <c r="S133" s="375"/>
      <c r="T133" s="375"/>
    </row>
    <row r="134" spans="1:20" x14ac:dyDescent="0.2">
      <c r="A134" s="375"/>
      <c r="B134" s="375"/>
      <c r="C134" s="375"/>
      <c r="D134" s="375"/>
      <c r="F134" s="375"/>
      <c r="G134" s="375"/>
      <c r="H134" s="375"/>
      <c r="I134" s="375"/>
      <c r="J134" s="375"/>
      <c r="K134" s="375"/>
      <c r="L134" s="292"/>
      <c r="N134" s="375"/>
      <c r="O134" s="375"/>
      <c r="P134" s="375"/>
      <c r="Q134" s="375"/>
      <c r="R134" s="375"/>
      <c r="S134" s="375"/>
      <c r="T134" s="375"/>
    </row>
    <row r="135" spans="1:20" x14ac:dyDescent="0.2">
      <c r="A135" s="375"/>
      <c r="B135" s="375"/>
      <c r="C135" s="375"/>
      <c r="D135" s="375"/>
      <c r="F135" s="375"/>
      <c r="G135" s="375"/>
      <c r="H135" s="375"/>
      <c r="I135" s="375"/>
      <c r="J135" s="375"/>
      <c r="K135" s="375"/>
      <c r="L135" s="292"/>
      <c r="N135" s="375"/>
      <c r="O135" s="375"/>
      <c r="P135" s="375"/>
      <c r="Q135" s="375"/>
      <c r="R135" s="375"/>
      <c r="S135" s="375"/>
      <c r="T135" s="375"/>
    </row>
    <row r="136" spans="1:20" x14ac:dyDescent="0.2">
      <c r="A136" s="375"/>
      <c r="B136" s="375"/>
      <c r="C136" s="375"/>
      <c r="D136" s="375"/>
      <c r="F136" s="375"/>
      <c r="G136" s="375"/>
      <c r="H136" s="375"/>
      <c r="I136" s="375"/>
      <c r="J136" s="375"/>
      <c r="K136" s="375"/>
      <c r="L136" s="292"/>
      <c r="N136" s="375"/>
      <c r="O136" s="375"/>
      <c r="P136" s="375"/>
      <c r="Q136" s="375"/>
      <c r="R136" s="375"/>
      <c r="S136" s="375"/>
      <c r="T136" s="375"/>
    </row>
  </sheetData>
  <mergeCells count="226">
    <mergeCell ref="A136:B136"/>
    <mergeCell ref="C136:D136"/>
    <mergeCell ref="F136:I136"/>
    <mergeCell ref="J136:K136"/>
    <mergeCell ref="N136:Q136"/>
    <mergeCell ref="R136:T136"/>
    <mergeCell ref="A135:B135"/>
    <mergeCell ref="C135:D135"/>
    <mergeCell ref="F135:I135"/>
    <mergeCell ref="J135:K135"/>
    <mergeCell ref="N135:Q135"/>
    <mergeCell ref="R135:T135"/>
    <mergeCell ref="A134:B134"/>
    <mergeCell ref="C134:D134"/>
    <mergeCell ref="F134:I134"/>
    <mergeCell ref="J134:K134"/>
    <mergeCell ref="N134:Q134"/>
    <mergeCell ref="R134:T134"/>
    <mergeCell ref="A133:B133"/>
    <mergeCell ref="C133:D133"/>
    <mergeCell ref="F133:I133"/>
    <mergeCell ref="J133:K133"/>
    <mergeCell ref="N133:Q133"/>
    <mergeCell ref="R133:T133"/>
    <mergeCell ref="A132:B132"/>
    <mergeCell ref="C132:D132"/>
    <mergeCell ref="F132:I132"/>
    <mergeCell ref="J132:K132"/>
    <mergeCell ref="N132:Q132"/>
    <mergeCell ref="R132:T132"/>
    <mergeCell ref="A131:B131"/>
    <mergeCell ref="C131:D131"/>
    <mergeCell ref="F131:I131"/>
    <mergeCell ref="J131:K131"/>
    <mergeCell ref="N131:Q131"/>
    <mergeCell ref="R131:T131"/>
    <mergeCell ref="A130:B130"/>
    <mergeCell ref="C130:D130"/>
    <mergeCell ref="F130:I130"/>
    <mergeCell ref="J130:K130"/>
    <mergeCell ref="N130:Q130"/>
    <mergeCell ref="R130:T130"/>
    <mergeCell ref="A129:B129"/>
    <mergeCell ref="C129:D129"/>
    <mergeCell ref="F129:I129"/>
    <mergeCell ref="J129:K129"/>
    <mergeCell ref="N129:Q129"/>
    <mergeCell ref="R129:T129"/>
    <mergeCell ref="A128:B128"/>
    <mergeCell ref="C128:D128"/>
    <mergeCell ref="F128:I128"/>
    <mergeCell ref="J128:L128"/>
    <mergeCell ref="N128:Q128"/>
    <mergeCell ref="R128:T128"/>
    <mergeCell ref="A127:B127"/>
    <mergeCell ref="C127:D127"/>
    <mergeCell ref="F127:I127"/>
    <mergeCell ref="J127:L127"/>
    <mergeCell ref="N127:Q127"/>
    <mergeCell ref="R127:T127"/>
    <mergeCell ref="A126:B126"/>
    <mergeCell ref="C126:D126"/>
    <mergeCell ref="F126:I126"/>
    <mergeCell ref="J126:L126"/>
    <mergeCell ref="N126:Q126"/>
    <mergeCell ref="R126:T126"/>
    <mergeCell ref="A125:B125"/>
    <mergeCell ref="C125:D125"/>
    <mergeCell ref="F125:I125"/>
    <mergeCell ref="J125:L125"/>
    <mergeCell ref="N125:Q125"/>
    <mergeCell ref="R125:T125"/>
    <mergeCell ref="A124:B124"/>
    <mergeCell ref="C124:D124"/>
    <mergeCell ref="F124:I124"/>
    <mergeCell ref="J124:L124"/>
    <mergeCell ref="N124:Q124"/>
    <mergeCell ref="R124:T124"/>
    <mergeCell ref="A123:B123"/>
    <mergeCell ref="C123:D123"/>
    <mergeCell ref="F123:I123"/>
    <mergeCell ref="J123:L123"/>
    <mergeCell ref="N123:Q123"/>
    <mergeCell ref="R123:T123"/>
    <mergeCell ref="A122:B122"/>
    <mergeCell ref="C122:D122"/>
    <mergeCell ref="F122:I122"/>
    <mergeCell ref="J122:L122"/>
    <mergeCell ref="N122:Q122"/>
    <mergeCell ref="R122:T122"/>
    <mergeCell ref="A121:B121"/>
    <mergeCell ref="C121:D121"/>
    <mergeCell ref="F121:I121"/>
    <mergeCell ref="J121:L121"/>
    <mergeCell ref="N121:Q121"/>
    <mergeCell ref="R121:T121"/>
    <mergeCell ref="A120:B120"/>
    <mergeCell ref="C120:D120"/>
    <mergeCell ref="F120:I120"/>
    <mergeCell ref="J120:L120"/>
    <mergeCell ref="N120:Q120"/>
    <mergeCell ref="R120:T120"/>
    <mergeCell ref="A119:B119"/>
    <mergeCell ref="C119:D119"/>
    <mergeCell ref="F119:I119"/>
    <mergeCell ref="J119:L119"/>
    <mergeCell ref="N119:Q119"/>
    <mergeCell ref="R119:T119"/>
    <mergeCell ref="A118:B118"/>
    <mergeCell ref="C118:D118"/>
    <mergeCell ref="F118:I118"/>
    <mergeCell ref="J118:L118"/>
    <mergeCell ref="N118:Q118"/>
    <mergeCell ref="R118:T118"/>
    <mergeCell ref="A117:B117"/>
    <mergeCell ref="C117:D117"/>
    <mergeCell ref="F117:I117"/>
    <mergeCell ref="J117:L117"/>
    <mergeCell ref="N117:Q117"/>
    <mergeCell ref="R117:T117"/>
    <mergeCell ref="A115:B115"/>
    <mergeCell ref="C115:D115"/>
    <mergeCell ref="R115:T115"/>
    <mergeCell ref="A116:B116"/>
    <mergeCell ref="C116:D116"/>
    <mergeCell ref="F116:I116"/>
    <mergeCell ref="J116:L116"/>
    <mergeCell ref="N116:Q116"/>
    <mergeCell ref="R116:T116"/>
    <mergeCell ref="I90:I91"/>
    <mergeCell ref="A95:M95"/>
    <mergeCell ref="A107:B107"/>
    <mergeCell ref="C107:D107"/>
    <mergeCell ref="A108:B108"/>
    <mergeCell ref="C108:D108"/>
    <mergeCell ref="N80:N81"/>
    <mergeCell ref="O80:O81"/>
    <mergeCell ref="P80:R81"/>
    <mergeCell ref="K81:L81"/>
    <mergeCell ref="A85:H85"/>
    <mergeCell ref="B90:B91"/>
    <mergeCell ref="C90:C91"/>
    <mergeCell ref="D90:D91"/>
    <mergeCell ref="F90:F91"/>
    <mergeCell ref="H90:H91"/>
    <mergeCell ref="L23:M23"/>
    <mergeCell ref="A38:D38"/>
    <mergeCell ref="K79:L79"/>
    <mergeCell ref="F80:F81"/>
    <mergeCell ref="H80:H81"/>
    <mergeCell ref="I80:I81"/>
    <mergeCell ref="J80:J81"/>
    <mergeCell ref="K80:L80"/>
    <mergeCell ref="R19:R20"/>
    <mergeCell ref="S19:S20"/>
    <mergeCell ref="K21:K22"/>
    <mergeCell ref="L21:M22"/>
    <mergeCell ref="O21:O22"/>
    <mergeCell ref="Q21:Q22"/>
    <mergeCell ref="R21:R22"/>
    <mergeCell ref="L18:M18"/>
    <mergeCell ref="K19:K20"/>
    <mergeCell ref="L19:M20"/>
    <mergeCell ref="O19:O20"/>
    <mergeCell ref="P19:P20"/>
    <mergeCell ref="Q19:Q20"/>
    <mergeCell ref="S14:S15"/>
    <mergeCell ref="K16:K17"/>
    <mergeCell ref="L16:M17"/>
    <mergeCell ref="O16:O17"/>
    <mergeCell ref="P16:P17"/>
    <mergeCell ref="Q16:Q17"/>
    <mergeCell ref="R16:R17"/>
    <mergeCell ref="O11:O12"/>
    <mergeCell ref="Q11:Q12"/>
    <mergeCell ref="R11:R12"/>
    <mergeCell ref="L13:M13"/>
    <mergeCell ref="K14:K15"/>
    <mergeCell ref="L14:M15"/>
    <mergeCell ref="O14:O15"/>
    <mergeCell ref="P14:P15"/>
    <mergeCell ref="Q14:Q15"/>
    <mergeCell ref="R14:R15"/>
    <mergeCell ref="S8:S9"/>
    <mergeCell ref="T8:T9"/>
    <mergeCell ref="U8:U9"/>
    <mergeCell ref="A11:B12"/>
    <mergeCell ref="C11:D12"/>
    <mergeCell ref="F11:F12"/>
    <mergeCell ref="H11:H12"/>
    <mergeCell ref="I11:J12"/>
    <mergeCell ref="K11:K12"/>
    <mergeCell ref="L11:M12"/>
    <mergeCell ref="K8:K9"/>
    <mergeCell ref="L8:M9"/>
    <mergeCell ref="O8:O9"/>
    <mergeCell ref="P8:P9"/>
    <mergeCell ref="Q8:Q9"/>
    <mergeCell ref="R8:R9"/>
    <mergeCell ref="O5:O6"/>
    <mergeCell ref="P5:P6"/>
    <mergeCell ref="Q5:Q6"/>
    <mergeCell ref="S5:S6"/>
    <mergeCell ref="A6:B7"/>
    <mergeCell ref="C6:D7"/>
    <mergeCell ref="F6:F7"/>
    <mergeCell ref="G6:G7"/>
    <mergeCell ref="H6:H7"/>
    <mergeCell ref="I6:I7"/>
    <mergeCell ref="K3:K4"/>
    <mergeCell ref="L3:L4"/>
    <mergeCell ref="M3:N4"/>
    <mergeCell ref="A5:J5"/>
    <mergeCell ref="K5:K6"/>
    <mergeCell ref="L5:M6"/>
    <mergeCell ref="J6:J7"/>
    <mergeCell ref="A2:I2"/>
    <mergeCell ref="K2:U2"/>
    <mergeCell ref="A3:A4"/>
    <mergeCell ref="B3:B4"/>
    <mergeCell ref="C3:D4"/>
    <mergeCell ref="F3:F4"/>
    <mergeCell ref="G3:G4"/>
    <mergeCell ref="H3:H4"/>
    <mergeCell ref="I3:I4"/>
    <mergeCell ref="J3:J4"/>
  </mergeCells>
  <pageMargins left="0.39370078740157483" right="0.39370078740157483" top="0.39370078740157483" bottom="0.39370078740157483" header="0" footer="0"/>
  <pageSetup paperSize="9" scale="90" orientation="landscape"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22522-5027-4A29-A558-183C91E14165}">
  <sheetPr>
    <pageSetUpPr fitToPage="1"/>
  </sheetPr>
  <dimension ref="A1:L13"/>
  <sheetViews>
    <sheetView workbookViewId="0">
      <selection activeCell="J31" sqref="J31"/>
    </sheetView>
  </sheetViews>
  <sheetFormatPr defaultRowHeight="12.75" x14ac:dyDescent="0.2"/>
  <cols>
    <col min="1" max="1" width="9.28515625" style="167" bestFit="1" customWidth="1"/>
    <col min="2" max="2" width="14.28515625" style="167" bestFit="1" customWidth="1"/>
    <col min="3" max="3" width="10.5703125" style="167" customWidth="1"/>
    <col min="4" max="4" width="12.85546875" style="167" bestFit="1" customWidth="1"/>
    <col min="5" max="5" width="12" style="167" bestFit="1" customWidth="1"/>
    <col min="6" max="6" width="18.85546875" style="167" bestFit="1" customWidth="1"/>
    <col min="7" max="7" width="9.28515625" style="167" bestFit="1" customWidth="1"/>
    <col min="8" max="8" width="15.85546875" style="167" customWidth="1"/>
    <col min="9" max="9" width="9.28515625" style="167" bestFit="1" customWidth="1"/>
    <col min="10" max="10" width="12.85546875" style="167" bestFit="1" customWidth="1"/>
    <col min="11" max="11" width="9.28515625" style="167" bestFit="1" customWidth="1"/>
    <col min="12" max="12" width="12.85546875" style="167" bestFit="1" customWidth="1"/>
    <col min="13" max="16384" width="9.140625" style="167"/>
  </cols>
  <sheetData>
    <row r="1" spans="1:12" ht="24" thickBot="1" x14ac:dyDescent="0.4">
      <c r="E1" s="587" t="s">
        <v>258</v>
      </c>
    </row>
    <row r="2" spans="1:12" ht="15.75" x14ac:dyDescent="0.25">
      <c r="A2" s="588" t="str">
        <f>'3.1 MR=MC knæk i MC'!A3</f>
        <v>Afsætning</v>
      </c>
      <c r="B2" s="589"/>
      <c r="C2" s="590" t="s">
        <v>224</v>
      </c>
      <c r="D2" s="591"/>
      <c r="E2" s="592" t="str">
        <f>CONCATENATE('3.1 MR=MC knæk i MC'!K11," indtil ",F5)</f>
        <v>MC(1) indtil 3000</v>
      </c>
      <c r="F2" s="593"/>
      <c r="G2" s="588" t="str">
        <f>'3.1 MR=MC knæk i MC'!A23</f>
        <v>Max.kapacitet</v>
      </c>
      <c r="H2" s="589"/>
      <c r="I2" s="588" t="s">
        <v>259</v>
      </c>
      <c r="J2" s="589"/>
      <c r="K2" s="588" t="s">
        <v>238</v>
      </c>
      <c r="L2" s="589"/>
    </row>
    <row r="3" spans="1:12" ht="15" x14ac:dyDescent="0.2">
      <c r="A3" s="594" t="s">
        <v>206</v>
      </c>
      <c r="B3" s="595" t="s">
        <v>253</v>
      </c>
      <c r="C3" s="594" t="s">
        <v>206</v>
      </c>
      <c r="D3" s="595" t="str">
        <f>B3</f>
        <v>Mængde</v>
      </c>
      <c r="E3" s="594" t="s">
        <v>206</v>
      </c>
      <c r="F3" s="595" t="str">
        <f>D3</f>
        <v>Mængde</v>
      </c>
      <c r="G3" s="594" t="s">
        <v>260</v>
      </c>
      <c r="H3" s="595" t="s">
        <v>253</v>
      </c>
      <c r="I3" s="594" t="str">
        <f>G3</f>
        <v xml:space="preserve">Pris </v>
      </c>
      <c r="J3" s="595" t="str">
        <f>H3</f>
        <v>Mængde</v>
      </c>
      <c r="K3" s="594" t="str">
        <f>I3</f>
        <v xml:space="preserve">Pris </v>
      </c>
      <c r="L3" s="595" t="str">
        <f>J3</f>
        <v>Mængde</v>
      </c>
    </row>
    <row r="4" spans="1:12" ht="15" x14ac:dyDescent="0.2">
      <c r="A4" s="596">
        <f>'3.1 MR=MC knæk i MC'!I3</f>
        <v>10000</v>
      </c>
      <c r="B4" s="597">
        <v>0</v>
      </c>
      <c r="C4" s="596">
        <f>A4</f>
        <v>10000</v>
      </c>
      <c r="D4" s="597">
        <v>0</v>
      </c>
      <c r="E4" s="596">
        <f>'3.1 MR=MC knæk i MC'!R11</f>
        <v>5500</v>
      </c>
      <c r="F4" s="597">
        <f>B4</f>
        <v>0</v>
      </c>
      <c r="G4" s="596">
        <f>IF(C4=C5,0,C4)</f>
        <v>10000</v>
      </c>
      <c r="H4" s="597">
        <f>'3.1 MR=MC knæk i MC'!D23</f>
        <v>3000</v>
      </c>
      <c r="I4" s="596">
        <f>'3.1 MR=MC knæk i MC'!E93</f>
        <v>7750</v>
      </c>
      <c r="J4" s="597">
        <f>F4</f>
        <v>0</v>
      </c>
      <c r="K4" s="596">
        <v>0</v>
      </c>
      <c r="L4" s="597">
        <f>'3.1 MR=MC knæk i MC'!I86</f>
        <v>1800</v>
      </c>
    </row>
    <row r="5" spans="1:12" ht="15.75" thickBot="1" x14ac:dyDescent="0.25">
      <c r="A5" s="598">
        <f>IF('3.1 MR=MC knæk i MC'!E3/'3.1 MR=MC knæk i MC'!E4=0,A4,0)</f>
        <v>0</v>
      </c>
      <c r="B5" s="599">
        <f>C8+IF('3.1 MR=MC knæk i MC'!E3/'3.1 MR=MC knæk i MC'!E4=0,'3.1 MR=MC knæk i MC'!D23,'3.1 MR=MC knæk i MC'!I3/('3.1 MR=MC knæk i MC'!E3/'3.1 MR=MC knæk i MC'!E4)*-1)</f>
        <v>8000</v>
      </c>
      <c r="C5" s="598">
        <f>A5</f>
        <v>0</v>
      </c>
      <c r="D5" s="599">
        <f>IF('3.1 MR=MC knæk i MC'!E3/'3.1 MR=MC knæk i MC'!E4=0,B5,B5/2)</f>
        <v>4000</v>
      </c>
      <c r="E5" s="600">
        <f>(('3.1 MR=MC knæk i MC'!N13*'3.1 MR=MC knæk i MC'!N11)/'3.1 MR=MC knæk i MC'!N12)+'3.1 MR=MC knæk i MC'!R11</f>
        <v>5500</v>
      </c>
      <c r="F5" s="601">
        <f>IF('3.1 MR=MC knæk i MC'!N13=0,B5,'3.1 MR=MC knæk i MC'!N13)</f>
        <v>3000</v>
      </c>
      <c r="G5" s="600">
        <f>A5</f>
        <v>0</v>
      </c>
      <c r="H5" s="602">
        <f>'3.1 MR=MC knæk i MC'!D23</f>
        <v>3000</v>
      </c>
      <c r="I5" s="598">
        <f>'3.1 MR=MC knæk i MC'!E93</f>
        <v>7750</v>
      </c>
      <c r="J5" s="599">
        <f>L5</f>
        <v>1800</v>
      </c>
      <c r="K5" s="598">
        <f>I5</f>
        <v>7750</v>
      </c>
      <c r="L5" s="599">
        <f>'3.1 MR=MC knæk i MC'!I86</f>
        <v>1800</v>
      </c>
    </row>
    <row r="6" spans="1:12" ht="18.75" customHeight="1" x14ac:dyDescent="0.25">
      <c r="E6" s="592" t="str">
        <f>CONCATENATE('3.1 MR=MC knæk i MC'!K16," indtil ",'3.1 MR=MC knæk i MC'!N18)</f>
        <v>MC(2) indtil 0</v>
      </c>
      <c r="F6" s="593"/>
      <c r="G6" s="603" t="str">
        <f>CONCATENATE("relation ",'3.1 MR=MC knæk i MC'!K11," og ",'3.1 MR=MC knæk i MC'!K16)</f>
        <v>relation MC(1) og MC(2)</v>
      </c>
      <c r="H6" s="604"/>
    </row>
    <row r="7" spans="1:12" ht="15" x14ac:dyDescent="0.2">
      <c r="E7" s="594" t="s">
        <v>206</v>
      </c>
      <c r="F7" s="595" t="s">
        <v>253</v>
      </c>
      <c r="G7" s="605" t="str">
        <f>E7</f>
        <v>Pris</v>
      </c>
      <c r="H7" s="606" t="str">
        <f>F7</f>
        <v>Mængde</v>
      </c>
    </row>
    <row r="8" spans="1:12" ht="15" x14ac:dyDescent="0.2">
      <c r="E8" s="594">
        <f>'3.1 MR=MC knæk i MC'!N13*('3.1 MR=MC knæk i MC'!N16/'3.1 MR=MC knæk i MC'!N17)+'3.1 MR=MC knæk i MC'!R16</f>
        <v>0</v>
      </c>
      <c r="F8" s="595">
        <f>IF(E9=0,0,F5)</f>
        <v>0</v>
      </c>
      <c r="G8" s="607">
        <f>IF(E8=0,0,E5)</f>
        <v>0</v>
      </c>
      <c r="H8" s="607">
        <f>IF(F8=0,0,F5)</f>
        <v>0</v>
      </c>
    </row>
    <row r="9" spans="1:12" ht="15.75" thickBot="1" x14ac:dyDescent="0.25">
      <c r="E9" s="608">
        <f>'3.1 MR=MC knæk i MC'!N18*'3.1 MR=MC knæk i MC'!N16/'3.1 MR=MC knæk i MC'!N17+'3.1 MR=MC knæk i MC'!R16</f>
        <v>0</v>
      </c>
      <c r="F9" s="609">
        <f>'3.1 MR=MC knæk i MC'!N18</f>
        <v>0</v>
      </c>
      <c r="G9" s="610">
        <f>E8</f>
        <v>0</v>
      </c>
      <c r="H9" s="611">
        <f>F8</f>
        <v>0</v>
      </c>
    </row>
    <row r="10" spans="1:12" ht="20.25" customHeight="1" x14ac:dyDescent="0.25">
      <c r="E10" s="592" t="str">
        <f>CONCATENATE('3.1 MR=MC knæk i MC'!K21," indtil ",'3.1 MR=MC knæk i MC'!N23)</f>
        <v>MC(3) indtil 0</v>
      </c>
      <c r="F10" s="593"/>
      <c r="G10" s="603" t="str">
        <f>CONCATENATE("relation ",'3.1 MR=MC knæk i MC'!K16," og ",'3.1 MR=MC knæk i MC'!K21)</f>
        <v>relation MC(2) og MC(3)</v>
      </c>
      <c r="H10" s="604"/>
    </row>
    <row r="11" spans="1:12" ht="15" x14ac:dyDescent="0.2">
      <c r="E11" s="612" t="str">
        <f>E7</f>
        <v>Pris</v>
      </c>
      <c r="F11" s="613" t="str">
        <f>F7</f>
        <v>Mængde</v>
      </c>
      <c r="G11" s="605" t="str">
        <f>E11</f>
        <v>Pris</v>
      </c>
      <c r="H11" s="606" t="str">
        <f>F11</f>
        <v>Mængde</v>
      </c>
    </row>
    <row r="12" spans="1:12" ht="15" x14ac:dyDescent="0.2">
      <c r="E12" s="594">
        <f>'3.1 MR=MC knæk i MC'!N18*'3.1 MR=MC knæk i MC'!N21/'3.1 MR=MC knæk i MC'!N22+'3.1 MR=MC knæk i MC'!R21</f>
        <v>0</v>
      </c>
      <c r="F12" s="595">
        <f>IF(E12=0,0,'3.1 MR=MC knæk i MC'!N18)</f>
        <v>0</v>
      </c>
      <c r="G12" s="605">
        <f>IF(E12=0,0,E9)</f>
        <v>0</v>
      </c>
      <c r="H12" s="614">
        <f>IF(F12=0,0,F9)</f>
        <v>0</v>
      </c>
    </row>
    <row r="13" spans="1:12" ht="15.75" thickBot="1" x14ac:dyDescent="0.25">
      <c r="E13" s="615">
        <f>'3.1 MR=MC knæk i MC'!N23*'3.1 MR=MC knæk i MC'!N21/'3.1 MR=MC knæk i MC'!N22+'3.1 MR=MC knæk i MC'!R21</f>
        <v>0</v>
      </c>
      <c r="F13" s="616">
        <f>'3.1 MR=MC knæk i MC'!N23</f>
        <v>0</v>
      </c>
      <c r="G13" s="610">
        <f>E12</f>
        <v>0</v>
      </c>
      <c r="H13" s="611">
        <f>F12</f>
        <v>0</v>
      </c>
    </row>
  </sheetData>
  <mergeCells count="6">
    <mergeCell ref="C2:D2"/>
    <mergeCell ref="E2:F2"/>
    <mergeCell ref="E6:F6"/>
    <mergeCell ref="G6:H6"/>
    <mergeCell ref="E10:F10"/>
    <mergeCell ref="G10:H10"/>
  </mergeCells>
  <pageMargins left="0.75" right="0.75" top="1" bottom="1" header="0" footer="0"/>
  <pageSetup paperSize="9" scale="9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046B5-FC54-4A2C-8E0E-BF38F7926AE9}">
  <dimension ref="A1:E38"/>
  <sheetViews>
    <sheetView zoomScale="115" zoomScaleNormal="115" workbookViewId="0">
      <selection sqref="A1:E1"/>
    </sheetView>
  </sheetViews>
  <sheetFormatPr defaultRowHeight="12.75" x14ac:dyDescent="0.2"/>
  <cols>
    <col min="1" max="1" width="25" style="167" customWidth="1"/>
    <col min="2" max="2" width="15.7109375" style="167" customWidth="1"/>
    <col min="3" max="3" width="8.140625" style="167" customWidth="1"/>
    <col min="4" max="4" width="9.28515625" style="167" customWidth="1"/>
    <col min="5" max="5" width="16.28515625" style="167" customWidth="1"/>
    <col min="6" max="16384" width="9.140625" style="167"/>
  </cols>
  <sheetData>
    <row r="1" spans="1:5" ht="24" thickBot="1" x14ac:dyDescent="0.4">
      <c r="A1" s="370" t="str">
        <f>CONCATENATE("Resultatbudget for"," ",B2+1)</f>
        <v>Resultatbudget for 2019</v>
      </c>
      <c r="B1" s="370"/>
      <c r="C1" s="370"/>
      <c r="D1" s="370"/>
      <c r="E1" s="371"/>
    </row>
    <row r="2" spans="1:5" ht="25.5" x14ac:dyDescent="0.2">
      <c r="A2" s="168"/>
      <c r="B2" s="169">
        <v>2018</v>
      </c>
      <c r="C2" s="170" t="s">
        <v>105</v>
      </c>
      <c r="D2" s="171" t="s">
        <v>106</v>
      </c>
      <c r="E2" s="172" t="str">
        <f>CONCATENATE("Budget",  B2+1)</f>
        <v>Budget2019</v>
      </c>
    </row>
    <row r="3" spans="1:5" x14ac:dyDescent="0.2">
      <c r="A3" s="173" t="s">
        <v>107</v>
      </c>
      <c r="B3" s="174">
        <v>328000</v>
      </c>
      <c r="C3" s="285">
        <v>1.0249999999999999</v>
      </c>
      <c r="D3" s="175">
        <v>1.03</v>
      </c>
      <c r="E3" s="176">
        <f>B3*C3*D3</f>
        <v>346285.99999999994</v>
      </c>
    </row>
    <row r="4" spans="1:5" x14ac:dyDescent="0.2">
      <c r="A4" s="177" t="s">
        <v>108</v>
      </c>
      <c r="B4" s="174">
        <v>252000</v>
      </c>
      <c r="C4" s="285">
        <v>1.03</v>
      </c>
      <c r="D4" s="178">
        <f>D3</f>
        <v>1.03</v>
      </c>
      <c r="E4" s="176">
        <f>B4*C4*D4</f>
        <v>267346.8</v>
      </c>
    </row>
    <row r="5" spans="1:5" hidden="1" x14ac:dyDescent="0.2">
      <c r="A5" s="173" t="str">
        <f>IF(A4="Råvarer","Arbejdsløn","-")</f>
        <v>-</v>
      </c>
      <c r="B5" s="174">
        <v>0</v>
      </c>
      <c r="C5" s="175">
        <v>0</v>
      </c>
      <c r="D5" s="178">
        <f>D3</f>
        <v>1.03</v>
      </c>
      <c r="E5" s="176">
        <f>B5*C5*D5</f>
        <v>0</v>
      </c>
    </row>
    <row r="6" spans="1:5" x14ac:dyDescent="0.2">
      <c r="A6" s="179" t="s">
        <v>109</v>
      </c>
      <c r="B6" s="180">
        <f>B3-B4-B5</f>
        <v>76000</v>
      </c>
      <c r="C6" s="181"/>
      <c r="D6" s="181"/>
      <c r="E6" s="182">
        <f>E3-E5-E4</f>
        <v>78939.199999999953</v>
      </c>
    </row>
    <row r="7" spans="1:5" x14ac:dyDescent="0.2">
      <c r="A7" s="173" t="s">
        <v>183</v>
      </c>
      <c r="B7" s="174">
        <v>42000</v>
      </c>
      <c r="C7" s="175">
        <v>1</v>
      </c>
      <c r="D7" s="183">
        <f>D3</f>
        <v>1.03</v>
      </c>
      <c r="E7" s="176">
        <f>B7*C7*D7</f>
        <v>43260</v>
      </c>
    </row>
    <row r="8" spans="1:5" x14ac:dyDescent="0.2">
      <c r="A8" s="179" t="s">
        <v>110</v>
      </c>
      <c r="B8" s="180">
        <f>B6-B7</f>
        <v>34000</v>
      </c>
      <c r="C8" s="181"/>
      <c r="D8" s="181"/>
      <c r="E8" s="182">
        <f>E6-E7</f>
        <v>35679.199999999953</v>
      </c>
    </row>
    <row r="9" spans="1:5" x14ac:dyDescent="0.2">
      <c r="A9" s="173" t="s">
        <v>111</v>
      </c>
      <c r="B9" s="174">
        <v>0</v>
      </c>
      <c r="C9" s="175">
        <v>0</v>
      </c>
      <c r="D9" s="183"/>
      <c r="E9" s="176">
        <f>B9*C9</f>
        <v>0</v>
      </c>
    </row>
    <row r="10" spans="1:5" x14ac:dyDescent="0.2">
      <c r="A10" s="179" t="s">
        <v>112</v>
      </c>
      <c r="B10" s="180">
        <f>B8-B9</f>
        <v>34000</v>
      </c>
      <c r="C10" s="181"/>
      <c r="D10" s="181"/>
      <c r="E10" s="182">
        <f>E8-E9</f>
        <v>35679.199999999953</v>
      </c>
    </row>
    <row r="11" spans="1:5" x14ac:dyDescent="0.2">
      <c r="A11" s="173" t="s">
        <v>113</v>
      </c>
      <c r="B11" s="174">
        <v>21000</v>
      </c>
      <c r="C11" s="175">
        <v>600</v>
      </c>
      <c r="D11" s="183"/>
      <c r="E11" s="176">
        <f>B11+C11</f>
        <v>21600</v>
      </c>
    </row>
    <row r="12" spans="1:5" hidden="1" x14ac:dyDescent="0.2">
      <c r="A12" s="173" t="s">
        <v>114</v>
      </c>
      <c r="B12" s="174">
        <v>0</v>
      </c>
      <c r="C12" s="175"/>
      <c r="D12" s="183"/>
      <c r="E12" s="176">
        <f>B12*C12</f>
        <v>0</v>
      </c>
    </row>
    <row r="13" spans="1:5" hidden="1" x14ac:dyDescent="0.2">
      <c r="A13" s="173" t="s">
        <v>115</v>
      </c>
      <c r="B13" s="174">
        <v>0</v>
      </c>
      <c r="C13" s="175"/>
      <c r="D13" s="183"/>
      <c r="E13" s="176">
        <f>B13*C13</f>
        <v>0</v>
      </c>
    </row>
    <row r="14" spans="1:5" hidden="1" x14ac:dyDescent="0.2">
      <c r="A14" s="184" t="s">
        <v>116</v>
      </c>
      <c r="B14" s="174">
        <v>0</v>
      </c>
      <c r="C14" s="175"/>
      <c r="D14" s="183"/>
      <c r="E14" s="176">
        <f>B14*C14</f>
        <v>0</v>
      </c>
    </row>
    <row r="15" spans="1:5" hidden="1" x14ac:dyDescent="0.2">
      <c r="A15" s="173"/>
      <c r="B15" s="174">
        <v>0</v>
      </c>
      <c r="C15" s="175"/>
      <c r="D15" s="183"/>
      <c r="E15" s="176">
        <f>B15*C15</f>
        <v>0</v>
      </c>
    </row>
    <row r="16" spans="1:5" x14ac:dyDescent="0.2">
      <c r="A16" s="179" t="s">
        <v>117</v>
      </c>
      <c r="B16" s="180">
        <f>B10-SUM(B11:B15)</f>
        <v>13000</v>
      </c>
      <c r="C16" s="180"/>
      <c r="D16" s="180"/>
      <c r="E16" s="182">
        <f>E10-SUM(E11:E15)</f>
        <v>14079.199999999953</v>
      </c>
    </row>
    <row r="17" spans="1:5" x14ac:dyDescent="0.2">
      <c r="A17" s="173" t="s">
        <v>118</v>
      </c>
      <c r="B17" s="174">
        <v>2600</v>
      </c>
      <c r="C17" s="175">
        <v>0</v>
      </c>
      <c r="D17" s="183"/>
      <c r="E17" s="176">
        <f>600+2400</f>
        <v>3000</v>
      </c>
    </row>
    <row r="18" spans="1:5" x14ac:dyDescent="0.2">
      <c r="A18" s="179" t="s">
        <v>119</v>
      </c>
      <c r="B18" s="185">
        <f>B16-B17</f>
        <v>10400</v>
      </c>
      <c r="C18" s="186"/>
      <c r="D18" s="186"/>
      <c r="E18" s="187">
        <f>E16-E17</f>
        <v>11079.199999999953</v>
      </c>
    </row>
    <row r="19" spans="1:5" x14ac:dyDescent="0.2">
      <c r="A19" s="173" t="s">
        <v>120</v>
      </c>
      <c r="B19" s="174">
        <v>1600</v>
      </c>
      <c r="C19" s="175">
        <v>1.1599999999999999</v>
      </c>
      <c r="D19" s="183"/>
      <c r="E19" s="176">
        <v>1900</v>
      </c>
    </row>
    <row r="20" spans="1:5" hidden="1" x14ac:dyDescent="0.2">
      <c r="A20" s="173" t="s">
        <v>121</v>
      </c>
      <c r="B20" s="174">
        <v>0</v>
      </c>
      <c r="C20" s="175">
        <v>1</v>
      </c>
      <c r="D20" s="183"/>
      <c r="E20" s="176">
        <f>B20*C20</f>
        <v>0</v>
      </c>
    </row>
    <row r="21" spans="1:5" hidden="1" x14ac:dyDescent="0.2">
      <c r="A21" s="179" t="s">
        <v>122</v>
      </c>
      <c r="B21" s="185">
        <f>B18-B19+B20</f>
        <v>8800</v>
      </c>
      <c r="C21" s="186"/>
      <c r="D21" s="186"/>
      <c r="E21" s="187">
        <f>E18-E19+E20</f>
        <v>9179.1999999999534</v>
      </c>
    </row>
    <row r="22" spans="1:5" hidden="1" x14ac:dyDescent="0.2">
      <c r="A22" s="173" t="s">
        <v>123</v>
      </c>
      <c r="B22" s="174">
        <v>0</v>
      </c>
      <c r="C22" s="175">
        <v>0</v>
      </c>
      <c r="D22" s="183"/>
      <c r="E22" s="176">
        <f>B22*C22</f>
        <v>0</v>
      </c>
    </row>
    <row r="23" spans="1:5" x14ac:dyDescent="0.2">
      <c r="A23" s="179" t="s">
        <v>124</v>
      </c>
      <c r="B23" s="185">
        <f>B21-B22</f>
        <v>8800</v>
      </c>
      <c r="C23" s="186"/>
      <c r="D23" s="186"/>
      <c r="E23" s="187">
        <f>E21-E22</f>
        <v>9179.1999999999534</v>
      </c>
    </row>
    <row r="24" spans="1:5" x14ac:dyDescent="0.2">
      <c r="A24" s="173" t="s">
        <v>125</v>
      </c>
      <c r="B24" s="188">
        <v>1936</v>
      </c>
      <c r="C24" s="189"/>
      <c r="D24" s="190">
        <v>0.22</v>
      </c>
      <c r="E24" s="187">
        <f>E23*D24</f>
        <v>2019.4239999999897</v>
      </c>
    </row>
    <row r="25" spans="1:5" ht="13.5" thickBot="1" x14ac:dyDescent="0.25">
      <c r="A25" s="191" t="s">
        <v>67</v>
      </c>
      <c r="B25" s="192">
        <f>B23-B24</f>
        <v>6864</v>
      </c>
      <c r="C25" s="193"/>
      <c r="D25" s="193"/>
      <c r="E25" s="194">
        <f>E23-E24</f>
        <v>7159.7759999999635</v>
      </c>
    </row>
    <row r="26" spans="1:5" ht="13.5" thickTop="1" x14ac:dyDescent="0.2"/>
    <row r="27" spans="1:5" x14ac:dyDescent="0.2">
      <c r="A27" s="195" t="s">
        <v>126</v>
      </c>
    </row>
    <row r="28" spans="1:5" x14ac:dyDescent="0.2">
      <c r="A28" s="167" t="s">
        <v>127</v>
      </c>
      <c r="B28" s="196">
        <v>4000</v>
      </c>
      <c r="C28" s="89"/>
      <c r="D28" s="89"/>
      <c r="E28" s="196">
        <v>0</v>
      </c>
    </row>
    <row r="29" spans="1:5" x14ac:dyDescent="0.2">
      <c r="A29" s="195" t="s">
        <v>128</v>
      </c>
      <c r="B29" s="197">
        <f>B25-B28</f>
        <v>2864</v>
      </c>
      <c r="C29" s="89"/>
      <c r="D29" s="89"/>
      <c r="E29" s="197">
        <f>E25-E28</f>
        <v>7159.7759999999635</v>
      </c>
    </row>
    <row r="30" spans="1:5" x14ac:dyDescent="0.2">
      <c r="B30" s="198">
        <f>SUM(B28:B29)</f>
        <v>6864</v>
      </c>
      <c r="C30" s="89"/>
      <c r="D30" s="89"/>
      <c r="E30" s="198">
        <f>SUM(E28:E29)</f>
        <v>7159.7759999999635</v>
      </c>
    </row>
    <row r="31" spans="1:5" x14ac:dyDescent="0.2">
      <c r="A31" s="195"/>
      <c r="E31" s="199"/>
    </row>
    <row r="32" spans="1:5" x14ac:dyDescent="0.2">
      <c r="A32" s="195"/>
      <c r="E32" s="199"/>
    </row>
    <row r="33" spans="1:5" x14ac:dyDescent="0.2">
      <c r="B33" s="167">
        <f>B2</f>
        <v>2018</v>
      </c>
      <c r="C33" s="372" t="s">
        <v>129</v>
      </c>
      <c r="D33" s="372"/>
      <c r="E33" s="167">
        <f>B33+1</f>
        <v>2019</v>
      </c>
    </row>
    <row r="34" spans="1:5" x14ac:dyDescent="0.2">
      <c r="A34" s="167" t="s">
        <v>130</v>
      </c>
      <c r="B34" s="200">
        <v>15000</v>
      </c>
      <c r="C34" s="373">
        <v>-2000</v>
      </c>
      <c r="D34" s="373"/>
      <c r="E34" s="198">
        <f>B34+C34</f>
        <v>13000</v>
      </c>
    </row>
    <row r="36" spans="1:5" hidden="1" x14ac:dyDescent="0.2">
      <c r="A36" s="201" t="s">
        <v>131</v>
      </c>
      <c r="B36" s="202" t="str">
        <f>IF(C36&gt;0,"incl. moms","excl. moms")</f>
        <v>excl. moms</v>
      </c>
      <c r="C36" s="374">
        <v>0</v>
      </c>
      <c r="D36" s="375"/>
    </row>
    <row r="37" spans="1:5" hidden="1" x14ac:dyDescent="0.2"/>
    <row r="38" spans="1:5" hidden="1" x14ac:dyDescent="0.2">
      <c r="A38" s="195" t="s">
        <v>132</v>
      </c>
      <c r="C38" s="376">
        <v>0</v>
      </c>
      <c r="D38" s="376"/>
    </row>
  </sheetData>
  <mergeCells count="5">
    <mergeCell ref="A1:E1"/>
    <mergeCell ref="C33:D33"/>
    <mergeCell ref="C34:D34"/>
    <mergeCell ref="C36:D36"/>
    <mergeCell ref="C38:D38"/>
  </mergeCells>
  <pageMargins left="0.59055118110236227" right="0.39370078740157483" top="0.98425196850393704" bottom="0.98425196850393704" header="0" footer="0"/>
  <pageSetup paperSize="9" scale="118"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A3D9B-3CD8-4A37-90C9-496CBE77683E}">
  <dimension ref="A1:J47"/>
  <sheetViews>
    <sheetView zoomScale="115" zoomScaleNormal="115" workbookViewId="0">
      <selection activeCell="G21" sqref="G21"/>
    </sheetView>
  </sheetViews>
  <sheetFormatPr defaultRowHeight="12.75" x14ac:dyDescent="0.2"/>
  <cols>
    <col min="1" max="1" width="22.7109375" style="167" customWidth="1"/>
    <col min="2" max="2" width="11.28515625" style="167" customWidth="1"/>
    <col min="3" max="3" width="10.42578125" style="167" customWidth="1"/>
    <col min="4" max="4" width="9.85546875" style="167" customWidth="1"/>
    <col min="5" max="5" width="11.5703125" style="167" customWidth="1"/>
    <col min="6" max="6" width="21.7109375" style="167" customWidth="1"/>
    <col min="7" max="7" width="14.5703125" style="167" customWidth="1"/>
    <col min="8" max="8" width="9.140625" style="167"/>
    <col min="9" max="9" width="13.140625" style="167" customWidth="1"/>
    <col min="10" max="16384" width="9.140625" style="167"/>
  </cols>
  <sheetData>
    <row r="1" spans="1:9" ht="23.25" x14ac:dyDescent="0.35">
      <c r="A1" s="387" t="s">
        <v>133</v>
      </c>
      <c r="B1" s="375"/>
      <c r="C1" s="375"/>
      <c r="D1" s="375"/>
      <c r="E1" s="375"/>
      <c r="F1" s="375"/>
      <c r="G1" s="375"/>
      <c r="H1" s="375"/>
      <c r="I1" s="375"/>
    </row>
    <row r="2" spans="1:9" ht="13.5" thickBot="1" x14ac:dyDescent="0.25">
      <c r="A2" s="167" t="s">
        <v>134</v>
      </c>
      <c r="B2" s="167" t="str">
        <f>CONCATENATE("31/12-",'opg 4 Resultatbudget'!B2)</f>
        <v>31/12-2018</v>
      </c>
      <c r="E2" s="167" t="str">
        <f>CONCATENATE("31/12-",'opg 4 Resultatbudget'!B2+1)</f>
        <v>31/12-2019</v>
      </c>
      <c r="F2" s="167" t="s">
        <v>135</v>
      </c>
      <c r="G2" s="167" t="str">
        <f>B2</f>
        <v>31/12-2018</v>
      </c>
      <c r="H2" s="167" t="s">
        <v>129</v>
      </c>
      <c r="I2" s="167" t="str">
        <f>E2</f>
        <v>31/12-2019</v>
      </c>
    </row>
    <row r="3" spans="1:9" x14ac:dyDescent="0.2">
      <c r="A3" s="203" t="s">
        <v>136</v>
      </c>
      <c r="B3" s="204"/>
      <c r="C3" s="205" t="s">
        <v>137</v>
      </c>
      <c r="D3" s="206" t="s">
        <v>138</v>
      </c>
      <c r="E3" s="207"/>
      <c r="F3" s="208" t="s">
        <v>139</v>
      </c>
      <c r="G3" s="209"/>
      <c r="H3" s="209"/>
      <c r="I3" s="210"/>
    </row>
    <row r="4" spans="1:9" x14ac:dyDescent="0.2">
      <c r="A4" s="184" t="s">
        <v>136</v>
      </c>
      <c r="B4" s="211">
        <v>0</v>
      </c>
      <c r="C4" s="211">
        <v>0</v>
      </c>
      <c r="D4" s="212">
        <v>0</v>
      </c>
      <c r="E4" s="213">
        <f>B4+C4-D4</f>
        <v>0</v>
      </c>
      <c r="F4" s="214" t="s">
        <v>140</v>
      </c>
      <c r="G4" s="215">
        <v>5000</v>
      </c>
      <c r="H4" s="216">
        <f>'opg 4 Resultatbudget'!C38</f>
        <v>0</v>
      </c>
      <c r="I4" s="217">
        <f>IF(F4="Aktiekapital",G4+H4,G8)</f>
        <v>5000</v>
      </c>
    </row>
    <row r="5" spans="1:9" x14ac:dyDescent="0.2">
      <c r="A5" s="184"/>
      <c r="B5" s="211">
        <v>0</v>
      </c>
      <c r="C5" s="211">
        <v>0</v>
      </c>
      <c r="D5" s="212"/>
      <c r="E5" s="213">
        <f t="shared" ref="E5:E13" si="0">B5+C5-D5</f>
        <v>0</v>
      </c>
      <c r="F5" s="218" t="s">
        <v>128</v>
      </c>
      <c r="G5" s="219">
        <v>26500</v>
      </c>
      <c r="H5" s="213"/>
      <c r="I5" s="220">
        <f>G5+G6</f>
        <v>29364</v>
      </c>
    </row>
    <row r="6" spans="1:9" x14ac:dyDescent="0.2">
      <c r="A6" s="221" t="s">
        <v>141</v>
      </c>
      <c r="B6" s="211">
        <v>12500</v>
      </c>
      <c r="C6" s="211">
        <f>6300-2000</f>
        <v>4300</v>
      </c>
      <c r="D6" s="212">
        <v>600</v>
      </c>
      <c r="E6" s="213">
        <f t="shared" si="0"/>
        <v>16200</v>
      </c>
      <c r="F6" s="222" t="s">
        <v>142</v>
      </c>
      <c r="G6" s="219">
        <v>2864</v>
      </c>
      <c r="H6" s="213">
        <f>IF(F4="Aktiekapital",'opg 4 Resultatbudget'!E29,'opg 4 Resultatbudget'!E25)</f>
        <v>7159.7759999999635</v>
      </c>
      <c r="I6" s="220">
        <f>H6</f>
        <v>7159.7759999999635</v>
      </c>
    </row>
    <row r="7" spans="1:9" x14ac:dyDescent="0.2">
      <c r="A7" s="221" t="s">
        <v>184</v>
      </c>
      <c r="B7" s="211">
        <v>18700</v>
      </c>
      <c r="C7" s="211">
        <f>6900-1400</f>
        <v>5500</v>
      </c>
      <c r="D7" s="212">
        <v>2400</v>
      </c>
      <c r="E7" s="213">
        <f t="shared" si="0"/>
        <v>21800</v>
      </c>
      <c r="F7" s="222"/>
      <c r="G7" s="219">
        <v>0</v>
      </c>
      <c r="H7" s="213">
        <f>I7*-1</f>
        <v>0</v>
      </c>
      <c r="I7" s="223">
        <v>0</v>
      </c>
    </row>
    <row r="8" spans="1:9" x14ac:dyDescent="0.2">
      <c r="A8" s="221"/>
      <c r="B8" s="211">
        <v>0</v>
      </c>
      <c r="C8" s="211">
        <v>0</v>
      </c>
      <c r="D8" s="212"/>
      <c r="E8" s="213">
        <f t="shared" si="0"/>
        <v>0</v>
      </c>
      <c r="F8" s="224" t="s">
        <v>143</v>
      </c>
      <c r="G8" s="225">
        <f>G4+G5+G6-G7</f>
        <v>34364</v>
      </c>
      <c r="H8" s="225">
        <f>SUM(H4:H7)</f>
        <v>7159.7759999999635</v>
      </c>
      <c r="I8" s="226">
        <f>I4+I5+I6-I7</f>
        <v>41523.775999999962</v>
      </c>
    </row>
    <row r="9" spans="1:9" x14ac:dyDescent="0.2">
      <c r="A9" s="221"/>
      <c r="B9" s="211">
        <v>0</v>
      </c>
      <c r="C9" s="211">
        <v>0</v>
      </c>
      <c r="D9" s="212"/>
      <c r="E9" s="213">
        <f t="shared" si="0"/>
        <v>0</v>
      </c>
      <c r="F9" s="227" t="s">
        <v>144</v>
      </c>
      <c r="G9" s="228"/>
      <c r="H9" s="213"/>
      <c r="I9" s="220">
        <f>G9+H9</f>
        <v>0</v>
      </c>
    </row>
    <row r="10" spans="1:9" x14ac:dyDescent="0.2">
      <c r="A10" s="229"/>
      <c r="B10" s="211">
        <v>0</v>
      </c>
      <c r="C10" s="211">
        <v>0</v>
      </c>
      <c r="D10" s="212"/>
      <c r="E10" s="213">
        <f t="shared" si="0"/>
        <v>0</v>
      </c>
      <c r="F10" s="218" t="s">
        <v>145</v>
      </c>
      <c r="G10" s="213"/>
      <c r="H10" s="213"/>
      <c r="I10" s="220">
        <f>G10+H10</f>
        <v>0</v>
      </c>
    </row>
    <row r="11" spans="1:9" x14ac:dyDescent="0.2">
      <c r="A11" s="229"/>
      <c r="B11" s="211">
        <v>0</v>
      </c>
      <c r="C11" s="211">
        <v>0</v>
      </c>
      <c r="D11" s="212"/>
      <c r="E11" s="213">
        <f t="shared" si="0"/>
        <v>0</v>
      </c>
      <c r="F11" s="221" t="s">
        <v>146</v>
      </c>
      <c r="G11" s="213"/>
      <c r="H11" s="219">
        <v>6000</v>
      </c>
      <c r="I11" s="220">
        <f>G11+H11</f>
        <v>6000</v>
      </c>
    </row>
    <row r="12" spans="1:9" x14ac:dyDescent="0.2">
      <c r="A12" s="229"/>
      <c r="B12" s="211">
        <v>0</v>
      </c>
      <c r="C12" s="211">
        <v>0</v>
      </c>
      <c r="D12" s="212"/>
      <c r="E12" s="213">
        <f t="shared" si="0"/>
        <v>0</v>
      </c>
      <c r="F12" s="221"/>
      <c r="G12" s="219">
        <v>0</v>
      </c>
      <c r="H12" s="219">
        <v>0</v>
      </c>
      <c r="I12" s="220">
        <f>G12+H12</f>
        <v>0</v>
      </c>
    </row>
    <row r="13" spans="1:9" x14ac:dyDescent="0.2">
      <c r="A13" s="229"/>
      <c r="B13" s="211">
        <v>0</v>
      </c>
      <c r="C13" s="211">
        <v>0</v>
      </c>
      <c r="D13" s="212"/>
      <c r="E13" s="213">
        <f t="shared" si="0"/>
        <v>0</v>
      </c>
      <c r="F13" s="229" t="s">
        <v>147</v>
      </c>
      <c r="G13" s="219">
        <v>21000</v>
      </c>
      <c r="H13" s="219">
        <v>-2500</v>
      </c>
      <c r="I13" s="220">
        <f>G13+H13</f>
        <v>18500</v>
      </c>
    </row>
    <row r="14" spans="1:9" x14ac:dyDescent="0.2">
      <c r="A14" s="230" t="s">
        <v>148</v>
      </c>
      <c r="B14" s="231">
        <f>SUM(B4:B13)</f>
        <v>31200</v>
      </c>
      <c r="C14" s="232">
        <f>SUM(C4:C13)</f>
        <v>9800</v>
      </c>
      <c r="D14" s="232">
        <f>SUM(D4:D13)</f>
        <v>3000</v>
      </c>
      <c r="E14" s="225">
        <f>B14+C14-D14</f>
        <v>38000</v>
      </c>
      <c r="F14" s="230" t="s">
        <v>149</v>
      </c>
      <c r="G14" s="225">
        <f>SUM(G9:G13)</f>
        <v>21000</v>
      </c>
      <c r="H14" s="225">
        <f>SUM(H9:H13)</f>
        <v>3500</v>
      </c>
      <c r="I14" s="226">
        <f>SUM(I9:I13)</f>
        <v>24500</v>
      </c>
    </row>
    <row r="15" spans="1:9" x14ac:dyDescent="0.2">
      <c r="A15" s="233" t="s">
        <v>150</v>
      </c>
      <c r="B15" s="234"/>
      <c r="C15" s="382" t="s">
        <v>129</v>
      </c>
      <c r="D15" s="383"/>
      <c r="E15" s="213"/>
      <c r="F15" s="221" t="s">
        <v>151</v>
      </c>
      <c r="G15" s="213"/>
      <c r="H15" s="213"/>
      <c r="I15" s="220">
        <f t="shared" ref="I15:I20" si="1">G15+H15</f>
        <v>0</v>
      </c>
    </row>
    <row r="16" spans="1:9" x14ac:dyDescent="0.2">
      <c r="A16" s="235" t="str">
        <f>IF('opg 4 Resultatbudget'!A4="Råvarer","Råvarelager","Varelager")</f>
        <v>Varelager</v>
      </c>
      <c r="B16" s="211">
        <v>50400</v>
      </c>
      <c r="C16" s="382"/>
      <c r="D16" s="383"/>
      <c r="E16" s="213">
        <f>I28</f>
        <v>47740.5</v>
      </c>
      <c r="F16" s="229" t="s">
        <v>152</v>
      </c>
      <c r="G16" s="219">
        <v>46667</v>
      </c>
      <c r="H16" s="213"/>
      <c r="I16" s="220">
        <f>I42</f>
        <v>44114.549999999996</v>
      </c>
    </row>
    <row r="17" spans="1:10" hidden="1" x14ac:dyDescent="0.2">
      <c r="A17" s="235" t="str">
        <f>IF('opg 4 Resultatbudget'!A4="Råvarer","Produktion","-")</f>
        <v>-</v>
      </c>
      <c r="B17" s="236">
        <v>0</v>
      </c>
      <c r="C17" s="380"/>
      <c r="D17" s="381"/>
      <c r="E17" s="213">
        <f>IF(I31="-",0,I31)</f>
        <v>0</v>
      </c>
      <c r="F17" s="229" t="s">
        <v>147</v>
      </c>
      <c r="G17" s="219">
        <v>0</v>
      </c>
      <c r="H17" s="219"/>
      <c r="I17" s="220">
        <f t="shared" si="1"/>
        <v>0</v>
      </c>
    </row>
    <row r="18" spans="1:10" hidden="1" x14ac:dyDescent="0.2">
      <c r="A18" s="235" t="str">
        <f>IF('opg 4 Resultatbudget'!A4="Råvarer","Færdigvarer","-")</f>
        <v>-</v>
      </c>
      <c r="B18" s="236">
        <v>0</v>
      </c>
      <c r="C18" s="380"/>
      <c r="D18" s="381"/>
      <c r="E18" s="213">
        <f>IF('opg 4 Resultatbudget'!B5=0,0,I35)</f>
        <v>0</v>
      </c>
      <c r="F18" s="229" t="s">
        <v>153</v>
      </c>
      <c r="G18" s="219">
        <v>0</v>
      </c>
      <c r="H18" s="219"/>
      <c r="I18" s="220">
        <f t="shared" si="1"/>
        <v>0</v>
      </c>
    </row>
    <row r="19" spans="1:10" x14ac:dyDescent="0.2">
      <c r="A19" s="235" t="s">
        <v>154</v>
      </c>
      <c r="B19" s="211">
        <v>41000</v>
      </c>
      <c r="C19" s="380"/>
      <c r="D19" s="381"/>
      <c r="E19" s="213">
        <f>I39</f>
        <v>38476.222222222219</v>
      </c>
      <c r="F19" s="229"/>
      <c r="G19" s="219">
        <v>0</v>
      </c>
      <c r="H19" s="219">
        <v>0</v>
      </c>
      <c r="I19" s="220">
        <f t="shared" si="1"/>
        <v>0</v>
      </c>
    </row>
    <row r="20" spans="1:10" x14ac:dyDescent="0.2">
      <c r="A20" s="235"/>
      <c r="B20" s="211">
        <v>0</v>
      </c>
      <c r="C20" s="378">
        <v>0</v>
      </c>
      <c r="D20" s="379"/>
      <c r="E20" s="213">
        <f>B20+C20</f>
        <v>0</v>
      </c>
      <c r="F20" s="221" t="s">
        <v>155</v>
      </c>
      <c r="G20" s="219">
        <v>2150</v>
      </c>
      <c r="H20" s="219">
        <v>50</v>
      </c>
      <c r="I20" s="220">
        <f t="shared" si="1"/>
        <v>2200</v>
      </c>
    </row>
    <row r="21" spans="1:10" x14ac:dyDescent="0.2">
      <c r="A21" s="235"/>
      <c r="B21" s="211">
        <v>0</v>
      </c>
      <c r="C21" s="378">
        <v>0</v>
      </c>
      <c r="D21" s="379"/>
      <c r="E21" s="213">
        <f>B21+C21</f>
        <v>0</v>
      </c>
      <c r="F21" s="173" t="s">
        <v>185</v>
      </c>
      <c r="G21" s="219">
        <v>269</v>
      </c>
      <c r="H21" s="219">
        <v>0</v>
      </c>
      <c r="I21" s="220">
        <f>G21+H21</f>
        <v>269</v>
      </c>
    </row>
    <row r="22" spans="1:10" x14ac:dyDescent="0.2">
      <c r="A22" s="235"/>
      <c r="B22" s="211">
        <v>0</v>
      </c>
      <c r="C22" s="378">
        <v>0</v>
      </c>
      <c r="D22" s="379"/>
      <c r="E22" s="213">
        <f>B22+C22</f>
        <v>0</v>
      </c>
      <c r="F22" s="221" t="s">
        <v>127</v>
      </c>
      <c r="G22" s="237">
        <f>'opg 4 Resultatbudget'!B28</f>
        <v>4000</v>
      </c>
      <c r="H22" s="213"/>
      <c r="I22" s="220">
        <f>'opg 4 Resultatbudget'!E28</f>
        <v>0</v>
      </c>
    </row>
    <row r="23" spans="1:10" x14ac:dyDescent="0.2">
      <c r="A23" s="235" t="s">
        <v>156</v>
      </c>
      <c r="B23" s="211">
        <v>150</v>
      </c>
      <c r="C23" s="380"/>
      <c r="D23" s="381"/>
      <c r="E23" s="213">
        <f>IF(Likviditetsbudget!F40&gt;0,Likviditetsbudget!F42,0)</f>
        <v>250</v>
      </c>
      <c r="F23" s="184" t="s">
        <v>157</v>
      </c>
      <c r="G23" s="219">
        <v>14300</v>
      </c>
      <c r="H23" s="213">
        <f>IF(Likviditetsbudget!F40&lt;0,Likviditetsbudget!F40*-1+'opg 4 Resultatbudget'!E34-Balance!G23,0)</f>
        <v>0</v>
      </c>
      <c r="I23" s="220">
        <f>'opg 4 Resultatbudget'!E34-Likviditetsbudget!F43</f>
        <v>11859.39622222226</v>
      </c>
    </row>
    <row r="24" spans="1:10" x14ac:dyDescent="0.2">
      <c r="A24" s="214" t="s">
        <v>158</v>
      </c>
      <c r="B24" s="238">
        <f>SUM(B16:B23)</f>
        <v>91550</v>
      </c>
      <c r="C24" s="382"/>
      <c r="D24" s="383"/>
      <c r="E24" s="239">
        <f>SUM(E16:E23)</f>
        <v>86466.722222222219</v>
      </c>
      <c r="F24" s="240" t="s">
        <v>159</v>
      </c>
      <c r="G24" s="241">
        <f>SUM(G15:G23)</f>
        <v>67386</v>
      </c>
      <c r="H24" s="241">
        <f>SUM(H15:H23)</f>
        <v>50</v>
      </c>
      <c r="I24" s="242">
        <f>SUM(I15:I23)</f>
        <v>58442.946222222257</v>
      </c>
    </row>
    <row r="25" spans="1:10" ht="13.5" thickBot="1" x14ac:dyDescent="0.25">
      <c r="A25" s="243" t="s">
        <v>160</v>
      </c>
      <c r="B25" s="244">
        <f>SUM(B14:B23)</f>
        <v>122750</v>
      </c>
      <c r="C25" s="384"/>
      <c r="D25" s="385"/>
      <c r="E25" s="245">
        <f>SUM(E24+E14)</f>
        <v>124466.72222222222</v>
      </c>
      <c r="F25" s="243" t="s">
        <v>161</v>
      </c>
      <c r="G25" s="246">
        <f>SUM(G24+G14+G8)</f>
        <v>122750</v>
      </c>
      <c r="H25" s="247"/>
      <c r="I25" s="248">
        <f>SUM(I24+I14+I8)</f>
        <v>124466.72222222222</v>
      </c>
      <c r="J25" s="249"/>
    </row>
    <row r="26" spans="1:10" ht="13.5" thickTop="1" x14ac:dyDescent="0.2">
      <c r="A26" s="250"/>
      <c r="B26" s="251"/>
      <c r="C26" s="252"/>
      <c r="D26" s="252"/>
      <c r="E26" s="251"/>
      <c r="F26" s="250"/>
      <c r="G26" s="253"/>
      <c r="H26" s="254"/>
      <c r="I26" s="253"/>
    </row>
    <row r="27" spans="1:10" x14ac:dyDescent="0.2">
      <c r="A27" s="195" t="s">
        <v>162</v>
      </c>
      <c r="B27" s="386" t="s">
        <v>163</v>
      </c>
      <c r="C27" s="386"/>
      <c r="E27" s="167">
        <f>'opg 4 Resultatbudget'!B2</f>
        <v>2018</v>
      </c>
      <c r="H27" s="167">
        <f>E27+1</f>
        <v>2019</v>
      </c>
    </row>
    <row r="28" spans="1:10" ht="13.5" thickBot="1" x14ac:dyDescent="0.25">
      <c r="B28" s="377" t="str">
        <f>'opg 4 Resultatbudget'!A4</f>
        <v>Vareforbrug</v>
      </c>
      <c r="C28" s="377"/>
      <c r="E28" s="255">
        <f>'opg 4 Resultatbudget'!B4</f>
        <v>252000</v>
      </c>
      <c r="F28" s="256" t="str">
        <f>CONCATENATE("=",ROUND((E28/E29),2),"  ", "gange")</f>
        <v>=5  gange</v>
      </c>
      <c r="H28" s="255">
        <f>'opg 4 Resultatbudget'!E4</f>
        <v>267346.8</v>
      </c>
      <c r="I28" s="257">
        <f>H28/H29</f>
        <v>47740.5</v>
      </c>
    </row>
    <row r="29" spans="1:10" x14ac:dyDescent="0.2">
      <c r="A29" s="195" t="str">
        <f>A16</f>
        <v>Varelager</v>
      </c>
      <c r="B29" s="375" t="str">
        <f>A29</f>
        <v>Varelager</v>
      </c>
      <c r="C29" s="375"/>
      <c r="E29" s="258">
        <f>B16</f>
        <v>50400</v>
      </c>
      <c r="F29" s="256"/>
      <c r="H29" s="257">
        <v>5.6</v>
      </c>
      <c r="I29" s="257"/>
    </row>
    <row r="30" spans="1:10" x14ac:dyDescent="0.2">
      <c r="F30" s="256"/>
      <c r="I30" s="257"/>
    </row>
    <row r="31" spans="1:10" ht="13.5" hidden="1" thickBot="1" x14ac:dyDescent="0.25">
      <c r="A31" s="195" t="str">
        <f>A17</f>
        <v>-</v>
      </c>
      <c r="B31" s="377" t="str">
        <f>IF('opg 4 Resultatbudget'!B5=0,"-",B32)</f>
        <v>-</v>
      </c>
      <c r="C31" s="377"/>
      <c r="E31" s="255" t="str">
        <f>IF('opg 4 Resultatbudget'!B5=0,"-",E32)</f>
        <v>-</v>
      </c>
      <c r="F31" s="256" t="str">
        <f>IF('opg 4 Resultatbudget'!B5=0,"-",F32)</f>
        <v>-</v>
      </c>
      <c r="H31" s="255" t="str">
        <f>IF('opg 4 Resultatbudget'!B5=0,"-",'opg 4 Resultatbudget'!E4+'opg 4 Resultatbudget'!E5)</f>
        <v>-</v>
      </c>
      <c r="I31" s="257" t="str">
        <f>IF('opg 4 Resultatbudget'!B5=0,"-",H32/H33)</f>
        <v>-</v>
      </c>
    </row>
    <row r="32" spans="1:10" ht="13.5" hidden="1" customHeight="1" thickBot="1" x14ac:dyDescent="0.25">
      <c r="A32" s="167" t="str">
        <f>A17</f>
        <v>-</v>
      </c>
      <c r="B32" s="377" t="str">
        <f>CONCATENATE('opg 4 Resultatbudget'!A4,"+",'opg 4 Resultatbudget'!A5)</f>
        <v>Vareforbrug+-</v>
      </c>
      <c r="C32" s="377"/>
      <c r="E32" s="255">
        <f>'opg 4 Resultatbudget'!B4+'opg 4 Resultatbudget'!B5</f>
        <v>252000</v>
      </c>
      <c r="F32" s="256" t="e">
        <f>CONCATENATE("=", ROUND((E32/E33),2), "gange")</f>
        <v>#VALUE!</v>
      </c>
      <c r="H32" s="167">
        <f>'opg 4 Resultatbudget'!E4+'opg 4 Resultatbudget'!E5</f>
        <v>267346.8</v>
      </c>
      <c r="I32" s="257" t="e">
        <f>H32/H33</f>
        <v>#VALUE!</v>
      </c>
    </row>
    <row r="33" spans="1:9" hidden="1" x14ac:dyDescent="0.2">
      <c r="B33" s="375" t="str">
        <f>A17</f>
        <v>-</v>
      </c>
      <c r="C33" s="375"/>
      <c r="E33" s="167" t="str">
        <f>IF('opg 4 Resultatbudget'!B5=0,"-",B17)</f>
        <v>-</v>
      </c>
      <c r="F33" s="256"/>
      <c r="H33" s="167" t="str">
        <f>IF('opg 4 Resultatbudget'!B5=0,"-",E32/E33)</f>
        <v>-</v>
      </c>
      <c r="I33" s="257"/>
    </row>
    <row r="34" spans="1:9" hidden="1" x14ac:dyDescent="0.2">
      <c r="F34" s="256"/>
      <c r="I34" s="257"/>
    </row>
    <row r="35" spans="1:9" ht="13.5" hidden="1" thickBot="1" x14ac:dyDescent="0.25">
      <c r="A35" s="195" t="str">
        <f>A18</f>
        <v>-</v>
      </c>
      <c r="B35" s="377" t="str">
        <f>IF('opg 4 Resultatbudget'!B5=0,"-",B36)</f>
        <v>-</v>
      </c>
      <c r="C35" s="377"/>
      <c r="E35" s="255" t="str">
        <f>IF('opg 4 Resultatbudget'!B5=0,"-",'opg 4 Resultatbudget'!B4+'opg 4 Resultatbudget'!B5)</f>
        <v>-</v>
      </c>
      <c r="F35" s="256" t="str">
        <f>IF(E35="-","-",F36)</f>
        <v>-</v>
      </c>
      <c r="H35" s="255" t="str">
        <f>IF('opg 4 Resultatbudget'!B5=0,"-",'opg 4 Resultatbudget'!E4+'opg 4 Resultatbudget'!E5)</f>
        <v>-</v>
      </c>
      <c r="I35" s="257" t="str">
        <f>IF(E37="-","-",H36/H37)</f>
        <v>-</v>
      </c>
    </row>
    <row r="36" spans="1:9" ht="13.5" hidden="1" customHeight="1" thickBot="1" x14ac:dyDescent="0.25">
      <c r="A36" s="167" t="str">
        <f>A18</f>
        <v>-</v>
      </c>
      <c r="B36" s="377" t="str">
        <f>CONCATENATE('opg 4 Resultatbudget'!A4,"+",'opg 4 Resultatbudget'!A5)</f>
        <v>Vareforbrug+-</v>
      </c>
      <c r="C36" s="377"/>
      <c r="E36" s="167">
        <f>E32</f>
        <v>252000</v>
      </c>
      <c r="F36" s="256" t="e">
        <f>CONCATENATE("=", ROUND((E36/E37),2), "gange")</f>
        <v>#VALUE!</v>
      </c>
      <c r="H36" s="167">
        <f>'opg 4 Resultatbudget'!E4+'opg 4 Resultatbudget'!E5</f>
        <v>267346.8</v>
      </c>
      <c r="I36" s="257" t="e">
        <f>H36/H37</f>
        <v>#VALUE!</v>
      </c>
    </row>
    <row r="37" spans="1:9" hidden="1" x14ac:dyDescent="0.2">
      <c r="B37" s="375" t="str">
        <f>IF('opg 4 Resultatbudget'!B5=0,"-",A36)</f>
        <v>-</v>
      </c>
      <c r="C37" s="375"/>
      <c r="E37" s="167" t="str">
        <f>IF(B18=0,"-",B18)</f>
        <v>-</v>
      </c>
      <c r="H37" s="167" t="str">
        <f>IF(E37="-","-",E36/E37)</f>
        <v>-</v>
      </c>
    </row>
    <row r="38" spans="1:9" x14ac:dyDescent="0.2">
      <c r="B38" s="259"/>
      <c r="C38" s="259"/>
      <c r="D38" s="259"/>
      <c r="E38" s="259"/>
      <c r="H38" s="259"/>
    </row>
    <row r="39" spans="1:9" ht="13.5" thickBot="1" x14ac:dyDescent="0.25">
      <c r="A39" s="195" t="str">
        <f>A19</f>
        <v>Varedebitorer</v>
      </c>
      <c r="B39" s="377" t="str">
        <f>IF('opg 4 Resultatbudget'!B36="incl. Moms",CONCATENATE('opg 4 Resultatbudget'!A3," * ", (1+'opg 4 Resultatbudget'!C36)),CONCATENATE('opg 4 Resultatbudget'!A3,"   ",    "excl. moms"))</f>
        <v>Omsætning   excl. moms</v>
      </c>
      <c r="C39" s="377"/>
      <c r="E39" s="255">
        <f>IF('opg 4 Resultatbudget'!B36="incl. moms",'opg 4 Resultatbudget'!B3*(1+'opg 4 Resultatbudget'!C36),'opg 4 Resultatbudget'!B3)</f>
        <v>328000</v>
      </c>
      <c r="F39" s="258" t="str">
        <f>CONCATENATE(ROUND((E39/E40),2),"  ","gange")</f>
        <v>8  gange</v>
      </c>
      <c r="H39" s="255">
        <f>IF('opg 4 Resultatbudget'!B36="incl. moms",'opg 4 Resultatbudget'!E3*1.25,'opg 4 Resultatbudget'!E3)</f>
        <v>346285.99999999994</v>
      </c>
      <c r="I39" s="257">
        <f>H39/H40</f>
        <v>38476.222222222219</v>
      </c>
    </row>
    <row r="40" spans="1:9" x14ac:dyDescent="0.2">
      <c r="B40" s="375" t="str">
        <f>A19</f>
        <v>Varedebitorer</v>
      </c>
      <c r="C40" s="375"/>
      <c r="E40" s="258">
        <f>B19</f>
        <v>41000</v>
      </c>
      <c r="F40" s="258"/>
      <c r="H40" s="257">
        <f>360/40</f>
        <v>9</v>
      </c>
      <c r="I40" s="257"/>
    </row>
    <row r="41" spans="1:9" x14ac:dyDescent="0.2">
      <c r="B41" s="259"/>
      <c r="C41" s="259"/>
      <c r="E41" s="259"/>
      <c r="F41" s="258"/>
      <c r="I41" s="257"/>
    </row>
    <row r="42" spans="1:9" ht="13.5" thickBot="1" x14ac:dyDescent="0.25">
      <c r="A42" s="195" t="str">
        <f>F16</f>
        <v>Varekreditorer</v>
      </c>
      <c r="B42" s="377" t="str">
        <f>IF('opg 4 Resultatbudget'!B36="excl. moms","Varekøb excl.. moms",CONCATENATE("Varekøb"," * ",(1+'opg 4 Resultatbudget'!C36)))</f>
        <v>Varekøb excl.. moms</v>
      </c>
      <c r="C42" s="377"/>
      <c r="E42" s="260">
        <f>IF('opg 4 Resultatbudget'!B36="excl. Moms",E46,E46*(1+'opg 4 Resultatbudget'!C36))</f>
        <v>252000</v>
      </c>
      <c r="F42" s="258" t="str">
        <f>CONCATENATE(ROUND((E42/E43),2),"  ","gange")</f>
        <v>5,4  gange</v>
      </c>
      <c r="H42" s="255">
        <f>IF('opg 4 Resultatbudget'!B36="excl. Moms",E47,E47*1.25)</f>
        <v>264687.3</v>
      </c>
      <c r="I42" s="257">
        <f>H42/H43</f>
        <v>44114.549999999996</v>
      </c>
    </row>
    <row r="43" spans="1:9" x14ac:dyDescent="0.2">
      <c r="B43" s="375" t="str">
        <f>F16</f>
        <v>Varekreditorer</v>
      </c>
      <c r="C43" s="375"/>
      <c r="E43" s="258">
        <f>G16</f>
        <v>46667</v>
      </c>
      <c r="H43" s="261">
        <v>6</v>
      </c>
    </row>
    <row r="45" spans="1:9" x14ac:dyDescent="0.2">
      <c r="A45" s="262" t="s">
        <v>164</v>
      </c>
      <c r="B45" s="195" t="str">
        <f>'opg 4 Resultatbudget'!A4</f>
        <v>Vareforbrug</v>
      </c>
      <c r="C45" s="195" t="str">
        <f>CONCATENATE("+","  ",A16,"  ","ultimo","  "," - ",A16,"  ","primo")</f>
        <v>+  Varelager  ultimo   - Varelager  primo</v>
      </c>
      <c r="D45" s="195"/>
      <c r="E45" s="195"/>
      <c r="F45" s="195"/>
    </row>
    <row r="46" spans="1:9" x14ac:dyDescent="0.2">
      <c r="A46" s="263" t="str">
        <f>CONCATENATE("Varekøb"," ",'opg 4 Resultatbudget'!B2)</f>
        <v>Varekøb 2018</v>
      </c>
      <c r="B46" s="167">
        <f>'opg 4 Resultatbudget'!B4</f>
        <v>252000</v>
      </c>
      <c r="C46" s="167" t="str">
        <f>CONCATENATE("+","  ",B16)</f>
        <v>+  50400</v>
      </c>
      <c r="D46" s="167" t="str">
        <f>CONCATENATE("-","  ",B16)</f>
        <v>-  50400</v>
      </c>
      <c r="E46" s="258">
        <f>B46+B16-B16</f>
        <v>252000</v>
      </c>
      <c r="F46" s="167" t="str">
        <f>CONCATENATE("Det forudsættes at der ikke er lagerændringer fra primo"," ",'opg 4 Resultatbudget'!B2," ","til ultimo"," ",'opg 4 Resultatbudget'!B2)</f>
        <v>Det forudsættes at der ikke er lagerændringer fra primo 2018 til ultimo 2018</v>
      </c>
    </row>
    <row r="47" spans="1:9" x14ac:dyDescent="0.2">
      <c r="A47" s="263" t="str">
        <f>CONCATENATE("Varekøb"," ",'opg 4 Resultatbudget'!B2+1)</f>
        <v>Varekøb 2019</v>
      </c>
      <c r="B47" s="89">
        <f>'opg 4 Resultatbudget'!E4</f>
        <v>267346.8</v>
      </c>
      <c r="C47" s="167" t="str">
        <f>CONCATENATE("+","  ",E16)</f>
        <v>+  47740,5</v>
      </c>
      <c r="D47" s="167" t="str">
        <f>CONCATENATE("-","  ",B16)</f>
        <v>-  50400</v>
      </c>
      <c r="E47" s="258">
        <f>B47+E16-B16</f>
        <v>264687.3</v>
      </c>
    </row>
  </sheetData>
  <mergeCells count="25">
    <mergeCell ref="C19:D19"/>
    <mergeCell ref="A1:I1"/>
    <mergeCell ref="C15:D15"/>
    <mergeCell ref="C16:D16"/>
    <mergeCell ref="C17:D17"/>
    <mergeCell ref="C18:D18"/>
    <mergeCell ref="B33:C33"/>
    <mergeCell ref="C20:D20"/>
    <mergeCell ref="C21:D21"/>
    <mergeCell ref="C22:D22"/>
    <mergeCell ref="C23:D23"/>
    <mergeCell ref="C24:D24"/>
    <mergeCell ref="C25:D25"/>
    <mergeCell ref="B27:C27"/>
    <mergeCell ref="B28:C28"/>
    <mergeCell ref="B29:C29"/>
    <mergeCell ref="B31:C31"/>
    <mergeCell ref="B32:C32"/>
    <mergeCell ref="B43:C43"/>
    <mergeCell ref="B35:C35"/>
    <mergeCell ref="B36:C36"/>
    <mergeCell ref="B37:C37"/>
    <mergeCell ref="B39:C39"/>
    <mergeCell ref="B40:C40"/>
    <mergeCell ref="B42:C42"/>
  </mergeCells>
  <pageMargins left="0.78740157480314965" right="0.78740157480314965" top="0.19685039370078741" bottom="0.39370078740157483" header="0" footer="0"/>
  <pageSetup paperSize="9" scale="95" orientation="landscape"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7083-5C49-4A6C-A284-46BED543F207}">
  <sheetPr>
    <pageSetUpPr fitToPage="1"/>
  </sheetPr>
  <dimension ref="A1:F66"/>
  <sheetViews>
    <sheetView zoomScale="85" zoomScaleNormal="85" workbookViewId="0">
      <selection sqref="A1:F1"/>
    </sheetView>
  </sheetViews>
  <sheetFormatPr defaultRowHeight="12.75" x14ac:dyDescent="0.2"/>
  <cols>
    <col min="1" max="1" width="13.140625" style="167" bestFit="1" customWidth="1"/>
    <col min="2" max="2" width="18.85546875" style="167" customWidth="1"/>
    <col min="3" max="3" width="15.28515625" style="167" customWidth="1"/>
    <col min="4" max="4" width="16" style="167" customWidth="1"/>
    <col min="5" max="5" width="14.42578125" style="167" customWidth="1"/>
    <col min="6" max="6" width="15.7109375" style="167" customWidth="1"/>
    <col min="7" max="16384" width="9.140625" style="167"/>
  </cols>
  <sheetData>
    <row r="1" spans="1:6" ht="23.25" x14ac:dyDescent="0.35">
      <c r="A1" s="387" t="s">
        <v>165</v>
      </c>
      <c r="B1" s="389"/>
      <c r="C1" s="389"/>
      <c r="D1" s="389"/>
      <c r="E1" s="389"/>
      <c r="F1" s="389"/>
    </row>
    <row r="2" spans="1:6" ht="18" x14ac:dyDescent="0.25">
      <c r="A2" s="264" t="s">
        <v>117</v>
      </c>
      <c r="B2" s="264"/>
      <c r="C2" s="264"/>
      <c r="D2" s="264"/>
      <c r="E2" s="264"/>
      <c r="F2" s="265">
        <f>'opg 4 Resultatbudget'!E16</f>
        <v>14079.199999999953</v>
      </c>
    </row>
    <row r="3" spans="1:6" ht="18" x14ac:dyDescent="0.25">
      <c r="A3" s="266" t="s">
        <v>166</v>
      </c>
      <c r="B3" s="266"/>
      <c r="C3" s="266"/>
      <c r="D3" s="267" t="s">
        <v>167</v>
      </c>
      <c r="E3" s="267" t="s">
        <v>168</v>
      </c>
      <c r="F3" s="268"/>
    </row>
    <row r="4" spans="1:6" ht="18" x14ac:dyDescent="0.25">
      <c r="A4" s="388" t="str">
        <f>Balance!A16</f>
        <v>Varelager</v>
      </c>
      <c r="B4" s="388"/>
      <c r="C4" s="266"/>
      <c r="D4" s="268">
        <f>Balance!B16</f>
        <v>50400</v>
      </c>
      <c r="E4" s="268">
        <f>Balance!E16</f>
        <v>47740.5</v>
      </c>
      <c r="F4" s="268">
        <f t="shared" ref="F4:F10" si="0">D4-E4</f>
        <v>2659.5</v>
      </c>
    </row>
    <row r="5" spans="1:6" ht="18" hidden="1" x14ac:dyDescent="0.25">
      <c r="A5" s="388" t="str">
        <f>Balance!A17</f>
        <v>-</v>
      </c>
      <c r="B5" s="388"/>
      <c r="C5" s="266"/>
      <c r="D5" s="268">
        <f>Balance!B17</f>
        <v>0</v>
      </c>
      <c r="E5" s="268">
        <f>Balance!E17</f>
        <v>0</v>
      </c>
      <c r="F5" s="268">
        <f t="shared" si="0"/>
        <v>0</v>
      </c>
    </row>
    <row r="6" spans="1:6" ht="18" hidden="1" x14ac:dyDescent="0.25">
      <c r="A6" s="388" t="str">
        <f>Balance!A18</f>
        <v>-</v>
      </c>
      <c r="B6" s="388"/>
      <c r="C6" s="266"/>
      <c r="D6" s="268">
        <f>Balance!B18</f>
        <v>0</v>
      </c>
      <c r="E6" s="268">
        <f>Balance!E18</f>
        <v>0</v>
      </c>
      <c r="F6" s="268">
        <f t="shared" si="0"/>
        <v>0</v>
      </c>
    </row>
    <row r="7" spans="1:6" ht="18" x14ac:dyDescent="0.25">
      <c r="A7" s="388" t="str">
        <f>Balance!A19</f>
        <v>Varedebitorer</v>
      </c>
      <c r="B7" s="388"/>
      <c r="C7" s="266"/>
      <c r="D7" s="268">
        <f>Balance!B19</f>
        <v>41000</v>
      </c>
      <c r="E7" s="268">
        <f>Balance!E19</f>
        <v>38476.222222222219</v>
      </c>
      <c r="F7" s="268">
        <f t="shared" si="0"/>
        <v>2523.777777777781</v>
      </c>
    </row>
    <row r="8" spans="1:6" ht="18" hidden="1" x14ac:dyDescent="0.25">
      <c r="A8" s="388">
        <f>Balance!A20</f>
        <v>0</v>
      </c>
      <c r="B8" s="388"/>
      <c r="C8" s="266"/>
      <c r="D8" s="268">
        <f>Balance!B20</f>
        <v>0</v>
      </c>
      <c r="E8" s="268">
        <f>Balance!E20</f>
        <v>0</v>
      </c>
      <c r="F8" s="268">
        <f t="shared" si="0"/>
        <v>0</v>
      </c>
    </row>
    <row r="9" spans="1:6" ht="18" hidden="1" x14ac:dyDescent="0.25">
      <c r="A9" s="388">
        <f>Balance!A21</f>
        <v>0</v>
      </c>
      <c r="B9" s="388"/>
      <c r="C9" s="266"/>
      <c r="D9" s="268">
        <f>Balance!B21</f>
        <v>0</v>
      </c>
      <c r="E9" s="268">
        <f>Balance!E21</f>
        <v>0</v>
      </c>
      <c r="F9" s="268">
        <f t="shared" si="0"/>
        <v>0</v>
      </c>
    </row>
    <row r="10" spans="1:6" ht="18" hidden="1" x14ac:dyDescent="0.25">
      <c r="A10" s="388">
        <f>Balance!A22</f>
        <v>0</v>
      </c>
      <c r="B10" s="388"/>
      <c r="C10" s="266"/>
      <c r="D10" s="268">
        <f>Balance!B22</f>
        <v>0</v>
      </c>
      <c r="E10" s="268">
        <f>Balance!E22</f>
        <v>0</v>
      </c>
      <c r="F10" s="268">
        <f t="shared" si="0"/>
        <v>0</v>
      </c>
    </row>
    <row r="11" spans="1:6" ht="18" x14ac:dyDescent="0.25">
      <c r="A11" s="266" t="s">
        <v>169</v>
      </c>
      <c r="B11" s="266"/>
      <c r="C11" s="266"/>
      <c r="D11" s="268"/>
      <c r="E11" s="268"/>
      <c r="F11" s="268"/>
    </row>
    <row r="12" spans="1:6" ht="18" x14ac:dyDescent="0.25">
      <c r="A12" s="388" t="str">
        <f>Balance!F16</f>
        <v>Varekreditorer</v>
      </c>
      <c r="B12" s="388"/>
      <c r="C12" s="266"/>
      <c r="D12" s="268">
        <f>Balance!G16</f>
        <v>46667</v>
      </c>
      <c r="E12" s="268">
        <f>Balance!I16</f>
        <v>44114.549999999996</v>
      </c>
      <c r="F12" s="268">
        <f t="shared" ref="F12:F17" si="1">E12-D12</f>
        <v>-2552.4500000000044</v>
      </c>
    </row>
    <row r="13" spans="1:6" ht="18" hidden="1" x14ac:dyDescent="0.25">
      <c r="A13" s="388" t="str">
        <f>Balance!F17</f>
        <v>Realkreditinstitutter</v>
      </c>
      <c r="B13" s="388"/>
      <c r="C13" s="266"/>
      <c r="D13" s="268">
        <f>Balance!G17</f>
        <v>0</v>
      </c>
      <c r="E13" s="268">
        <f>Balance!I17</f>
        <v>0</v>
      </c>
      <c r="F13" s="268">
        <f t="shared" si="1"/>
        <v>0</v>
      </c>
    </row>
    <row r="14" spans="1:6" ht="18" hidden="1" x14ac:dyDescent="0.25">
      <c r="A14" s="388" t="str">
        <f>Balance!F18</f>
        <v>Forudbetalinger</v>
      </c>
      <c r="B14" s="388"/>
      <c r="C14" s="266"/>
      <c r="D14" s="268">
        <f>Balance!G18</f>
        <v>0</v>
      </c>
      <c r="E14" s="268">
        <f>Balance!I18</f>
        <v>0</v>
      </c>
      <c r="F14" s="268">
        <f t="shared" si="1"/>
        <v>0</v>
      </c>
    </row>
    <row r="15" spans="1:6" ht="18" hidden="1" x14ac:dyDescent="0.25">
      <c r="A15" s="388">
        <f>Balance!F19</f>
        <v>0</v>
      </c>
      <c r="B15" s="388"/>
      <c r="C15" s="266"/>
      <c r="D15" s="268">
        <f>Balance!G19</f>
        <v>0</v>
      </c>
      <c r="E15" s="268">
        <f>Balance!I19</f>
        <v>0</v>
      </c>
      <c r="F15" s="268">
        <f t="shared" si="1"/>
        <v>0</v>
      </c>
    </row>
    <row r="16" spans="1:6" ht="18" x14ac:dyDescent="0.25">
      <c r="A16" s="388" t="str">
        <f>Balance!F20</f>
        <v>Andre kreditorer</v>
      </c>
      <c r="B16" s="388"/>
      <c r="C16" s="266"/>
      <c r="D16" s="268">
        <f>Balance!G20</f>
        <v>2150</v>
      </c>
      <c r="E16" s="268">
        <f>Balance!I20</f>
        <v>2200</v>
      </c>
      <c r="F16" s="268">
        <f t="shared" si="1"/>
        <v>50</v>
      </c>
    </row>
    <row r="17" spans="1:6" ht="18" x14ac:dyDescent="0.25">
      <c r="A17" s="388" t="str">
        <f>Balance!F21</f>
        <v>Selskabsskat</v>
      </c>
      <c r="B17" s="388"/>
      <c r="C17" s="266"/>
      <c r="D17" s="268">
        <f>Balance!G21</f>
        <v>269</v>
      </c>
      <c r="E17" s="268">
        <f>Balance!I21</f>
        <v>269</v>
      </c>
      <c r="F17" s="268">
        <f t="shared" si="1"/>
        <v>0</v>
      </c>
    </row>
    <row r="18" spans="1:6" ht="18" x14ac:dyDescent="0.25">
      <c r="A18" s="269" t="str">
        <f>'opg 4 Resultatbudget'!A19</f>
        <v>Renteomkostninger</v>
      </c>
      <c r="B18" s="269"/>
      <c r="C18" s="266"/>
      <c r="D18" s="268"/>
      <c r="E18" s="268"/>
      <c r="F18" s="268">
        <f>'opg 4 Resultatbudget'!E19*-1</f>
        <v>-1900</v>
      </c>
    </row>
    <row r="19" spans="1:6" ht="18" hidden="1" x14ac:dyDescent="0.25">
      <c r="A19" s="269" t="str">
        <f>'opg 4 Resultatbudget'!A20</f>
        <v>Renteindtægter</v>
      </c>
      <c r="B19" s="269"/>
      <c r="C19" s="266"/>
      <c r="D19" s="268"/>
      <c r="E19" s="268"/>
      <c r="F19" s="268">
        <f>'opg 4 Resultatbudget'!E20</f>
        <v>0</v>
      </c>
    </row>
    <row r="20" spans="1:6" ht="18" x14ac:dyDescent="0.25">
      <c r="A20" s="264" t="s">
        <v>170</v>
      </c>
      <c r="B20" s="264"/>
      <c r="C20" s="264"/>
      <c r="D20" s="264"/>
      <c r="E20" s="264"/>
      <c r="F20" s="270">
        <f>SUM(F2:F19)</f>
        <v>14860.02777777773</v>
      </c>
    </row>
    <row r="21" spans="1:6" ht="18" x14ac:dyDescent="0.25">
      <c r="A21" s="266" t="s">
        <v>171</v>
      </c>
      <c r="B21" s="266"/>
      <c r="C21" s="266"/>
      <c r="D21" s="266"/>
      <c r="E21" s="266"/>
      <c r="F21" s="266"/>
    </row>
    <row r="22" spans="1:6" ht="18" x14ac:dyDescent="0.25">
      <c r="A22" s="266" t="s">
        <v>172</v>
      </c>
      <c r="B22" s="266"/>
      <c r="C22" s="266"/>
      <c r="D22" s="266"/>
      <c r="E22" s="266"/>
      <c r="F22" s="266">
        <f>Balance!C14*-1</f>
        <v>-9800</v>
      </c>
    </row>
    <row r="23" spans="1:6" ht="18" x14ac:dyDescent="0.25">
      <c r="A23" s="264" t="s">
        <v>173</v>
      </c>
      <c r="B23" s="266"/>
      <c r="C23" s="266"/>
      <c r="D23" s="266"/>
      <c r="E23" s="266"/>
      <c r="F23" s="266"/>
    </row>
    <row r="24" spans="1:6" ht="18" x14ac:dyDescent="0.25">
      <c r="A24" s="266" t="str">
        <f>Balance!F11</f>
        <v>Nyt lån til investeringer</v>
      </c>
      <c r="B24" s="266"/>
      <c r="C24" s="266"/>
      <c r="D24" s="266"/>
      <c r="E24" s="266"/>
      <c r="F24" s="266">
        <f>Balance!H11</f>
        <v>6000</v>
      </c>
    </row>
    <row r="25" spans="1:6" ht="18" hidden="1" x14ac:dyDescent="0.25">
      <c r="A25" s="266" t="str">
        <f>'opg 4 Resultatbudget'!A38</f>
        <v>Aktie emmision</v>
      </c>
      <c r="B25" s="266"/>
      <c r="C25" s="266"/>
      <c r="D25" s="266"/>
      <c r="E25" s="266"/>
      <c r="F25" s="266">
        <f>'opg 4 Resultatbudget'!C38</f>
        <v>0</v>
      </c>
    </row>
    <row r="26" spans="1:6" ht="18" x14ac:dyDescent="0.25">
      <c r="A26" s="264" t="s">
        <v>174</v>
      </c>
      <c r="B26" s="266"/>
      <c r="C26" s="266"/>
      <c r="D26" s="266"/>
      <c r="E26" s="266"/>
      <c r="F26" s="266"/>
    </row>
    <row r="27" spans="1:6" ht="18" hidden="1" x14ac:dyDescent="0.25">
      <c r="A27" s="388">
        <f>Balance!F12</f>
        <v>0</v>
      </c>
      <c r="B27" s="388"/>
      <c r="C27" s="266"/>
      <c r="D27" s="266"/>
      <c r="E27" s="266"/>
      <c r="F27" s="266">
        <f>Balance!H12</f>
        <v>0</v>
      </c>
    </row>
    <row r="28" spans="1:6" ht="18" x14ac:dyDescent="0.25">
      <c r="A28" s="388" t="str">
        <f>Balance!F13</f>
        <v>Realkreditinstitutter</v>
      </c>
      <c r="B28" s="388"/>
      <c r="C28" s="266"/>
      <c r="D28" s="266"/>
      <c r="E28" s="266"/>
      <c r="F28" s="266">
        <f>Balance!H13</f>
        <v>-2500</v>
      </c>
    </row>
    <row r="29" spans="1:6" ht="18" hidden="1" x14ac:dyDescent="0.25">
      <c r="A29" s="266">
        <f>Balance!F7</f>
        <v>0</v>
      </c>
      <c r="B29" s="266"/>
      <c r="C29" s="266"/>
      <c r="D29" s="266"/>
      <c r="E29" s="266"/>
      <c r="F29" s="266">
        <f>(Balance!I7)*-1</f>
        <v>0</v>
      </c>
    </row>
    <row r="30" spans="1:6" ht="18" x14ac:dyDescent="0.25">
      <c r="A30" s="266" t="str">
        <f>IF('opg 4 Resultatbudget'!B28&gt;0,CONCATENATE("Udbytte udbetales 100% fra år ",'opg 4 Resultatbudget'!B2),"-")</f>
        <v>Udbytte udbetales 100% fra år 2018</v>
      </c>
      <c r="B30" s="266"/>
      <c r="C30" s="266"/>
      <c r="D30" s="266"/>
      <c r="E30" s="266"/>
      <c r="F30" s="266">
        <f>Balance!G22*-1</f>
        <v>-4000</v>
      </c>
    </row>
    <row r="31" spans="1:6" ht="18" x14ac:dyDescent="0.25">
      <c r="A31" s="266" t="str">
        <f>'opg 4 Resultatbudget'!A24</f>
        <v>Skat</v>
      </c>
      <c r="B31" s="266"/>
      <c r="C31" s="266"/>
      <c r="D31" s="266"/>
      <c r="E31" s="266"/>
      <c r="F31" s="271">
        <f>'opg 4 Resultatbudget'!E24*-1</f>
        <v>-2019.4239999999897</v>
      </c>
    </row>
    <row r="32" spans="1:6" ht="18" x14ac:dyDescent="0.25">
      <c r="A32" s="266" t="str">
        <f>IF('opg 4 Resultatbudget'!C34=0,"-","Ændring af kassekredit max.")</f>
        <v>Ændring af kassekredit max.</v>
      </c>
      <c r="B32" s="266"/>
      <c r="C32" s="266"/>
      <c r="D32" s="266"/>
      <c r="E32" s="266"/>
      <c r="F32" s="272">
        <f>'opg 4 Resultatbudget'!C34</f>
        <v>-2000</v>
      </c>
    </row>
    <row r="33" spans="1:6" ht="18" x14ac:dyDescent="0.25">
      <c r="A33" s="264" t="s">
        <v>175</v>
      </c>
      <c r="B33" s="264"/>
      <c r="C33" s="264"/>
      <c r="D33" s="264"/>
      <c r="E33" s="264"/>
      <c r="F33" s="273">
        <f>SUM(F20:F32)</f>
        <v>540.60377777774011</v>
      </c>
    </row>
    <row r="34" spans="1:6" ht="18" x14ac:dyDescent="0.25">
      <c r="A34" s="266" t="s">
        <v>176</v>
      </c>
      <c r="B34" s="266"/>
      <c r="C34" s="266"/>
      <c r="D34" s="266"/>
      <c r="E34" s="266"/>
      <c r="F34" s="266"/>
    </row>
    <row r="35" spans="1:6" ht="18" hidden="1" x14ac:dyDescent="0.25">
      <c r="A35" s="266" t="s">
        <v>130</v>
      </c>
      <c r="B35" s="266"/>
      <c r="C35" s="266">
        <v>2000</v>
      </c>
      <c r="D35" s="266"/>
      <c r="E35" s="266"/>
      <c r="F35" s="266"/>
    </row>
    <row r="36" spans="1:6" ht="18" hidden="1" x14ac:dyDescent="0.25">
      <c r="A36" s="266" t="s">
        <v>177</v>
      </c>
      <c r="B36" s="266"/>
      <c r="C36" s="266">
        <v>1500</v>
      </c>
      <c r="D36" s="266"/>
      <c r="E36" s="266"/>
      <c r="F36" s="266"/>
    </row>
    <row r="37" spans="1:6" ht="18" x14ac:dyDescent="0.25">
      <c r="A37" s="266"/>
      <c r="B37" s="266"/>
      <c r="C37" s="266" t="str">
        <f>IF('opg 4 Resultatbudget'!$B$34&gt;0,"Gæld Primo","")</f>
        <v>Gæld Primo</v>
      </c>
      <c r="D37" s="266" t="str">
        <f>IF('opg 4 Resultatbudget'!$B$34&gt;0,"Max. Primo","")</f>
        <v>Max. Primo</v>
      </c>
      <c r="E37" s="266"/>
      <c r="F37" s="266"/>
    </row>
    <row r="38" spans="1:6" ht="18" x14ac:dyDescent="0.25">
      <c r="A38" s="266" t="str">
        <f>IF('opg 4 Resultatbudget'!B34&gt;0,"Kassekredit disponibel","-")</f>
        <v>Kassekredit disponibel</v>
      </c>
      <c r="B38" s="266"/>
      <c r="C38" s="266">
        <f>IF('opg 4 Resultatbudget'!B34&gt;0,'opg 4 Resultatbudget'!B34,"")</f>
        <v>15000</v>
      </c>
      <c r="D38" s="266">
        <f>IF('opg 4 Resultatbudget'!B34&gt;0,Balance!G23,"")</f>
        <v>14300</v>
      </c>
      <c r="E38" s="266"/>
      <c r="F38" s="266">
        <f>IF('opg 4 Resultatbudget'!B34&gt;0,C38-D38,0)</f>
        <v>700</v>
      </c>
    </row>
    <row r="39" spans="1:6" ht="18" x14ac:dyDescent="0.25">
      <c r="A39" s="274" t="s">
        <v>178</v>
      </c>
      <c r="B39" s="266"/>
      <c r="C39" s="266"/>
      <c r="D39" s="266"/>
      <c r="E39" s="266"/>
      <c r="F39" s="266">
        <f>Balance!B23</f>
        <v>150</v>
      </c>
    </row>
    <row r="40" spans="1:6" ht="18.75" thickBot="1" x14ac:dyDescent="0.3">
      <c r="A40" s="264" t="s">
        <v>179</v>
      </c>
      <c r="B40" s="264"/>
      <c r="C40" s="264"/>
      <c r="D40" s="264"/>
      <c r="E40" s="264"/>
      <c r="F40" s="275">
        <f>SUM(F33:F39)</f>
        <v>1390.6037777777401</v>
      </c>
    </row>
    <row r="41" spans="1:6" ht="18.75" thickTop="1" x14ac:dyDescent="0.25">
      <c r="A41" s="264" t="s">
        <v>180</v>
      </c>
      <c r="B41" s="264"/>
      <c r="C41" s="264"/>
      <c r="D41" s="264"/>
      <c r="E41" s="264"/>
      <c r="F41" s="276"/>
    </row>
    <row r="42" spans="1:6" ht="18" x14ac:dyDescent="0.25">
      <c r="A42" s="266" t="s">
        <v>181</v>
      </c>
      <c r="B42" s="266"/>
      <c r="C42" s="266"/>
      <c r="D42" s="266"/>
      <c r="E42" s="266"/>
      <c r="F42" s="277">
        <v>250</v>
      </c>
    </row>
    <row r="43" spans="1:6" ht="18" x14ac:dyDescent="0.25">
      <c r="A43" s="266" t="s">
        <v>182</v>
      </c>
      <c r="F43" s="278">
        <f>F40-F42</f>
        <v>1140.6037777777401</v>
      </c>
    </row>
    <row r="48" spans="1:6" ht="18" x14ac:dyDescent="0.25">
      <c r="A48" s="266"/>
    </row>
    <row r="50" spans="1:4" x14ac:dyDescent="0.2">
      <c r="A50" s="259"/>
      <c r="B50" s="259"/>
      <c r="C50" s="259"/>
      <c r="D50" s="259"/>
    </row>
    <row r="51" spans="1:4" x14ac:dyDescent="0.2">
      <c r="A51" s="259"/>
      <c r="B51" s="259"/>
      <c r="C51" s="259"/>
      <c r="D51" s="259"/>
    </row>
    <row r="52" spans="1:4" x14ac:dyDescent="0.2">
      <c r="A52" s="259"/>
      <c r="B52" s="259"/>
      <c r="C52" s="259"/>
      <c r="D52" s="259"/>
    </row>
    <row r="53" spans="1:4" ht="18" x14ac:dyDescent="0.25">
      <c r="A53" s="279"/>
      <c r="B53" s="279"/>
      <c r="C53" s="279"/>
      <c r="D53" s="259"/>
    </row>
    <row r="54" spans="1:4" ht="18" x14ac:dyDescent="0.25">
      <c r="A54" s="280"/>
      <c r="B54" s="279"/>
      <c r="C54" s="281"/>
      <c r="D54" s="259"/>
    </row>
    <row r="55" spans="1:4" ht="18" x14ac:dyDescent="0.25">
      <c r="A55" s="280"/>
      <c r="B55" s="279"/>
      <c r="C55" s="281"/>
      <c r="D55" s="259"/>
    </row>
    <row r="56" spans="1:4" ht="18" x14ac:dyDescent="0.25">
      <c r="A56" s="280"/>
      <c r="B56" s="279"/>
      <c r="C56" s="281"/>
      <c r="D56" s="259"/>
    </row>
    <row r="57" spans="1:4" ht="18" x14ac:dyDescent="0.25">
      <c r="A57" s="280"/>
      <c r="B57" s="279"/>
      <c r="C57" s="281"/>
      <c r="D57" s="259"/>
    </row>
    <row r="58" spans="1:4" ht="18" x14ac:dyDescent="0.25">
      <c r="A58" s="279"/>
      <c r="B58" s="279"/>
      <c r="C58" s="281"/>
      <c r="D58" s="259"/>
    </row>
    <row r="59" spans="1:4" x14ac:dyDescent="0.2">
      <c r="A59" s="259"/>
      <c r="B59" s="259"/>
      <c r="C59" s="259"/>
      <c r="D59" s="259"/>
    </row>
    <row r="60" spans="1:4" x14ac:dyDescent="0.2">
      <c r="A60" s="259"/>
      <c r="B60" s="259"/>
      <c r="C60" s="259"/>
      <c r="D60" s="259"/>
    </row>
    <row r="61" spans="1:4" x14ac:dyDescent="0.2">
      <c r="A61" s="259"/>
      <c r="B61" s="259"/>
      <c r="C61" s="259"/>
      <c r="D61" s="259"/>
    </row>
    <row r="62" spans="1:4" x14ac:dyDescent="0.2">
      <c r="A62" s="259"/>
      <c r="B62" s="259"/>
      <c r="C62" s="259"/>
      <c r="D62" s="259"/>
    </row>
    <row r="63" spans="1:4" x14ac:dyDescent="0.2">
      <c r="A63" s="259"/>
      <c r="B63" s="259"/>
      <c r="C63" s="259"/>
      <c r="D63" s="259"/>
    </row>
    <row r="64" spans="1:4" x14ac:dyDescent="0.2">
      <c r="A64" s="259"/>
      <c r="B64" s="259"/>
      <c r="C64" s="259"/>
      <c r="D64" s="259"/>
    </row>
    <row r="65" spans="1:4" x14ac:dyDescent="0.2">
      <c r="A65" s="259"/>
      <c r="B65" s="259"/>
      <c r="C65" s="259"/>
      <c r="D65" s="259"/>
    </row>
    <row r="66" spans="1:4" x14ac:dyDescent="0.2">
      <c r="A66" s="259"/>
      <c r="B66" s="259"/>
      <c r="C66" s="259"/>
      <c r="D66" s="259"/>
    </row>
  </sheetData>
  <mergeCells count="16">
    <mergeCell ref="A8:B8"/>
    <mergeCell ref="A1:F1"/>
    <mergeCell ref="A4:B4"/>
    <mergeCell ref="A5:B5"/>
    <mergeCell ref="A6:B6"/>
    <mergeCell ref="A7:B7"/>
    <mergeCell ref="A16:B16"/>
    <mergeCell ref="A17:B17"/>
    <mergeCell ref="A27:B27"/>
    <mergeCell ref="A28:B28"/>
    <mergeCell ref="A9:B9"/>
    <mergeCell ref="A10:B10"/>
    <mergeCell ref="A12:B12"/>
    <mergeCell ref="A13:B13"/>
    <mergeCell ref="A14:B14"/>
    <mergeCell ref="A15:B15"/>
  </mergeCells>
  <pageMargins left="0.59055118110236227" right="0.59055118110236227" top="0.59055118110236227" bottom="0.39370078740157483" header="0" footer="0"/>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FA161-3A73-4948-AAAF-F5DCE00430F1}">
  <sheetPr>
    <pageSetUpPr fitToPage="1"/>
  </sheetPr>
  <dimension ref="A1:L149"/>
  <sheetViews>
    <sheetView zoomScale="80" zoomScaleNormal="80" workbookViewId="0">
      <selection activeCell="B7" sqref="B7"/>
    </sheetView>
  </sheetViews>
  <sheetFormatPr defaultRowHeight="12.75" x14ac:dyDescent="0.2"/>
  <cols>
    <col min="1" max="1" width="4.85546875" customWidth="1"/>
    <col min="2" max="2" width="9.28515625" customWidth="1"/>
    <col min="3" max="3" width="16.140625" customWidth="1"/>
    <col min="4" max="4" width="23.42578125" customWidth="1"/>
    <col min="5" max="5" width="28.28515625" customWidth="1"/>
    <col min="6" max="6" width="27.7109375" customWidth="1"/>
    <col min="7" max="7" width="28.28515625" customWidth="1"/>
    <col min="8" max="8" width="26.140625" hidden="1" customWidth="1"/>
    <col min="9" max="9" width="24.85546875" hidden="1" customWidth="1"/>
    <col min="10" max="10" width="24.140625" customWidth="1"/>
  </cols>
  <sheetData>
    <row r="1" spans="2:10" ht="18" x14ac:dyDescent="0.25">
      <c r="B1" s="294" t="s">
        <v>186</v>
      </c>
      <c r="C1" s="295"/>
      <c r="D1" s="295"/>
    </row>
    <row r="2" spans="2:10" ht="18" x14ac:dyDescent="0.25">
      <c r="B2" s="159" t="s">
        <v>86</v>
      </c>
      <c r="C2" s="160"/>
      <c r="D2" s="160"/>
      <c r="E2" s="161">
        <v>55000</v>
      </c>
      <c r="F2" s="55" t="s">
        <v>97</v>
      </c>
      <c r="G2" s="55"/>
    </row>
    <row r="3" spans="2:10" ht="18" x14ac:dyDescent="0.25">
      <c r="B3" s="159" t="s">
        <v>188</v>
      </c>
      <c r="C3" s="160"/>
      <c r="D3" s="160"/>
      <c r="E3" s="161">
        <v>35000</v>
      </c>
      <c r="F3" s="55" t="s">
        <v>97</v>
      </c>
      <c r="G3" s="55"/>
    </row>
    <row r="4" spans="2:10" ht="18" x14ac:dyDescent="0.25">
      <c r="B4" s="159" t="s">
        <v>87</v>
      </c>
      <c r="C4" s="160"/>
      <c r="D4" s="160"/>
      <c r="E4" s="161">
        <v>6300000</v>
      </c>
      <c r="F4" s="55"/>
      <c r="G4" s="55"/>
    </row>
    <row r="5" spans="2:10" ht="18" x14ac:dyDescent="0.25">
      <c r="B5" s="159" t="s">
        <v>88</v>
      </c>
      <c r="C5" s="160"/>
      <c r="D5" s="160"/>
      <c r="E5" s="161">
        <v>3500000</v>
      </c>
      <c r="F5" s="55"/>
      <c r="G5" s="55"/>
    </row>
    <row r="6" spans="2:10" ht="18" x14ac:dyDescent="0.25">
      <c r="B6" s="159" t="s">
        <v>90</v>
      </c>
      <c r="C6" s="160"/>
      <c r="D6" s="160"/>
      <c r="E6" s="161">
        <v>350000</v>
      </c>
      <c r="F6" s="55"/>
      <c r="G6" s="55"/>
    </row>
    <row r="7" spans="2:10" ht="18" x14ac:dyDescent="0.25">
      <c r="B7" s="159" t="s">
        <v>91</v>
      </c>
      <c r="C7" s="160"/>
      <c r="D7" s="160"/>
      <c r="E7" s="161">
        <v>2000000</v>
      </c>
      <c r="F7" s="55"/>
      <c r="G7" s="55"/>
    </row>
    <row r="8" spans="2:10" ht="18" x14ac:dyDescent="0.25">
      <c r="B8" s="159" t="s">
        <v>92</v>
      </c>
      <c r="C8" s="160"/>
      <c r="D8" s="160"/>
      <c r="E8" s="161">
        <v>3400000</v>
      </c>
      <c r="F8" s="55"/>
      <c r="G8" s="55"/>
    </row>
    <row r="9" spans="2:10" ht="18" x14ac:dyDescent="0.25">
      <c r="B9" s="159" t="s">
        <v>93</v>
      </c>
      <c r="C9" s="160"/>
      <c r="D9" s="160"/>
      <c r="E9" s="161">
        <v>300000</v>
      </c>
      <c r="F9" s="55"/>
      <c r="G9" s="55"/>
    </row>
    <row r="10" spans="2:10" ht="18" x14ac:dyDescent="0.25">
      <c r="B10" s="159" t="s">
        <v>94</v>
      </c>
      <c r="C10" s="160"/>
      <c r="D10" s="160"/>
      <c r="E10" s="161">
        <v>700000</v>
      </c>
      <c r="F10" s="55"/>
      <c r="G10" s="55"/>
    </row>
    <row r="11" spans="2:10" ht="18" x14ac:dyDescent="0.25">
      <c r="B11" s="164" t="s">
        <v>187</v>
      </c>
      <c r="C11" s="165"/>
      <c r="D11" s="165"/>
      <c r="E11" s="166">
        <f>'opg 1 investering'!G149</f>
        <v>1626472.1769408418</v>
      </c>
      <c r="F11" s="55"/>
      <c r="G11" s="55"/>
    </row>
    <row r="12" spans="2:10" ht="18" x14ac:dyDescent="0.25">
      <c r="B12" s="159" t="s">
        <v>96</v>
      </c>
      <c r="C12" s="160"/>
      <c r="D12" s="160"/>
      <c r="E12" s="161">
        <v>6000000</v>
      </c>
      <c r="F12" s="55"/>
      <c r="G12" s="55"/>
    </row>
    <row r="13" spans="2:10" ht="15.75" x14ac:dyDescent="0.25">
      <c r="B13" s="111" t="s">
        <v>68</v>
      </c>
      <c r="C13" s="112">
        <v>10</v>
      </c>
    </row>
    <row r="14" spans="2:10" ht="16.5" thickBot="1" x14ac:dyDescent="0.3">
      <c r="B14" s="111" t="s">
        <v>69</v>
      </c>
      <c r="C14" s="113">
        <v>0.1</v>
      </c>
    </row>
    <row r="15" spans="2:10" ht="64.5" customHeight="1" thickBot="1" x14ac:dyDescent="0.3">
      <c r="B15" s="114" t="s">
        <v>70</v>
      </c>
      <c r="C15" s="115" t="s">
        <v>71</v>
      </c>
      <c r="D15" s="116" t="s">
        <v>72</v>
      </c>
      <c r="E15" s="114" t="s">
        <v>73</v>
      </c>
      <c r="F15" s="117" t="s">
        <v>74</v>
      </c>
      <c r="G15" s="114" t="s">
        <v>75</v>
      </c>
      <c r="H15" s="114" t="s">
        <v>76</v>
      </c>
      <c r="I15" s="117" t="str">
        <f>CONCATENATE("Nutidsværdien ved den interne rente (IRR) ",(ROUND(G139,4)*100)," %")</f>
        <v>Nutidsværdien ved den interne rente (IRR) 10 %</v>
      </c>
      <c r="J15" s="117" t="s">
        <v>77</v>
      </c>
    </row>
    <row r="16" spans="2:10" ht="18" x14ac:dyDescent="0.25">
      <c r="B16" s="118">
        <v>0</v>
      </c>
      <c r="C16" s="119">
        <v>0</v>
      </c>
      <c r="D16" s="119">
        <f>E4+E5+E6</f>
        <v>10150000</v>
      </c>
      <c r="E16" s="120">
        <f t="shared" ref="E16:E79" si="0">C16-D16</f>
        <v>-10150000</v>
      </c>
      <c r="F16" s="121">
        <f t="shared" ref="F16:F79" si="1">IF(B16&lt;=$C$13,POWER((1+$C$14),(B16*-1)),"-")</f>
        <v>1</v>
      </c>
      <c r="G16" s="122">
        <f>E16</f>
        <v>-10150000</v>
      </c>
      <c r="H16" s="123">
        <f t="shared" ref="H16:H79" si="2">IF(B16&lt;=$C$13,POWER((1+$G$139),(B16*-1)),"-")</f>
        <v>1</v>
      </c>
      <c r="I16" s="124">
        <f>G16</f>
        <v>-10150000</v>
      </c>
      <c r="J16" s="125"/>
    </row>
    <row r="17" spans="2:12" ht="18" x14ac:dyDescent="0.25">
      <c r="B17" s="126">
        <f t="shared" ref="B17:B80" si="3">B16+1</f>
        <v>1</v>
      </c>
      <c r="C17" s="127">
        <f>E7+E8+E9</f>
        <v>5700000</v>
      </c>
      <c r="D17" s="127">
        <v>0</v>
      </c>
      <c r="E17" s="128">
        <f t="shared" si="0"/>
        <v>5700000</v>
      </c>
      <c r="F17" s="129">
        <f t="shared" si="1"/>
        <v>0.90909090909090906</v>
      </c>
      <c r="G17" s="130">
        <f t="shared" ref="G17:G80" si="4">PV($C$14,B17,0,E17)*-1</f>
        <v>5181818.1818181816</v>
      </c>
      <c r="H17" s="131">
        <f t="shared" si="2"/>
        <v>0.90909090909090917</v>
      </c>
      <c r="I17" s="132">
        <f t="shared" ref="I17:I80" si="5">PV($G$139,B17,0,E17)*-1</f>
        <v>5181818.1818181826</v>
      </c>
      <c r="J17" s="130">
        <f>PMT($C$14,$C$13,$G$137)*-1</f>
        <v>7.5784230084396716E-11</v>
      </c>
    </row>
    <row r="18" spans="2:12" ht="18" x14ac:dyDescent="0.25">
      <c r="B18" s="126">
        <f t="shared" si="3"/>
        <v>2</v>
      </c>
      <c r="C18" s="127">
        <f>$E$10</f>
        <v>700000</v>
      </c>
      <c r="D18" s="127">
        <v>0</v>
      </c>
      <c r="E18" s="128">
        <f t="shared" si="0"/>
        <v>700000</v>
      </c>
      <c r="F18" s="129">
        <f t="shared" si="1"/>
        <v>0.82644628099173545</v>
      </c>
      <c r="G18" s="130">
        <f t="shared" si="4"/>
        <v>578512.39669421478</v>
      </c>
      <c r="H18" s="131">
        <f t="shared" si="2"/>
        <v>0.82644628099173567</v>
      </c>
      <c r="I18" s="132">
        <f t="shared" si="5"/>
        <v>578512.39669421501</v>
      </c>
      <c r="J18" s="130">
        <f t="shared" ref="J18:J81" si="6">IF(B18&lt;=$C$13,$J$17,0)</f>
        <v>7.5784230084396716E-11</v>
      </c>
    </row>
    <row r="19" spans="2:12" ht="18" x14ac:dyDescent="0.25">
      <c r="B19" s="126">
        <f t="shared" si="3"/>
        <v>3</v>
      </c>
      <c r="C19" s="127">
        <f t="shared" ref="C19:C25" si="7">$E$10</f>
        <v>700000</v>
      </c>
      <c r="D19" s="127">
        <v>0</v>
      </c>
      <c r="E19" s="128">
        <f t="shared" si="0"/>
        <v>700000</v>
      </c>
      <c r="F19" s="129">
        <f t="shared" si="1"/>
        <v>0.75131480090157754</v>
      </c>
      <c r="G19" s="130">
        <f t="shared" si="4"/>
        <v>525920.36063110433</v>
      </c>
      <c r="H19" s="131">
        <f t="shared" si="2"/>
        <v>0.75131480090157798</v>
      </c>
      <c r="I19" s="132">
        <f t="shared" si="5"/>
        <v>525920.36063110468</v>
      </c>
      <c r="J19" s="130">
        <f t="shared" si="6"/>
        <v>7.5784230084396716E-11</v>
      </c>
    </row>
    <row r="20" spans="2:12" ht="18" x14ac:dyDescent="0.25">
      <c r="B20" s="126">
        <f t="shared" si="3"/>
        <v>4</v>
      </c>
      <c r="C20" s="127">
        <f t="shared" si="7"/>
        <v>700000</v>
      </c>
      <c r="D20" s="127">
        <v>0</v>
      </c>
      <c r="E20" s="128">
        <f t="shared" si="0"/>
        <v>700000</v>
      </c>
      <c r="F20" s="129">
        <f t="shared" si="1"/>
        <v>0.68301345536507052</v>
      </c>
      <c r="G20" s="130">
        <f t="shared" si="4"/>
        <v>478109.41875554936</v>
      </c>
      <c r="H20" s="131">
        <f t="shared" si="2"/>
        <v>0.68301345536507108</v>
      </c>
      <c r="I20" s="132">
        <f t="shared" si="5"/>
        <v>478109.4187555497</v>
      </c>
      <c r="J20" s="130">
        <f t="shared" si="6"/>
        <v>7.5784230084396716E-11</v>
      </c>
    </row>
    <row r="21" spans="2:12" ht="18" x14ac:dyDescent="0.25">
      <c r="B21" s="126">
        <f t="shared" si="3"/>
        <v>5</v>
      </c>
      <c r="C21" s="127">
        <f t="shared" si="7"/>
        <v>700000</v>
      </c>
      <c r="D21" s="127">
        <f>E11</f>
        <v>1626472.1769408418</v>
      </c>
      <c r="E21" s="128">
        <f>(C21-D21)</f>
        <v>-926472.17694084183</v>
      </c>
      <c r="F21" s="129">
        <f t="shared" si="1"/>
        <v>0.62092132305915493</v>
      </c>
      <c r="G21" s="130">
        <f t="shared" si="4"/>
        <v>-575266.32988360303</v>
      </c>
      <c r="H21" s="131">
        <f t="shared" si="2"/>
        <v>0.62092132305915559</v>
      </c>
      <c r="I21" s="132">
        <f t="shared" si="5"/>
        <v>-575266.32988360361</v>
      </c>
      <c r="J21" s="130">
        <f t="shared" si="6"/>
        <v>7.5784230084396716E-11</v>
      </c>
    </row>
    <row r="22" spans="2:12" ht="18" x14ac:dyDescent="0.25">
      <c r="B22" s="126">
        <f t="shared" si="3"/>
        <v>6</v>
      </c>
      <c r="C22" s="127">
        <f t="shared" si="7"/>
        <v>700000</v>
      </c>
      <c r="D22" s="127">
        <v>0</v>
      </c>
      <c r="E22" s="128">
        <f t="shared" si="0"/>
        <v>700000</v>
      </c>
      <c r="F22" s="129">
        <f t="shared" si="1"/>
        <v>0.56447393005377722</v>
      </c>
      <c r="G22" s="130">
        <f t="shared" si="4"/>
        <v>395131.75103764399</v>
      </c>
      <c r="H22" s="131">
        <f t="shared" si="2"/>
        <v>0.56447393005377777</v>
      </c>
      <c r="I22" s="132">
        <f t="shared" si="5"/>
        <v>395131.75103764446</v>
      </c>
      <c r="J22" s="130">
        <f t="shared" si="6"/>
        <v>7.5784230084396716E-11</v>
      </c>
    </row>
    <row r="23" spans="2:12" ht="18" x14ac:dyDescent="0.25">
      <c r="B23" s="126">
        <f t="shared" si="3"/>
        <v>7</v>
      </c>
      <c r="C23" s="127">
        <f t="shared" si="7"/>
        <v>700000</v>
      </c>
      <c r="D23" s="127">
        <v>0</v>
      </c>
      <c r="E23" s="128">
        <f t="shared" si="0"/>
        <v>700000</v>
      </c>
      <c r="F23" s="129">
        <f t="shared" si="1"/>
        <v>0.51315811823070645</v>
      </c>
      <c r="G23" s="130">
        <f t="shared" si="4"/>
        <v>359210.68276149454</v>
      </c>
      <c r="H23" s="131">
        <f t="shared" si="2"/>
        <v>0.51315811823070723</v>
      </c>
      <c r="I23" s="132">
        <f t="shared" si="5"/>
        <v>359210.68276149506</v>
      </c>
      <c r="J23" s="130">
        <f t="shared" si="6"/>
        <v>7.5784230084396716E-11</v>
      </c>
    </row>
    <row r="24" spans="2:12" ht="18" x14ac:dyDescent="0.25">
      <c r="B24" s="126">
        <f t="shared" si="3"/>
        <v>8</v>
      </c>
      <c r="C24" s="127">
        <f t="shared" si="7"/>
        <v>700000</v>
      </c>
      <c r="D24" s="127">
        <v>0</v>
      </c>
      <c r="E24" s="128">
        <f t="shared" si="0"/>
        <v>700000</v>
      </c>
      <c r="F24" s="129">
        <f t="shared" si="1"/>
        <v>0.46650738020973315</v>
      </c>
      <c r="G24" s="130">
        <f t="shared" si="4"/>
        <v>326555.16614681319</v>
      </c>
      <c r="H24" s="131">
        <f t="shared" si="2"/>
        <v>0.46650738020973387</v>
      </c>
      <c r="I24" s="132">
        <f t="shared" si="5"/>
        <v>326555.16614681372</v>
      </c>
      <c r="J24" s="130">
        <f t="shared" si="6"/>
        <v>7.5784230084396716E-11</v>
      </c>
      <c r="L24" s="133"/>
    </row>
    <row r="25" spans="2:12" ht="18" x14ac:dyDescent="0.25">
      <c r="B25" s="126">
        <f t="shared" si="3"/>
        <v>9</v>
      </c>
      <c r="C25" s="127">
        <f t="shared" si="7"/>
        <v>700000</v>
      </c>
      <c r="D25" s="127">
        <v>0</v>
      </c>
      <c r="E25" s="128">
        <f t="shared" si="0"/>
        <v>700000</v>
      </c>
      <c r="F25" s="129">
        <f t="shared" si="1"/>
        <v>0.42409761837248466</v>
      </c>
      <c r="G25" s="130">
        <f t="shared" si="4"/>
        <v>296868.33286073926</v>
      </c>
      <c r="H25" s="131">
        <f t="shared" si="2"/>
        <v>0.42409761837248539</v>
      </c>
      <c r="I25" s="132">
        <f t="shared" si="5"/>
        <v>296868.33286073979</v>
      </c>
      <c r="J25" s="130">
        <f t="shared" si="6"/>
        <v>7.5784230084396716E-11</v>
      </c>
    </row>
    <row r="26" spans="2:12" ht="18.75" thickBot="1" x14ac:dyDescent="0.3">
      <c r="B26" s="134">
        <f t="shared" si="3"/>
        <v>10</v>
      </c>
      <c r="C26" s="135">
        <f>E12+E10</f>
        <v>6700000</v>
      </c>
      <c r="D26" s="135">
        <v>0</v>
      </c>
      <c r="E26" s="136">
        <f t="shared" si="0"/>
        <v>6700000</v>
      </c>
      <c r="F26" s="137">
        <f t="shared" si="1"/>
        <v>0.38554328942953148</v>
      </c>
      <c r="G26" s="138">
        <f t="shared" si="4"/>
        <v>2583140.0391778611</v>
      </c>
      <c r="H26" s="139">
        <f t="shared" si="2"/>
        <v>0.3855432894295322</v>
      </c>
      <c r="I26" s="140">
        <f t="shared" si="5"/>
        <v>2583140.0391778657</v>
      </c>
      <c r="J26" s="138">
        <f t="shared" si="6"/>
        <v>7.5784230084396716E-11</v>
      </c>
    </row>
    <row r="27" spans="2:12" ht="18" hidden="1" x14ac:dyDescent="0.25">
      <c r="B27" s="126">
        <f t="shared" si="3"/>
        <v>11</v>
      </c>
      <c r="C27" s="127">
        <v>0</v>
      </c>
      <c r="D27" s="127">
        <v>0</v>
      </c>
      <c r="E27" s="128">
        <f t="shared" si="0"/>
        <v>0</v>
      </c>
      <c r="F27" s="129" t="str">
        <f t="shared" si="1"/>
        <v>-</v>
      </c>
      <c r="G27" s="130">
        <f t="shared" si="4"/>
        <v>0</v>
      </c>
      <c r="H27" s="131" t="str">
        <f t="shared" si="2"/>
        <v>-</v>
      </c>
      <c r="I27" s="132">
        <f t="shared" si="5"/>
        <v>0</v>
      </c>
      <c r="J27" s="130">
        <f t="shared" si="6"/>
        <v>0</v>
      </c>
    </row>
    <row r="28" spans="2:12" ht="18" hidden="1" x14ac:dyDescent="0.25">
      <c r="B28" s="126">
        <f t="shared" si="3"/>
        <v>12</v>
      </c>
      <c r="C28" s="127">
        <v>0</v>
      </c>
      <c r="D28" s="127">
        <v>0</v>
      </c>
      <c r="E28" s="128">
        <f t="shared" si="0"/>
        <v>0</v>
      </c>
      <c r="F28" s="129" t="str">
        <f t="shared" si="1"/>
        <v>-</v>
      </c>
      <c r="G28" s="130">
        <f t="shared" si="4"/>
        <v>0</v>
      </c>
      <c r="H28" s="131" t="str">
        <f t="shared" si="2"/>
        <v>-</v>
      </c>
      <c r="I28" s="132">
        <f t="shared" si="5"/>
        <v>0</v>
      </c>
      <c r="J28" s="130">
        <f t="shared" si="6"/>
        <v>0</v>
      </c>
    </row>
    <row r="29" spans="2:12" ht="18" hidden="1" x14ac:dyDescent="0.25">
      <c r="B29" s="126">
        <f t="shared" si="3"/>
        <v>13</v>
      </c>
      <c r="C29" s="127">
        <v>0</v>
      </c>
      <c r="D29" s="127">
        <v>0</v>
      </c>
      <c r="E29" s="128">
        <f t="shared" si="0"/>
        <v>0</v>
      </c>
      <c r="F29" s="129" t="str">
        <f t="shared" si="1"/>
        <v>-</v>
      </c>
      <c r="G29" s="130">
        <f t="shared" si="4"/>
        <v>0</v>
      </c>
      <c r="H29" s="131" t="str">
        <f t="shared" si="2"/>
        <v>-</v>
      </c>
      <c r="I29" s="132">
        <f t="shared" si="5"/>
        <v>0</v>
      </c>
      <c r="J29" s="130">
        <f t="shared" si="6"/>
        <v>0</v>
      </c>
      <c r="L29" s="133"/>
    </row>
    <row r="30" spans="2:12" ht="18" hidden="1" x14ac:dyDescent="0.25">
      <c r="B30" s="126">
        <f t="shared" si="3"/>
        <v>14</v>
      </c>
      <c r="C30" s="127">
        <v>0</v>
      </c>
      <c r="D30" s="127">
        <v>0</v>
      </c>
      <c r="E30" s="128">
        <f t="shared" si="0"/>
        <v>0</v>
      </c>
      <c r="F30" s="129" t="str">
        <f t="shared" si="1"/>
        <v>-</v>
      </c>
      <c r="G30" s="130">
        <f t="shared" si="4"/>
        <v>0</v>
      </c>
      <c r="H30" s="131" t="str">
        <f t="shared" si="2"/>
        <v>-</v>
      </c>
      <c r="I30" s="132">
        <f t="shared" si="5"/>
        <v>0</v>
      </c>
      <c r="J30" s="130">
        <f t="shared" si="6"/>
        <v>0</v>
      </c>
    </row>
    <row r="31" spans="2:12" ht="18" hidden="1" x14ac:dyDescent="0.25">
      <c r="B31" s="126">
        <f t="shared" si="3"/>
        <v>15</v>
      </c>
      <c r="C31" s="127">
        <v>0</v>
      </c>
      <c r="D31" s="127">
        <v>0</v>
      </c>
      <c r="E31" s="128">
        <f t="shared" si="0"/>
        <v>0</v>
      </c>
      <c r="F31" s="129" t="str">
        <f t="shared" si="1"/>
        <v>-</v>
      </c>
      <c r="G31" s="130">
        <f t="shared" si="4"/>
        <v>0</v>
      </c>
      <c r="H31" s="131" t="str">
        <f t="shared" si="2"/>
        <v>-</v>
      </c>
      <c r="I31" s="132">
        <f t="shared" si="5"/>
        <v>0</v>
      </c>
      <c r="J31" s="130">
        <f t="shared" si="6"/>
        <v>0</v>
      </c>
    </row>
    <row r="32" spans="2:12" ht="18" hidden="1" x14ac:dyDescent="0.25">
      <c r="B32" s="126">
        <f t="shared" si="3"/>
        <v>16</v>
      </c>
      <c r="C32" s="127">
        <v>0</v>
      </c>
      <c r="D32" s="127">
        <v>0</v>
      </c>
      <c r="E32" s="128">
        <f t="shared" si="0"/>
        <v>0</v>
      </c>
      <c r="F32" s="129" t="str">
        <f t="shared" si="1"/>
        <v>-</v>
      </c>
      <c r="G32" s="130">
        <f t="shared" si="4"/>
        <v>0</v>
      </c>
      <c r="H32" s="131" t="str">
        <f t="shared" si="2"/>
        <v>-</v>
      </c>
      <c r="I32" s="132">
        <f t="shared" si="5"/>
        <v>0</v>
      </c>
      <c r="J32" s="130">
        <f t="shared" si="6"/>
        <v>0</v>
      </c>
    </row>
    <row r="33" spans="2:10" ht="18" hidden="1" x14ac:dyDescent="0.25">
      <c r="B33" s="126">
        <f t="shared" si="3"/>
        <v>17</v>
      </c>
      <c r="C33" s="127">
        <v>0</v>
      </c>
      <c r="D33" s="127">
        <v>0</v>
      </c>
      <c r="E33" s="128">
        <f t="shared" si="0"/>
        <v>0</v>
      </c>
      <c r="F33" s="129" t="str">
        <f t="shared" si="1"/>
        <v>-</v>
      </c>
      <c r="G33" s="130">
        <f t="shared" si="4"/>
        <v>0</v>
      </c>
      <c r="H33" s="131" t="str">
        <f t="shared" si="2"/>
        <v>-</v>
      </c>
      <c r="I33" s="132">
        <f t="shared" si="5"/>
        <v>0</v>
      </c>
      <c r="J33" s="130">
        <f t="shared" si="6"/>
        <v>0</v>
      </c>
    </row>
    <row r="34" spans="2:10" ht="18" hidden="1" x14ac:dyDescent="0.25">
      <c r="B34" s="126">
        <f t="shared" si="3"/>
        <v>18</v>
      </c>
      <c r="C34" s="127">
        <v>0</v>
      </c>
      <c r="D34" s="127">
        <v>0</v>
      </c>
      <c r="E34" s="128">
        <f t="shared" si="0"/>
        <v>0</v>
      </c>
      <c r="F34" s="129" t="str">
        <f t="shared" si="1"/>
        <v>-</v>
      </c>
      <c r="G34" s="130">
        <f t="shared" si="4"/>
        <v>0</v>
      </c>
      <c r="H34" s="131" t="str">
        <f t="shared" si="2"/>
        <v>-</v>
      </c>
      <c r="I34" s="132">
        <f t="shared" si="5"/>
        <v>0</v>
      </c>
      <c r="J34" s="130">
        <f t="shared" si="6"/>
        <v>0</v>
      </c>
    </row>
    <row r="35" spans="2:10" ht="18" hidden="1" x14ac:dyDescent="0.25">
      <c r="B35" s="126">
        <f t="shared" si="3"/>
        <v>19</v>
      </c>
      <c r="C35" s="127">
        <v>0</v>
      </c>
      <c r="D35" s="127">
        <v>0</v>
      </c>
      <c r="E35" s="128">
        <f t="shared" si="0"/>
        <v>0</v>
      </c>
      <c r="F35" s="129" t="str">
        <f t="shared" si="1"/>
        <v>-</v>
      </c>
      <c r="G35" s="130">
        <f t="shared" si="4"/>
        <v>0</v>
      </c>
      <c r="H35" s="131" t="str">
        <f t="shared" si="2"/>
        <v>-</v>
      </c>
      <c r="I35" s="132">
        <f t="shared" si="5"/>
        <v>0</v>
      </c>
      <c r="J35" s="130">
        <f t="shared" si="6"/>
        <v>0</v>
      </c>
    </row>
    <row r="36" spans="2:10" ht="18" hidden="1" x14ac:dyDescent="0.25">
      <c r="B36" s="126">
        <f t="shared" si="3"/>
        <v>20</v>
      </c>
      <c r="C36" s="127">
        <v>0</v>
      </c>
      <c r="D36" s="127">
        <v>0</v>
      </c>
      <c r="E36" s="128">
        <f t="shared" si="0"/>
        <v>0</v>
      </c>
      <c r="F36" s="129" t="str">
        <f t="shared" si="1"/>
        <v>-</v>
      </c>
      <c r="G36" s="130">
        <f t="shared" si="4"/>
        <v>0</v>
      </c>
      <c r="H36" s="131" t="str">
        <f t="shared" si="2"/>
        <v>-</v>
      </c>
      <c r="I36" s="132">
        <f t="shared" si="5"/>
        <v>0</v>
      </c>
      <c r="J36" s="130">
        <f t="shared" si="6"/>
        <v>0</v>
      </c>
    </row>
    <row r="37" spans="2:10" ht="18" hidden="1" x14ac:dyDescent="0.25">
      <c r="B37" s="126">
        <f t="shared" si="3"/>
        <v>21</v>
      </c>
      <c r="C37" s="127">
        <v>0</v>
      </c>
      <c r="D37" s="127">
        <v>0</v>
      </c>
      <c r="E37" s="128">
        <f t="shared" si="0"/>
        <v>0</v>
      </c>
      <c r="F37" s="129" t="str">
        <f t="shared" si="1"/>
        <v>-</v>
      </c>
      <c r="G37" s="130">
        <f t="shared" si="4"/>
        <v>0</v>
      </c>
      <c r="H37" s="131" t="str">
        <f t="shared" si="2"/>
        <v>-</v>
      </c>
      <c r="I37" s="132">
        <f t="shared" si="5"/>
        <v>0</v>
      </c>
      <c r="J37" s="130">
        <f t="shared" si="6"/>
        <v>0</v>
      </c>
    </row>
    <row r="38" spans="2:10" ht="18" hidden="1" x14ac:dyDescent="0.25">
      <c r="B38" s="126">
        <f t="shared" si="3"/>
        <v>22</v>
      </c>
      <c r="C38" s="127">
        <v>0</v>
      </c>
      <c r="D38" s="127">
        <v>0</v>
      </c>
      <c r="E38" s="128">
        <f t="shared" si="0"/>
        <v>0</v>
      </c>
      <c r="F38" s="129" t="str">
        <f t="shared" si="1"/>
        <v>-</v>
      </c>
      <c r="G38" s="130">
        <f t="shared" si="4"/>
        <v>0</v>
      </c>
      <c r="H38" s="131" t="str">
        <f t="shared" si="2"/>
        <v>-</v>
      </c>
      <c r="I38" s="132">
        <f t="shared" si="5"/>
        <v>0</v>
      </c>
      <c r="J38" s="130">
        <f t="shared" si="6"/>
        <v>0</v>
      </c>
    </row>
    <row r="39" spans="2:10" ht="18" hidden="1" x14ac:dyDescent="0.25">
      <c r="B39" s="126">
        <f t="shared" si="3"/>
        <v>23</v>
      </c>
      <c r="C39" s="127">
        <v>0</v>
      </c>
      <c r="D39" s="127">
        <v>0</v>
      </c>
      <c r="E39" s="128">
        <f t="shared" si="0"/>
        <v>0</v>
      </c>
      <c r="F39" s="129" t="str">
        <f t="shared" si="1"/>
        <v>-</v>
      </c>
      <c r="G39" s="130">
        <f t="shared" si="4"/>
        <v>0</v>
      </c>
      <c r="H39" s="131" t="str">
        <f t="shared" si="2"/>
        <v>-</v>
      </c>
      <c r="I39" s="132">
        <f t="shared" si="5"/>
        <v>0</v>
      </c>
      <c r="J39" s="130">
        <f t="shared" si="6"/>
        <v>0</v>
      </c>
    </row>
    <row r="40" spans="2:10" ht="18" hidden="1" x14ac:dyDescent="0.25">
      <c r="B40" s="126">
        <f t="shared" si="3"/>
        <v>24</v>
      </c>
      <c r="C40" s="127">
        <v>0</v>
      </c>
      <c r="D40" s="127">
        <v>0</v>
      </c>
      <c r="E40" s="128">
        <f t="shared" si="0"/>
        <v>0</v>
      </c>
      <c r="F40" s="129" t="str">
        <f t="shared" si="1"/>
        <v>-</v>
      </c>
      <c r="G40" s="130">
        <f t="shared" si="4"/>
        <v>0</v>
      </c>
      <c r="H40" s="131" t="str">
        <f t="shared" si="2"/>
        <v>-</v>
      </c>
      <c r="I40" s="132">
        <f t="shared" si="5"/>
        <v>0</v>
      </c>
      <c r="J40" s="130">
        <f t="shared" si="6"/>
        <v>0</v>
      </c>
    </row>
    <row r="41" spans="2:10" ht="18" hidden="1" x14ac:dyDescent="0.25">
      <c r="B41" s="126">
        <f t="shared" si="3"/>
        <v>25</v>
      </c>
      <c r="C41" s="127">
        <v>0</v>
      </c>
      <c r="D41" s="127">
        <v>0</v>
      </c>
      <c r="E41" s="128">
        <f t="shared" si="0"/>
        <v>0</v>
      </c>
      <c r="F41" s="129" t="str">
        <f t="shared" si="1"/>
        <v>-</v>
      </c>
      <c r="G41" s="130">
        <f t="shared" si="4"/>
        <v>0</v>
      </c>
      <c r="H41" s="131" t="str">
        <f t="shared" si="2"/>
        <v>-</v>
      </c>
      <c r="I41" s="132">
        <f t="shared" si="5"/>
        <v>0</v>
      </c>
      <c r="J41" s="130">
        <f t="shared" si="6"/>
        <v>0</v>
      </c>
    </row>
    <row r="42" spans="2:10" ht="18" hidden="1" x14ac:dyDescent="0.25">
      <c r="B42" s="126">
        <f t="shared" si="3"/>
        <v>26</v>
      </c>
      <c r="C42" s="127">
        <v>0</v>
      </c>
      <c r="D42" s="127">
        <v>0</v>
      </c>
      <c r="E42" s="128">
        <f t="shared" si="0"/>
        <v>0</v>
      </c>
      <c r="F42" s="129" t="str">
        <f t="shared" si="1"/>
        <v>-</v>
      </c>
      <c r="G42" s="130">
        <f t="shared" si="4"/>
        <v>0</v>
      </c>
      <c r="H42" s="131" t="str">
        <f t="shared" si="2"/>
        <v>-</v>
      </c>
      <c r="I42" s="132">
        <f t="shared" si="5"/>
        <v>0</v>
      </c>
      <c r="J42" s="130">
        <f t="shared" si="6"/>
        <v>0</v>
      </c>
    </row>
    <row r="43" spans="2:10" ht="18" hidden="1" x14ac:dyDescent="0.25">
      <c r="B43" s="126">
        <f t="shared" si="3"/>
        <v>27</v>
      </c>
      <c r="C43" s="127">
        <v>0</v>
      </c>
      <c r="D43" s="127">
        <v>0</v>
      </c>
      <c r="E43" s="128">
        <f t="shared" si="0"/>
        <v>0</v>
      </c>
      <c r="F43" s="129" t="str">
        <f t="shared" si="1"/>
        <v>-</v>
      </c>
      <c r="G43" s="130">
        <f t="shared" si="4"/>
        <v>0</v>
      </c>
      <c r="H43" s="131" t="str">
        <f t="shared" si="2"/>
        <v>-</v>
      </c>
      <c r="I43" s="132">
        <f t="shared" si="5"/>
        <v>0</v>
      </c>
      <c r="J43" s="130">
        <f t="shared" si="6"/>
        <v>0</v>
      </c>
    </row>
    <row r="44" spans="2:10" ht="18" hidden="1" x14ac:dyDescent="0.25">
      <c r="B44" s="126">
        <f t="shared" si="3"/>
        <v>28</v>
      </c>
      <c r="C44" s="127">
        <v>0</v>
      </c>
      <c r="D44" s="127">
        <v>0</v>
      </c>
      <c r="E44" s="128">
        <f t="shared" si="0"/>
        <v>0</v>
      </c>
      <c r="F44" s="129" t="str">
        <f t="shared" si="1"/>
        <v>-</v>
      </c>
      <c r="G44" s="130">
        <f t="shared" si="4"/>
        <v>0</v>
      </c>
      <c r="H44" s="131" t="str">
        <f t="shared" si="2"/>
        <v>-</v>
      </c>
      <c r="I44" s="132">
        <f t="shared" si="5"/>
        <v>0</v>
      </c>
      <c r="J44" s="130">
        <f t="shared" si="6"/>
        <v>0</v>
      </c>
    </row>
    <row r="45" spans="2:10" ht="18" hidden="1" x14ac:dyDescent="0.25">
      <c r="B45" s="126">
        <f t="shared" si="3"/>
        <v>29</v>
      </c>
      <c r="C45" s="127">
        <v>0</v>
      </c>
      <c r="D45" s="127">
        <v>0</v>
      </c>
      <c r="E45" s="128">
        <f t="shared" si="0"/>
        <v>0</v>
      </c>
      <c r="F45" s="129" t="str">
        <f t="shared" si="1"/>
        <v>-</v>
      </c>
      <c r="G45" s="130">
        <f t="shared" si="4"/>
        <v>0</v>
      </c>
      <c r="H45" s="131" t="str">
        <f t="shared" si="2"/>
        <v>-</v>
      </c>
      <c r="I45" s="132">
        <f t="shared" si="5"/>
        <v>0</v>
      </c>
      <c r="J45" s="130">
        <f t="shared" si="6"/>
        <v>0</v>
      </c>
    </row>
    <row r="46" spans="2:10" ht="18" hidden="1" x14ac:dyDescent="0.25">
      <c r="B46" s="126">
        <f t="shared" si="3"/>
        <v>30</v>
      </c>
      <c r="C46" s="127">
        <v>0</v>
      </c>
      <c r="D46" s="127">
        <v>0</v>
      </c>
      <c r="E46" s="128">
        <f t="shared" si="0"/>
        <v>0</v>
      </c>
      <c r="F46" s="129" t="str">
        <f t="shared" si="1"/>
        <v>-</v>
      </c>
      <c r="G46" s="130">
        <f t="shared" si="4"/>
        <v>0</v>
      </c>
      <c r="H46" s="131" t="str">
        <f t="shared" si="2"/>
        <v>-</v>
      </c>
      <c r="I46" s="132">
        <f t="shared" si="5"/>
        <v>0</v>
      </c>
      <c r="J46" s="130">
        <f t="shared" si="6"/>
        <v>0</v>
      </c>
    </row>
    <row r="47" spans="2:10" ht="18" hidden="1" x14ac:dyDescent="0.25">
      <c r="B47" s="126">
        <f t="shared" si="3"/>
        <v>31</v>
      </c>
      <c r="C47" s="127">
        <v>0</v>
      </c>
      <c r="D47" s="127">
        <v>0</v>
      </c>
      <c r="E47" s="128">
        <f t="shared" si="0"/>
        <v>0</v>
      </c>
      <c r="F47" s="129" t="str">
        <f t="shared" si="1"/>
        <v>-</v>
      </c>
      <c r="G47" s="130">
        <f t="shared" si="4"/>
        <v>0</v>
      </c>
      <c r="H47" s="131" t="str">
        <f t="shared" si="2"/>
        <v>-</v>
      </c>
      <c r="I47" s="132">
        <f t="shared" si="5"/>
        <v>0</v>
      </c>
      <c r="J47" s="130">
        <f t="shared" si="6"/>
        <v>0</v>
      </c>
    </row>
    <row r="48" spans="2:10" ht="18" hidden="1" x14ac:dyDescent="0.25">
      <c r="B48" s="126">
        <f t="shared" si="3"/>
        <v>32</v>
      </c>
      <c r="C48" s="127">
        <v>0</v>
      </c>
      <c r="D48" s="127">
        <v>0</v>
      </c>
      <c r="E48" s="128">
        <f t="shared" si="0"/>
        <v>0</v>
      </c>
      <c r="F48" s="129" t="str">
        <f t="shared" si="1"/>
        <v>-</v>
      </c>
      <c r="G48" s="130">
        <f t="shared" si="4"/>
        <v>0</v>
      </c>
      <c r="H48" s="131" t="str">
        <f t="shared" si="2"/>
        <v>-</v>
      </c>
      <c r="I48" s="132">
        <f t="shared" si="5"/>
        <v>0</v>
      </c>
      <c r="J48" s="130">
        <f t="shared" si="6"/>
        <v>0</v>
      </c>
    </row>
    <row r="49" spans="2:10" ht="18" hidden="1" x14ac:dyDescent="0.25">
      <c r="B49" s="126">
        <f t="shared" si="3"/>
        <v>33</v>
      </c>
      <c r="C49" s="127">
        <v>0</v>
      </c>
      <c r="D49" s="127">
        <v>0</v>
      </c>
      <c r="E49" s="128">
        <f t="shared" si="0"/>
        <v>0</v>
      </c>
      <c r="F49" s="129" t="str">
        <f t="shared" si="1"/>
        <v>-</v>
      </c>
      <c r="G49" s="130">
        <f t="shared" si="4"/>
        <v>0</v>
      </c>
      <c r="H49" s="131" t="str">
        <f t="shared" si="2"/>
        <v>-</v>
      </c>
      <c r="I49" s="132">
        <f t="shared" si="5"/>
        <v>0</v>
      </c>
      <c r="J49" s="130">
        <f t="shared" si="6"/>
        <v>0</v>
      </c>
    </row>
    <row r="50" spans="2:10" ht="18" hidden="1" x14ac:dyDescent="0.25">
      <c r="B50" s="126">
        <f t="shared" si="3"/>
        <v>34</v>
      </c>
      <c r="C50" s="127">
        <v>0</v>
      </c>
      <c r="D50" s="127">
        <v>0</v>
      </c>
      <c r="E50" s="128">
        <f t="shared" si="0"/>
        <v>0</v>
      </c>
      <c r="F50" s="129" t="str">
        <f t="shared" si="1"/>
        <v>-</v>
      </c>
      <c r="G50" s="130">
        <f t="shared" si="4"/>
        <v>0</v>
      </c>
      <c r="H50" s="131" t="str">
        <f t="shared" si="2"/>
        <v>-</v>
      </c>
      <c r="I50" s="132">
        <f t="shared" si="5"/>
        <v>0</v>
      </c>
      <c r="J50" s="130">
        <f t="shared" si="6"/>
        <v>0</v>
      </c>
    </row>
    <row r="51" spans="2:10" ht="18" hidden="1" x14ac:dyDescent="0.25">
      <c r="B51" s="126">
        <f t="shared" si="3"/>
        <v>35</v>
      </c>
      <c r="C51" s="127">
        <v>0</v>
      </c>
      <c r="D51" s="127">
        <v>0</v>
      </c>
      <c r="E51" s="128">
        <f t="shared" si="0"/>
        <v>0</v>
      </c>
      <c r="F51" s="129" t="str">
        <f t="shared" si="1"/>
        <v>-</v>
      </c>
      <c r="G51" s="130">
        <f t="shared" si="4"/>
        <v>0</v>
      </c>
      <c r="H51" s="131" t="str">
        <f t="shared" si="2"/>
        <v>-</v>
      </c>
      <c r="I51" s="132">
        <f t="shared" si="5"/>
        <v>0</v>
      </c>
      <c r="J51" s="130">
        <f t="shared" si="6"/>
        <v>0</v>
      </c>
    </row>
    <row r="52" spans="2:10" ht="18" hidden="1" x14ac:dyDescent="0.25">
      <c r="B52" s="126">
        <f t="shared" si="3"/>
        <v>36</v>
      </c>
      <c r="C52" s="127">
        <v>0</v>
      </c>
      <c r="D52" s="127">
        <v>0</v>
      </c>
      <c r="E52" s="128">
        <f t="shared" si="0"/>
        <v>0</v>
      </c>
      <c r="F52" s="129" t="str">
        <f t="shared" si="1"/>
        <v>-</v>
      </c>
      <c r="G52" s="130">
        <f t="shared" si="4"/>
        <v>0</v>
      </c>
      <c r="H52" s="131" t="str">
        <f t="shared" si="2"/>
        <v>-</v>
      </c>
      <c r="I52" s="132">
        <f t="shared" si="5"/>
        <v>0</v>
      </c>
      <c r="J52" s="130">
        <f t="shared" si="6"/>
        <v>0</v>
      </c>
    </row>
    <row r="53" spans="2:10" ht="18" hidden="1" x14ac:dyDescent="0.25">
      <c r="B53" s="126">
        <f t="shared" si="3"/>
        <v>37</v>
      </c>
      <c r="C53" s="127">
        <v>0</v>
      </c>
      <c r="D53" s="127">
        <v>0</v>
      </c>
      <c r="E53" s="128">
        <f t="shared" si="0"/>
        <v>0</v>
      </c>
      <c r="F53" s="129" t="str">
        <f t="shared" si="1"/>
        <v>-</v>
      </c>
      <c r="G53" s="130">
        <f t="shared" si="4"/>
        <v>0</v>
      </c>
      <c r="H53" s="131" t="str">
        <f t="shared" si="2"/>
        <v>-</v>
      </c>
      <c r="I53" s="132">
        <f t="shared" si="5"/>
        <v>0</v>
      </c>
      <c r="J53" s="130">
        <f t="shared" si="6"/>
        <v>0</v>
      </c>
    </row>
    <row r="54" spans="2:10" ht="18" hidden="1" x14ac:dyDescent="0.25">
      <c r="B54" s="126">
        <f t="shared" si="3"/>
        <v>38</v>
      </c>
      <c r="C54" s="127">
        <v>0</v>
      </c>
      <c r="D54" s="127">
        <v>0</v>
      </c>
      <c r="E54" s="128">
        <f t="shared" si="0"/>
        <v>0</v>
      </c>
      <c r="F54" s="129" t="str">
        <f t="shared" si="1"/>
        <v>-</v>
      </c>
      <c r="G54" s="130">
        <f t="shared" si="4"/>
        <v>0</v>
      </c>
      <c r="H54" s="131" t="str">
        <f t="shared" si="2"/>
        <v>-</v>
      </c>
      <c r="I54" s="132">
        <f t="shared" si="5"/>
        <v>0</v>
      </c>
      <c r="J54" s="130">
        <f t="shared" si="6"/>
        <v>0</v>
      </c>
    </row>
    <row r="55" spans="2:10" ht="18" hidden="1" x14ac:dyDescent="0.25">
      <c r="B55" s="126">
        <f t="shared" si="3"/>
        <v>39</v>
      </c>
      <c r="C55" s="127">
        <v>0</v>
      </c>
      <c r="D55" s="127">
        <v>0</v>
      </c>
      <c r="E55" s="128">
        <f t="shared" si="0"/>
        <v>0</v>
      </c>
      <c r="F55" s="129" t="str">
        <f t="shared" si="1"/>
        <v>-</v>
      </c>
      <c r="G55" s="130">
        <f t="shared" si="4"/>
        <v>0</v>
      </c>
      <c r="H55" s="131" t="str">
        <f t="shared" si="2"/>
        <v>-</v>
      </c>
      <c r="I55" s="132">
        <f t="shared" si="5"/>
        <v>0</v>
      </c>
      <c r="J55" s="130">
        <f t="shared" si="6"/>
        <v>0</v>
      </c>
    </row>
    <row r="56" spans="2:10" ht="18" hidden="1" x14ac:dyDescent="0.25">
      <c r="B56" s="126">
        <f t="shared" si="3"/>
        <v>40</v>
      </c>
      <c r="C56" s="127">
        <v>0</v>
      </c>
      <c r="D56" s="127">
        <v>0</v>
      </c>
      <c r="E56" s="128">
        <f t="shared" si="0"/>
        <v>0</v>
      </c>
      <c r="F56" s="129" t="str">
        <f t="shared" si="1"/>
        <v>-</v>
      </c>
      <c r="G56" s="130">
        <f t="shared" si="4"/>
        <v>0</v>
      </c>
      <c r="H56" s="131" t="str">
        <f t="shared" si="2"/>
        <v>-</v>
      </c>
      <c r="I56" s="132">
        <f t="shared" si="5"/>
        <v>0</v>
      </c>
      <c r="J56" s="130">
        <f t="shared" si="6"/>
        <v>0</v>
      </c>
    </row>
    <row r="57" spans="2:10" ht="18" hidden="1" x14ac:dyDescent="0.25">
      <c r="B57" s="126">
        <f t="shared" si="3"/>
        <v>41</v>
      </c>
      <c r="C57" s="127">
        <v>0</v>
      </c>
      <c r="D57" s="127">
        <v>0</v>
      </c>
      <c r="E57" s="128">
        <f t="shared" si="0"/>
        <v>0</v>
      </c>
      <c r="F57" s="129" t="str">
        <f t="shared" si="1"/>
        <v>-</v>
      </c>
      <c r="G57" s="130">
        <f t="shared" si="4"/>
        <v>0</v>
      </c>
      <c r="H57" s="131" t="str">
        <f t="shared" si="2"/>
        <v>-</v>
      </c>
      <c r="I57" s="132">
        <f t="shared" si="5"/>
        <v>0</v>
      </c>
      <c r="J57" s="130">
        <f t="shared" si="6"/>
        <v>0</v>
      </c>
    </row>
    <row r="58" spans="2:10" ht="18" hidden="1" x14ac:dyDescent="0.25">
      <c r="B58" s="126">
        <f t="shared" si="3"/>
        <v>42</v>
      </c>
      <c r="C58" s="127">
        <v>0</v>
      </c>
      <c r="D58" s="127">
        <v>0</v>
      </c>
      <c r="E58" s="128">
        <f t="shared" si="0"/>
        <v>0</v>
      </c>
      <c r="F58" s="129" t="str">
        <f t="shared" si="1"/>
        <v>-</v>
      </c>
      <c r="G58" s="130">
        <f t="shared" si="4"/>
        <v>0</v>
      </c>
      <c r="H58" s="131" t="str">
        <f t="shared" si="2"/>
        <v>-</v>
      </c>
      <c r="I58" s="132">
        <f t="shared" si="5"/>
        <v>0</v>
      </c>
      <c r="J58" s="130">
        <f t="shared" si="6"/>
        <v>0</v>
      </c>
    </row>
    <row r="59" spans="2:10" ht="18" hidden="1" x14ac:dyDescent="0.25">
      <c r="B59" s="126">
        <f t="shared" si="3"/>
        <v>43</v>
      </c>
      <c r="C59" s="127">
        <v>0</v>
      </c>
      <c r="D59" s="127">
        <v>0</v>
      </c>
      <c r="E59" s="128">
        <f t="shared" si="0"/>
        <v>0</v>
      </c>
      <c r="F59" s="129" t="str">
        <f t="shared" si="1"/>
        <v>-</v>
      </c>
      <c r="G59" s="130">
        <f t="shared" si="4"/>
        <v>0</v>
      </c>
      <c r="H59" s="131" t="str">
        <f t="shared" si="2"/>
        <v>-</v>
      </c>
      <c r="I59" s="132">
        <f t="shared" si="5"/>
        <v>0</v>
      </c>
      <c r="J59" s="130">
        <f t="shared" si="6"/>
        <v>0</v>
      </c>
    </row>
    <row r="60" spans="2:10" ht="18" hidden="1" x14ac:dyDescent="0.25">
      <c r="B60" s="126">
        <f t="shared" si="3"/>
        <v>44</v>
      </c>
      <c r="C60" s="127">
        <v>0</v>
      </c>
      <c r="D60" s="127">
        <v>0</v>
      </c>
      <c r="E60" s="128">
        <f t="shared" si="0"/>
        <v>0</v>
      </c>
      <c r="F60" s="129" t="str">
        <f t="shared" si="1"/>
        <v>-</v>
      </c>
      <c r="G60" s="130">
        <f t="shared" si="4"/>
        <v>0</v>
      </c>
      <c r="H60" s="131" t="str">
        <f t="shared" si="2"/>
        <v>-</v>
      </c>
      <c r="I60" s="132">
        <f t="shared" si="5"/>
        <v>0</v>
      </c>
      <c r="J60" s="130">
        <f t="shared" si="6"/>
        <v>0</v>
      </c>
    </row>
    <row r="61" spans="2:10" ht="18" hidden="1" x14ac:dyDescent="0.25">
      <c r="B61" s="126">
        <f t="shared" si="3"/>
        <v>45</v>
      </c>
      <c r="C61" s="127">
        <v>0</v>
      </c>
      <c r="D61" s="127">
        <v>0</v>
      </c>
      <c r="E61" s="128">
        <f t="shared" si="0"/>
        <v>0</v>
      </c>
      <c r="F61" s="129" t="str">
        <f t="shared" si="1"/>
        <v>-</v>
      </c>
      <c r="G61" s="130">
        <f t="shared" si="4"/>
        <v>0</v>
      </c>
      <c r="H61" s="131" t="str">
        <f t="shared" si="2"/>
        <v>-</v>
      </c>
      <c r="I61" s="132">
        <f t="shared" si="5"/>
        <v>0</v>
      </c>
      <c r="J61" s="130">
        <f t="shared" si="6"/>
        <v>0</v>
      </c>
    </row>
    <row r="62" spans="2:10" ht="18" hidden="1" x14ac:dyDescent="0.25">
      <c r="B62" s="126">
        <f t="shared" si="3"/>
        <v>46</v>
      </c>
      <c r="C62" s="127">
        <v>0</v>
      </c>
      <c r="D62" s="127">
        <v>0</v>
      </c>
      <c r="E62" s="128">
        <f t="shared" si="0"/>
        <v>0</v>
      </c>
      <c r="F62" s="129" t="str">
        <f t="shared" si="1"/>
        <v>-</v>
      </c>
      <c r="G62" s="130">
        <f t="shared" si="4"/>
        <v>0</v>
      </c>
      <c r="H62" s="131" t="str">
        <f t="shared" si="2"/>
        <v>-</v>
      </c>
      <c r="I62" s="132">
        <f t="shared" si="5"/>
        <v>0</v>
      </c>
      <c r="J62" s="130">
        <f t="shared" si="6"/>
        <v>0</v>
      </c>
    </row>
    <row r="63" spans="2:10" ht="18" hidden="1" x14ac:dyDescent="0.25">
      <c r="B63" s="126">
        <f t="shared" si="3"/>
        <v>47</v>
      </c>
      <c r="C63" s="127">
        <v>0</v>
      </c>
      <c r="D63" s="127">
        <v>0</v>
      </c>
      <c r="E63" s="128">
        <f t="shared" si="0"/>
        <v>0</v>
      </c>
      <c r="F63" s="129" t="str">
        <f t="shared" si="1"/>
        <v>-</v>
      </c>
      <c r="G63" s="130">
        <f t="shared" si="4"/>
        <v>0</v>
      </c>
      <c r="H63" s="131" t="str">
        <f t="shared" si="2"/>
        <v>-</v>
      </c>
      <c r="I63" s="132">
        <f t="shared" si="5"/>
        <v>0</v>
      </c>
      <c r="J63" s="130">
        <f t="shared" si="6"/>
        <v>0</v>
      </c>
    </row>
    <row r="64" spans="2:10" ht="18" hidden="1" x14ac:dyDescent="0.25">
      <c r="B64" s="126">
        <f t="shared" si="3"/>
        <v>48</v>
      </c>
      <c r="C64" s="127">
        <v>0</v>
      </c>
      <c r="D64" s="127">
        <v>0</v>
      </c>
      <c r="E64" s="128">
        <f t="shared" si="0"/>
        <v>0</v>
      </c>
      <c r="F64" s="129" t="str">
        <f t="shared" si="1"/>
        <v>-</v>
      </c>
      <c r="G64" s="130">
        <f t="shared" si="4"/>
        <v>0</v>
      </c>
      <c r="H64" s="131" t="str">
        <f t="shared" si="2"/>
        <v>-</v>
      </c>
      <c r="I64" s="132">
        <f t="shared" si="5"/>
        <v>0</v>
      </c>
      <c r="J64" s="130">
        <f t="shared" si="6"/>
        <v>0</v>
      </c>
    </row>
    <row r="65" spans="2:10" ht="18" hidden="1" x14ac:dyDescent="0.25">
      <c r="B65" s="126">
        <f t="shared" si="3"/>
        <v>49</v>
      </c>
      <c r="C65" s="127">
        <v>0</v>
      </c>
      <c r="D65" s="127">
        <v>0</v>
      </c>
      <c r="E65" s="128">
        <f t="shared" si="0"/>
        <v>0</v>
      </c>
      <c r="F65" s="129" t="str">
        <f t="shared" si="1"/>
        <v>-</v>
      </c>
      <c r="G65" s="130">
        <f t="shared" si="4"/>
        <v>0</v>
      </c>
      <c r="H65" s="131" t="str">
        <f t="shared" si="2"/>
        <v>-</v>
      </c>
      <c r="I65" s="132">
        <f t="shared" si="5"/>
        <v>0</v>
      </c>
      <c r="J65" s="130">
        <f t="shared" si="6"/>
        <v>0</v>
      </c>
    </row>
    <row r="66" spans="2:10" ht="18" hidden="1" x14ac:dyDescent="0.25">
      <c r="B66" s="126">
        <f t="shared" si="3"/>
        <v>50</v>
      </c>
      <c r="C66" s="127">
        <v>0</v>
      </c>
      <c r="D66" s="127">
        <v>0</v>
      </c>
      <c r="E66" s="128">
        <f t="shared" si="0"/>
        <v>0</v>
      </c>
      <c r="F66" s="129" t="str">
        <f t="shared" si="1"/>
        <v>-</v>
      </c>
      <c r="G66" s="130">
        <f t="shared" si="4"/>
        <v>0</v>
      </c>
      <c r="H66" s="131" t="str">
        <f t="shared" si="2"/>
        <v>-</v>
      </c>
      <c r="I66" s="132">
        <f t="shared" si="5"/>
        <v>0</v>
      </c>
      <c r="J66" s="130">
        <f t="shared" si="6"/>
        <v>0</v>
      </c>
    </row>
    <row r="67" spans="2:10" ht="18" hidden="1" x14ac:dyDescent="0.25">
      <c r="B67" s="126">
        <f t="shared" si="3"/>
        <v>51</v>
      </c>
      <c r="C67" s="127">
        <v>0</v>
      </c>
      <c r="D67" s="127">
        <v>0</v>
      </c>
      <c r="E67" s="128">
        <f t="shared" si="0"/>
        <v>0</v>
      </c>
      <c r="F67" s="129" t="str">
        <f t="shared" si="1"/>
        <v>-</v>
      </c>
      <c r="G67" s="130">
        <f t="shared" si="4"/>
        <v>0</v>
      </c>
      <c r="H67" s="131" t="str">
        <f t="shared" si="2"/>
        <v>-</v>
      </c>
      <c r="I67" s="132">
        <f t="shared" si="5"/>
        <v>0</v>
      </c>
      <c r="J67" s="130">
        <f t="shared" si="6"/>
        <v>0</v>
      </c>
    </row>
    <row r="68" spans="2:10" ht="18" hidden="1" x14ac:dyDescent="0.25">
      <c r="B68" s="126">
        <f t="shared" si="3"/>
        <v>52</v>
      </c>
      <c r="C68" s="127">
        <v>0</v>
      </c>
      <c r="D68" s="127">
        <v>0</v>
      </c>
      <c r="E68" s="128">
        <f t="shared" si="0"/>
        <v>0</v>
      </c>
      <c r="F68" s="129" t="str">
        <f t="shared" si="1"/>
        <v>-</v>
      </c>
      <c r="G68" s="130">
        <f t="shared" si="4"/>
        <v>0</v>
      </c>
      <c r="H68" s="131" t="str">
        <f t="shared" si="2"/>
        <v>-</v>
      </c>
      <c r="I68" s="132">
        <f t="shared" si="5"/>
        <v>0</v>
      </c>
      <c r="J68" s="130">
        <f t="shared" si="6"/>
        <v>0</v>
      </c>
    </row>
    <row r="69" spans="2:10" ht="18" hidden="1" x14ac:dyDescent="0.25">
      <c r="B69" s="126">
        <f t="shared" si="3"/>
        <v>53</v>
      </c>
      <c r="C69" s="127">
        <v>0</v>
      </c>
      <c r="D69" s="127">
        <v>0</v>
      </c>
      <c r="E69" s="128">
        <f t="shared" si="0"/>
        <v>0</v>
      </c>
      <c r="F69" s="129" t="str">
        <f t="shared" si="1"/>
        <v>-</v>
      </c>
      <c r="G69" s="130">
        <f t="shared" si="4"/>
        <v>0</v>
      </c>
      <c r="H69" s="131" t="str">
        <f t="shared" si="2"/>
        <v>-</v>
      </c>
      <c r="I69" s="132">
        <f t="shared" si="5"/>
        <v>0</v>
      </c>
      <c r="J69" s="130">
        <f t="shared" si="6"/>
        <v>0</v>
      </c>
    </row>
    <row r="70" spans="2:10" ht="18" hidden="1" x14ac:dyDescent="0.25">
      <c r="B70" s="126">
        <f t="shared" si="3"/>
        <v>54</v>
      </c>
      <c r="C70" s="127">
        <v>0</v>
      </c>
      <c r="D70" s="127">
        <v>0</v>
      </c>
      <c r="E70" s="128">
        <f t="shared" si="0"/>
        <v>0</v>
      </c>
      <c r="F70" s="129" t="str">
        <f t="shared" si="1"/>
        <v>-</v>
      </c>
      <c r="G70" s="130">
        <f t="shared" si="4"/>
        <v>0</v>
      </c>
      <c r="H70" s="131" t="str">
        <f t="shared" si="2"/>
        <v>-</v>
      </c>
      <c r="I70" s="132">
        <f t="shared" si="5"/>
        <v>0</v>
      </c>
      <c r="J70" s="130">
        <f t="shared" si="6"/>
        <v>0</v>
      </c>
    </row>
    <row r="71" spans="2:10" ht="18" hidden="1" x14ac:dyDescent="0.25">
      <c r="B71" s="126">
        <f t="shared" si="3"/>
        <v>55</v>
      </c>
      <c r="C71" s="127">
        <v>0</v>
      </c>
      <c r="D71" s="127">
        <v>0</v>
      </c>
      <c r="E71" s="128">
        <f t="shared" si="0"/>
        <v>0</v>
      </c>
      <c r="F71" s="129" t="str">
        <f t="shared" si="1"/>
        <v>-</v>
      </c>
      <c r="G71" s="130">
        <f t="shared" si="4"/>
        <v>0</v>
      </c>
      <c r="H71" s="131" t="str">
        <f t="shared" si="2"/>
        <v>-</v>
      </c>
      <c r="I71" s="132">
        <f t="shared" si="5"/>
        <v>0</v>
      </c>
      <c r="J71" s="130">
        <f t="shared" si="6"/>
        <v>0</v>
      </c>
    </row>
    <row r="72" spans="2:10" ht="18" hidden="1" x14ac:dyDescent="0.25">
      <c r="B72" s="126">
        <f t="shared" si="3"/>
        <v>56</v>
      </c>
      <c r="C72" s="127">
        <v>0</v>
      </c>
      <c r="D72" s="127">
        <v>0</v>
      </c>
      <c r="E72" s="128">
        <f t="shared" si="0"/>
        <v>0</v>
      </c>
      <c r="F72" s="129" t="str">
        <f t="shared" si="1"/>
        <v>-</v>
      </c>
      <c r="G72" s="130">
        <f t="shared" si="4"/>
        <v>0</v>
      </c>
      <c r="H72" s="131" t="str">
        <f t="shared" si="2"/>
        <v>-</v>
      </c>
      <c r="I72" s="132">
        <f t="shared" si="5"/>
        <v>0</v>
      </c>
      <c r="J72" s="130">
        <f t="shared" si="6"/>
        <v>0</v>
      </c>
    </row>
    <row r="73" spans="2:10" ht="18" hidden="1" x14ac:dyDescent="0.25">
      <c r="B73" s="126">
        <f t="shared" si="3"/>
        <v>57</v>
      </c>
      <c r="C73" s="127">
        <v>0</v>
      </c>
      <c r="D73" s="127">
        <v>0</v>
      </c>
      <c r="E73" s="128">
        <f t="shared" si="0"/>
        <v>0</v>
      </c>
      <c r="F73" s="129" t="str">
        <f t="shared" si="1"/>
        <v>-</v>
      </c>
      <c r="G73" s="130">
        <f t="shared" si="4"/>
        <v>0</v>
      </c>
      <c r="H73" s="131" t="str">
        <f t="shared" si="2"/>
        <v>-</v>
      </c>
      <c r="I73" s="132">
        <f t="shared" si="5"/>
        <v>0</v>
      </c>
      <c r="J73" s="130">
        <f t="shared" si="6"/>
        <v>0</v>
      </c>
    </row>
    <row r="74" spans="2:10" ht="18" hidden="1" x14ac:dyDescent="0.25">
      <c r="B74" s="126">
        <f t="shared" si="3"/>
        <v>58</v>
      </c>
      <c r="C74" s="127">
        <v>0</v>
      </c>
      <c r="D74" s="127">
        <v>0</v>
      </c>
      <c r="E74" s="128">
        <f t="shared" si="0"/>
        <v>0</v>
      </c>
      <c r="F74" s="129" t="str">
        <f t="shared" si="1"/>
        <v>-</v>
      </c>
      <c r="G74" s="130">
        <f t="shared" si="4"/>
        <v>0</v>
      </c>
      <c r="H74" s="131" t="str">
        <f t="shared" si="2"/>
        <v>-</v>
      </c>
      <c r="I74" s="132">
        <f t="shared" si="5"/>
        <v>0</v>
      </c>
      <c r="J74" s="130">
        <f t="shared" si="6"/>
        <v>0</v>
      </c>
    </row>
    <row r="75" spans="2:10" ht="18" hidden="1" x14ac:dyDescent="0.25">
      <c r="B75" s="126">
        <f t="shared" si="3"/>
        <v>59</v>
      </c>
      <c r="C75" s="127">
        <v>0</v>
      </c>
      <c r="D75" s="127">
        <v>0</v>
      </c>
      <c r="E75" s="128">
        <f t="shared" si="0"/>
        <v>0</v>
      </c>
      <c r="F75" s="129" t="str">
        <f t="shared" si="1"/>
        <v>-</v>
      </c>
      <c r="G75" s="130">
        <f t="shared" si="4"/>
        <v>0</v>
      </c>
      <c r="H75" s="131" t="str">
        <f t="shared" si="2"/>
        <v>-</v>
      </c>
      <c r="I75" s="132">
        <f t="shared" si="5"/>
        <v>0</v>
      </c>
      <c r="J75" s="130">
        <f t="shared" si="6"/>
        <v>0</v>
      </c>
    </row>
    <row r="76" spans="2:10" ht="18" hidden="1" x14ac:dyDescent="0.25">
      <c r="B76" s="126">
        <f t="shared" si="3"/>
        <v>60</v>
      </c>
      <c r="C76" s="127">
        <v>0</v>
      </c>
      <c r="D76" s="127">
        <v>0</v>
      </c>
      <c r="E76" s="128">
        <f t="shared" si="0"/>
        <v>0</v>
      </c>
      <c r="F76" s="129" t="str">
        <f t="shared" si="1"/>
        <v>-</v>
      </c>
      <c r="G76" s="130">
        <f t="shared" si="4"/>
        <v>0</v>
      </c>
      <c r="H76" s="131" t="str">
        <f t="shared" si="2"/>
        <v>-</v>
      </c>
      <c r="I76" s="132">
        <f t="shared" si="5"/>
        <v>0</v>
      </c>
      <c r="J76" s="130">
        <f t="shared" si="6"/>
        <v>0</v>
      </c>
    </row>
    <row r="77" spans="2:10" ht="18" hidden="1" x14ac:dyDescent="0.25">
      <c r="B77" s="126">
        <f t="shared" si="3"/>
        <v>61</v>
      </c>
      <c r="C77" s="127">
        <v>0</v>
      </c>
      <c r="D77" s="127">
        <v>0</v>
      </c>
      <c r="E77" s="128">
        <f t="shared" si="0"/>
        <v>0</v>
      </c>
      <c r="F77" s="129" t="str">
        <f t="shared" si="1"/>
        <v>-</v>
      </c>
      <c r="G77" s="130">
        <f t="shared" si="4"/>
        <v>0</v>
      </c>
      <c r="H77" s="131" t="str">
        <f t="shared" si="2"/>
        <v>-</v>
      </c>
      <c r="I77" s="132">
        <f t="shared" si="5"/>
        <v>0</v>
      </c>
      <c r="J77" s="130">
        <f t="shared" si="6"/>
        <v>0</v>
      </c>
    </row>
    <row r="78" spans="2:10" ht="18" hidden="1" x14ac:dyDescent="0.25">
      <c r="B78" s="126">
        <f t="shared" si="3"/>
        <v>62</v>
      </c>
      <c r="C78" s="127">
        <v>0</v>
      </c>
      <c r="D78" s="127">
        <v>0</v>
      </c>
      <c r="E78" s="128">
        <f t="shared" si="0"/>
        <v>0</v>
      </c>
      <c r="F78" s="129" t="str">
        <f t="shared" si="1"/>
        <v>-</v>
      </c>
      <c r="G78" s="130">
        <f t="shared" si="4"/>
        <v>0</v>
      </c>
      <c r="H78" s="131" t="str">
        <f t="shared" si="2"/>
        <v>-</v>
      </c>
      <c r="I78" s="132">
        <f t="shared" si="5"/>
        <v>0</v>
      </c>
      <c r="J78" s="130">
        <f t="shared" si="6"/>
        <v>0</v>
      </c>
    </row>
    <row r="79" spans="2:10" ht="18" hidden="1" x14ac:dyDescent="0.25">
      <c r="B79" s="126">
        <f t="shared" si="3"/>
        <v>63</v>
      </c>
      <c r="C79" s="127">
        <v>0</v>
      </c>
      <c r="D79" s="127">
        <v>0</v>
      </c>
      <c r="E79" s="128">
        <f t="shared" si="0"/>
        <v>0</v>
      </c>
      <c r="F79" s="129" t="str">
        <f t="shared" si="1"/>
        <v>-</v>
      </c>
      <c r="G79" s="130">
        <f t="shared" si="4"/>
        <v>0</v>
      </c>
      <c r="H79" s="131" t="str">
        <f t="shared" si="2"/>
        <v>-</v>
      </c>
      <c r="I79" s="132">
        <f t="shared" si="5"/>
        <v>0</v>
      </c>
      <c r="J79" s="130">
        <f t="shared" si="6"/>
        <v>0</v>
      </c>
    </row>
    <row r="80" spans="2:10" ht="18" hidden="1" x14ac:dyDescent="0.25">
      <c r="B80" s="126">
        <f t="shared" si="3"/>
        <v>64</v>
      </c>
      <c r="C80" s="127">
        <v>0</v>
      </c>
      <c r="D80" s="127">
        <v>0</v>
      </c>
      <c r="E80" s="128">
        <f t="shared" ref="E80:E136" si="8">C80-D80</f>
        <v>0</v>
      </c>
      <c r="F80" s="129" t="str">
        <f t="shared" ref="F80:F136" si="9">IF(B80&lt;=$C$13,POWER((1+$C$14),(B80*-1)),"-")</f>
        <v>-</v>
      </c>
      <c r="G80" s="130">
        <f t="shared" si="4"/>
        <v>0</v>
      </c>
      <c r="H80" s="131" t="str">
        <f t="shared" ref="H80:H136" si="10">IF(B80&lt;=$C$13,POWER((1+$G$139),(B80*-1)),"-")</f>
        <v>-</v>
      </c>
      <c r="I80" s="132">
        <f t="shared" si="5"/>
        <v>0</v>
      </c>
      <c r="J80" s="130">
        <f t="shared" si="6"/>
        <v>0</v>
      </c>
    </row>
    <row r="81" spans="2:10" ht="18" hidden="1" x14ac:dyDescent="0.25">
      <c r="B81" s="126">
        <f t="shared" ref="B81:B136" si="11">B80+1</f>
        <v>65</v>
      </c>
      <c r="C81" s="127">
        <v>0</v>
      </c>
      <c r="D81" s="127">
        <v>0</v>
      </c>
      <c r="E81" s="128">
        <f t="shared" si="8"/>
        <v>0</v>
      </c>
      <c r="F81" s="129" t="str">
        <f t="shared" si="9"/>
        <v>-</v>
      </c>
      <c r="G81" s="130">
        <f t="shared" ref="G81:G136" si="12">PV($C$14,B81,0,E81)*-1</f>
        <v>0</v>
      </c>
      <c r="H81" s="131" t="str">
        <f t="shared" si="10"/>
        <v>-</v>
      </c>
      <c r="I81" s="132">
        <f t="shared" ref="I81:I136" si="13">PV($G$139,B81,0,E81)*-1</f>
        <v>0</v>
      </c>
      <c r="J81" s="130">
        <f t="shared" si="6"/>
        <v>0</v>
      </c>
    </row>
    <row r="82" spans="2:10" ht="18" hidden="1" x14ac:dyDescent="0.25">
      <c r="B82" s="126">
        <f t="shared" si="11"/>
        <v>66</v>
      </c>
      <c r="C82" s="127">
        <v>0</v>
      </c>
      <c r="D82" s="127">
        <v>0</v>
      </c>
      <c r="E82" s="128">
        <f t="shared" si="8"/>
        <v>0</v>
      </c>
      <c r="F82" s="129" t="str">
        <f t="shared" si="9"/>
        <v>-</v>
      </c>
      <c r="G82" s="130">
        <f t="shared" si="12"/>
        <v>0</v>
      </c>
      <c r="H82" s="131" t="str">
        <f t="shared" si="10"/>
        <v>-</v>
      </c>
      <c r="I82" s="132">
        <f t="shared" si="13"/>
        <v>0</v>
      </c>
      <c r="J82" s="130">
        <f t="shared" ref="J82:J136" si="14">IF(B82&lt;=$C$13,$J$17,0)</f>
        <v>0</v>
      </c>
    </row>
    <row r="83" spans="2:10" ht="18" hidden="1" x14ac:dyDescent="0.25">
      <c r="B83" s="126">
        <f t="shared" si="11"/>
        <v>67</v>
      </c>
      <c r="C83" s="127">
        <v>0</v>
      </c>
      <c r="D83" s="127">
        <v>0</v>
      </c>
      <c r="E83" s="128">
        <f t="shared" si="8"/>
        <v>0</v>
      </c>
      <c r="F83" s="129" t="str">
        <f t="shared" si="9"/>
        <v>-</v>
      </c>
      <c r="G83" s="130">
        <f t="shared" si="12"/>
        <v>0</v>
      </c>
      <c r="H83" s="131" t="str">
        <f t="shared" si="10"/>
        <v>-</v>
      </c>
      <c r="I83" s="132">
        <f t="shared" si="13"/>
        <v>0</v>
      </c>
      <c r="J83" s="130">
        <f t="shared" si="14"/>
        <v>0</v>
      </c>
    </row>
    <row r="84" spans="2:10" ht="18" hidden="1" x14ac:dyDescent="0.25">
      <c r="B84" s="126">
        <f t="shared" si="11"/>
        <v>68</v>
      </c>
      <c r="C84" s="127">
        <v>0</v>
      </c>
      <c r="D84" s="127">
        <v>0</v>
      </c>
      <c r="E84" s="128">
        <f t="shared" si="8"/>
        <v>0</v>
      </c>
      <c r="F84" s="129" t="str">
        <f t="shared" si="9"/>
        <v>-</v>
      </c>
      <c r="G84" s="130">
        <f t="shared" si="12"/>
        <v>0</v>
      </c>
      <c r="H84" s="131" t="str">
        <f t="shared" si="10"/>
        <v>-</v>
      </c>
      <c r="I84" s="132">
        <f t="shared" si="13"/>
        <v>0</v>
      </c>
      <c r="J84" s="130">
        <f t="shared" si="14"/>
        <v>0</v>
      </c>
    </row>
    <row r="85" spans="2:10" ht="18" hidden="1" x14ac:dyDescent="0.25">
      <c r="B85" s="126">
        <f t="shared" si="11"/>
        <v>69</v>
      </c>
      <c r="C85" s="127">
        <v>0</v>
      </c>
      <c r="D85" s="127">
        <v>0</v>
      </c>
      <c r="E85" s="128">
        <f t="shared" si="8"/>
        <v>0</v>
      </c>
      <c r="F85" s="129" t="str">
        <f t="shared" si="9"/>
        <v>-</v>
      </c>
      <c r="G85" s="130">
        <f t="shared" si="12"/>
        <v>0</v>
      </c>
      <c r="H85" s="131" t="str">
        <f t="shared" si="10"/>
        <v>-</v>
      </c>
      <c r="I85" s="132">
        <f t="shared" si="13"/>
        <v>0</v>
      </c>
      <c r="J85" s="130">
        <f t="shared" si="14"/>
        <v>0</v>
      </c>
    </row>
    <row r="86" spans="2:10" ht="18" hidden="1" x14ac:dyDescent="0.25">
      <c r="B86" s="126">
        <f t="shared" si="11"/>
        <v>70</v>
      </c>
      <c r="C86" s="127">
        <v>0</v>
      </c>
      <c r="D86" s="127">
        <v>0</v>
      </c>
      <c r="E86" s="128">
        <f t="shared" si="8"/>
        <v>0</v>
      </c>
      <c r="F86" s="129" t="str">
        <f t="shared" si="9"/>
        <v>-</v>
      </c>
      <c r="G86" s="130">
        <f t="shared" si="12"/>
        <v>0</v>
      </c>
      <c r="H86" s="131" t="str">
        <f t="shared" si="10"/>
        <v>-</v>
      </c>
      <c r="I86" s="132">
        <f t="shared" si="13"/>
        <v>0</v>
      </c>
      <c r="J86" s="130">
        <f t="shared" si="14"/>
        <v>0</v>
      </c>
    </row>
    <row r="87" spans="2:10" ht="18" hidden="1" x14ac:dyDescent="0.25">
      <c r="B87" s="126">
        <f t="shared" si="11"/>
        <v>71</v>
      </c>
      <c r="C87" s="127">
        <v>0</v>
      </c>
      <c r="D87" s="127">
        <v>0</v>
      </c>
      <c r="E87" s="128">
        <f t="shared" si="8"/>
        <v>0</v>
      </c>
      <c r="F87" s="129" t="str">
        <f t="shared" si="9"/>
        <v>-</v>
      </c>
      <c r="G87" s="130">
        <f t="shared" si="12"/>
        <v>0</v>
      </c>
      <c r="H87" s="131" t="str">
        <f t="shared" si="10"/>
        <v>-</v>
      </c>
      <c r="I87" s="132">
        <f t="shared" si="13"/>
        <v>0</v>
      </c>
      <c r="J87" s="130">
        <f t="shared" si="14"/>
        <v>0</v>
      </c>
    </row>
    <row r="88" spans="2:10" ht="18" hidden="1" x14ac:dyDescent="0.25">
      <c r="B88" s="126">
        <f t="shared" si="11"/>
        <v>72</v>
      </c>
      <c r="C88" s="127">
        <v>0</v>
      </c>
      <c r="D88" s="127">
        <v>0</v>
      </c>
      <c r="E88" s="128">
        <f t="shared" si="8"/>
        <v>0</v>
      </c>
      <c r="F88" s="129" t="str">
        <f t="shared" si="9"/>
        <v>-</v>
      </c>
      <c r="G88" s="130">
        <f t="shared" si="12"/>
        <v>0</v>
      </c>
      <c r="H88" s="131" t="str">
        <f t="shared" si="10"/>
        <v>-</v>
      </c>
      <c r="I88" s="132">
        <f t="shared" si="13"/>
        <v>0</v>
      </c>
      <c r="J88" s="130">
        <f t="shared" si="14"/>
        <v>0</v>
      </c>
    </row>
    <row r="89" spans="2:10" ht="18" hidden="1" x14ac:dyDescent="0.25">
      <c r="B89" s="126">
        <f t="shared" si="11"/>
        <v>73</v>
      </c>
      <c r="C89" s="127">
        <v>0</v>
      </c>
      <c r="D89" s="127">
        <v>0</v>
      </c>
      <c r="E89" s="128">
        <f t="shared" si="8"/>
        <v>0</v>
      </c>
      <c r="F89" s="129" t="str">
        <f t="shared" si="9"/>
        <v>-</v>
      </c>
      <c r="G89" s="130">
        <f t="shared" si="12"/>
        <v>0</v>
      </c>
      <c r="H89" s="131" t="str">
        <f t="shared" si="10"/>
        <v>-</v>
      </c>
      <c r="I89" s="132">
        <f t="shared" si="13"/>
        <v>0</v>
      </c>
      <c r="J89" s="130">
        <f t="shared" si="14"/>
        <v>0</v>
      </c>
    </row>
    <row r="90" spans="2:10" ht="18" hidden="1" x14ac:dyDescent="0.25">
      <c r="B90" s="126">
        <f t="shared" si="11"/>
        <v>74</v>
      </c>
      <c r="C90" s="127">
        <v>0</v>
      </c>
      <c r="D90" s="127">
        <v>0</v>
      </c>
      <c r="E90" s="128">
        <f t="shared" si="8"/>
        <v>0</v>
      </c>
      <c r="F90" s="129" t="str">
        <f t="shared" si="9"/>
        <v>-</v>
      </c>
      <c r="G90" s="130">
        <f t="shared" si="12"/>
        <v>0</v>
      </c>
      <c r="H90" s="131" t="str">
        <f t="shared" si="10"/>
        <v>-</v>
      </c>
      <c r="I90" s="132">
        <f t="shared" si="13"/>
        <v>0</v>
      </c>
      <c r="J90" s="130">
        <f t="shared" si="14"/>
        <v>0</v>
      </c>
    </row>
    <row r="91" spans="2:10" ht="18" hidden="1" x14ac:dyDescent="0.25">
      <c r="B91" s="126">
        <f t="shared" si="11"/>
        <v>75</v>
      </c>
      <c r="C91" s="127">
        <v>0</v>
      </c>
      <c r="D91" s="127">
        <v>0</v>
      </c>
      <c r="E91" s="128">
        <f t="shared" si="8"/>
        <v>0</v>
      </c>
      <c r="F91" s="129" t="str">
        <f t="shared" si="9"/>
        <v>-</v>
      </c>
      <c r="G91" s="130">
        <f t="shared" si="12"/>
        <v>0</v>
      </c>
      <c r="H91" s="131" t="str">
        <f t="shared" si="10"/>
        <v>-</v>
      </c>
      <c r="I91" s="132">
        <f t="shared" si="13"/>
        <v>0</v>
      </c>
      <c r="J91" s="130">
        <f t="shared" si="14"/>
        <v>0</v>
      </c>
    </row>
    <row r="92" spans="2:10" ht="18" hidden="1" x14ac:dyDescent="0.25">
      <c r="B92" s="126">
        <f t="shared" si="11"/>
        <v>76</v>
      </c>
      <c r="C92" s="127">
        <v>0</v>
      </c>
      <c r="D92" s="127">
        <v>0</v>
      </c>
      <c r="E92" s="128">
        <f t="shared" si="8"/>
        <v>0</v>
      </c>
      <c r="F92" s="129" t="str">
        <f t="shared" si="9"/>
        <v>-</v>
      </c>
      <c r="G92" s="130">
        <f t="shared" si="12"/>
        <v>0</v>
      </c>
      <c r="H92" s="131" t="str">
        <f t="shared" si="10"/>
        <v>-</v>
      </c>
      <c r="I92" s="132">
        <f t="shared" si="13"/>
        <v>0</v>
      </c>
      <c r="J92" s="130">
        <f t="shared" si="14"/>
        <v>0</v>
      </c>
    </row>
    <row r="93" spans="2:10" ht="18" hidden="1" x14ac:dyDescent="0.25">
      <c r="B93" s="126">
        <f t="shared" si="11"/>
        <v>77</v>
      </c>
      <c r="C93" s="127">
        <v>0</v>
      </c>
      <c r="D93" s="127">
        <v>0</v>
      </c>
      <c r="E93" s="128">
        <f t="shared" si="8"/>
        <v>0</v>
      </c>
      <c r="F93" s="129" t="str">
        <f t="shared" si="9"/>
        <v>-</v>
      </c>
      <c r="G93" s="130">
        <f t="shared" si="12"/>
        <v>0</v>
      </c>
      <c r="H93" s="131" t="str">
        <f t="shared" si="10"/>
        <v>-</v>
      </c>
      <c r="I93" s="132">
        <f t="shared" si="13"/>
        <v>0</v>
      </c>
      <c r="J93" s="130">
        <f t="shared" si="14"/>
        <v>0</v>
      </c>
    </row>
    <row r="94" spans="2:10" ht="18" hidden="1" x14ac:dyDescent="0.25">
      <c r="B94" s="126">
        <f t="shared" si="11"/>
        <v>78</v>
      </c>
      <c r="C94" s="127">
        <v>0</v>
      </c>
      <c r="D94" s="127">
        <v>0</v>
      </c>
      <c r="E94" s="128">
        <f t="shared" si="8"/>
        <v>0</v>
      </c>
      <c r="F94" s="129" t="str">
        <f t="shared" si="9"/>
        <v>-</v>
      </c>
      <c r="G94" s="130">
        <f t="shared" si="12"/>
        <v>0</v>
      </c>
      <c r="H94" s="131" t="str">
        <f t="shared" si="10"/>
        <v>-</v>
      </c>
      <c r="I94" s="132">
        <f t="shared" si="13"/>
        <v>0</v>
      </c>
      <c r="J94" s="130">
        <f t="shared" si="14"/>
        <v>0</v>
      </c>
    </row>
    <row r="95" spans="2:10" ht="18" hidden="1" x14ac:dyDescent="0.25">
      <c r="B95" s="126">
        <f t="shared" si="11"/>
        <v>79</v>
      </c>
      <c r="C95" s="127">
        <v>0</v>
      </c>
      <c r="D95" s="127">
        <v>0</v>
      </c>
      <c r="E95" s="128">
        <f t="shared" si="8"/>
        <v>0</v>
      </c>
      <c r="F95" s="129" t="str">
        <f t="shared" si="9"/>
        <v>-</v>
      </c>
      <c r="G95" s="130">
        <f t="shared" si="12"/>
        <v>0</v>
      </c>
      <c r="H95" s="131" t="str">
        <f t="shared" si="10"/>
        <v>-</v>
      </c>
      <c r="I95" s="132">
        <f t="shared" si="13"/>
        <v>0</v>
      </c>
      <c r="J95" s="130">
        <f t="shared" si="14"/>
        <v>0</v>
      </c>
    </row>
    <row r="96" spans="2:10" ht="18" hidden="1" x14ac:dyDescent="0.25">
      <c r="B96" s="126">
        <f t="shared" si="11"/>
        <v>80</v>
      </c>
      <c r="C96" s="127">
        <v>0</v>
      </c>
      <c r="D96" s="127">
        <v>0</v>
      </c>
      <c r="E96" s="128">
        <f t="shared" si="8"/>
        <v>0</v>
      </c>
      <c r="F96" s="129" t="str">
        <f t="shared" si="9"/>
        <v>-</v>
      </c>
      <c r="G96" s="130">
        <f t="shared" si="12"/>
        <v>0</v>
      </c>
      <c r="H96" s="131" t="str">
        <f t="shared" si="10"/>
        <v>-</v>
      </c>
      <c r="I96" s="132">
        <f t="shared" si="13"/>
        <v>0</v>
      </c>
      <c r="J96" s="130">
        <f t="shared" si="14"/>
        <v>0</v>
      </c>
    </row>
    <row r="97" spans="2:10" ht="18" hidden="1" x14ac:dyDescent="0.25">
      <c r="B97" s="126">
        <f t="shared" si="11"/>
        <v>81</v>
      </c>
      <c r="C97" s="127">
        <v>0</v>
      </c>
      <c r="D97" s="127">
        <v>0</v>
      </c>
      <c r="E97" s="128">
        <f t="shared" si="8"/>
        <v>0</v>
      </c>
      <c r="F97" s="129" t="str">
        <f t="shared" si="9"/>
        <v>-</v>
      </c>
      <c r="G97" s="130">
        <f t="shared" si="12"/>
        <v>0</v>
      </c>
      <c r="H97" s="131" t="str">
        <f t="shared" si="10"/>
        <v>-</v>
      </c>
      <c r="I97" s="132">
        <f t="shared" si="13"/>
        <v>0</v>
      </c>
      <c r="J97" s="130">
        <f t="shared" si="14"/>
        <v>0</v>
      </c>
    </row>
    <row r="98" spans="2:10" ht="18" hidden="1" x14ac:dyDescent="0.25">
      <c r="B98" s="126">
        <f t="shared" si="11"/>
        <v>82</v>
      </c>
      <c r="C98" s="127">
        <v>0</v>
      </c>
      <c r="D98" s="127">
        <v>0</v>
      </c>
      <c r="E98" s="128">
        <f t="shared" si="8"/>
        <v>0</v>
      </c>
      <c r="F98" s="129" t="str">
        <f t="shared" si="9"/>
        <v>-</v>
      </c>
      <c r="G98" s="130">
        <f t="shared" si="12"/>
        <v>0</v>
      </c>
      <c r="H98" s="131" t="str">
        <f t="shared" si="10"/>
        <v>-</v>
      </c>
      <c r="I98" s="132">
        <f t="shared" si="13"/>
        <v>0</v>
      </c>
      <c r="J98" s="130">
        <f t="shared" si="14"/>
        <v>0</v>
      </c>
    </row>
    <row r="99" spans="2:10" ht="18" hidden="1" x14ac:dyDescent="0.25">
      <c r="B99" s="126">
        <f t="shared" si="11"/>
        <v>83</v>
      </c>
      <c r="C99" s="127">
        <v>0</v>
      </c>
      <c r="D99" s="127">
        <v>0</v>
      </c>
      <c r="E99" s="128">
        <f t="shared" si="8"/>
        <v>0</v>
      </c>
      <c r="F99" s="129" t="str">
        <f t="shared" si="9"/>
        <v>-</v>
      </c>
      <c r="G99" s="130">
        <f t="shared" si="12"/>
        <v>0</v>
      </c>
      <c r="H99" s="131" t="str">
        <f t="shared" si="10"/>
        <v>-</v>
      </c>
      <c r="I99" s="132">
        <f t="shared" si="13"/>
        <v>0</v>
      </c>
      <c r="J99" s="130">
        <f t="shared" si="14"/>
        <v>0</v>
      </c>
    </row>
    <row r="100" spans="2:10" ht="18" hidden="1" x14ac:dyDescent="0.25">
      <c r="B100" s="126">
        <f t="shared" si="11"/>
        <v>84</v>
      </c>
      <c r="C100" s="127">
        <v>0</v>
      </c>
      <c r="D100" s="127">
        <v>0</v>
      </c>
      <c r="E100" s="128">
        <f t="shared" si="8"/>
        <v>0</v>
      </c>
      <c r="F100" s="129" t="str">
        <f t="shared" si="9"/>
        <v>-</v>
      </c>
      <c r="G100" s="130">
        <f t="shared" si="12"/>
        <v>0</v>
      </c>
      <c r="H100" s="131" t="str">
        <f t="shared" si="10"/>
        <v>-</v>
      </c>
      <c r="I100" s="132">
        <f t="shared" si="13"/>
        <v>0</v>
      </c>
      <c r="J100" s="130">
        <f t="shared" si="14"/>
        <v>0</v>
      </c>
    </row>
    <row r="101" spans="2:10" ht="18" hidden="1" x14ac:dyDescent="0.25">
      <c r="B101" s="126">
        <f t="shared" si="11"/>
        <v>85</v>
      </c>
      <c r="C101" s="127">
        <v>0</v>
      </c>
      <c r="D101" s="127">
        <v>0</v>
      </c>
      <c r="E101" s="128">
        <f t="shared" si="8"/>
        <v>0</v>
      </c>
      <c r="F101" s="129" t="str">
        <f t="shared" si="9"/>
        <v>-</v>
      </c>
      <c r="G101" s="130">
        <f t="shared" si="12"/>
        <v>0</v>
      </c>
      <c r="H101" s="131" t="str">
        <f t="shared" si="10"/>
        <v>-</v>
      </c>
      <c r="I101" s="132">
        <f t="shared" si="13"/>
        <v>0</v>
      </c>
      <c r="J101" s="130">
        <f t="shared" si="14"/>
        <v>0</v>
      </c>
    </row>
    <row r="102" spans="2:10" ht="18" hidden="1" x14ac:dyDescent="0.25">
      <c r="B102" s="126">
        <f t="shared" si="11"/>
        <v>86</v>
      </c>
      <c r="C102" s="127">
        <v>0</v>
      </c>
      <c r="D102" s="127">
        <v>0</v>
      </c>
      <c r="E102" s="128">
        <f t="shared" si="8"/>
        <v>0</v>
      </c>
      <c r="F102" s="129" t="str">
        <f t="shared" si="9"/>
        <v>-</v>
      </c>
      <c r="G102" s="130">
        <f t="shared" si="12"/>
        <v>0</v>
      </c>
      <c r="H102" s="131" t="str">
        <f t="shared" si="10"/>
        <v>-</v>
      </c>
      <c r="I102" s="132">
        <f t="shared" si="13"/>
        <v>0</v>
      </c>
      <c r="J102" s="130">
        <f t="shared" si="14"/>
        <v>0</v>
      </c>
    </row>
    <row r="103" spans="2:10" ht="18" hidden="1" x14ac:dyDescent="0.25">
      <c r="B103" s="126">
        <f t="shared" si="11"/>
        <v>87</v>
      </c>
      <c r="C103" s="127">
        <v>0</v>
      </c>
      <c r="D103" s="127">
        <v>0</v>
      </c>
      <c r="E103" s="128">
        <f t="shared" si="8"/>
        <v>0</v>
      </c>
      <c r="F103" s="129" t="str">
        <f t="shared" si="9"/>
        <v>-</v>
      </c>
      <c r="G103" s="130">
        <f t="shared" si="12"/>
        <v>0</v>
      </c>
      <c r="H103" s="131" t="str">
        <f t="shared" si="10"/>
        <v>-</v>
      </c>
      <c r="I103" s="132">
        <f t="shared" si="13"/>
        <v>0</v>
      </c>
      <c r="J103" s="130">
        <f t="shared" si="14"/>
        <v>0</v>
      </c>
    </row>
    <row r="104" spans="2:10" ht="18" hidden="1" x14ac:dyDescent="0.25">
      <c r="B104" s="126">
        <f t="shared" si="11"/>
        <v>88</v>
      </c>
      <c r="C104" s="127">
        <v>0</v>
      </c>
      <c r="D104" s="127">
        <v>0</v>
      </c>
      <c r="E104" s="128">
        <f t="shared" si="8"/>
        <v>0</v>
      </c>
      <c r="F104" s="129" t="str">
        <f t="shared" si="9"/>
        <v>-</v>
      </c>
      <c r="G104" s="130">
        <f t="shared" si="12"/>
        <v>0</v>
      </c>
      <c r="H104" s="131" t="str">
        <f t="shared" si="10"/>
        <v>-</v>
      </c>
      <c r="I104" s="132">
        <f t="shared" si="13"/>
        <v>0</v>
      </c>
      <c r="J104" s="130">
        <f t="shared" si="14"/>
        <v>0</v>
      </c>
    </row>
    <row r="105" spans="2:10" ht="18" hidden="1" x14ac:dyDescent="0.25">
      <c r="B105" s="126">
        <f t="shared" si="11"/>
        <v>89</v>
      </c>
      <c r="C105" s="127">
        <v>0</v>
      </c>
      <c r="D105" s="127">
        <v>0</v>
      </c>
      <c r="E105" s="128">
        <f t="shared" si="8"/>
        <v>0</v>
      </c>
      <c r="F105" s="129" t="str">
        <f t="shared" si="9"/>
        <v>-</v>
      </c>
      <c r="G105" s="130">
        <f t="shared" si="12"/>
        <v>0</v>
      </c>
      <c r="H105" s="131" t="str">
        <f t="shared" si="10"/>
        <v>-</v>
      </c>
      <c r="I105" s="132">
        <f t="shared" si="13"/>
        <v>0</v>
      </c>
      <c r="J105" s="130">
        <f t="shared" si="14"/>
        <v>0</v>
      </c>
    </row>
    <row r="106" spans="2:10" ht="18" hidden="1" x14ac:dyDescent="0.25">
      <c r="B106" s="126">
        <f t="shared" si="11"/>
        <v>90</v>
      </c>
      <c r="C106" s="127">
        <v>0</v>
      </c>
      <c r="D106" s="127">
        <v>0</v>
      </c>
      <c r="E106" s="128">
        <f t="shared" si="8"/>
        <v>0</v>
      </c>
      <c r="F106" s="129" t="str">
        <f t="shared" si="9"/>
        <v>-</v>
      </c>
      <c r="G106" s="130">
        <f t="shared" si="12"/>
        <v>0</v>
      </c>
      <c r="H106" s="131" t="str">
        <f t="shared" si="10"/>
        <v>-</v>
      </c>
      <c r="I106" s="132">
        <f t="shared" si="13"/>
        <v>0</v>
      </c>
      <c r="J106" s="130">
        <f t="shared" si="14"/>
        <v>0</v>
      </c>
    </row>
    <row r="107" spans="2:10" ht="18" hidden="1" x14ac:dyDescent="0.25">
      <c r="B107" s="126">
        <f t="shared" si="11"/>
        <v>91</v>
      </c>
      <c r="C107" s="127">
        <v>0</v>
      </c>
      <c r="D107" s="127">
        <v>0</v>
      </c>
      <c r="E107" s="128">
        <f t="shared" si="8"/>
        <v>0</v>
      </c>
      <c r="F107" s="129" t="str">
        <f t="shared" si="9"/>
        <v>-</v>
      </c>
      <c r="G107" s="130">
        <f t="shared" si="12"/>
        <v>0</v>
      </c>
      <c r="H107" s="131" t="str">
        <f t="shared" si="10"/>
        <v>-</v>
      </c>
      <c r="I107" s="132">
        <f t="shared" si="13"/>
        <v>0</v>
      </c>
      <c r="J107" s="130">
        <f t="shared" si="14"/>
        <v>0</v>
      </c>
    </row>
    <row r="108" spans="2:10" ht="18" hidden="1" x14ac:dyDescent="0.25">
      <c r="B108" s="126">
        <f t="shared" si="11"/>
        <v>92</v>
      </c>
      <c r="C108" s="127">
        <v>0</v>
      </c>
      <c r="D108" s="127">
        <v>0</v>
      </c>
      <c r="E108" s="128">
        <f t="shared" si="8"/>
        <v>0</v>
      </c>
      <c r="F108" s="129" t="str">
        <f t="shared" si="9"/>
        <v>-</v>
      </c>
      <c r="G108" s="130">
        <f t="shared" si="12"/>
        <v>0</v>
      </c>
      <c r="H108" s="131" t="str">
        <f t="shared" si="10"/>
        <v>-</v>
      </c>
      <c r="I108" s="132">
        <f t="shared" si="13"/>
        <v>0</v>
      </c>
      <c r="J108" s="130">
        <f t="shared" si="14"/>
        <v>0</v>
      </c>
    </row>
    <row r="109" spans="2:10" ht="18" hidden="1" x14ac:dyDescent="0.25">
      <c r="B109" s="126">
        <f t="shared" si="11"/>
        <v>93</v>
      </c>
      <c r="C109" s="127">
        <v>0</v>
      </c>
      <c r="D109" s="127">
        <v>0</v>
      </c>
      <c r="E109" s="128">
        <f t="shared" si="8"/>
        <v>0</v>
      </c>
      <c r="F109" s="129" t="str">
        <f t="shared" si="9"/>
        <v>-</v>
      </c>
      <c r="G109" s="130">
        <f t="shared" si="12"/>
        <v>0</v>
      </c>
      <c r="H109" s="131" t="str">
        <f t="shared" si="10"/>
        <v>-</v>
      </c>
      <c r="I109" s="132">
        <f t="shared" si="13"/>
        <v>0</v>
      </c>
      <c r="J109" s="130">
        <f t="shared" si="14"/>
        <v>0</v>
      </c>
    </row>
    <row r="110" spans="2:10" ht="18" hidden="1" x14ac:dyDescent="0.25">
      <c r="B110" s="126">
        <f t="shared" si="11"/>
        <v>94</v>
      </c>
      <c r="C110" s="127">
        <v>0</v>
      </c>
      <c r="D110" s="127">
        <v>0</v>
      </c>
      <c r="E110" s="128">
        <f t="shared" si="8"/>
        <v>0</v>
      </c>
      <c r="F110" s="129" t="str">
        <f t="shared" si="9"/>
        <v>-</v>
      </c>
      <c r="G110" s="130">
        <f t="shared" si="12"/>
        <v>0</v>
      </c>
      <c r="H110" s="131" t="str">
        <f t="shared" si="10"/>
        <v>-</v>
      </c>
      <c r="I110" s="132">
        <f t="shared" si="13"/>
        <v>0</v>
      </c>
      <c r="J110" s="130">
        <f t="shared" si="14"/>
        <v>0</v>
      </c>
    </row>
    <row r="111" spans="2:10" ht="18" hidden="1" x14ac:dyDescent="0.25">
      <c r="B111" s="126">
        <f t="shared" si="11"/>
        <v>95</v>
      </c>
      <c r="C111" s="127">
        <v>0</v>
      </c>
      <c r="D111" s="127">
        <v>0</v>
      </c>
      <c r="E111" s="128">
        <f t="shared" si="8"/>
        <v>0</v>
      </c>
      <c r="F111" s="129" t="str">
        <f t="shared" si="9"/>
        <v>-</v>
      </c>
      <c r="G111" s="130">
        <f t="shared" si="12"/>
        <v>0</v>
      </c>
      <c r="H111" s="131" t="str">
        <f t="shared" si="10"/>
        <v>-</v>
      </c>
      <c r="I111" s="132">
        <f t="shared" si="13"/>
        <v>0</v>
      </c>
      <c r="J111" s="130">
        <f t="shared" si="14"/>
        <v>0</v>
      </c>
    </row>
    <row r="112" spans="2:10" ht="18" hidden="1" x14ac:dyDescent="0.25">
      <c r="B112" s="126">
        <f t="shared" si="11"/>
        <v>96</v>
      </c>
      <c r="C112" s="127">
        <v>0</v>
      </c>
      <c r="D112" s="127">
        <v>0</v>
      </c>
      <c r="E112" s="128">
        <f t="shared" si="8"/>
        <v>0</v>
      </c>
      <c r="F112" s="129" t="str">
        <f t="shared" si="9"/>
        <v>-</v>
      </c>
      <c r="G112" s="130">
        <f t="shared" si="12"/>
        <v>0</v>
      </c>
      <c r="H112" s="131" t="str">
        <f t="shared" si="10"/>
        <v>-</v>
      </c>
      <c r="I112" s="132">
        <f t="shared" si="13"/>
        <v>0</v>
      </c>
      <c r="J112" s="130">
        <f t="shared" si="14"/>
        <v>0</v>
      </c>
    </row>
    <row r="113" spans="2:10" ht="18" hidden="1" x14ac:dyDescent="0.25">
      <c r="B113" s="126">
        <f t="shared" si="11"/>
        <v>97</v>
      </c>
      <c r="C113" s="127">
        <v>0</v>
      </c>
      <c r="D113" s="127">
        <v>0</v>
      </c>
      <c r="E113" s="128">
        <f t="shared" si="8"/>
        <v>0</v>
      </c>
      <c r="F113" s="129" t="str">
        <f t="shared" si="9"/>
        <v>-</v>
      </c>
      <c r="G113" s="130">
        <f t="shared" si="12"/>
        <v>0</v>
      </c>
      <c r="H113" s="131" t="str">
        <f t="shared" si="10"/>
        <v>-</v>
      </c>
      <c r="I113" s="132">
        <f t="shared" si="13"/>
        <v>0</v>
      </c>
      <c r="J113" s="130">
        <f t="shared" si="14"/>
        <v>0</v>
      </c>
    </row>
    <row r="114" spans="2:10" ht="18" hidden="1" x14ac:dyDescent="0.25">
      <c r="B114" s="126">
        <f t="shared" si="11"/>
        <v>98</v>
      </c>
      <c r="C114" s="127">
        <v>0</v>
      </c>
      <c r="D114" s="127">
        <v>0</v>
      </c>
      <c r="E114" s="128">
        <f t="shared" si="8"/>
        <v>0</v>
      </c>
      <c r="F114" s="129" t="str">
        <f t="shared" si="9"/>
        <v>-</v>
      </c>
      <c r="G114" s="130">
        <f t="shared" si="12"/>
        <v>0</v>
      </c>
      <c r="H114" s="131" t="str">
        <f t="shared" si="10"/>
        <v>-</v>
      </c>
      <c r="I114" s="132">
        <f t="shared" si="13"/>
        <v>0</v>
      </c>
      <c r="J114" s="130">
        <f t="shared" si="14"/>
        <v>0</v>
      </c>
    </row>
    <row r="115" spans="2:10" ht="18" hidden="1" x14ac:dyDescent="0.25">
      <c r="B115" s="126">
        <f t="shared" si="11"/>
        <v>99</v>
      </c>
      <c r="C115" s="127">
        <v>0</v>
      </c>
      <c r="D115" s="127">
        <v>0</v>
      </c>
      <c r="E115" s="128">
        <f t="shared" si="8"/>
        <v>0</v>
      </c>
      <c r="F115" s="129" t="str">
        <f t="shared" si="9"/>
        <v>-</v>
      </c>
      <c r="G115" s="130">
        <f t="shared" si="12"/>
        <v>0</v>
      </c>
      <c r="H115" s="131" t="str">
        <f t="shared" si="10"/>
        <v>-</v>
      </c>
      <c r="I115" s="132">
        <f t="shared" si="13"/>
        <v>0</v>
      </c>
      <c r="J115" s="130">
        <f t="shared" si="14"/>
        <v>0</v>
      </c>
    </row>
    <row r="116" spans="2:10" ht="18" hidden="1" x14ac:dyDescent="0.25">
      <c r="B116" s="126">
        <f t="shared" si="11"/>
        <v>100</v>
      </c>
      <c r="C116" s="127">
        <v>0</v>
      </c>
      <c r="D116" s="127">
        <v>0</v>
      </c>
      <c r="E116" s="128">
        <f t="shared" si="8"/>
        <v>0</v>
      </c>
      <c r="F116" s="129" t="str">
        <f t="shared" si="9"/>
        <v>-</v>
      </c>
      <c r="G116" s="130">
        <f t="shared" si="12"/>
        <v>0</v>
      </c>
      <c r="H116" s="131" t="str">
        <f t="shared" si="10"/>
        <v>-</v>
      </c>
      <c r="I116" s="132">
        <f t="shared" si="13"/>
        <v>0</v>
      </c>
      <c r="J116" s="130">
        <f t="shared" si="14"/>
        <v>0</v>
      </c>
    </row>
    <row r="117" spans="2:10" ht="18" hidden="1" x14ac:dyDescent="0.25">
      <c r="B117" s="126">
        <f t="shared" si="11"/>
        <v>101</v>
      </c>
      <c r="C117" s="127">
        <v>0</v>
      </c>
      <c r="D117" s="127">
        <v>0</v>
      </c>
      <c r="E117" s="128">
        <f t="shared" si="8"/>
        <v>0</v>
      </c>
      <c r="F117" s="129" t="str">
        <f t="shared" si="9"/>
        <v>-</v>
      </c>
      <c r="G117" s="130">
        <f t="shared" si="12"/>
        <v>0</v>
      </c>
      <c r="H117" s="131" t="str">
        <f t="shared" si="10"/>
        <v>-</v>
      </c>
      <c r="I117" s="132">
        <f t="shared" si="13"/>
        <v>0</v>
      </c>
      <c r="J117" s="130">
        <f t="shared" si="14"/>
        <v>0</v>
      </c>
    </row>
    <row r="118" spans="2:10" ht="18" hidden="1" x14ac:dyDescent="0.25">
      <c r="B118" s="126">
        <f t="shared" si="11"/>
        <v>102</v>
      </c>
      <c r="C118" s="127">
        <v>0</v>
      </c>
      <c r="D118" s="127">
        <v>0</v>
      </c>
      <c r="E118" s="128">
        <f t="shared" si="8"/>
        <v>0</v>
      </c>
      <c r="F118" s="129" t="str">
        <f t="shared" si="9"/>
        <v>-</v>
      </c>
      <c r="G118" s="130">
        <f t="shared" si="12"/>
        <v>0</v>
      </c>
      <c r="H118" s="131" t="str">
        <f t="shared" si="10"/>
        <v>-</v>
      </c>
      <c r="I118" s="132">
        <f t="shared" si="13"/>
        <v>0</v>
      </c>
      <c r="J118" s="130">
        <f t="shared" si="14"/>
        <v>0</v>
      </c>
    </row>
    <row r="119" spans="2:10" ht="18" hidden="1" x14ac:dyDescent="0.25">
      <c r="B119" s="126">
        <f t="shared" si="11"/>
        <v>103</v>
      </c>
      <c r="C119" s="127">
        <v>0</v>
      </c>
      <c r="D119" s="127">
        <v>0</v>
      </c>
      <c r="E119" s="128">
        <f t="shared" si="8"/>
        <v>0</v>
      </c>
      <c r="F119" s="129" t="str">
        <f t="shared" si="9"/>
        <v>-</v>
      </c>
      <c r="G119" s="130">
        <f t="shared" si="12"/>
        <v>0</v>
      </c>
      <c r="H119" s="131" t="str">
        <f t="shared" si="10"/>
        <v>-</v>
      </c>
      <c r="I119" s="132">
        <f t="shared" si="13"/>
        <v>0</v>
      </c>
      <c r="J119" s="130">
        <f t="shared" si="14"/>
        <v>0</v>
      </c>
    </row>
    <row r="120" spans="2:10" ht="18" hidden="1" x14ac:dyDescent="0.25">
      <c r="B120" s="126">
        <f t="shared" si="11"/>
        <v>104</v>
      </c>
      <c r="C120" s="127">
        <v>0</v>
      </c>
      <c r="D120" s="127">
        <v>0</v>
      </c>
      <c r="E120" s="128">
        <f t="shared" si="8"/>
        <v>0</v>
      </c>
      <c r="F120" s="129" t="str">
        <f t="shared" si="9"/>
        <v>-</v>
      </c>
      <c r="G120" s="130">
        <f t="shared" si="12"/>
        <v>0</v>
      </c>
      <c r="H120" s="131" t="str">
        <f t="shared" si="10"/>
        <v>-</v>
      </c>
      <c r="I120" s="132">
        <f t="shared" si="13"/>
        <v>0</v>
      </c>
      <c r="J120" s="130">
        <f t="shared" si="14"/>
        <v>0</v>
      </c>
    </row>
    <row r="121" spans="2:10" ht="18" hidden="1" x14ac:dyDescent="0.25">
      <c r="B121" s="126">
        <f t="shared" si="11"/>
        <v>105</v>
      </c>
      <c r="C121" s="127">
        <v>0</v>
      </c>
      <c r="D121" s="127">
        <v>0</v>
      </c>
      <c r="E121" s="128">
        <f t="shared" si="8"/>
        <v>0</v>
      </c>
      <c r="F121" s="129" t="str">
        <f t="shared" si="9"/>
        <v>-</v>
      </c>
      <c r="G121" s="130">
        <f t="shared" si="12"/>
        <v>0</v>
      </c>
      <c r="H121" s="131" t="str">
        <f t="shared" si="10"/>
        <v>-</v>
      </c>
      <c r="I121" s="132">
        <f t="shared" si="13"/>
        <v>0</v>
      </c>
      <c r="J121" s="130">
        <f t="shared" si="14"/>
        <v>0</v>
      </c>
    </row>
    <row r="122" spans="2:10" ht="18" hidden="1" x14ac:dyDescent="0.25">
      <c r="B122" s="126">
        <f t="shared" si="11"/>
        <v>106</v>
      </c>
      <c r="C122" s="127">
        <v>0</v>
      </c>
      <c r="D122" s="127">
        <v>0</v>
      </c>
      <c r="E122" s="128">
        <f t="shared" si="8"/>
        <v>0</v>
      </c>
      <c r="F122" s="129" t="str">
        <f t="shared" si="9"/>
        <v>-</v>
      </c>
      <c r="G122" s="130">
        <f t="shared" si="12"/>
        <v>0</v>
      </c>
      <c r="H122" s="131" t="str">
        <f t="shared" si="10"/>
        <v>-</v>
      </c>
      <c r="I122" s="132">
        <f t="shared" si="13"/>
        <v>0</v>
      </c>
      <c r="J122" s="130">
        <f t="shared" si="14"/>
        <v>0</v>
      </c>
    </row>
    <row r="123" spans="2:10" ht="18" hidden="1" x14ac:dyDescent="0.25">
      <c r="B123" s="126">
        <f t="shared" si="11"/>
        <v>107</v>
      </c>
      <c r="C123" s="127">
        <v>0</v>
      </c>
      <c r="D123" s="127">
        <v>0</v>
      </c>
      <c r="E123" s="128">
        <f t="shared" si="8"/>
        <v>0</v>
      </c>
      <c r="F123" s="129" t="str">
        <f t="shared" si="9"/>
        <v>-</v>
      </c>
      <c r="G123" s="130">
        <f t="shared" si="12"/>
        <v>0</v>
      </c>
      <c r="H123" s="131" t="str">
        <f t="shared" si="10"/>
        <v>-</v>
      </c>
      <c r="I123" s="132">
        <f t="shared" si="13"/>
        <v>0</v>
      </c>
      <c r="J123" s="130">
        <f t="shared" si="14"/>
        <v>0</v>
      </c>
    </row>
    <row r="124" spans="2:10" ht="18" hidden="1" x14ac:dyDescent="0.25">
      <c r="B124" s="126">
        <f t="shared" si="11"/>
        <v>108</v>
      </c>
      <c r="C124" s="127">
        <v>0</v>
      </c>
      <c r="D124" s="127">
        <v>0</v>
      </c>
      <c r="E124" s="128">
        <f t="shared" si="8"/>
        <v>0</v>
      </c>
      <c r="F124" s="129" t="str">
        <f t="shared" si="9"/>
        <v>-</v>
      </c>
      <c r="G124" s="130">
        <f t="shared" si="12"/>
        <v>0</v>
      </c>
      <c r="H124" s="131" t="str">
        <f t="shared" si="10"/>
        <v>-</v>
      </c>
      <c r="I124" s="132">
        <f t="shared" si="13"/>
        <v>0</v>
      </c>
      <c r="J124" s="130">
        <f t="shared" si="14"/>
        <v>0</v>
      </c>
    </row>
    <row r="125" spans="2:10" ht="18" hidden="1" x14ac:dyDescent="0.25">
      <c r="B125" s="126">
        <f t="shared" si="11"/>
        <v>109</v>
      </c>
      <c r="C125" s="127">
        <v>0</v>
      </c>
      <c r="D125" s="127">
        <v>0</v>
      </c>
      <c r="E125" s="128">
        <f t="shared" si="8"/>
        <v>0</v>
      </c>
      <c r="F125" s="129" t="str">
        <f t="shared" si="9"/>
        <v>-</v>
      </c>
      <c r="G125" s="130">
        <f t="shared" si="12"/>
        <v>0</v>
      </c>
      <c r="H125" s="131" t="str">
        <f t="shared" si="10"/>
        <v>-</v>
      </c>
      <c r="I125" s="132">
        <f t="shared" si="13"/>
        <v>0</v>
      </c>
      <c r="J125" s="130">
        <f t="shared" si="14"/>
        <v>0</v>
      </c>
    </row>
    <row r="126" spans="2:10" ht="18" hidden="1" x14ac:dyDescent="0.25">
      <c r="B126" s="126">
        <f t="shared" si="11"/>
        <v>110</v>
      </c>
      <c r="C126" s="127">
        <v>0</v>
      </c>
      <c r="D126" s="127">
        <v>0</v>
      </c>
      <c r="E126" s="128">
        <f t="shared" si="8"/>
        <v>0</v>
      </c>
      <c r="F126" s="129" t="str">
        <f t="shared" si="9"/>
        <v>-</v>
      </c>
      <c r="G126" s="130">
        <f t="shared" si="12"/>
        <v>0</v>
      </c>
      <c r="H126" s="131" t="str">
        <f t="shared" si="10"/>
        <v>-</v>
      </c>
      <c r="I126" s="132">
        <f t="shared" si="13"/>
        <v>0</v>
      </c>
      <c r="J126" s="130">
        <f t="shared" si="14"/>
        <v>0</v>
      </c>
    </row>
    <row r="127" spans="2:10" ht="18" hidden="1" x14ac:dyDescent="0.25">
      <c r="B127" s="126">
        <f t="shared" si="11"/>
        <v>111</v>
      </c>
      <c r="C127" s="127">
        <v>0</v>
      </c>
      <c r="D127" s="127">
        <v>0</v>
      </c>
      <c r="E127" s="128">
        <f t="shared" si="8"/>
        <v>0</v>
      </c>
      <c r="F127" s="129" t="str">
        <f t="shared" si="9"/>
        <v>-</v>
      </c>
      <c r="G127" s="130">
        <f t="shared" si="12"/>
        <v>0</v>
      </c>
      <c r="H127" s="131" t="str">
        <f t="shared" si="10"/>
        <v>-</v>
      </c>
      <c r="I127" s="132">
        <f t="shared" si="13"/>
        <v>0</v>
      </c>
      <c r="J127" s="130">
        <f t="shared" si="14"/>
        <v>0</v>
      </c>
    </row>
    <row r="128" spans="2:10" ht="18" hidden="1" x14ac:dyDescent="0.25">
      <c r="B128" s="126">
        <f t="shared" si="11"/>
        <v>112</v>
      </c>
      <c r="C128" s="127">
        <v>0</v>
      </c>
      <c r="D128" s="127">
        <v>0</v>
      </c>
      <c r="E128" s="128">
        <f t="shared" si="8"/>
        <v>0</v>
      </c>
      <c r="F128" s="129" t="str">
        <f t="shared" si="9"/>
        <v>-</v>
      </c>
      <c r="G128" s="130">
        <f t="shared" si="12"/>
        <v>0</v>
      </c>
      <c r="H128" s="131" t="str">
        <f t="shared" si="10"/>
        <v>-</v>
      </c>
      <c r="I128" s="132">
        <f t="shared" si="13"/>
        <v>0</v>
      </c>
      <c r="J128" s="130">
        <f t="shared" si="14"/>
        <v>0</v>
      </c>
    </row>
    <row r="129" spans="2:10" ht="18" hidden="1" x14ac:dyDescent="0.25">
      <c r="B129" s="126">
        <f t="shared" si="11"/>
        <v>113</v>
      </c>
      <c r="C129" s="127">
        <v>0</v>
      </c>
      <c r="D129" s="127">
        <v>0</v>
      </c>
      <c r="E129" s="128">
        <f t="shared" si="8"/>
        <v>0</v>
      </c>
      <c r="F129" s="129" t="str">
        <f t="shared" si="9"/>
        <v>-</v>
      </c>
      <c r="G129" s="130">
        <f t="shared" si="12"/>
        <v>0</v>
      </c>
      <c r="H129" s="131" t="str">
        <f t="shared" si="10"/>
        <v>-</v>
      </c>
      <c r="I129" s="132">
        <f t="shared" si="13"/>
        <v>0</v>
      </c>
      <c r="J129" s="130">
        <f t="shared" si="14"/>
        <v>0</v>
      </c>
    </row>
    <row r="130" spans="2:10" ht="18" hidden="1" x14ac:dyDescent="0.25">
      <c r="B130" s="126">
        <f t="shared" si="11"/>
        <v>114</v>
      </c>
      <c r="C130" s="127">
        <v>0</v>
      </c>
      <c r="D130" s="127">
        <v>0</v>
      </c>
      <c r="E130" s="128">
        <f t="shared" si="8"/>
        <v>0</v>
      </c>
      <c r="F130" s="129" t="str">
        <f t="shared" si="9"/>
        <v>-</v>
      </c>
      <c r="G130" s="130">
        <f t="shared" si="12"/>
        <v>0</v>
      </c>
      <c r="H130" s="131" t="str">
        <f t="shared" si="10"/>
        <v>-</v>
      </c>
      <c r="I130" s="132">
        <f t="shared" si="13"/>
        <v>0</v>
      </c>
      <c r="J130" s="130">
        <f t="shared" si="14"/>
        <v>0</v>
      </c>
    </row>
    <row r="131" spans="2:10" ht="18" hidden="1" x14ac:dyDescent="0.25">
      <c r="B131" s="126">
        <f t="shared" si="11"/>
        <v>115</v>
      </c>
      <c r="C131" s="127">
        <v>0</v>
      </c>
      <c r="D131" s="127">
        <v>0</v>
      </c>
      <c r="E131" s="128">
        <f t="shared" si="8"/>
        <v>0</v>
      </c>
      <c r="F131" s="129" t="str">
        <f t="shared" si="9"/>
        <v>-</v>
      </c>
      <c r="G131" s="130">
        <f t="shared" si="12"/>
        <v>0</v>
      </c>
      <c r="H131" s="131" t="str">
        <f t="shared" si="10"/>
        <v>-</v>
      </c>
      <c r="I131" s="132">
        <f t="shared" si="13"/>
        <v>0</v>
      </c>
      <c r="J131" s="130">
        <f t="shared" si="14"/>
        <v>0</v>
      </c>
    </row>
    <row r="132" spans="2:10" ht="18" hidden="1" x14ac:dyDescent="0.25">
      <c r="B132" s="126">
        <f t="shared" si="11"/>
        <v>116</v>
      </c>
      <c r="C132" s="127">
        <v>0</v>
      </c>
      <c r="D132" s="127">
        <v>0</v>
      </c>
      <c r="E132" s="128">
        <f t="shared" si="8"/>
        <v>0</v>
      </c>
      <c r="F132" s="129" t="str">
        <f t="shared" si="9"/>
        <v>-</v>
      </c>
      <c r="G132" s="130">
        <f t="shared" si="12"/>
        <v>0</v>
      </c>
      <c r="H132" s="131" t="str">
        <f t="shared" si="10"/>
        <v>-</v>
      </c>
      <c r="I132" s="132">
        <f t="shared" si="13"/>
        <v>0</v>
      </c>
      <c r="J132" s="130">
        <f t="shared" si="14"/>
        <v>0</v>
      </c>
    </row>
    <row r="133" spans="2:10" ht="18" hidden="1" x14ac:dyDescent="0.25">
      <c r="B133" s="126">
        <f t="shared" si="11"/>
        <v>117</v>
      </c>
      <c r="C133" s="127">
        <v>0</v>
      </c>
      <c r="D133" s="127">
        <v>0</v>
      </c>
      <c r="E133" s="128">
        <f t="shared" si="8"/>
        <v>0</v>
      </c>
      <c r="F133" s="129" t="str">
        <f t="shared" si="9"/>
        <v>-</v>
      </c>
      <c r="G133" s="130">
        <f t="shared" si="12"/>
        <v>0</v>
      </c>
      <c r="H133" s="131" t="str">
        <f t="shared" si="10"/>
        <v>-</v>
      </c>
      <c r="I133" s="132">
        <f t="shared" si="13"/>
        <v>0</v>
      </c>
      <c r="J133" s="130">
        <f t="shared" si="14"/>
        <v>0</v>
      </c>
    </row>
    <row r="134" spans="2:10" ht="18" hidden="1" x14ac:dyDescent="0.25">
      <c r="B134" s="126">
        <f t="shared" si="11"/>
        <v>118</v>
      </c>
      <c r="C134" s="127">
        <v>0</v>
      </c>
      <c r="D134" s="127">
        <v>0</v>
      </c>
      <c r="E134" s="128">
        <f t="shared" si="8"/>
        <v>0</v>
      </c>
      <c r="F134" s="129" t="str">
        <f t="shared" si="9"/>
        <v>-</v>
      </c>
      <c r="G134" s="130">
        <f t="shared" si="12"/>
        <v>0</v>
      </c>
      <c r="H134" s="131" t="str">
        <f t="shared" si="10"/>
        <v>-</v>
      </c>
      <c r="I134" s="132">
        <f t="shared" si="13"/>
        <v>0</v>
      </c>
      <c r="J134" s="130">
        <f t="shared" si="14"/>
        <v>0</v>
      </c>
    </row>
    <row r="135" spans="2:10" ht="18" hidden="1" x14ac:dyDescent="0.25">
      <c r="B135" s="126">
        <f t="shared" si="11"/>
        <v>119</v>
      </c>
      <c r="C135" s="127">
        <v>0</v>
      </c>
      <c r="D135" s="127">
        <v>0</v>
      </c>
      <c r="E135" s="128">
        <f t="shared" si="8"/>
        <v>0</v>
      </c>
      <c r="F135" s="129" t="str">
        <f t="shared" si="9"/>
        <v>-</v>
      </c>
      <c r="G135" s="130">
        <f t="shared" si="12"/>
        <v>0</v>
      </c>
      <c r="H135" s="131" t="str">
        <f t="shared" si="10"/>
        <v>-</v>
      </c>
      <c r="I135" s="132">
        <f t="shared" si="13"/>
        <v>0</v>
      </c>
      <c r="J135" s="130">
        <f t="shared" si="14"/>
        <v>0</v>
      </c>
    </row>
    <row r="136" spans="2:10" ht="18.75" hidden="1" thickBot="1" x14ac:dyDescent="0.3">
      <c r="B136" s="134">
        <f t="shared" si="11"/>
        <v>120</v>
      </c>
      <c r="C136" s="135">
        <v>0</v>
      </c>
      <c r="D136" s="135">
        <v>0</v>
      </c>
      <c r="E136" s="136">
        <f t="shared" si="8"/>
        <v>0</v>
      </c>
      <c r="F136" s="137" t="str">
        <f t="shared" si="9"/>
        <v>-</v>
      </c>
      <c r="G136" s="138">
        <f t="shared" si="12"/>
        <v>0</v>
      </c>
      <c r="H136" s="139" t="str">
        <f t="shared" si="10"/>
        <v>-</v>
      </c>
      <c r="I136" s="140">
        <f t="shared" si="13"/>
        <v>0</v>
      </c>
      <c r="J136" s="138">
        <f t="shared" si="14"/>
        <v>0</v>
      </c>
    </row>
    <row r="137" spans="2:10" ht="18.75" thickBot="1" x14ac:dyDescent="0.3">
      <c r="B137" s="141" t="s">
        <v>78</v>
      </c>
      <c r="C137" s="142"/>
      <c r="D137" s="142"/>
      <c r="E137" s="142"/>
      <c r="F137" s="142"/>
      <c r="G137" s="143">
        <f>SUM(G16:G136)</f>
        <v>4.6566128730773926E-10</v>
      </c>
      <c r="H137" s="144"/>
      <c r="I137" s="145">
        <f>SUM(I16:I136)</f>
        <v>7.4505805969238281E-9</v>
      </c>
      <c r="J137" s="55"/>
    </row>
    <row r="138" spans="2:10" ht="18.75" thickBot="1" x14ac:dyDescent="0.3">
      <c r="B138" s="146" t="s">
        <v>79</v>
      </c>
      <c r="C138" s="147"/>
      <c r="D138" s="147"/>
      <c r="E138" s="147"/>
      <c r="F138" s="147"/>
      <c r="G138" s="148">
        <f>J17</f>
        <v>7.5784230084396716E-11</v>
      </c>
      <c r="H138" s="149"/>
      <c r="I138" s="149"/>
      <c r="J138" s="55"/>
    </row>
    <row r="139" spans="2:10" ht="18.75" thickBot="1" x14ac:dyDescent="0.3">
      <c r="B139" s="150" t="s">
        <v>80</v>
      </c>
      <c r="C139" s="151"/>
      <c r="D139" s="151"/>
      <c r="E139" s="151"/>
      <c r="F139" s="151"/>
      <c r="G139" s="152">
        <f>IRR(E16:E136)</f>
        <v>9.9999999999999867E-2</v>
      </c>
      <c r="H139" s="153"/>
      <c r="I139" s="153"/>
      <c r="J139" s="55"/>
    </row>
    <row r="140" spans="2:10" ht="18.75" thickBot="1" x14ac:dyDescent="0.3">
      <c r="B140" s="141" t="s">
        <v>81</v>
      </c>
      <c r="C140" s="142"/>
      <c r="D140" s="142"/>
      <c r="E140" s="142"/>
      <c r="F140" s="142"/>
      <c r="G140" s="154">
        <f>NPER(C14,G142,G16,0)</f>
        <v>9.9999999999999929</v>
      </c>
      <c r="H140" s="155"/>
      <c r="I140" s="155"/>
      <c r="J140" s="55"/>
    </row>
    <row r="141" spans="2:10" hidden="1" x14ac:dyDescent="0.2">
      <c r="B141" s="156" t="s">
        <v>82</v>
      </c>
      <c r="G141" s="157">
        <f>SUM(G17:G136)</f>
        <v>10150000</v>
      </c>
      <c r="H141" s="157"/>
      <c r="I141" s="157"/>
    </row>
    <row r="142" spans="2:10" hidden="1" x14ac:dyDescent="0.2">
      <c r="B142" s="156" t="s">
        <v>83</v>
      </c>
      <c r="G142" s="158">
        <f>PMT(C14,C13,G141,0)*-1</f>
        <v>1651865.7580574928</v>
      </c>
      <c r="H142" s="158"/>
      <c r="I142" s="158"/>
    </row>
    <row r="144" spans="2:10" ht="18" x14ac:dyDescent="0.25">
      <c r="B144" s="55" t="s">
        <v>84</v>
      </c>
    </row>
    <row r="145" spans="1:7" ht="78.599999999999994" customHeight="1" x14ac:dyDescent="0.2">
      <c r="B145" s="296" t="s">
        <v>103</v>
      </c>
      <c r="C145" s="296"/>
      <c r="D145" s="296"/>
      <c r="E145" s="296"/>
      <c r="F145" s="296"/>
      <c r="G145" s="296"/>
    </row>
    <row r="146" spans="1:7" ht="18" x14ac:dyDescent="0.25">
      <c r="A146" s="162"/>
      <c r="B146" s="163"/>
      <c r="C146" s="163"/>
      <c r="D146" s="55"/>
      <c r="E146" s="55"/>
      <c r="F146" s="55"/>
      <c r="G146" s="55"/>
    </row>
    <row r="147" spans="1:7" ht="18" x14ac:dyDescent="0.25">
      <c r="B147" s="109"/>
      <c r="C147" s="163"/>
      <c r="D147" s="55"/>
      <c r="E147" s="55"/>
      <c r="F147" s="55"/>
      <c r="G147" s="106"/>
    </row>
    <row r="148" spans="1:7" ht="18" x14ac:dyDescent="0.25">
      <c r="B148" s="109"/>
      <c r="C148" s="55"/>
      <c r="D148" s="55"/>
      <c r="E148" s="55"/>
      <c r="F148" s="55"/>
      <c r="G148" s="106"/>
    </row>
    <row r="149" spans="1:7" ht="18" x14ac:dyDescent="0.25">
      <c r="B149" s="109"/>
      <c r="C149" s="55"/>
      <c r="D149" s="55"/>
      <c r="E149" s="55"/>
      <c r="F149" s="55"/>
      <c r="G149" s="106"/>
    </row>
  </sheetData>
  <mergeCells count="2">
    <mergeCell ref="B1:D1"/>
    <mergeCell ref="B145:G145"/>
  </mergeCells>
  <pageMargins left="0.78740157480314965" right="0.39370078740157483" top="0.98425196850393704" bottom="0.98425196850393704" header="0" footer="0"/>
  <pageSetup paperSize="9" scale="6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53185-7A4B-4F94-B5CA-A687F05C376E}">
  <sheetPr>
    <pageSetUpPr fitToPage="1"/>
  </sheetPr>
  <dimension ref="A1:L149"/>
  <sheetViews>
    <sheetView topLeftCell="A15" zoomScale="80" zoomScaleNormal="80" workbookViewId="0">
      <selection activeCell="A145" sqref="A145"/>
    </sheetView>
  </sheetViews>
  <sheetFormatPr defaultRowHeight="12.75" x14ac:dyDescent="0.2"/>
  <cols>
    <col min="1" max="1" width="4.85546875" customWidth="1"/>
    <col min="2" max="2" width="9.28515625" customWidth="1"/>
    <col min="3" max="3" width="16.140625" customWidth="1"/>
    <col min="4" max="4" width="27.42578125" customWidth="1"/>
    <col min="5" max="5" width="28.28515625" customWidth="1"/>
    <col min="6" max="6" width="27.7109375" customWidth="1"/>
    <col min="7" max="7" width="28.28515625" customWidth="1"/>
    <col min="8" max="8" width="26.140625" hidden="1" customWidth="1"/>
    <col min="9" max="9" width="24.85546875" hidden="1" customWidth="1"/>
    <col min="10" max="10" width="24.140625" customWidth="1"/>
  </cols>
  <sheetData>
    <row r="1" spans="2:10" ht="18" x14ac:dyDescent="0.25">
      <c r="B1" s="294" t="s">
        <v>190</v>
      </c>
      <c r="C1" s="295"/>
      <c r="D1" s="295"/>
    </row>
    <row r="2" spans="2:10" ht="18" x14ac:dyDescent="0.25">
      <c r="B2" s="159" t="s">
        <v>86</v>
      </c>
      <c r="C2" s="160"/>
      <c r="D2" s="160"/>
      <c r="E2" s="161">
        <v>55000</v>
      </c>
      <c r="F2" s="55" t="s">
        <v>97</v>
      </c>
      <c r="G2" s="55"/>
    </row>
    <row r="3" spans="2:10" ht="18" x14ac:dyDescent="0.25">
      <c r="B3" s="159" t="s">
        <v>89</v>
      </c>
      <c r="C3" s="160"/>
      <c r="D3" s="160"/>
      <c r="E3" s="161">
        <v>35000</v>
      </c>
      <c r="F3" s="55" t="s">
        <v>97</v>
      </c>
      <c r="G3" s="55"/>
    </row>
    <row r="4" spans="2:10" ht="18" x14ac:dyDescent="0.25">
      <c r="B4" s="159" t="s">
        <v>87</v>
      </c>
      <c r="C4" s="160"/>
      <c r="D4" s="160"/>
      <c r="E4" s="161">
        <v>6300000</v>
      </c>
      <c r="F4" s="55"/>
      <c r="G4" s="55"/>
    </row>
    <row r="5" spans="2:10" ht="18" x14ac:dyDescent="0.25">
      <c r="B5" s="159" t="s">
        <v>88</v>
      </c>
      <c r="C5" s="160"/>
      <c r="D5" s="160"/>
      <c r="E5" s="161">
        <v>3500000</v>
      </c>
      <c r="F5" s="55"/>
      <c r="G5" s="55"/>
    </row>
    <row r="6" spans="2:10" ht="18" x14ac:dyDescent="0.25">
      <c r="B6" s="159" t="s">
        <v>90</v>
      </c>
      <c r="C6" s="160"/>
      <c r="D6" s="160"/>
      <c r="E6" s="161">
        <v>350000</v>
      </c>
      <c r="F6" s="55"/>
      <c r="G6" s="55"/>
    </row>
    <row r="7" spans="2:10" ht="18" x14ac:dyDescent="0.25">
      <c r="B7" s="164" t="s">
        <v>189</v>
      </c>
      <c r="C7" s="165"/>
      <c r="D7" s="165"/>
      <c r="E7" s="166">
        <v>2000000</v>
      </c>
      <c r="F7" s="55"/>
      <c r="G7" s="55"/>
    </row>
    <row r="8" spans="2:10" ht="18" x14ac:dyDescent="0.25">
      <c r="B8" s="159" t="s">
        <v>92</v>
      </c>
      <c r="C8" s="160"/>
      <c r="D8" s="160"/>
      <c r="E8" s="161">
        <v>3400000</v>
      </c>
      <c r="F8" s="55"/>
      <c r="G8" s="55"/>
    </row>
    <row r="9" spans="2:10" ht="18" x14ac:dyDescent="0.25">
      <c r="B9" s="159" t="s">
        <v>93</v>
      </c>
      <c r="C9" s="160"/>
      <c r="D9" s="160"/>
      <c r="E9" s="161">
        <v>300000</v>
      </c>
      <c r="F9" s="55"/>
      <c r="G9" s="55"/>
    </row>
    <row r="10" spans="2:10" ht="18" x14ac:dyDescent="0.25">
      <c r="B10" s="159" t="s">
        <v>94</v>
      </c>
      <c r="C10" s="160"/>
      <c r="D10" s="160"/>
      <c r="E10" s="161">
        <v>700000</v>
      </c>
      <c r="F10" s="55"/>
      <c r="G10" s="55"/>
    </row>
    <row r="11" spans="2:10" ht="18" x14ac:dyDescent="0.25">
      <c r="B11" s="159" t="s">
        <v>95</v>
      </c>
      <c r="C11" s="160"/>
      <c r="D11" s="160"/>
      <c r="E11" s="161">
        <v>1200000</v>
      </c>
      <c r="F11" s="55"/>
      <c r="G11" s="55"/>
    </row>
    <row r="12" spans="2:10" ht="18" x14ac:dyDescent="0.25">
      <c r="B12" s="159" t="s">
        <v>96</v>
      </c>
      <c r="C12" s="160"/>
      <c r="D12" s="160"/>
      <c r="E12" s="161">
        <v>6000000</v>
      </c>
      <c r="F12" s="55"/>
      <c r="G12" s="55"/>
    </row>
    <row r="13" spans="2:10" ht="15.75" x14ac:dyDescent="0.25">
      <c r="B13" s="111" t="s">
        <v>68</v>
      </c>
      <c r="C13" s="112">
        <v>10</v>
      </c>
    </row>
    <row r="14" spans="2:10" ht="16.5" thickBot="1" x14ac:dyDescent="0.3">
      <c r="B14" s="111" t="s">
        <v>69</v>
      </c>
      <c r="C14" s="113">
        <v>0.1</v>
      </c>
    </row>
    <row r="15" spans="2:10" ht="64.5" customHeight="1" thickBot="1" x14ac:dyDescent="0.3">
      <c r="B15" s="114" t="s">
        <v>70</v>
      </c>
      <c r="C15" s="115" t="s">
        <v>71</v>
      </c>
      <c r="D15" s="116" t="s">
        <v>72</v>
      </c>
      <c r="E15" s="114" t="s">
        <v>73</v>
      </c>
      <c r="F15" s="117" t="s">
        <v>74</v>
      </c>
      <c r="G15" s="114" t="s">
        <v>75</v>
      </c>
      <c r="H15" s="114" t="s">
        <v>76</v>
      </c>
      <c r="I15" s="117" t="str">
        <f>CONCATENATE("Nutidsværdien ved den interne rente (IRR) ",(ROUND(G139,4)*100)," %")</f>
        <v>Nutidsværdien ved den interne rente (IRR) 10,24 %</v>
      </c>
      <c r="J15" s="117" t="s">
        <v>77</v>
      </c>
    </row>
    <row r="16" spans="2:10" ht="18" x14ac:dyDescent="0.25">
      <c r="B16" s="118">
        <v>0</v>
      </c>
      <c r="C16" s="119">
        <v>0</v>
      </c>
      <c r="D16" s="119">
        <f>E4+E5+E6</f>
        <v>10150000</v>
      </c>
      <c r="E16" s="120">
        <f t="shared" ref="E16:E79" si="0">C16-D16</f>
        <v>-10150000</v>
      </c>
      <c r="F16" s="121">
        <f t="shared" ref="F16:F79" si="1">IF(B16&lt;=$C$13,POWER((1+$C$14),(B16*-1)),"-")</f>
        <v>1</v>
      </c>
      <c r="G16" s="122">
        <f>E16</f>
        <v>-10150000</v>
      </c>
      <c r="H16" s="123">
        <f t="shared" ref="H16:H79" si="2">IF(B16&lt;=$C$13,POWER((1+$G$139),(B16*-1)),"-")</f>
        <v>1</v>
      </c>
      <c r="I16" s="124">
        <f>G16</f>
        <v>-10150000</v>
      </c>
      <c r="J16" s="125"/>
    </row>
    <row r="17" spans="2:12" ht="18" x14ac:dyDescent="0.25">
      <c r="B17" s="126">
        <f t="shared" ref="B17:B80" si="3">B16+1</f>
        <v>1</v>
      </c>
      <c r="C17" s="127">
        <f>E8+E9</f>
        <v>3700000</v>
      </c>
      <c r="D17" s="127">
        <v>0</v>
      </c>
      <c r="E17" s="128">
        <f t="shared" si="0"/>
        <v>3700000</v>
      </c>
      <c r="F17" s="129">
        <f t="shared" si="1"/>
        <v>0.90909090909090906</v>
      </c>
      <c r="G17" s="130">
        <f t="shared" ref="G17:G80" si="4">PV($C$14,B17,0,E17)*-1</f>
        <v>3363636.3636363633</v>
      </c>
      <c r="H17" s="131">
        <f t="shared" si="2"/>
        <v>0.90709957792198503</v>
      </c>
      <c r="I17" s="132">
        <f t="shared" ref="I17:I80" si="5">PV($G$139,B17,0,E17)*-1</f>
        <v>3356268.4383113449</v>
      </c>
      <c r="J17" s="130">
        <f>PMT($C$14,$C$13,$G$137)*-1</f>
        <v>16195.837793566599</v>
      </c>
    </row>
    <row r="18" spans="2:12" ht="18" x14ac:dyDescent="0.25">
      <c r="B18" s="126">
        <f t="shared" si="3"/>
        <v>2</v>
      </c>
      <c r="C18" s="127">
        <f>$E$10+E7</f>
        <v>2700000</v>
      </c>
      <c r="D18" s="127">
        <v>0</v>
      </c>
      <c r="E18" s="128">
        <f t="shared" si="0"/>
        <v>2700000</v>
      </c>
      <c r="F18" s="129">
        <f t="shared" si="1"/>
        <v>0.82644628099173545</v>
      </c>
      <c r="G18" s="130">
        <f t="shared" si="4"/>
        <v>2231404.9586776858</v>
      </c>
      <c r="H18" s="131">
        <f t="shared" si="2"/>
        <v>0.8228296442662435</v>
      </c>
      <c r="I18" s="132">
        <f t="shared" si="5"/>
        <v>2221640.0395188574</v>
      </c>
      <c r="J18" s="130">
        <f t="shared" ref="J18:J81" si="6">IF(B18&lt;=$C$13,$J$17,0)</f>
        <v>16195.837793566599</v>
      </c>
    </row>
    <row r="19" spans="2:12" ht="18" x14ac:dyDescent="0.25">
      <c r="B19" s="126">
        <f t="shared" si="3"/>
        <v>3</v>
      </c>
      <c r="C19" s="127">
        <f t="shared" ref="C19:C25" si="7">$E$10</f>
        <v>700000</v>
      </c>
      <c r="D19" s="127">
        <v>0</v>
      </c>
      <c r="E19" s="128">
        <f t="shared" si="0"/>
        <v>700000</v>
      </c>
      <c r="F19" s="129">
        <f t="shared" si="1"/>
        <v>0.75131480090157754</v>
      </c>
      <c r="G19" s="130">
        <f t="shared" si="4"/>
        <v>525920.36063110433</v>
      </c>
      <c r="H19" s="131">
        <f t="shared" si="2"/>
        <v>0.74638842301560659</v>
      </c>
      <c r="I19" s="132">
        <f t="shared" si="5"/>
        <v>522471.89611092466</v>
      </c>
      <c r="J19" s="130">
        <f t="shared" si="6"/>
        <v>16195.837793566599</v>
      </c>
    </row>
    <row r="20" spans="2:12" ht="18" x14ac:dyDescent="0.25">
      <c r="B20" s="126">
        <f t="shared" si="3"/>
        <v>4</v>
      </c>
      <c r="C20" s="127">
        <f t="shared" si="7"/>
        <v>700000</v>
      </c>
      <c r="D20" s="127">
        <v>0</v>
      </c>
      <c r="E20" s="128">
        <f t="shared" si="0"/>
        <v>700000</v>
      </c>
      <c r="F20" s="129">
        <f t="shared" si="1"/>
        <v>0.68301345536507052</v>
      </c>
      <c r="G20" s="130">
        <f t="shared" si="4"/>
        <v>478109.41875554936</v>
      </c>
      <c r="H20" s="131">
        <f t="shared" si="2"/>
        <v>0.67704862348331285</v>
      </c>
      <c r="I20" s="132">
        <f t="shared" si="5"/>
        <v>473934.03643831896</v>
      </c>
      <c r="J20" s="130">
        <f t="shared" si="6"/>
        <v>16195.837793566599</v>
      </c>
    </row>
    <row r="21" spans="2:12" ht="18" x14ac:dyDescent="0.25">
      <c r="B21" s="126">
        <f t="shared" si="3"/>
        <v>5</v>
      </c>
      <c r="C21" s="127">
        <f t="shared" si="7"/>
        <v>700000</v>
      </c>
      <c r="D21" s="127">
        <f>E11</f>
        <v>1200000</v>
      </c>
      <c r="E21" s="128">
        <f>(C21-D21)</f>
        <v>-500000</v>
      </c>
      <c r="F21" s="129">
        <f t="shared" si="1"/>
        <v>0.62092132305915493</v>
      </c>
      <c r="G21" s="130">
        <f t="shared" si="4"/>
        <v>-310460.66152957745</v>
      </c>
      <c r="H21" s="131">
        <f t="shared" si="2"/>
        <v>0.61415052059437403</v>
      </c>
      <c r="I21" s="132">
        <f t="shared" si="5"/>
        <v>-307075.26029718702</v>
      </c>
      <c r="J21" s="130">
        <f t="shared" si="6"/>
        <v>16195.837793566599</v>
      </c>
    </row>
    <row r="22" spans="2:12" ht="18" x14ac:dyDescent="0.25">
      <c r="B22" s="126">
        <f t="shared" si="3"/>
        <v>6</v>
      </c>
      <c r="C22" s="127">
        <f t="shared" si="7"/>
        <v>700000</v>
      </c>
      <c r="D22" s="127">
        <v>0</v>
      </c>
      <c r="E22" s="128">
        <f t="shared" si="0"/>
        <v>700000</v>
      </c>
      <c r="F22" s="129">
        <f t="shared" si="1"/>
        <v>0.56447393005377722</v>
      </c>
      <c r="G22" s="130">
        <f t="shared" si="4"/>
        <v>395131.75103764399</v>
      </c>
      <c r="H22" s="131">
        <f t="shared" si="2"/>
        <v>0.5570956780117241</v>
      </c>
      <c r="I22" s="132">
        <f t="shared" si="5"/>
        <v>389966.97460820689</v>
      </c>
      <c r="J22" s="130">
        <f t="shared" si="6"/>
        <v>16195.837793566599</v>
      </c>
    </row>
    <row r="23" spans="2:12" ht="18" x14ac:dyDescent="0.25">
      <c r="B23" s="126">
        <f t="shared" si="3"/>
        <v>7</v>
      </c>
      <c r="C23" s="127">
        <f t="shared" si="7"/>
        <v>700000</v>
      </c>
      <c r="D23" s="127">
        <v>0</v>
      </c>
      <c r="E23" s="128">
        <f t="shared" si="0"/>
        <v>700000</v>
      </c>
      <c r="F23" s="129">
        <f t="shared" si="1"/>
        <v>0.51315811823070645</v>
      </c>
      <c r="G23" s="130">
        <f t="shared" si="4"/>
        <v>359210.68276149454</v>
      </c>
      <c r="H23" s="131">
        <f t="shared" si="2"/>
        <v>0.50534125438659705</v>
      </c>
      <c r="I23" s="132">
        <f t="shared" si="5"/>
        <v>353738.87807061797</v>
      </c>
      <c r="J23" s="130">
        <f t="shared" si="6"/>
        <v>16195.837793566599</v>
      </c>
    </row>
    <row r="24" spans="2:12" ht="18" x14ac:dyDescent="0.25">
      <c r="B24" s="126">
        <f t="shared" si="3"/>
        <v>8</v>
      </c>
      <c r="C24" s="127">
        <f t="shared" si="7"/>
        <v>700000</v>
      </c>
      <c r="D24" s="127">
        <v>0</v>
      </c>
      <c r="E24" s="128">
        <f t="shared" si="0"/>
        <v>700000</v>
      </c>
      <c r="F24" s="129">
        <f t="shared" si="1"/>
        <v>0.46650738020973315</v>
      </c>
      <c r="G24" s="130">
        <f t="shared" si="4"/>
        <v>326555.16614681319</v>
      </c>
      <c r="H24" s="131">
        <f t="shared" si="2"/>
        <v>0.45839483856064872</v>
      </c>
      <c r="I24" s="132">
        <f t="shared" si="5"/>
        <v>320876.38699245412</v>
      </c>
      <c r="J24" s="130">
        <f t="shared" si="6"/>
        <v>16195.837793566599</v>
      </c>
      <c r="L24" s="133"/>
    </row>
    <row r="25" spans="2:12" ht="18" x14ac:dyDescent="0.25">
      <c r="B25" s="126">
        <f t="shared" si="3"/>
        <v>9</v>
      </c>
      <c r="C25" s="127">
        <f t="shared" si="7"/>
        <v>700000</v>
      </c>
      <c r="D25" s="127">
        <v>0</v>
      </c>
      <c r="E25" s="128">
        <f t="shared" si="0"/>
        <v>700000</v>
      </c>
      <c r="F25" s="129">
        <f t="shared" si="1"/>
        <v>0.42409761837248466</v>
      </c>
      <c r="G25" s="130">
        <f t="shared" si="4"/>
        <v>296868.33286073926</v>
      </c>
      <c r="H25" s="131">
        <f t="shared" si="2"/>
        <v>0.41580976457998098</v>
      </c>
      <c r="I25" s="132">
        <f t="shared" si="5"/>
        <v>291066.83520598669</v>
      </c>
      <c r="J25" s="130">
        <f t="shared" si="6"/>
        <v>16195.837793566599</v>
      </c>
    </row>
    <row r="26" spans="2:12" ht="18.75" thickBot="1" x14ac:dyDescent="0.3">
      <c r="B26" s="134">
        <f t="shared" si="3"/>
        <v>10</v>
      </c>
      <c r="C26" s="135">
        <f>E12+E10</f>
        <v>6700000</v>
      </c>
      <c r="D26" s="135">
        <v>0</v>
      </c>
      <c r="E26" s="136">
        <f t="shared" si="0"/>
        <v>6700000</v>
      </c>
      <c r="F26" s="137">
        <f t="shared" si="1"/>
        <v>0.38554328942953148</v>
      </c>
      <c r="G26" s="138">
        <f t="shared" si="4"/>
        <v>2583140.0391778611</v>
      </c>
      <c r="H26" s="139">
        <f t="shared" si="2"/>
        <v>0.37718086194634071</v>
      </c>
      <c r="I26" s="140">
        <f t="shared" si="5"/>
        <v>2527111.7750404826</v>
      </c>
      <c r="J26" s="138">
        <f t="shared" si="6"/>
        <v>16195.837793566599</v>
      </c>
    </row>
    <row r="27" spans="2:12" ht="18" hidden="1" x14ac:dyDescent="0.25">
      <c r="B27" s="126">
        <f t="shared" si="3"/>
        <v>11</v>
      </c>
      <c r="C27" s="127">
        <v>0</v>
      </c>
      <c r="D27" s="127">
        <v>0</v>
      </c>
      <c r="E27" s="128">
        <f t="shared" si="0"/>
        <v>0</v>
      </c>
      <c r="F27" s="129" t="str">
        <f t="shared" si="1"/>
        <v>-</v>
      </c>
      <c r="G27" s="130">
        <f t="shared" si="4"/>
        <v>0</v>
      </c>
      <c r="H27" s="131" t="str">
        <f t="shared" si="2"/>
        <v>-</v>
      </c>
      <c r="I27" s="132">
        <f t="shared" si="5"/>
        <v>0</v>
      </c>
      <c r="J27" s="130">
        <f t="shared" si="6"/>
        <v>0</v>
      </c>
    </row>
    <row r="28" spans="2:12" ht="18" hidden="1" x14ac:dyDescent="0.25">
      <c r="B28" s="126">
        <f t="shared" si="3"/>
        <v>12</v>
      </c>
      <c r="C28" s="127">
        <v>0</v>
      </c>
      <c r="D28" s="127">
        <v>0</v>
      </c>
      <c r="E28" s="128">
        <f t="shared" si="0"/>
        <v>0</v>
      </c>
      <c r="F28" s="129" t="str">
        <f t="shared" si="1"/>
        <v>-</v>
      </c>
      <c r="G28" s="130">
        <f t="shared" si="4"/>
        <v>0</v>
      </c>
      <c r="H28" s="131" t="str">
        <f t="shared" si="2"/>
        <v>-</v>
      </c>
      <c r="I28" s="132">
        <f t="shared" si="5"/>
        <v>0</v>
      </c>
      <c r="J28" s="130">
        <f t="shared" si="6"/>
        <v>0</v>
      </c>
    </row>
    <row r="29" spans="2:12" ht="18" hidden="1" x14ac:dyDescent="0.25">
      <c r="B29" s="126">
        <f t="shared" si="3"/>
        <v>13</v>
      </c>
      <c r="C29" s="127">
        <v>0</v>
      </c>
      <c r="D29" s="127">
        <v>0</v>
      </c>
      <c r="E29" s="128">
        <f t="shared" si="0"/>
        <v>0</v>
      </c>
      <c r="F29" s="129" t="str">
        <f t="shared" si="1"/>
        <v>-</v>
      </c>
      <c r="G29" s="130">
        <f t="shared" si="4"/>
        <v>0</v>
      </c>
      <c r="H29" s="131" t="str">
        <f t="shared" si="2"/>
        <v>-</v>
      </c>
      <c r="I29" s="132">
        <f t="shared" si="5"/>
        <v>0</v>
      </c>
      <c r="J29" s="130">
        <f t="shared" si="6"/>
        <v>0</v>
      </c>
      <c r="L29" s="133"/>
    </row>
    <row r="30" spans="2:12" ht="18" hidden="1" x14ac:dyDescent="0.25">
      <c r="B30" s="126">
        <f t="shared" si="3"/>
        <v>14</v>
      </c>
      <c r="C30" s="127">
        <v>0</v>
      </c>
      <c r="D30" s="127">
        <v>0</v>
      </c>
      <c r="E30" s="128">
        <f t="shared" si="0"/>
        <v>0</v>
      </c>
      <c r="F30" s="129" t="str">
        <f t="shared" si="1"/>
        <v>-</v>
      </c>
      <c r="G30" s="130">
        <f t="shared" si="4"/>
        <v>0</v>
      </c>
      <c r="H30" s="131" t="str">
        <f t="shared" si="2"/>
        <v>-</v>
      </c>
      <c r="I30" s="132">
        <f t="shared" si="5"/>
        <v>0</v>
      </c>
      <c r="J30" s="130">
        <f t="shared" si="6"/>
        <v>0</v>
      </c>
    </row>
    <row r="31" spans="2:12" ht="18" hidden="1" x14ac:dyDescent="0.25">
      <c r="B31" s="126">
        <f t="shared" si="3"/>
        <v>15</v>
      </c>
      <c r="C31" s="127">
        <v>0</v>
      </c>
      <c r="D31" s="127">
        <v>0</v>
      </c>
      <c r="E31" s="128">
        <f t="shared" si="0"/>
        <v>0</v>
      </c>
      <c r="F31" s="129" t="str">
        <f t="shared" si="1"/>
        <v>-</v>
      </c>
      <c r="G31" s="130">
        <f t="shared" si="4"/>
        <v>0</v>
      </c>
      <c r="H31" s="131" t="str">
        <f t="shared" si="2"/>
        <v>-</v>
      </c>
      <c r="I31" s="132">
        <f t="shared" si="5"/>
        <v>0</v>
      </c>
      <c r="J31" s="130">
        <f t="shared" si="6"/>
        <v>0</v>
      </c>
    </row>
    <row r="32" spans="2:12" ht="18" hidden="1" x14ac:dyDescent="0.25">
      <c r="B32" s="126">
        <f t="shared" si="3"/>
        <v>16</v>
      </c>
      <c r="C32" s="127">
        <v>0</v>
      </c>
      <c r="D32" s="127">
        <v>0</v>
      </c>
      <c r="E32" s="128">
        <f t="shared" si="0"/>
        <v>0</v>
      </c>
      <c r="F32" s="129" t="str">
        <f t="shared" si="1"/>
        <v>-</v>
      </c>
      <c r="G32" s="130">
        <f t="shared" si="4"/>
        <v>0</v>
      </c>
      <c r="H32" s="131" t="str">
        <f t="shared" si="2"/>
        <v>-</v>
      </c>
      <c r="I32" s="132">
        <f t="shared" si="5"/>
        <v>0</v>
      </c>
      <c r="J32" s="130">
        <f t="shared" si="6"/>
        <v>0</v>
      </c>
    </row>
    <row r="33" spans="2:10" ht="18" hidden="1" x14ac:dyDescent="0.25">
      <c r="B33" s="126">
        <f t="shared" si="3"/>
        <v>17</v>
      </c>
      <c r="C33" s="127">
        <v>0</v>
      </c>
      <c r="D33" s="127">
        <v>0</v>
      </c>
      <c r="E33" s="128">
        <f t="shared" si="0"/>
        <v>0</v>
      </c>
      <c r="F33" s="129" t="str">
        <f t="shared" si="1"/>
        <v>-</v>
      </c>
      <c r="G33" s="130">
        <f t="shared" si="4"/>
        <v>0</v>
      </c>
      <c r="H33" s="131" t="str">
        <f t="shared" si="2"/>
        <v>-</v>
      </c>
      <c r="I33" s="132">
        <f t="shared" si="5"/>
        <v>0</v>
      </c>
      <c r="J33" s="130">
        <f t="shared" si="6"/>
        <v>0</v>
      </c>
    </row>
    <row r="34" spans="2:10" ht="18" hidden="1" x14ac:dyDescent="0.25">
      <c r="B34" s="126">
        <f t="shared" si="3"/>
        <v>18</v>
      </c>
      <c r="C34" s="127">
        <v>0</v>
      </c>
      <c r="D34" s="127">
        <v>0</v>
      </c>
      <c r="E34" s="128">
        <f t="shared" si="0"/>
        <v>0</v>
      </c>
      <c r="F34" s="129" t="str">
        <f t="shared" si="1"/>
        <v>-</v>
      </c>
      <c r="G34" s="130">
        <f t="shared" si="4"/>
        <v>0</v>
      </c>
      <c r="H34" s="131" t="str">
        <f t="shared" si="2"/>
        <v>-</v>
      </c>
      <c r="I34" s="132">
        <f t="shared" si="5"/>
        <v>0</v>
      </c>
      <c r="J34" s="130">
        <f t="shared" si="6"/>
        <v>0</v>
      </c>
    </row>
    <row r="35" spans="2:10" ht="18" hidden="1" x14ac:dyDescent="0.25">
      <c r="B35" s="126">
        <f t="shared" si="3"/>
        <v>19</v>
      </c>
      <c r="C35" s="127">
        <v>0</v>
      </c>
      <c r="D35" s="127">
        <v>0</v>
      </c>
      <c r="E35" s="128">
        <f t="shared" si="0"/>
        <v>0</v>
      </c>
      <c r="F35" s="129" t="str">
        <f t="shared" si="1"/>
        <v>-</v>
      </c>
      <c r="G35" s="130">
        <f t="shared" si="4"/>
        <v>0</v>
      </c>
      <c r="H35" s="131" t="str">
        <f t="shared" si="2"/>
        <v>-</v>
      </c>
      <c r="I35" s="132">
        <f t="shared" si="5"/>
        <v>0</v>
      </c>
      <c r="J35" s="130">
        <f t="shared" si="6"/>
        <v>0</v>
      </c>
    </row>
    <row r="36" spans="2:10" ht="18" hidden="1" x14ac:dyDescent="0.25">
      <c r="B36" s="126">
        <f t="shared" si="3"/>
        <v>20</v>
      </c>
      <c r="C36" s="127">
        <v>0</v>
      </c>
      <c r="D36" s="127">
        <v>0</v>
      </c>
      <c r="E36" s="128">
        <f t="shared" si="0"/>
        <v>0</v>
      </c>
      <c r="F36" s="129" t="str">
        <f t="shared" si="1"/>
        <v>-</v>
      </c>
      <c r="G36" s="130">
        <f t="shared" si="4"/>
        <v>0</v>
      </c>
      <c r="H36" s="131" t="str">
        <f t="shared" si="2"/>
        <v>-</v>
      </c>
      <c r="I36" s="132">
        <f t="shared" si="5"/>
        <v>0</v>
      </c>
      <c r="J36" s="130">
        <f t="shared" si="6"/>
        <v>0</v>
      </c>
    </row>
    <row r="37" spans="2:10" ht="18" hidden="1" x14ac:dyDescent="0.25">
      <c r="B37" s="126">
        <f t="shared" si="3"/>
        <v>21</v>
      </c>
      <c r="C37" s="127">
        <v>0</v>
      </c>
      <c r="D37" s="127">
        <v>0</v>
      </c>
      <c r="E37" s="128">
        <f t="shared" si="0"/>
        <v>0</v>
      </c>
      <c r="F37" s="129" t="str">
        <f t="shared" si="1"/>
        <v>-</v>
      </c>
      <c r="G37" s="130">
        <f t="shared" si="4"/>
        <v>0</v>
      </c>
      <c r="H37" s="131" t="str">
        <f t="shared" si="2"/>
        <v>-</v>
      </c>
      <c r="I37" s="132">
        <f t="shared" si="5"/>
        <v>0</v>
      </c>
      <c r="J37" s="130">
        <f t="shared" si="6"/>
        <v>0</v>
      </c>
    </row>
    <row r="38" spans="2:10" ht="18" hidden="1" x14ac:dyDescent="0.25">
      <c r="B38" s="126">
        <f t="shared" si="3"/>
        <v>22</v>
      </c>
      <c r="C38" s="127">
        <v>0</v>
      </c>
      <c r="D38" s="127">
        <v>0</v>
      </c>
      <c r="E38" s="128">
        <f t="shared" si="0"/>
        <v>0</v>
      </c>
      <c r="F38" s="129" t="str">
        <f t="shared" si="1"/>
        <v>-</v>
      </c>
      <c r="G38" s="130">
        <f t="shared" si="4"/>
        <v>0</v>
      </c>
      <c r="H38" s="131" t="str">
        <f t="shared" si="2"/>
        <v>-</v>
      </c>
      <c r="I38" s="132">
        <f t="shared" si="5"/>
        <v>0</v>
      </c>
      <c r="J38" s="130">
        <f t="shared" si="6"/>
        <v>0</v>
      </c>
    </row>
    <row r="39" spans="2:10" ht="18" hidden="1" x14ac:dyDescent="0.25">
      <c r="B39" s="126">
        <f t="shared" si="3"/>
        <v>23</v>
      </c>
      <c r="C39" s="127">
        <v>0</v>
      </c>
      <c r="D39" s="127">
        <v>0</v>
      </c>
      <c r="E39" s="128">
        <f t="shared" si="0"/>
        <v>0</v>
      </c>
      <c r="F39" s="129" t="str">
        <f t="shared" si="1"/>
        <v>-</v>
      </c>
      <c r="G39" s="130">
        <f t="shared" si="4"/>
        <v>0</v>
      </c>
      <c r="H39" s="131" t="str">
        <f t="shared" si="2"/>
        <v>-</v>
      </c>
      <c r="I39" s="132">
        <f t="shared" si="5"/>
        <v>0</v>
      </c>
      <c r="J39" s="130">
        <f t="shared" si="6"/>
        <v>0</v>
      </c>
    </row>
    <row r="40" spans="2:10" ht="18" hidden="1" x14ac:dyDescent="0.25">
      <c r="B40" s="126">
        <f t="shared" si="3"/>
        <v>24</v>
      </c>
      <c r="C40" s="127">
        <v>0</v>
      </c>
      <c r="D40" s="127">
        <v>0</v>
      </c>
      <c r="E40" s="128">
        <f t="shared" si="0"/>
        <v>0</v>
      </c>
      <c r="F40" s="129" t="str">
        <f t="shared" si="1"/>
        <v>-</v>
      </c>
      <c r="G40" s="130">
        <f t="shared" si="4"/>
        <v>0</v>
      </c>
      <c r="H40" s="131" t="str">
        <f t="shared" si="2"/>
        <v>-</v>
      </c>
      <c r="I40" s="132">
        <f t="shared" si="5"/>
        <v>0</v>
      </c>
      <c r="J40" s="130">
        <f t="shared" si="6"/>
        <v>0</v>
      </c>
    </row>
    <row r="41" spans="2:10" ht="18" hidden="1" x14ac:dyDescent="0.25">
      <c r="B41" s="126">
        <f t="shared" si="3"/>
        <v>25</v>
      </c>
      <c r="C41" s="127">
        <v>0</v>
      </c>
      <c r="D41" s="127">
        <v>0</v>
      </c>
      <c r="E41" s="128">
        <f t="shared" si="0"/>
        <v>0</v>
      </c>
      <c r="F41" s="129" t="str">
        <f t="shared" si="1"/>
        <v>-</v>
      </c>
      <c r="G41" s="130">
        <f t="shared" si="4"/>
        <v>0</v>
      </c>
      <c r="H41" s="131" t="str">
        <f t="shared" si="2"/>
        <v>-</v>
      </c>
      <c r="I41" s="132">
        <f t="shared" si="5"/>
        <v>0</v>
      </c>
      <c r="J41" s="130">
        <f t="shared" si="6"/>
        <v>0</v>
      </c>
    </row>
    <row r="42" spans="2:10" ht="18" hidden="1" x14ac:dyDescent="0.25">
      <c r="B42" s="126">
        <f t="shared" si="3"/>
        <v>26</v>
      </c>
      <c r="C42" s="127">
        <v>0</v>
      </c>
      <c r="D42" s="127">
        <v>0</v>
      </c>
      <c r="E42" s="128">
        <f t="shared" si="0"/>
        <v>0</v>
      </c>
      <c r="F42" s="129" t="str">
        <f t="shared" si="1"/>
        <v>-</v>
      </c>
      <c r="G42" s="130">
        <f t="shared" si="4"/>
        <v>0</v>
      </c>
      <c r="H42" s="131" t="str">
        <f t="shared" si="2"/>
        <v>-</v>
      </c>
      <c r="I42" s="132">
        <f t="shared" si="5"/>
        <v>0</v>
      </c>
      <c r="J42" s="130">
        <f t="shared" si="6"/>
        <v>0</v>
      </c>
    </row>
    <row r="43" spans="2:10" ht="18" hidden="1" x14ac:dyDescent="0.25">
      <c r="B43" s="126">
        <f t="shared" si="3"/>
        <v>27</v>
      </c>
      <c r="C43" s="127">
        <v>0</v>
      </c>
      <c r="D43" s="127">
        <v>0</v>
      </c>
      <c r="E43" s="128">
        <f t="shared" si="0"/>
        <v>0</v>
      </c>
      <c r="F43" s="129" t="str">
        <f t="shared" si="1"/>
        <v>-</v>
      </c>
      <c r="G43" s="130">
        <f t="shared" si="4"/>
        <v>0</v>
      </c>
      <c r="H43" s="131" t="str">
        <f t="shared" si="2"/>
        <v>-</v>
      </c>
      <c r="I43" s="132">
        <f t="shared" si="5"/>
        <v>0</v>
      </c>
      <c r="J43" s="130">
        <f t="shared" si="6"/>
        <v>0</v>
      </c>
    </row>
    <row r="44" spans="2:10" ht="18" hidden="1" x14ac:dyDescent="0.25">
      <c r="B44" s="126">
        <f t="shared" si="3"/>
        <v>28</v>
      </c>
      <c r="C44" s="127">
        <v>0</v>
      </c>
      <c r="D44" s="127">
        <v>0</v>
      </c>
      <c r="E44" s="128">
        <f t="shared" si="0"/>
        <v>0</v>
      </c>
      <c r="F44" s="129" t="str">
        <f t="shared" si="1"/>
        <v>-</v>
      </c>
      <c r="G44" s="130">
        <f t="shared" si="4"/>
        <v>0</v>
      </c>
      <c r="H44" s="131" t="str">
        <f t="shared" si="2"/>
        <v>-</v>
      </c>
      <c r="I44" s="132">
        <f t="shared" si="5"/>
        <v>0</v>
      </c>
      <c r="J44" s="130">
        <f t="shared" si="6"/>
        <v>0</v>
      </c>
    </row>
    <row r="45" spans="2:10" ht="18" hidden="1" x14ac:dyDescent="0.25">
      <c r="B45" s="126">
        <f t="shared" si="3"/>
        <v>29</v>
      </c>
      <c r="C45" s="127">
        <v>0</v>
      </c>
      <c r="D45" s="127">
        <v>0</v>
      </c>
      <c r="E45" s="128">
        <f t="shared" si="0"/>
        <v>0</v>
      </c>
      <c r="F45" s="129" t="str">
        <f t="shared" si="1"/>
        <v>-</v>
      </c>
      <c r="G45" s="130">
        <f t="shared" si="4"/>
        <v>0</v>
      </c>
      <c r="H45" s="131" t="str">
        <f t="shared" si="2"/>
        <v>-</v>
      </c>
      <c r="I45" s="132">
        <f t="shared" si="5"/>
        <v>0</v>
      </c>
      <c r="J45" s="130">
        <f t="shared" si="6"/>
        <v>0</v>
      </c>
    </row>
    <row r="46" spans="2:10" ht="18" hidden="1" x14ac:dyDescent="0.25">
      <c r="B46" s="126">
        <f t="shared" si="3"/>
        <v>30</v>
      </c>
      <c r="C46" s="127">
        <v>0</v>
      </c>
      <c r="D46" s="127">
        <v>0</v>
      </c>
      <c r="E46" s="128">
        <f t="shared" si="0"/>
        <v>0</v>
      </c>
      <c r="F46" s="129" t="str">
        <f t="shared" si="1"/>
        <v>-</v>
      </c>
      <c r="G46" s="130">
        <f t="shared" si="4"/>
        <v>0</v>
      </c>
      <c r="H46" s="131" t="str">
        <f t="shared" si="2"/>
        <v>-</v>
      </c>
      <c r="I46" s="132">
        <f t="shared" si="5"/>
        <v>0</v>
      </c>
      <c r="J46" s="130">
        <f t="shared" si="6"/>
        <v>0</v>
      </c>
    </row>
    <row r="47" spans="2:10" ht="18" hidden="1" x14ac:dyDescent="0.25">
      <c r="B47" s="126">
        <f t="shared" si="3"/>
        <v>31</v>
      </c>
      <c r="C47" s="127">
        <v>0</v>
      </c>
      <c r="D47" s="127">
        <v>0</v>
      </c>
      <c r="E47" s="128">
        <f t="shared" si="0"/>
        <v>0</v>
      </c>
      <c r="F47" s="129" t="str">
        <f t="shared" si="1"/>
        <v>-</v>
      </c>
      <c r="G47" s="130">
        <f t="shared" si="4"/>
        <v>0</v>
      </c>
      <c r="H47" s="131" t="str">
        <f t="shared" si="2"/>
        <v>-</v>
      </c>
      <c r="I47" s="132">
        <f t="shared" si="5"/>
        <v>0</v>
      </c>
      <c r="J47" s="130">
        <f t="shared" si="6"/>
        <v>0</v>
      </c>
    </row>
    <row r="48" spans="2:10" ht="18" hidden="1" x14ac:dyDescent="0.25">
      <c r="B48" s="126">
        <f t="shared" si="3"/>
        <v>32</v>
      </c>
      <c r="C48" s="127">
        <v>0</v>
      </c>
      <c r="D48" s="127">
        <v>0</v>
      </c>
      <c r="E48" s="128">
        <f t="shared" si="0"/>
        <v>0</v>
      </c>
      <c r="F48" s="129" t="str">
        <f t="shared" si="1"/>
        <v>-</v>
      </c>
      <c r="G48" s="130">
        <f t="shared" si="4"/>
        <v>0</v>
      </c>
      <c r="H48" s="131" t="str">
        <f t="shared" si="2"/>
        <v>-</v>
      </c>
      <c r="I48" s="132">
        <f t="shared" si="5"/>
        <v>0</v>
      </c>
      <c r="J48" s="130">
        <f t="shared" si="6"/>
        <v>0</v>
      </c>
    </row>
    <row r="49" spans="2:10" ht="18" hidden="1" x14ac:dyDescent="0.25">
      <c r="B49" s="126">
        <f t="shared" si="3"/>
        <v>33</v>
      </c>
      <c r="C49" s="127">
        <v>0</v>
      </c>
      <c r="D49" s="127">
        <v>0</v>
      </c>
      <c r="E49" s="128">
        <f t="shared" si="0"/>
        <v>0</v>
      </c>
      <c r="F49" s="129" t="str">
        <f t="shared" si="1"/>
        <v>-</v>
      </c>
      <c r="G49" s="130">
        <f t="shared" si="4"/>
        <v>0</v>
      </c>
      <c r="H49" s="131" t="str">
        <f t="shared" si="2"/>
        <v>-</v>
      </c>
      <c r="I49" s="132">
        <f t="shared" si="5"/>
        <v>0</v>
      </c>
      <c r="J49" s="130">
        <f t="shared" si="6"/>
        <v>0</v>
      </c>
    </row>
    <row r="50" spans="2:10" ht="18" hidden="1" x14ac:dyDescent="0.25">
      <c r="B50" s="126">
        <f t="shared" si="3"/>
        <v>34</v>
      </c>
      <c r="C50" s="127">
        <v>0</v>
      </c>
      <c r="D50" s="127">
        <v>0</v>
      </c>
      <c r="E50" s="128">
        <f t="shared" si="0"/>
        <v>0</v>
      </c>
      <c r="F50" s="129" t="str">
        <f t="shared" si="1"/>
        <v>-</v>
      </c>
      <c r="G50" s="130">
        <f t="shared" si="4"/>
        <v>0</v>
      </c>
      <c r="H50" s="131" t="str">
        <f t="shared" si="2"/>
        <v>-</v>
      </c>
      <c r="I50" s="132">
        <f t="shared" si="5"/>
        <v>0</v>
      </c>
      <c r="J50" s="130">
        <f t="shared" si="6"/>
        <v>0</v>
      </c>
    </row>
    <row r="51" spans="2:10" ht="18" hidden="1" x14ac:dyDescent="0.25">
      <c r="B51" s="126">
        <f t="shared" si="3"/>
        <v>35</v>
      </c>
      <c r="C51" s="127">
        <v>0</v>
      </c>
      <c r="D51" s="127">
        <v>0</v>
      </c>
      <c r="E51" s="128">
        <f t="shared" si="0"/>
        <v>0</v>
      </c>
      <c r="F51" s="129" t="str">
        <f t="shared" si="1"/>
        <v>-</v>
      </c>
      <c r="G51" s="130">
        <f t="shared" si="4"/>
        <v>0</v>
      </c>
      <c r="H51" s="131" t="str">
        <f t="shared" si="2"/>
        <v>-</v>
      </c>
      <c r="I51" s="132">
        <f t="shared" si="5"/>
        <v>0</v>
      </c>
      <c r="J51" s="130">
        <f t="shared" si="6"/>
        <v>0</v>
      </c>
    </row>
    <row r="52" spans="2:10" ht="18" hidden="1" x14ac:dyDescent="0.25">
      <c r="B52" s="126">
        <f t="shared" si="3"/>
        <v>36</v>
      </c>
      <c r="C52" s="127">
        <v>0</v>
      </c>
      <c r="D52" s="127">
        <v>0</v>
      </c>
      <c r="E52" s="128">
        <f t="shared" si="0"/>
        <v>0</v>
      </c>
      <c r="F52" s="129" t="str">
        <f t="shared" si="1"/>
        <v>-</v>
      </c>
      <c r="G52" s="130">
        <f t="shared" si="4"/>
        <v>0</v>
      </c>
      <c r="H52" s="131" t="str">
        <f t="shared" si="2"/>
        <v>-</v>
      </c>
      <c r="I52" s="132">
        <f t="shared" si="5"/>
        <v>0</v>
      </c>
      <c r="J52" s="130">
        <f t="shared" si="6"/>
        <v>0</v>
      </c>
    </row>
    <row r="53" spans="2:10" ht="18" hidden="1" x14ac:dyDescent="0.25">
      <c r="B53" s="126">
        <f t="shared" si="3"/>
        <v>37</v>
      </c>
      <c r="C53" s="127">
        <v>0</v>
      </c>
      <c r="D53" s="127">
        <v>0</v>
      </c>
      <c r="E53" s="128">
        <f t="shared" si="0"/>
        <v>0</v>
      </c>
      <c r="F53" s="129" t="str">
        <f t="shared" si="1"/>
        <v>-</v>
      </c>
      <c r="G53" s="130">
        <f t="shared" si="4"/>
        <v>0</v>
      </c>
      <c r="H53" s="131" t="str">
        <f t="shared" si="2"/>
        <v>-</v>
      </c>
      <c r="I53" s="132">
        <f t="shared" si="5"/>
        <v>0</v>
      </c>
      <c r="J53" s="130">
        <f t="shared" si="6"/>
        <v>0</v>
      </c>
    </row>
    <row r="54" spans="2:10" ht="18" hidden="1" x14ac:dyDescent="0.25">
      <c r="B54" s="126">
        <f t="shared" si="3"/>
        <v>38</v>
      </c>
      <c r="C54" s="127">
        <v>0</v>
      </c>
      <c r="D54" s="127">
        <v>0</v>
      </c>
      <c r="E54" s="128">
        <f t="shared" si="0"/>
        <v>0</v>
      </c>
      <c r="F54" s="129" t="str">
        <f t="shared" si="1"/>
        <v>-</v>
      </c>
      <c r="G54" s="130">
        <f t="shared" si="4"/>
        <v>0</v>
      </c>
      <c r="H54" s="131" t="str">
        <f t="shared" si="2"/>
        <v>-</v>
      </c>
      <c r="I54" s="132">
        <f t="shared" si="5"/>
        <v>0</v>
      </c>
      <c r="J54" s="130">
        <f t="shared" si="6"/>
        <v>0</v>
      </c>
    </row>
    <row r="55" spans="2:10" ht="18" hidden="1" x14ac:dyDescent="0.25">
      <c r="B55" s="126">
        <f t="shared" si="3"/>
        <v>39</v>
      </c>
      <c r="C55" s="127">
        <v>0</v>
      </c>
      <c r="D55" s="127">
        <v>0</v>
      </c>
      <c r="E55" s="128">
        <f t="shared" si="0"/>
        <v>0</v>
      </c>
      <c r="F55" s="129" t="str">
        <f t="shared" si="1"/>
        <v>-</v>
      </c>
      <c r="G55" s="130">
        <f t="shared" si="4"/>
        <v>0</v>
      </c>
      <c r="H55" s="131" t="str">
        <f t="shared" si="2"/>
        <v>-</v>
      </c>
      <c r="I55" s="132">
        <f t="shared" si="5"/>
        <v>0</v>
      </c>
      <c r="J55" s="130">
        <f t="shared" si="6"/>
        <v>0</v>
      </c>
    </row>
    <row r="56" spans="2:10" ht="18" hidden="1" x14ac:dyDescent="0.25">
      <c r="B56" s="126">
        <f t="shared" si="3"/>
        <v>40</v>
      </c>
      <c r="C56" s="127">
        <v>0</v>
      </c>
      <c r="D56" s="127">
        <v>0</v>
      </c>
      <c r="E56" s="128">
        <f t="shared" si="0"/>
        <v>0</v>
      </c>
      <c r="F56" s="129" t="str">
        <f t="shared" si="1"/>
        <v>-</v>
      </c>
      <c r="G56" s="130">
        <f t="shared" si="4"/>
        <v>0</v>
      </c>
      <c r="H56" s="131" t="str">
        <f t="shared" si="2"/>
        <v>-</v>
      </c>
      <c r="I56" s="132">
        <f t="shared" si="5"/>
        <v>0</v>
      </c>
      <c r="J56" s="130">
        <f t="shared" si="6"/>
        <v>0</v>
      </c>
    </row>
    <row r="57" spans="2:10" ht="18" hidden="1" x14ac:dyDescent="0.25">
      <c r="B57" s="126">
        <f t="shared" si="3"/>
        <v>41</v>
      </c>
      <c r="C57" s="127">
        <v>0</v>
      </c>
      <c r="D57" s="127">
        <v>0</v>
      </c>
      <c r="E57" s="128">
        <f t="shared" si="0"/>
        <v>0</v>
      </c>
      <c r="F57" s="129" t="str">
        <f t="shared" si="1"/>
        <v>-</v>
      </c>
      <c r="G57" s="130">
        <f t="shared" si="4"/>
        <v>0</v>
      </c>
      <c r="H57" s="131" t="str">
        <f t="shared" si="2"/>
        <v>-</v>
      </c>
      <c r="I57" s="132">
        <f t="shared" si="5"/>
        <v>0</v>
      </c>
      <c r="J57" s="130">
        <f t="shared" si="6"/>
        <v>0</v>
      </c>
    </row>
    <row r="58" spans="2:10" ht="18" hidden="1" x14ac:dyDescent="0.25">
      <c r="B58" s="126">
        <f t="shared" si="3"/>
        <v>42</v>
      </c>
      <c r="C58" s="127">
        <v>0</v>
      </c>
      <c r="D58" s="127">
        <v>0</v>
      </c>
      <c r="E58" s="128">
        <f t="shared" si="0"/>
        <v>0</v>
      </c>
      <c r="F58" s="129" t="str">
        <f t="shared" si="1"/>
        <v>-</v>
      </c>
      <c r="G58" s="130">
        <f t="shared" si="4"/>
        <v>0</v>
      </c>
      <c r="H58" s="131" t="str">
        <f t="shared" si="2"/>
        <v>-</v>
      </c>
      <c r="I58" s="132">
        <f t="shared" si="5"/>
        <v>0</v>
      </c>
      <c r="J58" s="130">
        <f t="shared" si="6"/>
        <v>0</v>
      </c>
    </row>
    <row r="59" spans="2:10" ht="18" hidden="1" x14ac:dyDescent="0.25">
      <c r="B59" s="126">
        <f t="shared" si="3"/>
        <v>43</v>
      </c>
      <c r="C59" s="127">
        <v>0</v>
      </c>
      <c r="D59" s="127">
        <v>0</v>
      </c>
      <c r="E59" s="128">
        <f t="shared" si="0"/>
        <v>0</v>
      </c>
      <c r="F59" s="129" t="str">
        <f t="shared" si="1"/>
        <v>-</v>
      </c>
      <c r="G59" s="130">
        <f t="shared" si="4"/>
        <v>0</v>
      </c>
      <c r="H59" s="131" t="str">
        <f t="shared" si="2"/>
        <v>-</v>
      </c>
      <c r="I59" s="132">
        <f t="shared" si="5"/>
        <v>0</v>
      </c>
      <c r="J59" s="130">
        <f t="shared" si="6"/>
        <v>0</v>
      </c>
    </row>
    <row r="60" spans="2:10" ht="18" hidden="1" x14ac:dyDescent="0.25">
      <c r="B60" s="126">
        <f t="shared" si="3"/>
        <v>44</v>
      </c>
      <c r="C60" s="127">
        <v>0</v>
      </c>
      <c r="D60" s="127">
        <v>0</v>
      </c>
      <c r="E60" s="128">
        <f t="shared" si="0"/>
        <v>0</v>
      </c>
      <c r="F60" s="129" t="str">
        <f t="shared" si="1"/>
        <v>-</v>
      </c>
      <c r="G60" s="130">
        <f t="shared" si="4"/>
        <v>0</v>
      </c>
      <c r="H60" s="131" t="str">
        <f t="shared" si="2"/>
        <v>-</v>
      </c>
      <c r="I60" s="132">
        <f t="shared" si="5"/>
        <v>0</v>
      </c>
      <c r="J60" s="130">
        <f t="shared" si="6"/>
        <v>0</v>
      </c>
    </row>
    <row r="61" spans="2:10" ht="18" hidden="1" x14ac:dyDescent="0.25">
      <c r="B61" s="126">
        <f t="shared" si="3"/>
        <v>45</v>
      </c>
      <c r="C61" s="127">
        <v>0</v>
      </c>
      <c r="D61" s="127">
        <v>0</v>
      </c>
      <c r="E61" s="128">
        <f t="shared" si="0"/>
        <v>0</v>
      </c>
      <c r="F61" s="129" t="str">
        <f t="shared" si="1"/>
        <v>-</v>
      </c>
      <c r="G61" s="130">
        <f t="shared" si="4"/>
        <v>0</v>
      </c>
      <c r="H61" s="131" t="str">
        <f t="shared" si="2"/>
        <v>-</v>
      </c>
      <c r="I61" s="132">
        <f t="shared" si="5"/>
        <v>0</v>
      </c>
      <c r="J61" s="130">
        <f t="shared" si="6"/>
        <v>0</v>
      </c>
    </row>
    <row r="62" spans="2:10" ht="18" hidden="1" x14ac:dyDescent="0.25">
      <c r="B62" s="126">
        <f t="shared" si="3"/>
        <v>46</v>
      </c>
      <c r="C62" s="127">
        <v>0</v>
      </c>
      <c r="D62" s="127">
        <v>0</v>
      </c>
      <c r="E62" s="128">
        <f t="shared" si="0"/>
        <v>0</v>
      </c>
      <c r="F62" s="129" t="str">
        <f t="shared" si="1"/>
        <v>-</v>
      </c>
      <c r="G62" s="130">
        <f t="shared" si="4"/>
        <v>0</v>
      </c>
      <c r="H62" s="131" t="str">
        <f t="shared" si="2"/>
        <v>-</v>
      </c>
      <c r="I62" s="132">
        <f t="shared" si="5"/>
        <v>0</v>
      </c>
      <c r="J62" s="130">
        <f t="shared" si="6"/>
        <v>0</v>
      </c>
    </row>
    <row r="63" spans="2:10" ht="18" hidden="1" x14ac:dyDescent="0.25">
      <c r="B63" s="126">
        <f t="shared" si="3"/>
        <v>47</v>
      </c>
      <c r="C63" s="127">
        <v>0</v>
      </c>
      <c r="D63" s="127">
        <v>0</v>
      </c>
      <c r="E63" s="128">
        <f t="shared" si="0"/>
        <v>0</v>
      </c>
      <c r="F63" s="129" t="str">
        <f t="shared" si="1"/>
        <v>-</v>
      </c>
      <c r="G63" s="130">
        <f t="shared" si="4"/>
        <v>0</v>
      </c>
      <c r="H63" s="131" t="str">
        <f t="shared" si="2"/>
        <v>-</v>
      </c>
      <c r="I63" s="132">
        <f t="shared" si="5"/>
        <v>0</v>
      </c>
      <c r="J63" s="130">
        <f t="shared" si="6"/>
        <v>0</v>
      </c>
    </row>
    <row r="64" spans="2:10" ht="18" hidden="1" x14ac:dyDescent="0.25">
      <c r="B64" s="126">
        <f t="shared" si="3"/>
        <v>48</v>
      </c>
      <c r="C64" s="127">
        <v>0</v>
      </c>
      <c r="D64" s="127">
        <v>0</v>
      </c>
      <c r="E64" s="128">
        <f t="shared" si="0"/>
        <v>0</v>
      </c>
      <c r="F64" s="129" t="str">
        <f t="shared" si="1"/>
        <v>-</v>
      </c>
      <c r="G64" s="130">
        <f t="shared" si="4"/>
        <v>0</v>
      </c>
      <c r="H64" s="131" t="str">
        <f t="shared" si="2"/>
        <v>-</v>
      </c>
      <c r="I64" s="132">
        <f t="shared" si="5"/>
        <v>0</v>
      </c>
      <c r="J64" s="130">
        <f t="shared" si="6"/>
        <v>0</v>
      </c>
    </row>
    <row r="65" spans="2:10" ht="18" hidden="1" x14ac:dyDescent="0.25">
      <c r="B65" s="126">
        <f t="shared" si="3"/>
        <v>49</v>
      </c>
      <c r="C65" s="127">
        <v>0</v>
      </c>
      <c r="D65" s="127">
        <v>0</v>
      </c>
      <c r="E65" s="128">
        <f t="shared" si="0"/>
        <v>0</v>
      </c>
      <c r="F65" s="129" t="str">
        <f t="shared" si="1"/>
        <v>-</v>
      </c>
      <c r="G65" s="130">
        <f t="shared" si="4"/>
        <v>0</v>
      </c>
      <c r="H65" s="131" t="str">
        <f t="shared" si="2"/>
        <v>-</v>
      </c>
      <c r="I65" s="132">
        <f t="shared" si="5"/>
        <v>0</v>
      </c>
      <c r="J65" s="130">
        <f t="shared" si="6"/>
        <v>0</v>
      </c>
    </row>
    <row r="66" spans="2:10" ht="18" hidden="1" x14ac:dyDescent="0.25">
      <c r="B66" s="126">
        <f t="shared" si="3"/>
        <v>50</v>
      </c>
      <c r="C66" s="127">
        <v>0</v>
      </c>
      <c r="D66" s="127">
        <v>0</v>
      </c>
      <c r="E66" s="128">
        <f t="shared" si="0"/>
        <v>0</v>
      </c>
      <c r="F66" s="129" t="str">
        <f t="shared" si="1"/>
        <v>-</v>
      </c>
      <c r="G66" s="130">
        <f t="shared" si="4"/>
        <v>0</v>
      </c>
      <c r="H66" s="131" t="str">
        <f t="shared" si="2"/>
        <v>-</v>
      </c>
      <c r="I66" s="132">
        <f t="shared" si="5"/>
        <v>0</v>
      </c>
      <c r="J66" s="130">
        <f t="shared" si="6"/>
        <v>0</v>
      </c>
    </row>
    <row r="67" spans="2:10" ht="18" hidden="1" x14ac:dyDescent="0.25">
      <c r="B67" s="126">
        <f t="shared" si="3"/>
        <v>51</v>
      </c>
      <c r="C67" s="127">
        <v>0</v>
      </c>
      <c r="D67" s="127">
        <v>0</v>
      </c>
      <c r="E67" s="128">
        <f t="shared" si="0"/>
        <v>0</v>
      </c>
      <c r="F67" s="129" t="str">
        <f t="shared" si="1"/>
        <v>-</v>
      </c>
      <c r="G67" s="130">
        <f t="shared" si="4"/>
        <v>0</v>
      </c>
      <c r="H67" s="131" t="str">
        <f t="shared" si="2"/>
        <v>-</v>
      </c>
      <c r="I67" s="132">
        <f t="shared" si="5"/>
        <v>0</v>
      </c>
      <c r="J67" s="130">
        <f t="shared" si="6"/>
        <v>0</v>
      </c>
    </row>
    <row r="68" spans="2:10" ht="18" hidden="1" x14ac:dyDescent="0.25">
      <c r="B68" s="126">
        <f t="shared" si="3"/>
        <v>52</v>
      </c>
      <c r="C68" s="127">
        <v>0</v>
      </c>
      <c r="D68" s="127">
        <v>0</v>
      </c>
      <c r="E68" s="128">
        <f t="shared" si="0"/>
        <v>0</v>
      </c>
      <c r="F68" s="129" t="str">
        <f t="shared" si="1"/>
        <v>-</v>
      </c>
      <c r="G68" s="130">
        <f t="shared" si="4"/>
        <v>0</v>
      </c>
      <c r="H68" s="131" t="str">
        <f t="shared" si="2"/>
        <v>-</v>
      </c>
      <c r="I68" s="132">
        <f t="shared" si="5"/>
        <v>0</v>
      </c>
      <c r="J68" s="130">
        <f t="shared" si="6"/>
        <v>0</v>
      </c>
    </row>
    <row r="69" spans="2:10" ht="18" hidden="1" x14ac:dyDescent="0.25">
      <c r="B69" s="126">
        <f t="shared" si="3"/>
        <v>53</v>
      </c>
      <c r="C69" s="127">
        <v>0</v>
      </c>
      <c r="D69" s="127">
        <v>0</v>
      </c>
      <c r="E69" s="128">
        <f t="shared" si="0"/>
        <v>0</v>
      </c>
      <c r="F69" s="129" t="str">
        <f t="shared" si="1"/>
        <v>-</v>
      </c>
      <c r="G69" s="130">
        <f t="shared" si="4"/>
        <v>0</v>
      </c>
      <c r="H69" s="131" t="str">
        <f t="shared" si="2"/>
        <v>-</v>
      </c>
      <c r="I69" s="132">
        <f t="shared" si="5"/>
        <v>0</v>
      </c>
      <c r="J69" s="130">
        <f t="shared" si="6"/>
        <v>0</v>
      </c>
    </row>
    <row r="70" spans="2:10" ht="18" hidden="1" x14ac:dyDescent="0.25">
      <c r="B70" s="126">
        <f t="shared" si="3"/>
        <v>54</v>
      </c>
      <c r="C70" s="127">
        <v>0</v>
      </c>
      <c r="D70" s="127">
        <v>0</v>
      </c>
      <c r="E70" s="128">
        <f t="shared" si="0"/>
        <v>0</v>
      </c>
      <c r="F70" s="129" t="str">
        <f t="shared" si="1"/>
        <v>-</v>
      </c>
      <c r="G70" s="130">
        <f t="shared" si="4"/>
        <v>0</v>
      </c>
      <c r="H70" s="131" t="str">
        <f t="shared" si="2"/>
        <v>-</v>
      </c>
      <c r="I70" s="132">
        <f t="shared" si="5"/>
        <v>0</v>
      </c>
      <c r="J70" s="130">
        <f t="shared" si="6"/>
        <v>0</v>
      </c>
    </row>
    <row r="71" spans="2:10" ht="18" hidden="1" x14ac:dyDescent="0.25">
      <c r="B71" s="126">
        <f t="shared" si="3"/>
        <v>55</v>
      </c>
      <c r="C71" s="127">
        <v>0</v>
      </c>
      <c r="D71" s="127">
        <v>0</v>
      </c>
      <c r="E71" s="128">
        <f t="shared" si="0"/>
        <v>0</v>
      </c>
      <c r="F71" s="129" t="str">
        <f t="shared" si="1"/>
        <v>-</v>
      </c>
      <c r="G71" s="130">
        <f t="shared" si="4"/>
        <v>0</v>
      </c>
      <c r="H71" s="131" t="str">
        <f t="shared" si="2"/>
        <v>-</v>
      </c>
      <c r="I71" s="132">
        <f t="shared" si="5"/>
        <v>0</v>
      </c>
      <c r="J71" s="130">
        <f t="shared" si="6"/>
        <v>0</v>
      </c>
    </row>
    <row r="72" spans="2:10" ht="18" hidden="1" x14ac:dyDescent="0.25">
      <c r="B72" s="126">
        <f t="shared" si="3"/>
        <v>56</v>
      </c>
      <c r="C72" s="127">
        <v>0</v>
      </c>
      <c r="D72" s="127">
        <v>0</v>
      </c>
      <c r="E72" s="128">
        <f t="shared" si="0"/>
        <v>0</v>
      </c>
      <c r="F72" s="129" t="str">
        <f t="shared" si="1"/>
        <v>-</v>
      </c>
      <c r="G72" s="130">
        <f t="shared" si="4"/>
        <v>0</v>
      </c>
      <c r="H72" s="131" t="str">
        <f t="shared" si="2"/>
        <v>-</v>
      </c>
      <c r="I72" s="132">
        <f t="shared" si="5"/>
        <v>0</v>
      </c>
      <c r="J72" s="130">
        <f t="shared" si="6"/>
        <v>0</v>
      </c>
    </row>
    <row r="73" spans="2:10" ht="18" hidden="1" x14ac:dyDescent="0.25">
      <c r="B73" s="126">
        <f t="shared" si="3"/>
        <v>57</v>
      </c>
      <c r="C73" s="127">
        <v>0</v>
      </c>
      <c r="D73" s="127">
        <v>0</v>
      </c>
      <c r="E73" s="128">
        <f t="shared" si="0"/>
        <v>0</v>
      </c>
      <c r="F73" s="129" t="str">
        <f t="shared" si="1"/>
        <v>-</v>
      </c>
      <c r="G73" s="130">
        <f t="shared" si="4"/>
        <v>0</v>
      </c>
      <c r="H73" s="131" t="str">
        <f t="shared" si="2"/>
        <v>-</v>
      </c>
      <c r="I73" s="132">
        <f t="shared" si="5"/>
        <v>0</v>
      </c>
      <c r="J73" s="130">
        <f t="shared" si="6"/>
        <v>0</v>
      </c>
    </row>
    <row r="74" spans="2:10" ht="18" hidden="1" x14ac:dyDescent="0.25">
      <c r="B74" s="126">
        <f t="shared" si="3"/>
        <v>58</v>
      </c>
      <c r="C74" s="127">
        <v>0</v>
      </c>
      <c r="D74" s="127">
        <v>0</v>
      </c>
      <c r="E74" s="128">
        <f t="shared" si="0"/>
        <v>0</v>
      </c>
      <c r="F74" s="129" t="str">
        <f t="shared" si="1"/>
        <v>-</v>
      </c>
      <c r="G74" s="130">
        <f t="shared" si="4"/>
        <v>0</v>
      </c>
      <c r="H74" s="131" t="str">
        <f t="shared" si="2"/>
        <v>-</v>
      </c>
      <c r="I74" s="132">
        <f t="shared" si="5"/>
        <v>0</v>
      </c>
      <c r="J74" s="130">
        <f t="shared" si="6"/>
        <v>0</v>
      </c>
    </row>
    <row r="75" spans="2:10" ht="18" hidden="1" x14ac:dyDescent="0.25">
      <c r="B75" s="126">
        <f t="shared" si="3"/>
        <v>59</v>
      </c>
      <c r="C75" s="127">
        <v>0</v>
      </c>
      <c r="D75" s="127">
        <v>0</v>
      </c>
      <c r="E75" s="128">
        <f t="shared" si="0"/>
        <v>0</v>
      </c>
      <c r="F75" s="129" t="str">
        <f t="shared" si="1"/>
        <v>-</v>
      </c>
      <c r="G75" s="130">
        <f t="shared" si="4"/>
        <v>0</v>
      </c>
      <c r="H75" s="131" t="str">
        <f t="shared" si="2"/>
        <v>-</v>
      </c>
      <c r="I75" s="132">
        <f t="shared" si="5"/>
        <v>0</v>
      </c>
      <c r="J75" s="130">
        <f t="shared" si="6"/>
        <v>0</v>
      </c>
    </row>
    <row r="76" spans="2:10" ht="18" hidden="1" x14ac:dyDescent="0.25">
      <c r="B76" s="126">
        <f t="shared" si="3"/>
        <v>60</v>
      </c>
      <c r="C76" s="127">
        <v>0</v>
      </c>
      <c r="D76" s="127">
        <v>0</v>
      </c>
      <c r="E76" s="128">
        <f t="shared" si="0"/>
        <v>0</v>
      </c>
      <c r="F76" s="129" t="str">
        <f t="shared" si="1"/>
        <v>-</v>
      </c>
      <c r="G76" s="130">
        <f t="shared" si="4"/>
        <v>0</v>
      </c>
      <c r="H76" s="131" t="str">
        <f t="shared" si="2"/>
        <v>-</v>
      </c>
      <c r="I76" s="132">
        <f t="shared" si="5"/>
        <v>0</v>
      </c>
      <c r="J76" s="130">
        <f t="shared" si="6"/>
        <v>0</v>
      </c>
    </row>
    <row r="77" spans="2:10" ht="18" hidden="1" x14ac:dyDescent="0.25">
      <c r="B77" s="126">
        <f t="shared" si="3"/>
        <v>61</v>
      </c>
      <c r="C77" s="127">
        <v>0</v>
      </c>
      <c r="D77" s="127">
        <v>0</v>
      </c>
      <c r="E77" s="128">
        <f t="shared" si="0"/>
        <v>0</v>
      </c>
      <c r="F77" s="129" t="str">
        <f t="shared" si="1"/>
        <v>-</v>
      </c>
      <c r="G77" s="130">
        <f t="shared" si="4"/>
        <v>0</v>
      </c>
      <c r="H77" s="131" t="str">
        <f t="shared" si="2"/>
        <v>-</v>
      </c>
      <c r="I77" s="132">
        <f t="shared" si="5"/>
        <v>0</v>
      </c>
      <c r="J77" s="130">
        <f t="shared" si="6"/>
        <v>0</v>
      </c>
    </row>
    <row r="78" spans="2:10" ht="18" hidden="1" x14ac:dyDescent="0.25">
      <c r="B78" s="126">
        <f t="shared" si="3"/>
        <v>62</v>
      </c>
      <c r="C78" s="127">
        <v>0</v>
      </c>
      <c r="D78" s="127">
        <v>0</v>
      </c>
      <c r="E78" s="128">
        <f t="shared" si="0"/>
        <v>0</v>
      </c>
      <c r="F78" s="129" t="str">
        <f t="shared" si="1"/>
        <v>-</v>
      </c>
      <c r="G78" s="130">
        <f t="shared" si="4"/>
        <v>0</v>
      </c>
      <c r="H78" s="131" t="str">
        <f t="shared" si="2"/>
        <v>-</v>
      </c>
      <c r="I78" s="132">
        <f t="shared" si="5"/>
        <v>0</v>
      </c>
      <c r="J78" s="130">
        <f t="shared" si="6"/>
        <v>0</v>
      </c>
    </row>
    <row r="79" spans="2:10" ht="18" hidden="1" x14ac:dyDescent="0.25">
      <c r="B79" s="126">
        <f t="shared" si="3"/>
        <v>63</v>
      </c>
      <c r="C79" s="127">
        <v>0</v>
      </c>
      <c r="D79" s="127">
        <v>0</v>
      </c>
      <c r="E79" s="128">
        <f t="shared" si="0"/>
        <v>0</v>
      </c>
      <c r="F79" s="129" t="str">
        <f t="shared" si="1"/>
        <v>-</v>
      </c>
      <c r="G79" s="130">
        <f t="shared" si="4"/>
        <v>0</v>
      </c>
      <c r="H79" s="131" t="str">
        <f t="shared" si="2"/>
        <v>-</v>
      </c>
      <c r="I79" s="132">
        <f t="shared" si="5"/>
        <v>0</v>
      </c>
      <c r="J79" s="130">
        <f t="shared" si="6"/>
        <v>0</v>
      </c>
    </row>
    <row r="80" spans="2:10" ht="18" hidden="1" x14ac:dyDescent="0.25">
      <c r="B80" s="126">
        <f t="shared" si="3"/>
        <v>64</v>
      </c>
      <c r="C80" s="127">
        <v>0</v>
      </c>
      <c r="D80" s="127">
        <v>0</v>
      </c>
      <c r="E80" s="128">
        <f t="shared" ref="E80:E136" si="8">C80-D80</f>
        <v>0</v>
      </c>
      <c r="F80" s="129" t="str">
        <f t="shared" ref="F80:F136" si="9">IF(B80&lt;=$C$13,POWER((1+$C$14),(B80*-1)),"-")</f>
        <v>-</v>
      </c>
      <c r="G80" s="130">
        <f t="shared" si="4"/>
        <v>0</v>
      </c>
      <c r="H80" s="131" t="str">
        <f t="shared" ref="H80:H136" si="10">IF(B80&lt;=$C$13,POWER((1+$G$139),(B80*-1)),"-")</f>
        <v>-</v>
      </c>
      <c r="I80" s="132">
        <f t="shared" si="5"/>
        <v>0</v>
      </c>
      <c r="J80" s="130">
        <f t="shared" si="6"/>
        <v>0</v>
      </c>
    </row>
    <row r="81" spans="2:10" ht="18" hidden="1" x14ac:dyDescent="0.25">
      <c r="B81" s="126">
        <f t="shared" ref="B81:B136" si="11">B80+1</f>
        <v>65</v>
      </c>
      <c r="C81" s="127">
        <v>0</v>
      </c>
      <c r="D81" s="127">
        <v>0</v>
      </c>
      <c r="E81" s="128">
        <f t="shared" si="8"/>
        <v>0</v>
      </c>
      <c r="F81" s="129" t="str">
        <f t="shared" si="9"/>
        <v>-</v>
      </c>
      <c r="G81" s="130">
        <f t="shared" ref="G81:G136" si="12">PV($C$14,B81,0,E81)*-1</f>
        <v>0</v>
      </c>
      <c r="H81" s="131" t="str">
        <f t="shared" si="10"/>
        <v>-</v>
      </c>
      <c r="I81" s="132">
        <f t="shared" ref="I81:I136" si="13">PV($G$139,B81,0,E81)*-1</f>
        <v>0</v>
      </c>
      <c r="J81" s="130">
        <f t="shared" si="6"/>
        <v>0</v>
      </c>
    </row>
    <row r="82" spans="2:10" ht="18" hidden="1" x14ac:dyDescent="0.25">
      <c r="B82" s="126">
        <f t="shared" si="11"/>
        <v>66</v>
      </c>
      <c r="C82" s="127">
        <v>0</v>
      </c>
      <c r="D82" s="127">
        <v>0</v>
      </c>
      <c r="E82" s="128">
        <f t="shared" si="8"/>
        <v>0</v>
      </c>
      <c r="F82" s="129" t="str">
        <f t="shared" si="9"/>
        <v>-</v>
      </c>
      <c r="G82" s="130">
        <f t="shared" si="12"/>
        <v>0</v>
      </c>
      <c r="H82" s="131" t="str">
        <f t="shared" si="10"/>
        <v>-</v>
      </c>
      <c r="I82" s="132">
        <f t="shared" si="13"/>
        <v>0</v>
      </c>
      <c r="J82" s="130">
        <f t="shared" ref="J82:J136" si="14">IF(B82&lt;=$C$13,$J$17,0)</f>
        <v>0</v>
      </c>
    </row>
    <row r="83" spans="2:10" ht="18" hidden="1" x14ac:dyDescent="0.25">
      <c r="B83" s="126">
        <f t="shared" si="11"/>
        <v>67</v>
      </c>
      <c r="C83" s="127">
        <v>0</v>
      </c>
      <c r="D83" s="127">
        <v>0</v>
      </c>
      <c r="E83" s="128">
        <f t="shared" si="8"/>
        <v>0</v>
      </c>
      <c r="F83" s="129" t="str">
        <f t="shared" si="9"/>
        <v>-</v>
      </c>
      <c r="G83" s="130">
        <f t="shared" si="12"/>
        <v>0</v>
      </c>
      <c r="H83" s="131" t="str">
        <f t="shared" si="10"/>
        <v>-</v>
      </c>
      <c r="I83" s="132">
        <f t="shared" si="13"/>
        <v>0</v>
      </c>
      <c r="J83" s="130">
        <f t="shared" si="14"/>
        <v>0</v>
      </c>
    </row>
    <row r="84" spans="2:10" ht="18" hidden="1" x14ac:dyDescent="0.25">
      <c r="B84" s="126">
        <f t="shared" si="11"/>
        <v>68</v>
      </c>
      <c r="C84" s="127">
        <v>0</v>
      </c>
      <c r="D84" s="127">
        <v>0</v>
      </c>
      <c r="E84" s="128">
        <f t="shared" si="8"/>
        <v>0</v>
      </c>
      <c r="F84" s="129" t="str">
        <f t="shared" si="9"/>
        <v>-</v>
      </c>
      <c r="G84" s="130">
        <f t="shared" si="12"/>
        <v>0</v>
      </c>
      <c r="H84" s="131" t="str">
        <f t="shared" si="10"/>
        <v>-</v>
      </c>
      <c r="I84" s="132">
        <f t="shared" si="13"/>
        <v>0</v>
      </c>
      <c r="J84" s="130">
        <f t="shared" si="14"/>
        <v>0</v>
      </c>
    </row>
    <row r="85" spans="2:10" ht="18" hidden="1" x14ac:dyDescent="0.25">
      <c r="B85" s="126">
        <f t="shared" si="11"/>
        <v>69</v>
      </c>
      <c r="C85" s="127">
        <v>0</v>
      </c>
      <c r="D85" s="127">
        <v>0</v>
      </c>
      <c r="E85" s="128">
        <f t="shared" si="8"/>
        <v>0</v>
      </c>
      <c r="F85" s="129" t="str">
        <f t="shared" si="9"/>
        <v>-</v>
      </c>
      <c r="G85" s="130">
        <f t="shared" si="12"/>
        <v>0</v>
      </c>
      <c r="H85" s="131" t="str">
        <f t="shared" si="10"/>
        <v>-</v>
      </c>
      <c r="I85" s="132">
        <f t="shared" si="13"/>
        <v>0</v>
      </c>
      <c r="J85" s="130">
        <f t="shared" si="14"/>
        <v>0</v>
      </c>
    </row>
    <row r="86" spans="2:10" ht="18" hidden="1" x14ac:dyDescent="0.25">
      <c r="B86" s="126">
        <f t="shared" si="11"/>
        <v>70</v>
      </c>
      <c r="C86" s="127">
        <v>0</v>
      </c>
      <c r="D86" s="127">
        <v>0</v>
      </c>
      <c r="E86" s="128">
        <f t="shared" si="8"/>
        <v>0</v>
      </c>
      <c r="F86" s="129" t="str">
        <f t="shared" si="9"/>
        <v>-</v>
      </c>
      <c r="G86" s="130">
        <f t="shared" si="12"/>
        <v>0</v>
      </c>
      <c r="H86" s="131" t="str">
        <f t="shared" si="10"/>
        <v>-</v>
      </c>
      <c r="I86" s="132">
        <f t="shared" si="13"/>
        <v>0</v>
      </c>
      <c r="J86" s="130">
        <f t="shared" si="14"/>
        <v>0</v>
      </c>
    </row>
    <row r="87" spans="2:10" ht="18" hidden="1" x14ac:dyDescent="0.25">
      <c r="B87" s="126">
        <f t="shared" si="11"/>
        <v>71</v>
      </c>
      <c r="C87" s="127">
        <v>0</v>
      </c>
      <c r="D87" s="127">
        <v>0</v>
      </c>
      <c r="E87" s="128">
        <f t="shared" si="8"/>
        <v>0</v>
      </c>
      <c r="F87" s="129" t="str">
        <f t="shared" si="9"/>
        <v>-</v>
      </c>
      <c r="G87" s="130">
        <f t="shared" si="12"/>
        <v>0</v>
      </c>
      <c r="H87" s="131" t="str">
        <f t="shared" si="10"/>
        <v>-</v>
      </c>
      <c r="I87" s="132">
        <f t="shared" si="13"/>
        <v>0</v>
      </c>
      <c r="J87" s="130">
        <f t="shared" si="14"/>
        <v>0</v>
      </c>
    </row>
    <row r="88" spans="2:10" ht="18" hidden="1" x14ac:dyDescent="0.25">
      <c r="B88" s="126">
        <f t="shared" si="11"/>
        <v>72</v>
      </c>
      <c r="C88" s="127">
        <v>0</v>
      </c>
      <c r="D88" s="127">
        <v>0</v>
      </c>
      <c r="E88" s="128">
        <f t="shared" si="8"/>
        <v>0</v>
      </c>
      <c r="F88" s="129" t="str">
        <f t="shared" si="9"/>
        <v>-</v>
      </c>
      <c r="G88" s="130">
        <f t="shared" si="12"/>
        <v>0</v>
      </c>
      <c r="H88" s="131" t="str">
        <f t="shared" si="10"/>
        <v>-</v>
      </c>
      <c r="I88" s="132">
        <f t="shared" si="13"/>
        <v>0</v>
      </c>
      <c r="J88" s="130">
        <f t="shared" si="14"/>
        <v>0</v>
      </c>
    </row>
    <row r="89" spans="2:10" ht="18" hidden="1" x14ac:dyDescent="0.25">
      <c r="B89" s="126">
        <f t="shared" si="11"/>
        <v>73</v>
      </c>
      <c r="C89" s="127">
        <v>0</v>
      </c>
      <c r="D89" s="127">
        <v>0</v>
      </c>
      <c r="E89" s="128">
        <f t="shared" si="8"/>
        <v>0</v>
      </c>
      <c r="F89" s="129" t="str">
        <f t="shared" si="9"/>
        <v>-</v>
      </c>
      <c r="G89" s="130">
        <f t="shared" si="12"/>
        <v>0</v>
      </c>
      <c r="H89" s="131" t="str">
        <f t="shared" si="10"/>
        <v>-</v>
      </c>
      <c r="I89" s="132">
        <f t="shared" si="13"/>
        <v>0</v>
      </c>
      <c r="J89" s="130">
        <f t="shared" si="14"/>
        <v>0</v>
      </c>
    </row>
    <row r="90" spans="2:10" ht="18" hidden="1" x14ac:dyDescent="0.25">
      <c r="B90" s="126">
        <f t="shared" si="11"/>
        <v>74</v>
      </c>
      <c r="C90" s="127">
        <v>0</v>
      </c>
      <c r="D90" s="127">
        <v>0</v>
      </c>
      <c r="E90" s="128">
        <f t="shared" si="8"/>
        <v>0</v>
      </c>
      <c r="F90" s="129" t="str">
        <f t="shared" si="9"/>
        <v>-</v>
      </c>
      <c r="G90" s="130">
        <f t="shared" si="12"/>
        <v>0</v>
      </c>
      <c r="H90" s="131" t="str">
        <f t="shared" si="10"/>
        <v>-</v>
      </c>
      <c r="I90" s="132">
        <f t="shared" si="13"/>
        <v>0</v>
      </c>
      <c r="J90" s="130">
        <f t="shared" si="14"/>
        <v>0</v>
      </c>
    </row>
    <row r="91" spans="2:10" ht="18" hidden="1" x14ac:dyDescent="0.25">
      <c r="B91" s="126">
        <f t="shared" si="11"/>
        <v>75</v>
      </c>
      <c r="C91" s="127">
        <v>0</v>
      </c>
      <c r="D91" s="127">
        <v>0</v>
      </c>
      <c r="E91" s="128">
        <f t="shared" si="8"/>
        <v>0</v>
      </c>
      <c r="F91" s="129" t="str">
        <f t="shared" si="9"/>
        <v>-</v>
      </c>
      <c r="G91" s="130">
        <f t="shared" si="12"/>
        <v>0</v>
      </c>
      <c r="H91" s="131" t="str">
        <f t="shared" si="10"/>
        <v>-</v>
      </c>
      <c r="I91" s="132">
        <f t="shared" si="13"/>
        <v>0</v>
      </c>
      <c r="J91" s="130">
        <f t="shared" si="14"/>
        <v>0</v>
      </c>
    </row>
    <row r="92" spans="2:10" ht="18" hidden="1" x14ac:dyDescent="0.25">
      <c r="B92" s="126">
        <f t="shared" si="11"/>
        <v>76</v>
      </c>
      <c r="C92" s="127">
        <v>0</v>
      </c>
      <c r="D92" s="127">
        <v>0</v>
      </c>
      <c r="E92" s="128">
        <f t="shared" si="8"/>
        <v>0</v>
      </c>
      <c r="F92" s="129" t="str">
        <f t="shared" si="9"/>
        <v>-</v>
      </c>
      <c r="G92" s="130">
        <f t="shared" si="12"/>
        <v>0</v>
      </c>
      <c r="H92" s="131" t="str">
        <f t="shared" si="10"/>
        <v>-</v>
      </c>
      <c r="I92" s="132">
        <f t="shared" si="13"/>
        <v>0</v>
      </c>
      <c r="J92" s="130">
        <f t="shared" si="14"/>
        <v>0</v>
      </c>
    </row>
    <row r="93" spans="2:10" ht="18" hidden="1" x14ac:dyDescent="0.25">
      <c r="B93" s="126">
        <f t="shared" si="11"/>
        <v>77</v>
      </c>
      <c r="C93" s="127">
        <v>0</v>
      </c>
      <c r="D93" s="127">
        <v>0</v>
      </c>
      <c r="E93" s="128">
        <f t="shared" si="8"/>
        <v>0</v>
      </c>
      <c r="F93" s="129" t="str">
        <f t="shared" si="9"/>
        <v>-</v>
      </c>
      <c r="G93" s="130">
        <f t="shared" si="12"/>
        <v>0</v>
      </c>
      <c r="H93" s="131" t="str">
        <f t="shared" si="10"/>
        <v>-</v>
      </c>
      <c r="I93" s="132">
        <f t="shared" si="13"/>
        <v>0</v>
      </c>
      <c r="J93" s="130">
        <f t="shared" si="14"/>
        <v>0</v>
      </c>
    </row>
    <row r="94" spans="2:10" ht="18" hidden="1" x14ac:dyDescent="0.25">
      <c r="B94" s="126">
        <f t="shared" si="11"/>
        <v>78</v>
      </c>
      <c r="C94" s="127">
        <v>0</v>
      </c>
      <c r="D94" s="127">
        <v>0</v>
      </c>
      <c r="E94" s="128">
        <f t="shared" si="8"/>
        <v>0</v>
      </c>
      <c r="F94" s="129" t="str">
        <f t="shared" si="9"/>
        <v>-</v>
      </c>
      <c r="G94" s="130">
        <f t="shared" si="12"/>
        <v>0</v>
      </c>
      <c r="H94" s="131" t="str">
        <f t="shared" si="10"/>
        <v>-</v>
      </c>
      <c r="I94" s="132">
        <f t="shared" si="13"/>
        <v>0</v>
      </c>
      <c r="J94" s="130">
        <f t="shared" si="14"/>
        <v>0</v>
      </c>
    </row>
    <row r="95" spans="2:10" ht="18" hidden="1" x14ac:dyDescent="0.25">
      <c r="B95" s="126">
        <f t="shared" si="11"/>
        <v>79</v>
      </c>
      <c r="C95" s="127">
        <v>0</v>
      </c>
      <c r="D95" s="127">
        <v>0</v>
      </c>
      <c r="E95" s="128">
        <f t="shared" si="8"/>
        <v>0</v>
      </c>
      <c r="F95" s="129" t="str">
        <f t="shared" si="9"/>
        <v>-</v>
      </c>
      <c r="G95" s="130">
        <f t="shared" si="12"/>
        <v>0</v>
      </c>
      <c r="H95" s="131" t="str">
        <f t="shared" si="10"/>
        <v>-</v>
      </c>
      <c r="I95" s="132">
        <f t="shared" si="13"/>
        <v>0</v>
      </c>
      <c r="J95" s="130">
        <f t="shared" si="14"/>
        <v>0</v>
      </c>
    </row>
    <row r="96" spans="2:10" ht="18" hidden="1" x14ac:dyDescent="0.25">
      <c r="B96" s="126">
        <f t="shared" si="11"/>
        <v>80</v>
      </c>
      <c r="C96" s="127">
        <v>0</v>
      </c>
      <c r="D96" s="127">
        <v>0</v>
      </c>
      <c r="E96" s="128">
        <f t="shared" si="8"/>
        <v>0</v>
      </c>
      <c r="F96" s="129" t="str">
        <f t="shared" si="9"/>
        <v>-</v>
      </c>
      <c r="G96" s="130">
        <f t="shared" si="12"/>
        <v>0</v>
      </c>
      <c r="H96" s="131" t="str">
        <f t="shared" si="10"/>
        <v>-</v>
      </c>
      <c r="I96" s="132">
        <f t="shared" si="13"/>
        <v>0</v>
      </c>
      <c r="J96" s="130">
        <f t="shared" si="14"/>
        <v>0</v>
      </c>
    </row>
    <row r="97" spans="2:10" ht="18" hidden="1" x14ac:dyDescent="0.25">
      <c r="B97" s="126">
        <f t="shared" si="11"/>
        <v>81</v>
      </c>
      <c r="C97" s="127">
        <v>0</v>
      </c>
      <c r="D97" s="127">
        <v>0</v>
      </c>
      <c r="E97" s="128">
        <f t="shared" si="8"/>
        <v>0</v>
      </c>
      <c r="F97" s="129" t="str">
        <f t="shared" si="9"/>
        <v>-</v>
      </c>
      <c r="G97" s="130">
        <f t="shared" si="12"/>
        <v>0</v>
      </c>
      <c r="H97" s="131" t="str">
        <f t="shared" si="10"/>
        <v>-</v>
      </c>
      <c r="I97" s="132">
        <f t="shared" si="13"/>
        <v>0</v>
      </c>
      <c r="J97" s="130">
        <f t="shared" si="14"/>
        <v>0</v>
      </c>
    </row>
    <row r="98" spans="2:10" ht="18" hidden="1" x14ac:dyDescent="0.25">
      <c r="B98" s="126">
        <f t="shared" si="11"/>
        <v>82</v>
      </c>
      <c r="C98" s="127">
        <v>0</v>
      </c>
      <c r="D98" s="127">
        <v>0</v>
      </c>
      <c r="E98" s="128">
        <f t="shared" si="8"/>
        <v>0</v>
      </c>
      <c r="F98" s="129" t="str">
        <f t="shared" si="9"/>
        <v>-</v>
      </c>
      <c r="G98" s="130">
        <f t="shared" si="12"/>
        <v>0</v>
      </c>
      <c r="H98" s="131" t="str">
        <f t="shared" si="10"/>
        <v>-</v>
      </c>
      <c r="I98" s="132">
        <f t="shared" si="13"/>
        <v>0</v>
      </c>
      <c r="J98" s="130">
        <f t="shared" si="14"/>
        <v>0</v>
      </c>
    </row>
    <row r="99" spans="2:10" ht="18" hidden="1" x14ac:dyDescent="0.25">
      <c r="B99" s="126">
        <f t="shared" si="11"/>
        <v>83</v>
      </c>
      <c r="C99" s="127">
        <v>0</v>
      </c>
      <c r="D99" s="127">
        <v>0</v>
      </c>
      <c r="E99" s="128">
        <f t="shared" si="8"/>
        <v>0</v>
      </c>
      <c r="F99" s="129" t="str">
        <f t="shared" si="9"/>
        <v>-</v>
      </c>
      <c r="G99" s="130">
        <f t="shared" si="12"/>
        <v>0</v>
      </c>
      <c r="H99" s="131" t="str">
        <f t="shared" si="10"/>
        <v>-</v>
      </c>
      <c r="I99" s="132">
        <f t="shared" si="13"/>
        <v>0</v>
      </c>
      <c r="J99" s="130">
        <f t="shared" si="14"/>
        <v>0</v>
      </c>
    </row>
    <row r="100" spans="2:10" ht="18" hidden="1" x14ac:dyDescent="0.25">
      <c r="B100" s="126">
        <f t="shared" si="11"/>
        <v>84</v>
      </c>
      <c r="C100" s="127">
        <v>0</v>
      </c>
      <c r="D100" s="127">
        <v>0</v>
      </c>
      <c r="E100" s="128">
        <f t="shared" si="8"/>
        <v>0</v>
      </c>
      <c r="F100" s="129" t="str">
        <f t="shared" si="9"/>
        <v>-</v>
      </c>
      <c r="G100" s="130">
        <f t="shared" si="12"/>
        <v>0</v>
      </c>
      <c r="H100" s="131" t="str">
        <f t="shared" si="10"/>
        <v>-</v>
      </c>
      <c r="I100" s="132">
        <f t="shared" si="13"/>
        <v>0</v>
      </c>
      <c r="J100" s="130">
        <f t="shared" si="14"/>
        <v>0</v>
      </c>
    </row>
    <row r="101" spans="2:10" ht="18" hidden="1" x14ac:dyDescent="0.25">
      <c r="B101" s="126">
        <f t="shared" si="11"/>
        <v>85</v>
      </c>
      <c r="C101" s="127">
        <v>0</v>
      </c>
      <c r="D101" s="127">
        <v>0</v>
      </c>
      <c r="E101" s="128">
        <f t="shared" si="8"/>
        <v>0</v>
      </c>
      <c r="F101" s="129" t="str">
        <f t="shared" si="9"/>
        <v>-</v>
      </c>
      <c r="G101" s="130">
        <f t="shared" si="12"/>
        <v>0</v>
      </c>
      <c r="H101" s="131" t="str">
        <f t="shared" si="10"/>
        <v>-</v>
      </c>
      <c r="I101" s="132">
        <f t="shared" si="13"/>
        <v>0</v>
      </c>
      <c r="J101" s="130">
        <f t="shared" si="14"/>
        <v>0</v>
      </c>
    </row>
    <row r="102" spans="2:10" ht="18" hidden="1" x14ac:dyDescent="0.25">
      <c r="B102" s="126">
        <f t="shared" si="11"/>
        <v>86</v>
      </c>
      <c r="C102" s="127">
        <v>0</v>
      </c>
      <c r="D102" s="127">
        <v>0</v>
      </c>
      <c r="E102" s="128">
        <f t="shared" si="8"/>
        <v>0</v>
      </c>
      <c r="F102" s="129" t="str">
        <f t="shared" si="9"/>
        <v>-</v>
      </c>
      <c r="G102" s="130">
        <f t="shared" si="12"/>
        <v>0</v>
      </c>
      <c r="H102" s="131" t="str">
        <f t="shared" si="10"/>
        <v>-</v>
      </c>
      <c r="I102" s="132">
        <f t="shared" si="13"/>
        <v>0</v>
      </c>
      <c r="J102" s="130">
        <f t="shared" si="14"/>
        <v>0</v>
      </c>
    </row>
    <row r="103" spans="2:10" ht="18" hidden="1" x14ac:dyDescent="0.25">
      <c r="B103" s="126">
        <f t="shared" si="11"/>
        <v>87</v>
      </c>
      <c r="C103" s="127">
        <v>0</v>
      </c>
      <c r="D103" s="127">
        <v>0</v>
      </c>
      <c r="E103" s="128">
        <f t="shared" si="8"/>
        <v>0</v>
      </c>
      <c r="F103" s="129" t="str">
        <f t="shared" si="9"/>
        <v>-</v>
      </c>
      <c r="G103" s="130">
        <f t="shared" si="12"/>
        <v>0</v>
      </c>
      <c r="H103" s="131" t="str">
        <f t="shared" si="10"/>
        <v>-</v>
      </c>
      <c r="I103" s="132">
        <f t="shared" si="13"/>
        <v>0</v>
      </c>
      <c r="J103" s="130">
        <f t="shared" si="14"/>
        <v>0</v>
      </c>
    </row>
    <row r="104" spans="2:10" ht="18" hidden="1" x14ac:dyDescent="0.25">
      <c r="B104" s="126">
        <f t="shared" si="11"/>
        <v>88</v>
      </c>
      <c r="C104" s="127">
        <v>0</v>
      </c>
      <c r="D104" s="127">
        <v>0</v>
      </c>
      <c r="E104" s="128">
        <f t="shared" si="8"/>
        <v>0</v>
      </c>
      <c r="F104" s="129" t="str">
        <f t="shared" si="9"/>
        <v>-</v>
      </c>
      <c r="G104" s="130">
        <f t="shared" si="12"/>
        <v>0</v>
      </c>
      <c r="H104" s="131" t="str">
        <f t="shared" si="10"/>
        <v>-</v>
      </c>
      <c r="I104" s="132">
        <f t="shared" si="13"/>
        <v>0</v>
      </c>
      <c r="J104" s="130">
        <f t="shared" si="14"/>
        <v>0</v>
      </c>
    </row>
    <row r="105" spans="2:10" ht="18" hidden="1" x14ac:dyDescent="0.25">
      <c r="B105" s="126">
        <f t="shared" si="11"/>
        <v>89</v>
      </c>
      <c r="C105" s="127">
        <v>0</v>
      </c>
      <c r="D105" s="127">
        <v>0</v>
      </c>
      <c r="E105" s="128">
        <f t="shared" si="8"/>
        <v>0</v>
      </c>
      <c r="F105" s="129" t="str">
        <f t="shared" si="9"/>
        <v>-</v>
      </c>
      <c r="G105" s="130">
        <f t="shared" si="12"/>
        <v>0</v>
      </c>
      <c r="H105" s="131" t="str">
        <f t="shared" si="10"/>
        <v>-</v>
      </c>
      <c r="I105" s="132">
        <f t="shared" si="13"/>
        <v>0</v>
      </c>
      <c r="J105" s="130">
        <f t="shared" si="14"/>
        <v>0</v>
      </c>
    </row>
    <row r="106" spans="2:10" ht="18" hidden="1" x14ac:dyDescent="0.25">
      <c r="B106" s="126">
        <f t="shared" si="11"/>
        <v>90</v>
      </c>
      <c r="C106" s="127">
        <v>0</v>
      </c>
      <c r="D106" s="127">
        <v>0</v>
      </c>
      <c r="E106" s="128">
        <f t="shared" si="8"/>
        <v>0</v>
      </c>
      <c r="F106" s="129" t="str">
        <f t="shared" si="9"/>
        <v>-</v>
      </c>
      <c r="G106" s="130">
        <f t="shared" si="12"/>
        <v>0</v>
      </c>
      <c r="H106" s="131" t="str">
        <f t="shared" si="10"/>
        <v>-</v>
      </c>
      <c r="I106" s="132">
        <f t="shared" si="13"/>
        <v>0</v>
      </c>
      <c r="J106" s="130">
        <f t="shared" si="14"/>
        <v>0</v>
      </c>
    </row>
    <row r="107" spans="2:10" ht="18" hidden="1" x14ac:dyDescent="0.25">
      <c r="B107" s="126">
        <f t="shared" si="11"/>
        <v>91</v>
      </c>
      <c r="C107" s="127">
        <v>0</v>
      </c>
      <c r="D107" s="127">
        <v>0</v>
      </c>
      <c r="E107" s="128">
        <f t="shared" si="8"/>
        <v>0</v>
      </c>
      <c r="F107" s="129" t="str">
        <f t="shared" si="9"/>
        <v>-</v>
      </c>
      <c r="G107" s="130">
        <f t="shared" si="12"/>
        <v>0</v>
      </c>
      <c r="H107" s="131" t="str">
        <f t="shared" si="10"/>
        <v>-</v>
      </c>
      <c r="I107" s="132">
        <f t="shared" si="13"/>
        <v>0</v>
      </c>
      <c r="J107" s="130">
        <f t="shared" si="14"/>
        <v>0</v>
      </c>
    </row>
    <row r="108" spans="2:10" ht="18" hidden="1" x14ac:dyDescent="0.25">
      <c r="B108" s="126">
        <f t="shared" si="11"/>
        <v>92</v>
      </c>
      <c r="C108" s="127">
        <v>0</v>
      </c>
      <c r="D108" s="127">
        <v>0</v>
      </c>
      <c r="E108" s="128">
        <f t="shared" si="8"/>
        <v>0</v>
      </c>
      <c r="F108" s="129" t="str">
        <f t="shared" si="9"/>
        <v>-</v>
      </c>
      <c r="G108" s="130">
        <f t="shared" si="12"/>
        <v>0</v>
      </c>
      <c r="H108" s="131" t="str">
        <f t="shared" si="10"/>
        <v>-</v>
      </c>
      <c r="I108" s="132">
        <f t="shared" si="13"/>
        <v>0</v>
      </c>
      <c r="J108" s="130">
        <f t="shared" si="14"/>
        <v>0</v>
      </c>
    </row>
    <row r="109" spans="2:10" ht="18" hidden="1" x14ac:dyDescent="0.25">
      <c r="B109" s="126">
        <f t="shared" si="11"/>
        <v>93</v>
      </c>
      <c r="C109" s="127">
        <v>0</v>
      </c>
      <c r="D109" s="127">
        <v>0</v>
      </c>
      <c r="E109" s="128">
        <f t="shared" si="8"/>
        <v>0</v>
      </c>
      <c r="F109" s="129" t="str">
        <f t="shared" si="9"/>
        <v>-</v>
      </c>
      <c r="G109" s="130">
        <f t="shared" si="12"/>
        <v>0</v>
      </c>
      <c r="H109" s="131" t="str">
        <f t="shared" si="10"/>
        <v>-</v>
      </c>
      <c r="I109" s="132">
        <f t="shared" si="13"/>
        <v>0</v>
      </c>
      <c r="J109" s="130">
        <f t="shared" si="14"/>
        <v>0</v>
      </c>
    </row>
    <row r="110" spans="2:10" ht="18" hidden="1" x14ac:dyDescent="0.25">
      <c r="B110" s="126">
        <f t="shared" si="11"/>
        <v>94</v>
      </c>
      <c r="C110" s="127">
        <v>0</v>
      </c>
      <c r="D110" s="127">
        <v>0</v>
      </c>
      <c r="E110" s="128">
        <f t="shared" si="8"/>
        <v>0</v>
      </c>
      <c r="F110" s="129" t="str">
        <f t="shared" si="9"/>
        <v>-</v>
      </c>
      <c r="G110" s="130">
        <f t="shared" si="12"/>
        <v>0</v>
      </c>
      <c r="H110" s="131" t="str">
        <f t="shared" si="10"/>
        <v>-</v>
      </c>
      <c r="I110" s="132">
        <f t="shared" si="13"/>
        <v>0</v>
      </c>
      <c r="J110" s="130">
        <f t="shared" si="14"/>
        <v>0</v>
      </c>
    </row>
    <row r="111" spans="2:10" ht="18" hidden="1" x14ac:dyDescent="0.25">
      <c r="B111" s="126">
        <f t="shared" si="11"/>
        <v>95</v>
      </c>
      <c r="C111" s="127">
        <v>0</v>
      </c>
      <c r="D111" s="127">
        <v>0</v>
      </c>
      <c r="E111" s="128">
        <f t="shared" si="8"/>
        <v>0</v>
      </c>
      <c r="F111" s="129" t="str">
        <f t="shared" si="9"/>
        <v>-</v>
      </c>
      <c r="G111" s="130">
        <f t="shared" si="12"/>
        <v>0</v>
      </c>
      <c r="H111" s="131" t="str">
        <f t="shared" si="10"/>
        <v>-</v>
      </c>
      <c r="I111" s="132">
        <f t="shared" si="13"/>
        <v>0</v>
      </c>
      <c r="J111" s="130">
        <f t="shared" si="14"/>
        <v>0</v>
      </c>
    </row>
    <row r="112" spans="2:10" ht="18" hidden="1" x14ac:dyDescent="0.25">
      <c r="B112" s="126">
        <f t="shared" si="11"/>
        <v>96</v>
      </c>
      <c r="C112" s="127">
        <v>0</v>
      </c>
      <c r="D112" s="127">
        <v>0</v>
      </c>
      <c r="E112" s="128">
        <f t="shared" si="8"/>
        <v>0</v>
      </c>
      <c r="F112" s="129" t="str">
        <f t="shared" si="9"/>
        <v>-</v>
      </c>
      <c r="G112" s="130">
        <f t="shared" si="12"/>
        <v>0</v>
      </c>
      <c r="H112" s="131" t="str">
        <f t="shared" si="10"/>
        <v>-</v>
      </c>
      <c r="I112" s="132">
        <f t="shared" si="13"/>
        <v>0</v>
      </c>
      <c r="J112" s="130">
        <f t="shared" si="14"/>
        <v>0</v>
      </c>
    </row>
    <row r="113" spans="2:10" ht="18" hidden="1" x14ac:dyDescent="0.25">
      <c r="B113" s="126">
        <f t="shared" si="11"/>
        <v>97</v>
      </c>
      <c r="C113" s="127">
        <v>0</v>
      </c>
      <c r="D113" s="127">
        <v>0</v>
      </c>
      <c r="E113" s="128">
        <f t="shared" si="8"/>
        <v>0</v>
      </c>
      <c r="F113" s="129" t="str">
        <f t="shared" si="9"/>
        <v>-</v>
      </c>
      <c r="G113" s="130">
        <f t="shared" si="12"/>
        <v>0</v>
      </c>
      <c r="H113" s="131" t="str">
        <f t="shared" si="10"/>
        <v>-</v>
      </c>
      <c r="I113" s="132">
        <f t="shared" si="13"/>
        <v>0</v>
      </c>
      <c r="J113" s="130">
        <f t="shared" si="14"/>
        <v>0</v>
      </c>
    </row>
    <row r="114" spans="2:10" ht="18" hidden="1" x14ac:dyDescent="0.25">
      <c r="B114" s="126">
        <f t="shared" si="11"/>
        <v>98</v>
      </c>
      <c r="C114" s="127">
        <v>0</v>
      </c>
      <c r="D114" s="127">
        <v>0</v>
      </c>
      <c r="E114" s="128">
        <f t="shared" si="8"/>
        <v>0</v>
      </c>
      <c r="F114" s="129" t="str">
        <f t="shared" si="9"/>
        <v>-</v>
      </c>
      <c r="G114" s="130">
        <f t="shared" si="12"/>
        <v>0</v>
      </c>
      <c r="H114" s="131" t="str">
        <f t="shared" si="10"/>
        <v>-</v>
      </c>
      <c r="I114" s="132">
        <f t="shared" si="13"/>
        <v>0</v>
      </c>
      <c r="J114" s="130">
        <f t="shared" si="14"/>
        <v>0</v>
      </c>
    </row>
    <row r="115" spans="2:10" ht="18" hidden="1" x14ac:dyDescent="0.25">
      <c r="B115" s="126">
        <f t="shared" si="11"/>
        <v>99</v>
      </c>
      <c r="C115" s="127">
        <v>0</v>
      </c>
      <c r="D115" s="127">
        <v>0</v>
      </c>
      <c r="E115" s="128">
        <f t="shared" si="8"/>
        <v>0</v>
      </c>
      <c r="F115" s="129" t="str">
        <f t="shared" si="9"/>
        <v>-</v>
      </c>
      <c r="G115" s="130">
        <f t="shared" si="12"/>
        <v>0</v>
      </c>
      <c r="H115" s="131" t="str">
        <f t="shared" si="10"/>
        <v>-</v>
      </c>
      <c r="I115" s="132">
        <f t="shared" si="13"/>
        <v>0</v>
      </c>
      <c r="J115" s="130">
        <f t="shared" si="14"/>
        <v>0</v>
      </c>
    </row>
    <row r="116" spans="2:10" ht="18" hidden="1" x14ac:dyDescent="0.25">
      <c r="B116" s="126">
        <f t="shared" si="11"/>
        <v>100</v>
      </c>
      <c r="C116" s="127">
        <v>0</v>
      </c>
      <c r="D116" s="127">
        <v>0</v>
      </c>
      <c r="E116" s="128">
        <f t="shared" si="8"/>
        <v>0</v>
      </c>
      <c r="F116" s="129" t="str">
        <f t="shared" si="9"/>
        <v>-</v>
      </c>
      <c r="G116" s="130">
        <f t="shared" si="12"/>
        <v>0</v>
      </c>
      <c r="H116" s="131" t="str">
        <f t="shared" si="10"/>
        <v>-</v>
      </c>
      <c r="I116" s="132">
        <f t="shared" si="13"/>
        <v>0</v>
      </c>
      <c r="J116" s="130">
        <f t="shared" si="14"/>
        <v>0</v>
      </c>
    </row>
    <row r="117" spans="2:10" ht="18" hidden="1" x14ac:dyDescent="0.25">
      <c r="B117" s="126">
        <f t="shared" si="11"/>
        <v>101</v>
      </c>
      <c r="C117" s="127">
        <v>0</v>
      </c>
      <c r="D117" s="127">
        <v>0</v>
      </c>
      <c r="E117" s="128">
        <f t="shared" si="8"/>
        <v>0</v>
      </c>
      <c r="F117" s="129" t="str">
        <f t="shared" si="9"/>
        <v>-</v>
      </c>
      <c r="G117" s="130">
        <f t="shared" si="12"/>
        <v>0</v>
      </c>
      <c r="H117" s="131" t="str">
        <f t="shared" si="10"/>
        <v>-</v>
      </c>
      <c r="I117" s="132">
        <f t="shared" si="13"/>
        <v>0</v>
      </c>
      <c r="J117" s="130">
        <f t="shared" si="14"/>
        <v>0</v>
      </c>
    </row>
    <row r="118" spans="2:10" ht="18" hidden="1" x14ac:dyDescent="0.25">
      <c r="B118" s="126">
        <f t="shared" si="11"/>
        <v>102</v>
      </c>
      <c r="C118" s="127">
        <v>0</v>
      </c>
      <c r="D118" s="127">
        <v>0</v>
      </c>
      <c r="E118" s="128">
        <f t="shared" si="8"/>
        <v>0</v>
      </c>
      <c r="F118" s="129" t="str">
        <f t="shared" si="9"/>
        <v>-</v>
      </c>
      <c r="G118" s="130">
        <f t="shared" si="12"/>
        <v>0</v>
      </c>
      <c r="H118" s="131" t="str">
        <f t="shared" si="10"/>
        <v>-</v>
      </c>
      <c r="I118" s="132">
        <f t="shared" si="13"/>
        <v>0</v>
      </c>
      <c r="J118" s="130">
        <f t="shared" si="14"/>
        <v>0</v>
      </c>
    </row>
    <row r="119" spans="2:10" ht="18" hidden="1" x14ac:dyDescent="0.25">
      <c r="B119" s="126">
        <f t="shared" si="11"/>
        <v>103</v>
      </c>
      <c r="C119" s="127">
        <v>0</v>
      </c>
      <c r="D119" s="127">
        <v>0</v>
      </c>
      <c r="E119" s="128">
        <f t="shared" si="8"/>
        <v>0</v>
      </c>
      <c r="F119" s="129" t="str">
        <f t="shared" si="9"/>
        <v>-</v>
      </c>
      <c r="G119" s="130">
        <f t="shared" si="12"/>
        <v>0</v>
      </c>
      <c r="H119" s="131" t="str">
        <f t="shared" si="10"/>
        <v>-</v>
      </c>
      <c r="I119" s="132">
        <f t="shared" si="13"/>
        <v>0</v>
      </c>
      <c r="J119" s="130">
        <f t="shared" si="14"/>
        <v>0</v>
      </c>
    </row>
    <row r="120" spans="2:10" ht="18" hidden="1" x14ac:dyDescent="0.25">
      <c r="B120" s="126">
        <f t="shared" si="11"/>
        <v>104</v>
      </c>
      <c r="C120" s="127">
        <v>0</v>
      </c>
      <c r="D120" s="127">
        <v>0</v>
      </c>
      <c r="E120" s="128">
        <f t="shared" si="8"/>
        <v>0</v>
      </c>
      <c r="F120" s="129" t="str">
        <f t="shared" si="9"/>
        <v>-</v>
      </c>
      <c r="G120" s="130">
        <f t="shared" si="12"/>
        <v>0</v>
      </c>
      <c r="H120" s="131" t="str">
        <f t="shared" si="10"/>
        <v>-</v>
      </c>
      <c r="I120" s="132">
        <f t="shared" si="13"/>
        <v>0</v>
      </c>
      <c r="J120" s="130">
        <f t="shared" si="14"/>
        <v>0</v>
      </c>
    </row>
    <row r="121" spans="2:10" ht="18" hidden="1" x14ac:dyDescent="0.25">
      <c r="B121" s="126">
        <f t="shared" si="11"/>
        <v>105</v>
      </c>
      <c r="C121" s="127">
        <v>0</v>
      </c>
      <c r="D121" s="127">
        <v>0</v>
      </c>
      <c r="E121" s="128">
        <f t="shared" si="8"/>
        <v>0</v>
      </c>
      <c r="F121" s="129" t="str">
        <f t="shared" si="9"/>
        <v>-</v>
      </c>
      <c r="G121" s="130">
        <f t="shared" si="12"/>
        <v>0</v>
      </c>
      <c r="H121" s="131" t="str">
        <f t="shared" si="10"/>
        <v>-</v>
      </c>
      <c r="I121" s="132">
        <f t="shared" si="13"/>
        <v>0</v>
      </c>
      <c r="J121" s="130">
        <f t="shared" si="14"/>
        <v>0</v>
      </c>
    </row>
    <row r="122" spans="2:10" ht="18" hidden="1" x14ac:dyDescent="0.25">
      <c r="B122" s="126">
        <f t="shared" si="11"/>
        <v>106</v>
      </c>
      <c r="C122" s="127">
        <v>0</v>
      </c>
      <c r="D122" s="127">
        <v>0</v>
      </c>
      <c r="E122" s="128">
        <f t="shared" si="8"/>
        <v>0</v>
      </c>
      <c r="F122" s="129" t="str">
        <f t="shared" si="9"/>
        <v>-</v>
      </c>
      <c r="G122" s="130">
        <f t="shared" si="12"/>
        <v>0</v>
      </c>
      <c r="H122" s="131" t="str">
        <f t="shared" si="10"/>
        <v>-</v>
      </c>
      <c r="I122" s="132">
        <f t="shared" si="13"/>
        <v>0</v>
      </c>
      <c r="J122" s="130">
        <f t="shared" si="14"/>
        <v>0</v>
      </c>
    </row>
    <row r="123" spans="2:10" ht="18" hidden="1" x14ac:dyDescent="0.25">
      <c r="B123" s="126">
        <f t="shared" si="11"/>
        <v>107</v>
      </c>
      <c r="C123" s="127">
        <v>0</v>
      </c>
      <c r="D123" s="127">
        <v>0</v>
      </c>
      <c r="E123" s="128">
        <f t="shared" si="8"/>
        <v>0</v>
      </c>
      <c r="F123" s="129" t="str">
        <f t="shared" si="9"/>
        <v>-</v>
      </c>
      <c r="G123" s="130">
        <f t="shared" si="12"/>
        <v>0</v>
      </c>
      <c r="H123" s="131" t="str">
        <f t="shared" si="10"/>
        <v>-</v>
      </c>
      <c r="I123" s="132">
        <f t="shared" si="13"/>
        <v>0</v>
      </c>
      <c r="J123" s="130">
        <f t="shared" si="14"/>
        <v>0</v>
      </c>
    </row>
    <row r="124" spans="2:10" ht="18" hidden="1" x14ac:dyDescent="0.25">
      <c r="B124" s="126">
        <f t="shared" si="11"/>
        <v>108</v>
      </c>
      <c r="C124" s="127">
        <v>0</v>
      </c>
      <c r="D124" s="127">
        <v>0</v>
      </c>
      <c r="E124" s="128">
        <f t="shared" si="8"/>
        <v>0</v>
      </c>
      <c r="F124" s="129" t="str">
        <f t="shared" si="9"/>
        <v>-</v>
      </c>
      <c r="G124" s="130">
        <f t="shared" si="12"/>
        <v>0</v>
      </c>
      <c r="H124" s="131" t="str">
        <f t="shared" si="10"/>
        <v>-</v>
      </c>
      <c r="I124" s="132">
        <f t="shared" si="13"/>
        <v>0</v>
      </c>
      <c r="J124" s="130">
        <f t="shared" si="14"/>
        <v>0</v>
      </c>
    </row>
    <row r="125" spans="2:10" ht="18" hidden="1" x14ac:dyDescent="0.25">
      <c r="B125" s="126">
        <f t="shared" si="11"/>
        <v>109</v>
      </c>
      <c r="C125" s="127">
        <v>0</v>
      </c>
      <c r="D125" s="127">
        <v>0</v>
      </c>
      <c r="E125" s="128">
        <f t="shared" si="8"/>
        <v>0</v>
      </c>
      <c r="F125" s="129" t="str">
        <f t="shared" si="9"/>
        <v>-</v>
      </c>
      <c r="G125" s="130">
        <f t="shared" si="12"/>
        <v>0</v>
      </c>
      <c r="H125" s="131" t="str">
        <f t="shared" si="10"/>
        <v>-</v>
      </c>
      <c r="I125" s="132">
        <f t="shared" si="13"/>
        <v>0</v>
      </c>
      <c r="J125" s="130">
        <f t="shared" si="14"/>
        <v>0</v>
      </c>
    </row>
    <row r="126" spans="2:10" ht="18" hidden="1" x14ac:dyDescent="0.25">
      <c r="B126" s="126">
        <f t="shared" si="11"/>
        <v>110</v>
      </c>
      <c r="C126" s="127">
        <v>0</v>
      </c>
      <c r="D126" s="127">
        <v>0</v>
      </c>
      <c r="E126" s="128">
        <f t="shared" si="8"/>
        <v>0</v>
      </c>
      <c r="F126" s="129" t="str">
        <f t="shared" si="9"/>
        <v>-</v>
      </c>
      <c r="G126" s="130">
        <f t="shared" si="12"/>
        <v>0</v>
      </c>
      <c r="H126" s="131" t="str">
        <f t="shared" si="10"/>
        <v>-</v>
      </c>
      <c r="I126" s="132">
        <f t="shared" si="13"/>
        <v>0</v>
      </c>
      <c r="J126" s="130">
        <f t="shared" si="14"/>
        <v>0</v>
      </c>
    </row>
    <row r="127" spans="2:10" ht="18" hidden="1" x14ac:dyDescent="0.25">
      <c r="B127" s="126">
        <f t="shared" si="11"/>
        <v>111</v>
      </c>
      <c r="C127" s="127">
        <v>0</v>
      </c>
      <c r="D127" s="127">
        <v>0</v>
      </c>
      <c r="E127" s="128">
        <f t="shared" si="8"/>
        <v>0</v>
      </c>
      <c r="F127" s="129" t="str">
        <f t="shared" si="9"/>
        <v>-</v>
      </c>
      <c r="G127" s="130">
        <f t="shared" si="12"/>
        <v>0</v>
      </c>
      <c r="H127" s="131" t="str">
        <f t="shared" si="10"/>
        <v>-</v>
      </c>
      <c r="I127" s="132">
        <f t="shared" si="13"/>
        <v>0</v>
      </c>
      <c r="J127" s="130">
        <f t="shared" si="14"/>
        <v>0</v>
      </c>
    </row>
    <row r="128" spans="2:10" ht="18" hidden="1" x14ac:dyDescent="0.25">
      <c r="B128" s="126">
        <f t="shared" si="11"/>
        <v>112</v>
      </c>
      <c r="C128" s="127">
        <v>0</v>
      </c>
      <c r="D128" s="127">
        <v>0</v>
      </c>
      <c r="E128" s="128">
        <f t="shared" si="8"/>
        <v>0</v>
      </c>
      <c r="F128" s="129" t="str">
        <f t="shared" si="9"/>
        <v>-</v>
      </c>
      <c r="G128" s="130">
        <f t="shared" si="12"/>
        <v>0</v>
      </c>
      <c r="H128" s="131" t="str">
        <f t="shared" si="10"/>
        <v>-</v>
      </c>
      <c r="I128" s="132">
        <f t="shared" si="13"/>
        <v>0</v>
      </c>
      <c r="J128" s="130">
        <f t="shared" si="14"/>
        <v>0</v>
      </c>
    </row>
    <row r="129" spans="1:10" ht="18" hidden="1" x14ac:dyDescent="0.25">
      <c r="B129" s="126">
        <f t="shared" si="11"/>
        <v>113</v>
      </c>
      <c r="C129" s="127">
        <v>0</v>
      </c>
      <c r="D129" s="127">
        <v>0</v>
      </c>
      <c r="E129" s="128">
        <f t="shared" si="8"/>
        <v>0</v>
      </c>
      <c r="F129" s="129" t="str">
        <f t="shared" si="9"/>
        <v>-</v>
      </c>
      <c r="G129" s="130">
        <f t="shared" si="12"/>
        <v>0</v>
      </c>
      <c r="H129" s="131" t="str">
        <f t="shared" si="10"/>
        <v>-</v>
      </c>
      <c r="I129" s="132">
        <f t="shared" si="13"/>
        <v>0</v>
      </c>
      <c r="J129" s="130">
        <f t="shared" si="14"/>
        <v>0</v>
      </c>
    </row>
    <row r="130" spans="1:10" ht="18" hidden="1" x14ac:dyDescent="0.25">
      <c r="B130" s="126">
        <f t="shared" si="11"/>
        <v>114</v>
      </c>
      <c r="C130" s="127">
        <v>0</v>
      </c>
      <c r="D130" s="127">
        <v>0</v>
      </c>
      <c r="E130" s="128">
        <f t="shared" si="8"/>
        <v>0</v>
      </c>
      <c r="F130" s="129" t="str">
        <f t="shared" si="9"/>
        <v>-</v>
      </c>
      <c r="G130" s="130">
        <f t="shared" si="12"/>
        <v>0</v>
      </c>
      <c r="H130" s="131" t="str">
        <f t="shared" si="10"/>
        <v>-</v>
      </c>
      <c r="I130" s="132">
        <f t="shared" si="13"/>
        <v>0</v>
      </c>
      <c r="J130" s="130">
        <f t="shared" si="14"/>
        <v>0</v>
      </c>
    </row>
    <row r="131" spans="1:10" ht="18" hidden="1" x14ac:dyDescent="0.25">
      <c r="B131" s="126">
        <f t="shared" si="11"/>
        <v>115</v>
      </c>
      <c r="C131" s="127">
        <v>0</v>
      </c>
      <c r="D131" s="127">
        <v>0</v>
      </c>
      <c r="E131" s="128">
        <f t="shared" si="8"/>
        <v>0</v>
      </c>
      <c r="F131" s="129" t="str">
        <f t="shared" si="9"/>
        <v>-</v>
      </c>
      <c r="G131" s="130">
        <f t="shared" si="12"/>
        <v>0</v>
      </c>
      <c r="H131" s="131" t="str">
        <f t="shared" si="10"/>
        <v>-</v>
      </c>
      <c r="I131" s="132">
        <f t="shared" si="13"/>
        <v>0</v>
      </c>
      <c r="J131" s="130">
        <f t="shared" si="14"/>
        <v>0</v>
      </c>
    </row>
    <row r="132" spans="1:10" ht="18" hidden="1" x14ac:dyDescent="0.25">
      <c r="B132" s="126">
        <f t="shared" si="11"/>
        <v>116</v>
      </c>
      <c r="C132" s="127">
        <v>0</v>
      </c>
      <c r="D132" s="127">
        <v>0</v>
      </c>
      <c r="E132" s="128">
        <f t="shared" si="8"/>
        <v>0</v>
      </c>
      <c r="F132" s="129" t="str">
        <f t="shared" si="9"/>
        <v>-</v>
      </c>
      <c r="G132" s="130">
        <f t="shared" si="12"/>
        <v>0</v>
      </c>
      <c r="H132" s="131" t="str">
        <f t="shared" si="10"/>
        <v>-</v>
      </c>
      <c r="I132" s="132">
        <f t="shared" si="13"/>
        <v>0</v>
      </c>
      <c r="J132" s="130">
        <f t="shared" si="14"/>
        <v>0</v>
      </c>
    </row>
    <row r="133" spans="1:10" ht="18" hidden="1" x14ac:dyDescent="0.25">
      <c r="B133" s="126">
        <f t="shared" si="11"/>
        <v>117</v>
      </c>
      <c r="C133" s="127">
        <v>0</v>
      </c>
      <c r="D133" s="127">
        <v>0</v>
      </c>
      <c r="E133" s="128">
        <f t="shared" si="8"/>
        <v>0</v>
      </c>
      <c r="F133" s="129" t="str">
        <f t="shared" si="9"/>
        <v>-</v>
      </c>
      <c r="G133" s="130">
        <f t="shared" si="12"/>
        <v>0</v>
      </c>
      <c r="H133" s="131" t="str">
        <f t="shared" si="10"/>
        <v>-</v>
      </c>
      <c r="I133" s="132">
        <f t="shared" si="13"/>
        <v>0</v>
      </c>
      <c r="J133" s="130">
        <f t="shared" si="14"/>
        <v>0</v>
      </c>
    </row>
    <row r="134" spans="1:10" ht="18" hidden="1" x14ac:dyDescent="0.25">
      <c r="B134" s="126">
        <f t="shared" si="11"/>
        <v>118</v>
      </c>
      <c r="C134" s="127">
        <v>0</v>
      </c>
      <c r="D134" s="127">
        <v>0</v>
      </c>
      <c r="E134" s="128">
        <f t="shared" si="8"/>
        <v>0</v>
      </c>
      <c r="F134" s="129" t="str">
        <f t="shared" si="9"/>
        <v>-</v>
      </c>
      <c r="G134" s="130">
        <f t="shared" si="12"/>
        <v>0</v>
      </c>
      <c r="H134" s="131" t="str">
        <f t="shared" si="10"/>
        <v>-</v>
      </c>
      <c r="I134" s="132">
        <f t="shared" si="13"/>
        <v>0</v>
      </c>
      <c r="J134" s="130">
        <f t="shared" si="14"/>
        <v>0</v>
      </c>
    </row>
    <row r="135" spans="1:10" ht="18" hidden="1" x14ac:dyDescent="0.25">
      <c r="B135" s="126">
        <f t="shared" si="11"/>
        <v>119</v>
      </c>
      <c r="C135" s="127">
        <v>0</v>
      </c>
      <c r="D135" s="127">
        <v>0</v>
      </c>
      <c r="E135" s="128">
        <f t="shared" si="8"/>
        <v>0</v>
      </c>
      <c r="F135" s="129" t="str">
        <f t="shared" si="9"/>
        <v>-</v>
      </c>
      <c r="G135" s="130">
        <f t="shared" si="12"/>
        <v>0</v>
      </c>
      <c r="H135" s="131" t="str">
        <f t="shared" si="10"/>
        <v>-</v>
      </c>
      <c r="I135" s="132">
        <f t="shared" si="13"/>
        <v>0</v>
      </c>
      <c r="J135" s="130">
        <f t="shared" si="14"/>
        <v>0</v>
      </c>
    </row>
    <row r="136" spans="1:10" ht="18.75" hidden="1" thickBot="1" x14ac:dyDescent="0.3">
      <c r="B136" s="134">
        <f t="shared" si="11"/>
        <v>120</v>
      </c>
      <c r="C136" s="135">
        <v>0</v>
      </c>
      <c r="D136" s="135">
        <v>0</v>
      </c>
      <c r="E136" s="136">
        <f t="shared" si="8"/>
        <v>0</v>
      </c>
      <c r="F136" s="137" t="str">
        <f t="shared" si="9"/>
        <v>-</v>
      </c>
      <c r="G136" s="138">
        <f t="shared" si="12"/>
        <v>0</v>
      </c>
      <c r="H136" s="139" t="str">
        <f t="shared" si="10"/>
        <v>-</v>
      </c>
      <c r="I136" s="140">
        <f t="shared" si="13"/>
        <v>0</v>
      </c>
      <c r="J136" s="138">
        <f t="shared" si="14"/>
        <v>0</v>
      </c>
    </row>
    <row r="137" spans="1:10" ht="18.75" thickBot="1" x14ac:dyDescent="0.3">
      <c r="B137" s="141" t="s">
        <v>78</v>
      </c>
      <c r="C137" s="142"/>
      <c r="D137" s="142"/>
      <c r="E137" s="142"/>
      <c r="F137" s="142"/>
      <c r="G137" s="143">
        <f>SUM(G16:G136)</f>
        <v>99516.41215567803</v>
      </c>
      <c r="H137" s="144"/>
      <c r="I137" s="145">
        <f>SUM(I16:I136)</f>
        <v>6.9849193096160889E-9</v>
      </c>
      <c r="J137" s="55"/>
    </row>
    <row r="138" spans="1:10" ht="18.75" thickBot="1" x14ac:dyDescent="0.3">
      <c r="B138" s="146" t="s">
        <v>79</v>
      </c>
      <c r="C138" s="147"/>
      <c r="D138" s="147"/>
      <c r="E138" s="147"/>
      <c r="F138" s="147"/>
      <c r="G138" s="148">
        <f>J17</f>
        <v>16195.837793566599</v>
      </c>
      <c r="H138" s="149"/>
      <c r="I138" s="149"/>
      <c r="J138" s="55"/>
    </row>
    <row r="139" spans="1:10" ht="18.75" thickBot="1" x14ac:dyDescent="0.3">
      <c r="B139" s="150" t="s">
        <v>80</v>
      </c>
      <c r="C139" s="151"/>
      <c r="D139" s="151"/>
      <c r="E139" s="151"/>
      <c r="F139" s="151"/>
      <c r="G139" s="152">
        <f>IRR(E16:E136)</f>
        <v>0.1024148002480989</v>
      </c>
      <c r="H139" s="153"/>
      <c r="I139" s="153"/>
      <c r="J139" s="55"/>
    </row>
    <row r="140" spans="1:10" ht="18.75" thickBot="1" x14ac:dyDescent="0.3">
      <c r="B140" s="141" t="s">
        <v>81</v>
      </c>
      <c r="C140" s="142"/>
      <c r="D140" s="142"/>
      <c r="E140" s="142"/>
      <c r="F140" s="142"/>
      <c r="G140" s="154">
        <f>NPER(C14,G142,G16,0)</f>
        <v>9.838886673095649</v>
      </c>
      <c r="H140" s="155"/>
      <c r="I140" s="155"/>
      <c r="J140" s="55"/>
    </row>
    <row r="141" spans="1:10" hidden="1" x14ac:dyDescent="0.2">
      <c r="B141" s="156" t="s">
        <v>82</v>
      </c>
      <c r="G141" s="157">
        <f>SUM(G17:G136)</f>
        <v>10249516.412155677</v>
      </c>
      <c r="H141" s="157"/>
      <c r="I141" s="157"/>
    </row>
    <row r="142" spans="1:10" hidden="1" x14ac:dyDescent="0.2">
      <c r="B142" s="156" t="s">
        <v>83</v>
      </c>
      <c r="G142" s="158">
        <f>PMT(C14,C13,G141,0)*-1</f>
        <v>1668061.5958510593</v>
      </c>
      <c r="H142" s="158"/>
      <c r="I142" s="158"/>
    </row>
    <row r="144" spans="1:10" ht="18" x14ac:dyDescent="0.25">
      <c r="A144" t="s">
        <v>191</v>
      </c>
      <c r="B144" s="55" t="s">
        <v>84</v>
      </c>
    </row>
    <row r="145" spans="1:7" ht="78.599999999999994" customHeight="1" x14ac:dyDescent="0.2">
      <c r="B145" s="296" t="s">
        <v>104</v>
      </c>
      <c r="C145" s="296"/>
      <c r="D145" s="296"/>
      <c r="E145" s="296"/>
      <c r="F145" s="296"/>
      <c r="G145" s="296"/>
    </row>
    <row r="146" spans="1:7" ht="18" x14ac:dyDescent="0.25">
      <c r="A146" s="162"/>
      <c r="B146" s="163"/>
      <c r="C146" s="163"/>
      <c r="D146" s="55"/>
      <c r="E146" s="55"/>
      <c r="F146" s="55"/>
      <c r="G146" s="55"/>
    </row>
    <row r="147" spans="1:7" ht="18" x14ac:dyDescent="0.25">
      <c r="B147" s="109"/>
      <c r="C147" s="163"/>
      <c r="D147" s="55"/>
      <c r="E147" s="55"/>
      <c r="F147" s="55"/>
      <c r="G147" s="106"/>
    </row>
    <row r="148" spans="1:7" ht="18" x14ac:dyDescent="0.25">
      <c r="B148" s="109"/>
      <c r="C148" s="55"/>
      <c r="D148" s="55"/>
      <c r="E148" s="55"/>
      <c r="F148" s="55"/>
      <c r="G148" s="106"/>
    </row>
    <row r="149" spans="1:7" ht="18" x14ac:dyDescent="0.25">
      <c r="B149" s="109"/>
      <c r="C149" s="55"/>
      <c r="D149" s="55"/>
      <c r="E149" s="55"/>
      <c r="F149" s="55"/>
      <c r="G149" s="106"/>
    </row>
  </sheetData>
  <mergeCells count="2">
    <mergeCell ref="B1:D1"/>
    <mergeCell ref="B145:G145"/>
  </mergeCells>
  <pageMargins left="0.78740157480314965" right="0.39370078740157483" top="0.98425196850393704" bottom="0.98425196850393704" header="0" footer="0"/>
  <pageSetup paperSize="9" scale="67"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658D-99A2-44C3-8422-FC99DE7C4924}">
  <sheetPr>
    <pageSetUpPr fitToPage="1"/>
  </sheetPr>
  <dimension ref="A1:K395"/>
  <sheetViews>
    <sheetView zoomScale="150" zoomScaleNormal="150" workbookViewId="0">
      <selection sqref="A1:G1"/>
    </sheetView>
  </sheetViews>
  <sheetFormatPr defaultRowHeight="12.75" x14ac:dyDescent="0.2"/>
  <cols>
    <col min="1" max="1" width="6" customWidth="1"/>
    <col min="2" max="2" width="14.5703125" customWidth="1"/>
    <col min="3" max="3" width="16.140625" customWidth="1"/>
    <col min="4" max="4" width="13.42578125" customWidth="1"/>
    <col min="5" max="5" width="11.7109375" customWidth="1"/>
    <col min="6" max="6" width="12.140625" customWidth="1"/>
    <col min="7" max="7" width="14.28515625" customWidth="1"/>
  </cols>
  <sheetData>
    <row r="1" spans="1:11" ht="27" thickBot="1" x14ac:dyDescent="0.45">
      <c r="A1" s="307" t="s">
        <v>38</v>
      </c>
      <c r="B1" s="308"/>
      <c r="C1" s="308"/>
      <c r="D1" s="308"/>
      <c r="E1" s="308"/>
      <c r="F1" s="308"/>
      <c r="G1" s="309"/>
    </row>
    <row r="2" spans="1:11" x14ac:dyDescent="0.2">
      <c r="A2" s="310" t="s">
        <v>39</v>
      </c>
      <c r="B2" s="311"/>
      <c r="C2" s="311"/>
      <c r="D2" s="60">
        <v>6000000</v>
      </c>
      <c r="E2" s="2"/>
      <c r="F2" s="2"/>
      <c r="G2" s="3"/>
    </row>
    <row r="3" spans="1:11" hidden="1" x14ac:dyDescent="0.2">
      <c r="A3" s="12" t="s">
        <v>40</v>
      </c>
      <c r="B3" s="13"/>
      <c r="C3" s="13"/>
      <c r="D3" s="61">
        <f>D2*-1</f>
        <v>-6000000</v>
      </c>
      <c r="E3" s="2"/>
      <c r="F3" s="2"/>
      <c r="G3" s="3"/>
    </row>
    <row r="4" spans="1:11" x14ac:dyDescent="0.2">
      <c r="A4" s="305" t="s">
        <v>2</v>
      </c>
      <c r="B4" s="306"/>
      <c r="C4" s="306"/>
      <c r="D4" s="62">
        <v>100</v>
      </c>
      <c r="E4" s="2"/>
      <c r="F4" s="2"/>
      <c r="G4" s="3"/>
    </row>
    <row r="5" spans="1:11" x14ac:dyDescent="0.2">
      <c r="A5" s="305" t="s">
        <v>41</v>
      </c>
      <c r="B5" s="306"/>
      <c r="C5" s="306"/>
      <c r="D5" s="62">
        <v>70000</v>
      </c>
      <c r="E5" s="2"/>
      <c r="F5" s="282"/>
      <c r="G5" s="3"/>
    </row>
    <row r="6" spans="1:11" ht="13.5" thickBot="1" x14ac:dyDescent="0.25">
      <c r="A6" s="305" t="s">
        <v>4</v>
      </c>
      <c r="B6" s="306"/>
      <c r="C6" s="306"/>
      <c r="D6" s="63">
        <f>(D2*(D4/100))-D5</f>
        <v>5930000</v>
      </c>
      <c r="E6" s="2"/>
      <c r="F6" s="2"/>
      <c r="G6" s="3"/>
    </row>
    <row r="7" spans="1:11" ht="13.5" thickTop="1" x14ac:dyDescent="0.2">
      <c r="A7" s="300" t="s">
        <v>5</v>
      </c>
      <c r="B7" s="301"/>
      <c r="C7" s="301"/>
      <c r="D7" s="64">
        <v>0.04</v>
      </c>
      <c r="E7" s="2"/>
      <c r="F7" s="2"/>
      <c r="G7" s="3"/>
    </row>
    <row r="8" spans="1:11" x14ac:dyDescent="0.2">
      <c r="A8" s="305" t="s">
        <v>6</v>
      </c>
      <c r="B8" s="306"/>
      <c r="C8" s="306"/>
      <c r="D8" s="61">
        <v>5</v>
      </c>
      <c r="E8" s="2"/>
      <c r="F8" s="283"/>
      <c r="G8" s="3"/>
    </row>
    <row r="9" spans="1:11" x14ac:dyDescent="0.2">
      <c r="A9" s="305" t="s">
        <v>7</v>
      </c>
      <c r="B9" s="306"/>
      <c r="C9" s="306"/>
      <c r="D9" s="61">
        <v>2</v>
      </c>
      <c r="E9" s="2"/>
      <c r="F9" s="2"/>
      <c r="G9" s="3"/>
    </row>
    <row r="10" spans="1:11" x14ac:dyDescent="0.2">
      <c r="A10" s="305" t="s">
        <v>42</v>
      </c>
      <c r="B10" s="306"/>
      <c r="C10" s="306"/>
      <c r="D10" s="65">
        <f>D8*D9</f>
        <v>10</v>
      </c>
      <c r="E10" s="2"/>
      <c r="F10" s="2"/>
      <c r="G10" s="3"/>
    </row>
    <row r="11" spans="1:11" x14ac:dyDescent="0.2">
      <c r="A11" s="305" t="s">
        <v>9</v>
      </c>
      <c r="B11" s="306"/>
      <c r="C11" s="306"/>
      <c r="D11" s="10">
        <f>D7/D9</f>
        <v>0.02</v>
      </c>
      <c r="E11" s="2"/>
      <c r="F11" s="2"/>
      <c r="G11" s="3"/>
    </row>
    <row r="12" spans="1:11" x14ac:dyDescent="0.2">
      <c r="A12" s="305" t="s">
        <v>19</v>
      </c>
      <c r="B12" s="306"/>
      <c r="C12" s="306"/>
      <c r="D12" s="66">
        <v>-300000</v>
      </c>
      <c r="E12" s="12" t="s">
        <v>43</v>
      </c>
      <c r="F12" s="13"/>
      <c r="G12" s="14"/>
    </row>
    <row r="13" spans="1:11" hidden="1" x14ac:dyDescent="0.2">
      <c r="A13" s="305" t="s">
        <v>12</v>
      </c>
      <c r="B13" s="306"/>
      <c r="C13" s="306"/>
      <c r="D13" s="62">
        <v>0</v>
      </c>
      <c r="E13" s="2"/>
      <c r="F13" s="2"/>
      <c r="G13" s="3"/>
    </row>
    <row r="14" spans="1:11" x14ac:dyDescent="0.2">
      <c r="A14" s="297"/>
      <c r="B14" s="298"/>
      <c r="C14" s="298"/>
      <c r="D14" s="299"/>
      <c r="E14" s="2"/>
      <c r="F14" s="2"/>
      <c r="G14" s="3"/>
    </row>
    <row r="15" spans="1:11" ht="18" x14ac:dyDescent="0.25">
      <c r="A15" s="300" t="s">
        <v>44</v>
      </c>
      <c r="B15" s="301"/>
      <c r="C15" s="301"/>
      <c r="D15" s="67">
        <f>(POWER(IRR(C20:C380)+1,D9)-1)</f>
        <v>4.3812680993611686E-2</v>
      </c>
      <c r="E15" s="68" t="str">
        <f>E12</f>
        <v>(Beregning: se note til serielån)</v>
      </c>
      <c r="F15" s="69"/>
      <c r="G15" s="70"/>
      <c r="H15" s="17"/>
      <c r="I15" s="17"/>
      <c r="J15" s="17"/>
      <c r="K15" s="17"/>
    </row>
    <row r="16" spans="1:11" ht="13.5" thickBot="1" x14ac:dyDescent="0.25">
      <c r="A16" s="302"/>
      <c r="B16" s="303"/>
      <c r="C16" s="303"/>
      <c r="D16" s="304"/>
      <c r="E16" s="18"/>
      <c r="F16" s="18"/>
      <c r="G16" s="19"/>
      <c r="H16" s="17"/>
      <c r="I16" s="17"/>
      <c r="J16" s="17"/>
      <c r="K16" s="17"/>
    </row>
    <row r="17" spans="1:11" ht="13.5" thickBot="1" x14ac:dyDescent="0.25">
      <c r="A17" s="20"/>
      <c r="B17" s="71"/>
      <c r="C17" s="71"/>
      <c r="D17" s="22"/>
      <c r="E17" s="22"/>
      <c r="F17" s="22"/>
      <c r="G17" s="23"/>
      <c r="H17" s="17"/>
      <c r="I17" s="17"/>
      <c r="J17" s="17"/>
      <c r="K17" s="17"/>
    </row>
    <row r="18" spans="1:11" x14ac:dyDescent="0.2">
      <c r="A18" s="72" t="str">
        <f>CONCATENATE("Amortisationstabel for serielån (",D10," terminer)")</f>
        <v>Amortisationstabel for serielån (10 terminer)</v>
      </c>
      <c r="B18" s="73"/>
      <c r="C18" s="73"/>
      <c r="D18" s="73"/>
      <c r="E18" s="73"/>
      <c r="F18" s="73"/>
      <c r="G18" s="74"/>
      <c r="H18" s="17"/>
      <c r="I18" s="17"/>
      <c r="J18" s="17"/>
      <c r="K18" s="17"/>
    </row>
    <row r="19" spans="1:11" x14ac:dyDescent="0.2">
      <c r="A19" s="75" t="s">
        <v>14</v>
      </c>
      <c r="B19" s="18" t="s">
        <v>15</v>
      </c>
      <c r="C19" s="18" t="s">
        <v>45</v>
      </c>
      <c r="D19" s="76" t="s">
        <v>46</v>
      </c>
      <c r="E19" s="18" t="s">
        <v>18</v>
      </c>
      <c r="F19" s="18" t="s">
        <v>19</v>
      </c>
      <c r="G19" s="19" t="s">
        <v>20</v>
      </c>
      <c r="H19" s="17"/>
      <c r="I19" s="17"/>
      <c r="J19" s="17"/>
      <c r="K19" s="17"/>
    </row>
    <row r="20" spans="1:11" x14ac:dyDescent="0.2">
      <c r="A20" s="75"/>
      <c r="B20" s="77"/>
      <c r="C20" s="77">
        <f>D20</f>
        <v>-5930000</v>
      </c>
      <c r="D20" s="77">
        <f>D6*-1</f>
        <v>-5930000</v>
      </c>
      <c r="E20" s="77"/>
      <c r="F20" s="77"/>
      <c r="G20" s="78"/>
      <c r="H20" s="17"/>
      <c r="I20" s="17"/>
      <c r="J20" s="17"/>
      <c r="K20" s="17"/>
    </row>
    <row r="21" spans="1:11" x14ac:dyDescent="0.2">
      <c r="A21" s="75">
        <v>1</v>
      </c>
      <c r="B21" s="77">
        <f>D2</f>
        <v>6000000</v>
      </c>
      <c r="C21" s="77">
        <f t="shared" ref="C21:C84" si="0">IF(A21&lt;=$D$10,D21+$D$13,0)</f>
        <v>420000</v>
      </c>
      <c r="D21" s="77">
        <f t="shared" ref="D21:D84" si="1">E21+F21</f>
        <v>420000</v>
      </c>
      <c r="E21" s="77">
        <f t="shared" ref="E21:E84" si="2">B21*$D$11</f>
        <v>120000</v>
      </c>
      <c r="F21" s="30">
        <f t="shared" ref="F21:F84" si="3">IF(A21&lt;=$D$10,$D$12*-1,0)</f>
        <v>300000</v>
      </c>
      <c r="G21" s="78">
        <f t="shared" ref="G21:G84" si="4">B21-F21</f>
        <v>5700000</v>
      </c>
      <c r="H21" s="17"/>
      <c r="I21" s="17"/>
      <c r="J21" s="17"/>
      <c r="K21" s="17"/>
    </row>
    <row r="22" spans="1:11" x14ac:dyDescent="0.2">
      <c r="A22" s="15">
        <f t="shared" ref="A22:A85" si="5">A21+1</f>
        <v>2</v>
      </c>
      <c r="B22" s="30">
        <f t="shared" ref="B22:B85" si="6">B21-F21</f>
        <v>5700000</v>
      </c>
      <c r="C22" s="77">
        <f t="shared" si="0"/>
        <v>414000</v>
      </c>
      <c r="D22" s="77">
        <f t="shared" si="1"/>
        <v>414000</v>
      </c>
      <c r="E22" s="77">
        <f t="shared" si="2"/>
        <v>114000</v>
      </c>
      <c r="F22" s="30">
        <f t="shared" si="3"/>
        <v>300000</v>
      </c>
      <c r="G22" s="78">
        <f t="shared" si="4"/>
        <v>5400000</v>
      </c>
    </row>
    <row r="23" spans="1:11" x14ac:dyDescent="0.2">
      <c r="A23" s="15">
        <f t="shared" si="5"/>
        <v>3</v>
      </c>
      <c r="B23" s="30">
        <f t="shared" si="6"/>
        <v>5400000</v>
      </c>
      <c r="C23" s="77">
        <f t="shared" si="0"/>
        <v>408000</v>
      </c>
      <c r="D23" s="77">
        <f t="shared" si="1"/>
        <v>408000</v>
      </c>
      <c r="E23" s="77">
        <f t="shared" si="2"/>
        <v>108000</v>
      </c>
      <c r="F23" s="30">
        <f t="shared" si="3"/>
        <v>300000</v>
      </c>
      <c r="G23" s="78">
        <f t="shared" si="4"/>
        <v>5100000</v>
      </c>
    </row>
    <row r="24" spans="1:11" x14ac:dyDescent="0.2">
      <c r="A24" s="15">
        <f t="shared" si="5"/>
        <v>4</v>
      </c>
      <c r="B24" s="30">
        <f t="shared" si="6"/>
        <v>5100000</v>
      </c>
      <c r="C24" s="77">
        <f t="shared" si="0"/>
        <v>402000</v>
      </c>
      <c r="D24" s="77">
        <f t="shared" si="1"/>
        <v>402000</v>
      </c>
      <c r="E24" s="77">
        <f t="shared" si="2"/>
        <v>102000</v>
      </c>
      <c r="F24" s="30">
        <f t="shared" si="3"/>
        <v>300000</v>
      </c>
      <c r="G24" s="78">
        <f t="shared" si="4"/>
        <v>4800000</v>
      </c>
    </row>
    <row r="25" spans="1:11" x14ac:dyDescent="0.2">
      <c r="A25" s="15">
        <f t="shared" si="5"/>
        <v>5</v>
      </c>
      <c r="B25" s="30">
        <f t="shared" si="6"/>
        <v>4800000</v>
      </c>
      <c r="C25" s="77">
        <f t="shared" si="0"/>
        <v>396000</v>
      </c>
      <c r="D25" s="77">
        <f t="shared" si="1"/>
        <v>396000</v>
      </c>
      <c r="E25" s="77">
        <f t="shared" si="2"/>
        <v>96000</v>
      </c>
      <c r="F25" s="30">
        <f t="shared" si="3"/>
        <v>300000</v>
      </c>
      <c r="G25" s="78">
        <f t="shared" si="4"/>
        <v>4500000</v>
      </c>
    </row>
    <row r="26" spans="1:11" x14ac:dyDescent="0.2">
      <c r="A26" s="15">
        <f t="shared" si="5"/>
        <v>6</v>
      </c>
      <c r="B26" s="30">
        <f t="shared" si="6"/>
        <v>4500000</v>
      </c>
      <c r="C26" s="77">
        <f t="shared" si="0"/>
        <v>390000</v>
      </c>
      <c r="D26" s="77">
        <f t="shared" si="1"/>
        <v>390000</v>
      </c>
      <c r="E26" s="77">
        <f t="shared" si="2"/>
        <v>90000</v>
      </c>
      <c r="F26" s="30">
        <f t="shared" si="3"/>
        <v>300000</v>
      </c>
      <c r="G26" s="78">
        <f t="shared" si="4"/>
        <v>4200000</v>
      </c>
    </row>
    <row r="27" spans="1:11" x14ac:dyDescent="0.2">
      <c r="A27" s="15">
        <f t="shared" si="5"/>
        <v>7</v>
      </c>
      <c r="B27" s="30">
        <f t="shared" si="6"/>
        <v>4200000</v>
      </c>
      <c r="C27" s="77">
        <f t="shared" si="0"/>
        <v>384000</v>
      </c>
      <c r="D27" s="77">
        <f t="shared" si="1"/>
        <v>384000</v>
      </c>
      <c r="E27" s="77">
        <f t="shared" si="2"/>
        <v>84000</v>
      </c>
      <c r="F27" s="30">
        <f t="shared" si="3"/>
        <v>300000</v>
      </c>
      <c r="G27" s="78">
        <f t="shared" si="4"/>
        <v>3900000</v>
      </c>
    </row>
    <row r="28" spans="1:11" x14ac:dyDescent="0.2">
      <c r="A28" s="15">
        <f t="shared" si="5"/>
        <v>8</v>
      </c>
      <c r="B28" s="30">
        <f t="shared" si="6"/>
        <v>3900000</v>
      </c>
      <c r="C28" s="77">
        <f t="shared" si="0"/>
        <v>378000</v>
      </c>
      <c r="D28" s="77">
        <f t="shared" si="1"/>
        <v>378000</v>
      </c>
      <c r="E28" s="77">
        <f t="shared" si="2"/>
        <v>78000</v>
      </c>
      <c r="F28" s="30">
        <f t="shared" si="3"/>
        <v>300000</v>
      </c>
      <c r="G28" s="78">
        <f t="shared" si="4"/>
        <v>3600000</v>
      </c>
    </row>
    <row r="29" spans="1:11" x14ac:dyDescent="0.2">
      <c r="A29" s="15">
        <f t="shared" si="5"/>
        <v>9</v>
      </c>
      <c r="B29" s="30">
        <f t="shared" si="6"/>
        <v>3600000</v>
      </c>
      <c r="C29" s="77">
        <f t="shared" si="0"/>
        <v>372000</v>
      </c>
      <c r="D29" s="77">
        <f t="shared" si="1"/>
        <v>372000</v>
      </c>
      <c r="E29" s="77">
        <f t="shared" si="2"/>
        <v>72000</v>
      </c>
      <c r="F29" s="30">
        <f t="shared" si="3"/>
        <v>300000</v>
      </c>
      <c r="G29" s="78">
        <f t="shared" si="4"/>
        <v>3300000</v>
      </c>
    </row>
    <row r="30" spans="1:11" ht="13.5" thickBot="1" x14ac:dyDescent="0.25">
      <c r="A30" s="15">
        <f t="shared" si="5"/>
        <v>10</v>
      </c>
      <c r="B30" s="30">
        <f t="shared" si="6"/>
        <v>3300000</v>
      </c>
      <c r="C30" s="77">
        <f t="shared" si="0"/>
        <v>3366000</v>
      </c>
      <c r="D30" s="77">
        <f t="shared" si="1"/>
        <v>3366000</v>
      </c>
      <c r="E30" s="77">
        <f t="shared" si="2"/>
        <v>66000</v>
      </c>
      <c r="F30" s="79">
        <v>3300000</v>
      </c>
      <c r="G30" s="78">
        <f t="shared" si="4"/>
        <v>0</v>
      </c>
    </row>
    <row r="31" spans="1:11" ht="13.5" hidden="1" thickBot="1" x14ac:dyDescent="0.25">
      <c r="A31" s="15">
        <f t="shared" si="5"/>
        <v>11</v>
      </c>
      <c r="B31" s="30">
        <f t="shared" si="6"/>
        <v>0</v>
      </c>
      <c r="C31" s="77">
        <f t="shared" si="0"/>
        <v>0</v>
      </c>
      <c r="D31" s="77">
        <f t="shared" si="1"/>
        <v>0</v>
      </c>
      <c r="E31" s="77">
        <f t="shared" si="2"/>
        <v>0</v>
      </c>
      <c r="F31" s="30">
        <f t="shared" si="3"/>
        <v>0</v>
      </c>
      <c r="G31" s="78">
        <f t="shared" si="4"/>
        <v>0</v>
      </c>
    </row>
    <row r="32" spans="1:11" ht="13.5" hidden="1" thickBot="1" x14ac:dyDescent="0.25">
      <c r="A32" s="15">
        <f t="shared" si="5"/>
        <v>12</v>
      </c>
      <c r="B32" s="30">
        <f t="shared" si="6"/>
        <v>0</v>
      </c>
      <c r="C32" s="77">
        <f t="shared" si="0"/>
        <v>0</v>
      </c>
      <c r="D32" s="77">
        <f t="shared" si="1"/>
        <v>0</v>
      </c>
      <c r="E32" s="77">
        <f t="shared" si="2"/>
        <v>0</v>
      </c>
      <c r="F32" s="30">
        <f t="shared" si="3"/>
        <v>0</v>
      </c>
      <c r="G32" s="78">
        <f t="shared" si="4"/>
        <v>0</v>
      </c>
    </row>
    <row r="33" spans="1:7" ht="13.5" hidden="1" thickBot="1" x14ac:dyDescent="0.25">
      <c r="A33" s="15">
        <f t="shared" si="5"/>
        <v>13</v>
      </c>
      <c r="B33" s="30">
        <f t="shared" si="6"/>
        <v>0</v>
      </c>
      <c r="C33" s="77">
        <f t="shared" si="0"/>
        <v>0</v>
      </c>
      <c r="D33" s="77">
        <f t="shared" si="1"/>
        <v>0</v>
      </c>
      <c r="E33" s="77">
        <f t="shared" si="2"/>
        <v>0</v>
      </c>
      <c r="F33" s="30">
        <f t="shared" si="3"/>
        <v>0</v>
      </c>
      <c r="G33" s="78">
        <f t="shared" si="4"/>
        <v>0</v>
      </c>
    </row>
    <row r="34" spans="1:7" ht="13.5" hidden="1" thickBot="1" x14ac:dyDescent="0.25">
      <c r="A34" s="15">
        <f t="shared" si="5"/>
        <v>14</v>
      </c>
      <c r="B34" s="30">
        <f t="shared" si="6"/>
        <v>0</v>
      </c>
      <c r="C34" s="77">
        <f t="shared" si="0"/>
        <v>0</v>
      </c>
      <c r="D34" s="77">
        <f t="shared" si="1"/>
        <v>0</v>
      </c>
      <c r="E34" s="77">
        <f t="shared" si="2"/>
        <v>0</v>
      </c>
      <c r="F34" s="30">
        <f t="shared" si="3"/>
        <v>0</v>
      </c>
      <c r="G34" s="78">
        <f t="shared" si="4"/>
        <v>0</v>
      </c>
    </row>
    <row r="35" spans="1:7" ht="13.5" hidden="1" thickBot="1" x14ac:dyDescent="0.25">
      <c r="A35" s="15">
        <f t="shared" si="5"/>
        <v>15</v>
      </c>
      <c r="B35" s="30">
        <f t="shared" si="6"/>
        <v>0</v>
      </c>
      <c r="C35" s="77">
        <f t="shared" si="0"/>
        <v>0</v>
      </c>
      <c r="D35" s="77">
        <f t="shared" si="1"/>
        <v>0</v>
      </c>
      <c r="E35" s="77">
        <f t="shared" si="2"/>
        <v>0</v>
      </c>
      <c r="F35" s="30">
        <f t="shared" si="3"/>
        <v>0</v>
      </c>
      <c r="G35" s="78">
        <f t="shared" si="4"/>
        <v>0</v>
      </c>
    </row>
    <row r="36" spans="1:7" ht="13.5" hidden="1" thickBot="1" x14ac:dyDescent="0.25">
      <c r="A36" s="15">
        <f t="shared" si="5"/>
        <v>16</v>
      </c>
      <c r="B36" s="30">
        <f t="shared" si="6"/>
        <v>0</v>
      </c>
      <c r="C36" s="77">
        <f t="shared" si="0"/>
        <v>0</v>
      </c>
      <c r="D36" s="77">
        <f t="shared" si="1"/>
        <v>0</v>
      </c>
      <c r="E36" s="77">
        <f t="shared" si="2"/>
        <v>0</v>
      </c>
      <c r="F36" s="30">
        <f t="shared" si="3"/>
        <v>0</v>
      </c>
      <c r="G36" s="78">
        <f t="shared" si="4"/>
        <v>0</v>
      </c>
    </row>
    <row r="37" spans="1:7" ht="13.5" hidden="1" thickBot="1" x14ac:dyDescent="0.25">
      <c r="A37" s="15">
        <f t="shared" si="5"/>
        <v>17</v>
      </c>
      <c r="B37" s="30">
        <f t="shared" si="6"/>
        <v>0</v>
      </c>
      <c r="C37" s="77">
        <f t="shared" si="0"/>
        <v>0</v>
      </c>
      <c r="D37" s="77">
        <f t="shared" si="1"/>
        <v>0</v>
      </c>
      <c r="E37" s="77">
        <f t="shared" si="2"/>
        <v>0</v>
      </c>
      <c r="F37" s="30">
        <f t="shared" si="3"/>
        <v>0</v>
      </c>
      <c r="G37" s="78">
        <f t="shared" si="4"/>
        <v>0</v>
      </c>
    </row>
    <row r="38" spans="1:7" ht="13.5" hidden="1" thickBot="1" x14ac:dyDescent="0.25">
      <c r="A38" s="15">
        <f t="shared" si="5"/>
        <v>18</v>
      </c>
      <c r="B38" s="30">
        <f t="shared" si="6"/>
        <v>0</v>
      </c>
      <c r="C38" s="77">
        <f t="shared" si="0"/>
        <v>0</v>
      </c>
      <c r="D38" s="77">
        <f t="shared" si="1"/>
        <v>0</v>
      </c>
      <c r="E38" s="77">
        <f t="shared" si="2"/>
        <v>0</v>
      </c>
      <c r="F38" s="30">
        <f t="shared" si="3"/>
        <v>0</v>
      </c>
      <c r="G38" s="78">
        <f t="shared" si="4"/>
        <v>0</v>
      </c>
    </row>
    <row r="39" spans="1:7" ht="13.5" hidden="1" thickBot="1" x14ac:dyDescent="0.25">
      <c r="A39" s="15">
        <f t="shared" si="5"/>
        <v>19</v>
      </c>
      <c r="B39" s="30">
        <f t="shared" si="6"/>
        <v>0</v>
      </c>
      <c r="C39" s="77">
        <f t="shared" si="0"/>
        <v>0</v>
      </c>
      <c r="D39" s="77">
        <f t="shared" si="1"/>
        <v>0</v>
      </c>
      <c r="E39" s="77">
        <f t="shared" si="2"/>
        <v>0</v>
      </c>
      <c r="F39" s="30">
        <f t="shared" si="3"/>
        <v>0</v>
      </c>
      <c r="G39" s="78">
        <f t="shared" si="4"/>
        <v>0</v>
      </c>
    </row>
    <row r="40" spans="1:7" ht="13.5" hidden="1" thickBot="1" x14ac:dyDescent="0.25">
      <c r="A40" s="15">
        <f t="shared" si="5"/>
        <v>20</v>
      </c>
      <c r="B40" s="30">
        <f t="shared" si="6"/>
        <v>0</v>
      </c>
      <c r="C40" s="77">
        <f t="shared" si="0"/>
        <v>0</v>
      </c>
      <c r="D40" s="77">
        <f t="shared" si="1"/>
        <v>0</v>
      </c>
      <c r="E40" s="77">
        <f t="shared" si="2"/>
        <v>0</v>
      </c>
      <c r="F40" s="30">
        <f t="shared" si="3"/>
        <v>0</v>
      </c>
      <c r="G40" s="78">
        <f t="shared" si="4"/>
        <v>0</v>
      </c>
    </row>
    <row r="41" spans="1:7" ht="13.5" hidden="1" thickBot="1" x14ac:dyDescent="0.25">
      <c r="A41" s="15">
        <f t="shared" si="5"/>
        <v>21</v>
      </c>
      <c r="B41" s="30">
        <f t="shared" si="6"/>
        <v>0</v>
      </c>
      <c r="C41" s="77">
        <f t="shared" si="0"/>
        <v>0</v>
      </c>
      <c r="D41" s="77">
        <f t="shared" si="1"/>
        <v>0</v>
      </c>
      <c r="E41" s="77">
        <f t="shared" si="2"/>
        <v>0</v>
      </c>
      <c r="F41" s="30">
        <f t="shared" si="3"/>
        <v>0</v>
      </c>
      <c r="G41" s="78">
        <f t="shared" si="4"/>
        <v>0</v>
      </c>
    </row>
    <row r="42" spans="1:7" ht="13.5" hidden="1" thickBot="1" x14ac:dyDescent="0.25">
      <c r="A42" s="15">
        <f t="shared" si="5"/>
        <v>22</v>
      </c>
      <c r="B42" s="30">
        <f t="shared" si="6"/>
        <v>0</v>
      </c>
      <c r="C42" s="77">
        <f t="shared" si="0"/>
        <v>0</v>
      </c>
      <c r="D42" s="77">
        <f t="shared" si="1"/>
        <v>0</v>
      </c>
      <c r="E42" s="77">
        <f t="shared" si="2"/>
        <v>0</v>
      </c>
      <c r="F42" s="30">
        <f t="shared" si="3"/>
        <v>0</v>
      </c>
      <c r="G42" s="78">
        <f t="shared" si="4"/>
        <v>0</v>
      </c>
    </row>
    <row r="43" spans="1:7" ht="13.5" hidden="1" thickBot="1" x14ac:dyDescent="0.25">
      <c r="A43" s="15">
        <f t="shared" si="5"/>
        <v>23</v>
      </c>
      <c r="B43" s="30">
        <f t="shared" si="6"/>
        <v>0</v>
      </c>
      <c r="C43" s="77">
        <f t="shared" si="0"/>
        <v>0</v>
      </c>
      <c r="D43" s="77">
        <f t="shared" si="1"/>
        <v>0</v>
      </c>
      <c r="E43" s="77">
        <f t="shared" si="2"/>
        <v>0</v>
      </c>
      <c r="F43" s="30">
        <f t="shared" si="3"/>
        <v>0</v>
      </c>
      <c r="G43" s="78">
        <f t="shared" si="4"/>
        <v>0</v>
      </c>
    </row>
    <row r="44" spans="1:7" ht="13.5" hidden="1" thickBot="1" x14ac:dyDescent="0.25">
      <c r="A44" s="15">
        <f t="shared" si="5"/>
        <v>24</v>
      </c>
      <c r="B44" s="30">
        <f t="shared" si="6"/>
        <v>0</v>
      </c>
      <c r="C44" s="77">
        <f t="shared" si="0"/>
        <v>0</v>
      </c>
      <c r="D44" s="77">
        <f t="shared" si="1"/>
        <v>0</v>
      </c>
      <c r="E44" s="77">
        <f t="shared" si="2"/>
        <v>0</v>
      </c>
      <c r="F44" s="30">
        <f t="shared" si="3"/>
        <v>0</v>
      </c>
      <c r="G44" s="78">
        <f t="shared" si="4"/>
        <v>0</v>
      </c>
    </row>
    <row r="45" spans="1:7" ht="13.5" hidden="1" thickBot="1" x14ac:dyDescent="0.25">
      <c r="A45" s="15">
        <f t="shared" si="5"/>
        <v>25</v>
      </c>
      <c r="B45" s="30">
        <f t="shared" si="6"/>
        <v>0</v>
      </c>
      <c r="C45" s="77">
        <f t="shared" si="0"/>
        <v>0</v>
      </c>
      <c r="D45" s="77">
        <f t="shared" si="1"/>
        <v>0</v>
      </c>
      <c r="E45" s="77">
        <f t="shared" si="2"/>
        <v>0</v>
      </c>
      <c r="F45" s="30">
        <f t="shared" si="3"/>
        <v>0</v>
      </c>
      <c r="G45" s="78">
        <f t="shared" si="4"/>
        <v>0</v>
      </c>
    </row>
    <row r="46" spans="1:7" ht="13.5" hidden="1" thickBot="1" x14ac:dyDescent="0.25">
      <c r="A46" s="15">
        <f t="shared" si="5"/>
        <v>26</v>
      </c>
      <c r="B46" s="30">
        <f t="shared" si="6"/>
        <v>0</v>
      </c>
      <c r="C46" s="77">
        <f t="shared" si="0"/>
        <v>0</v>
      </c>
      <c r="D46" s="77">
        <f t="shared" si="1"/>
        <v>0</v>
      </c>
      <c r="E46" s="77">
        <f t="shared" si="2"/>
        <v>0</v>
      </c>
      <c r="F46" s="30">
        <f t="shared" si="3"/>
        <v>0</v>
      </c>
      <c r="G46" s="78">
        <f t="shared" si="4"/>
        <v>0</v>
      </c>
    </row>
    <row r="47" spans="1:7" ht="13.5" hidden="1" thickBot="1" x14ac:dyDescent="0.25">
      <c r="A47" s="15">
        <f t="shared" si="5"/>
        <v>27</v>
      </c>
      <c r="B47" s="30">
        <f t="shared" si="6"/>
        <v>0</v>
      </c>
      <c r="C47" s="77">
        <f t="shared" si="0"/>
        <v>0</v>
      </c>
      <c r="D47" s="77">
        <f t="shared" si="1"/>
        <v>0</v>
      </c>
      <c r="E47" s="77">
        <f t="shared" si="2"/>
        <v>0</v>
      </c>
      <c r="F47" s="30">
        <f t="shared" si="3"/>
        <v>0</v>
      </c>
      <c r="G47" s="78">
        <f t="shared" si="4"/>
        <v>0</v>
      </c>
    </row>
    <row r="48" spans="1:7" ht="13.5" hidden="1" thickBot="1" x14ac:dyDescent="0.25">
      <c r="A48" s="15">
        <f t="shared" si="5"/>
        <v>28</v>
      </c>
      <c r="B48" s="30">
        <f t="shared" si="6"/>
        <v>0</v>
      </c>
      <c r="C48" s="77">
        <f t="shared" si="0"/>
        <v>0</v>
      </c>
      <c r="D48" s="77">
        <f t="shared" si="1"/>
        <v>0</v>
      </c>
      <c r="E48" s="77">
        <f t="shared" si="2"/>
        <v>0</v>
      </c>
      <c r="F48" s="30">
        <f t="shared" si="3"/>
        <v>0</v>
      </c>
      <c r="G48" s="78">
        <f t="shared" si="4"/>
        <v>0</v>
      </c>
    </row>
    <row r="49" spans="1:7" ht="13.5" hidden="1" thickBot="1" x14ac:dyDescent="0.25">
      <c r="A49" s="15">
        <f t="shared" si="5"/>
        <v>29</v>
      </c>
      <c r="B49" s="30">
        <f t="shared" si="6"/>
        <v>0</v>
      </c>
      <c r="C49" s="77">
        <f t="shared" si="0"/>
        <v>0</v>
      </c>
      <c r="D49" s="77">
        <f t="shared" si="1"/>
        <v>0</v>
      </c>
      <c r="E49" s="77">
        <f t="shared" si="2"/>
        <v>0</v>
      </c>
      <c r="F49" s="30">
        <f t="shared" si="3"/>
        <v>0</v>
      </c>
      <c r="G49" s="78">
        <f t="shared" si="4"/>
        <v>0</v>
      </c>
    </row>
    <row r="50" spans="1:7" ht="13.5" hidden="1" thickBot="1" x14ac:dyDescent="0.25">
      <c r="A50" s="15">
        <f t="shared" si="5"/>
        <v>30</v>
      </c>
      <c r="B50" s="30">
        <f t="shared" si="6"/>
        <v>0</v>
      </c>
      <c r="C50" s="77">
        <f t="shared" si="0"/>
        <v>0</v>
      </c>
      <c r="D50" s="77">
        <f t="shared" si="1"/>
        <v>0</v>
      </c>
      <c r="E50" s="77">
        <f t="shared" si="2"/>
        <v>0</v>
      </c>
      <c r="F50" s="30">
        <f t="shared" si="3"/>
        <v>0</v>
      </c>
      <c r="G50" s="78">
        <f t="shared" si="4"/>
        <v>0</v>
      </c>
    </row>
    <row r="51" spans="1:7" ht="13.5" hidden="1" thickBot="1" x14ac:dyDescent="0.25">
      <c r="A51" s="15">
        <f t="shared" si="5"/>
        <v>31</v>
      </c>
      <c r="B51" s="30">
        <f t="shared" si="6"/>
        <v>0</v>
      </c>
      <c r="C51" s="77">
        <f t="shared" si="0"/>
        <v>0</v>
      </c>
      <c r="D51" s="77">
        <f t="shared" si="1"/>
        <v>0</v>
      </c>
      <c r="E51" s="77">
        <f t="shared" si="2"/>
        <v>0</v>
      </c>
      <c r="F51" s="30">
        <f t="shared" si="3"/>
        <v>0</v>
      </c>
      <c r="G51" s="78">
        <f t="shared" si="4"/>
        <v>0</v>
      </c>
    </row>
    <row r="52" spans="1:7" ht="13.5" hidden="1" thickBot="1" x14ac:dyDescent="0.25">
      <c r="A52" s="15">
        <f t="shared" si="5"/>
        <v>32</v>
      </c>
      <c r="B52" s="30">
        <f t="shared" si="6"/>
        <v>0</v>
      </c>
      <c r="C52" s="77">
        <f t="shared" si="0"/>
        <v>0</v>
      </c>
      <c r="D52" s="77">
        <f t="shared" si="1"/>
        <v>0</v>
      </c>
      <c r="E52" s="77">
        <f t="shared" si="2"/>
        <v>0</v>
      </c>
      <c r="F52" s="30">
        <f t="shared" si="3"/>
        <v>0</v>
      </c>
      <c r="G52" s="78">
        <f t="shared" si="4"/>
        <v>0</v>
      </c>
    </row>
    <row r="53" spans="1:7" ht="13.5" hidden="1" thickBot="1" x14ac:dyDescent="0.25">
      <c r="A53" s="15">
        <f t="shared" si="5"/>
        <v>33</v>
      </c>
      <c r="B53" s="30">
        <f t="shared" si="6"/>
        <v>0</v>
      </c>
      <c r="C53" s="77">
        <f t="shared" si="0"/>
        <v>0</v>
      </c>
      <c r="D53" s="77">
        <f t="shared" si="1"/>
        <v>0</v>
      </c>
      <c r="E53" s="77">
        <f t="shared" si="2"/>
        <v>0</v>
      </c>
      <c r="F53" s="30">
        <f t="shared" si="3"/>
        <v>0</v>
      </c>
      <c r="G53" s="78">
        <f t="shared" si="4"/>
        <v>0</v>
      </c>
    </row>
    <row r="54" spans="1:7" ht="13.5" hidden="1" thickBot="1" x14ac:dyDescent="0.25">
      <c r="A54" s="15">
        <f t="shared" si="5"/>
        <v>34</v>
      </c>
      <c r="B54" s="30">
        <f t="shared" si="6"/>
        <v>0</v>
      </c>
      <c r="C54" s="77">
        <f t="shared" si="0"/>
        <v>0</v>
      </c>
      <c r="D54" s="77">
        <f t="shared" si="1"/>
        <v>0</v>
      </c>
      <c r="E54" s="77">
        <f t="shared" si="2"/>
        <v>0</v>
      </c>
      <c r="F54" s="30">
        <f t="shared" si="3"/>
        <v>0</v>
      </c>
      <c r="G54" s="78">
        <f t="shared" si="4"/>
        <v>0</v>
      </c>
    </row>
    <row r="55" spans="1:7" ht="13.5" hidden="1" thickBot="1" x14ac:dyDescent="0.25">
      <c r="A55" s="15">
        <f t="shared" si="5"/>
        <v>35</v>
      </c>
      <c r="B55" s="30">
        <f t="shared" si="6"/>
        <v>0</v>
      </c>
      <c r="C55" s="77">
        <f t="shared" si="0"/>
        <v>0</v>
      </c>
      <c r="D55" s="77">
        <f t="shared" si="1"/>
        <v>0</v>
      </c>
      <c r="E55" s="77">
        <f t="shared" si="2"/>
        <v>0</v>
      </c>
      <c r="F55" s="30">
        <f t="shared" si="3"/>
        <v>0</v>
      </c>
      <c r="G55" s="78">
        <f t="shared" si="4"/>
        <v>0</v>
      </c>
    </row>
    <row r="56" spans="1:7" ht="13.5" hidden="1" thickBot="1" x14ac:dyDescent="0.25">
      <c r="A56" s="15">
        <f t="shared" si="5"/>
        <v>36</v>
      </c>
      <c r="B56" s="30">
        <f t="shared" si="6"/>
        <v>0</v>
      </c>
      <c r="C56" s="77">
        <f t="shared" si="0"/>
        <v>0</v>
      </c>
      <c r="D56" s="77">
        <f t="shared" si="1"/>
        <v>0</v>
      </c>
      <c r="E56" s="77">
        <f t="shared" si="2"/>
        <v>0</v>
      </c>
      <c r="F56" s="30">
        <f t="shared" si="3"/>
        <v>0</v>
      </c>
      <c r="G56" s="78">
        <f t="shared" si="4"/>
        <v>0</v>
      </c>
    </row>
    <row r="57" spans="1:7" ht="13.5" hidden="1" thickBot="1" x14ac:dyDescent="0.25">
      <c r="A57" s="15">
        <f t="shared" si="5"/>
        <v>37</v>
      </c>
      <c r="B57" s="30">
        <f t="shared" si="6"/>
        <v>0</v>
      </c>
      <c r="C57" s="77">
        <f t="shared" si="0"/>
        <v>0</v>
      </c>
      <c r="D57" s="77">
        <f t="shared" si="1"/>
        <v>0</v>
      </c>
      <c r="E57" s="77">
        <f t="shared" si="2"/>
        <v>0</v>
      </c>
      <c r="F57" s="30">
        <f t="shared" si="3"/>
        <v>0</v>
      </c>
      <c r="G57" s="78">
        <f t="shared" si="4"/>
        <v>0</v>
      </c>
    </row>
    <row r="58" spans="1:7" ht="13.5" hidden="1" thickBot="1" x14ac:dyDescent="0.25">
      <c r="A58" s="15">
        <f t="shared" si="5"/>
        <v>38</v>
      </c>
      <c r="B58" s="30">
        <f t="shared" si="6"/>
        <v>0</v>
      </c>
      <c r="C58" s="77">
        <f t="shared" si="0"/>
        <v>0</v>
      </c>
      <c r="D58" s="77">
        <f t="shared" si="1"/>
        <v>0</v>
      </c>
      <c r="E58" s="77">
        <f t="shared" si="2"/>
        <v>0</v>
      </c>
      <c r="F58" s="30">
        <f t="shared" si="3"/>
        <v>0</v>
      </c>
      <c r="G58" s="78">
        <f t="shared" si="4"/>
        <v>0</v>
      </c>
    </row>
    <row r="59" spans="1:7" ht="13.5" hidden="1" thickBot="1" x14ac:dyDescent="0.25">
      <c r="A59" s="15">
        <f t="shared" si="5"/>
        <v>39</v>
      </c>
      <c r="B59" s="30">
        <f t="shared" si="6"/>
        <v>0</v>
      </c>
      <c r="C59" s="77">
        <f t="shared" si="0"/>
        <v>0</v>
      </c>
      <c r="D59" s="77">
        <f t="shared" si="1"/>
        <v>0</v>
      </c>
      <c r="E59" s="77">
        <f t="shared" si="2"/>
        <v>0</v>
      </c>
      <c r="F59" s="30">
        <f t="shared" si="3"/>
        <v>0</v>
      </c>
      <c r="G59" s="78">
        <f t="shared" si="4"/>
        <v>0</v>
      </c>
    </row>
    <row r="60" spans="1:7" ht="13.5" hidden="1" thickBot="1" x14ac:dyDescent="0.25">
      <c r="A60" s="15">
        <f t="shared" si="5"/>
        <v>40</v>
      </c>
      <c r="B60" s="30">
        <f t="shared" si="6"/>
        <v>0</v>
      </c>
      <c r="C60" s="77">
        <f t="shared" si="0"/>
        <v>0</v>
      </c>
      <c r="D60" s="77">
        <f t="shared" si="1"/>
        <v>0</v>
      </c>
      <c r="E60" s="77">
        <f t="shared" si="2"/>
        <v>0</v>
      </c>
      <c r="F60" s="30">
        <f t="shared" si="3"/>
        <v>0</v>
      </c>
      <c r="G60" s="78">
        <f t="shared" si="4"/>
        <v>0</v>
      </c>
    </row>
    <row r="61" spans="1:7" ht="13.5" hidden="1" thickBot="1" x14ac:dyDescent="0.25">
      <c r="A61" s="15">
        <f t="shared" si="5"/>
        <v>41</v>
      </c>
      <c r="B61" s="30">
        <f t="shared" si="6"/>
        <v>0</v>
      </c>
      <c r="C61" s="77">
        <f t="shared" si="0"/>
        <v>0</v>
      </c>
      <c r="D61" s="77">
        <f t="shared" si="1"/>
        <v>0</v>
      </c>
      <c r="E61" s="77">
        <f t="shared" si="2"/>
        <v>0</v>
      </c>
      <c r="F61" s="30">
        <f t="shared" si="3"/>
        <v>0</v>
      </c>
      <c r="G61" s="78">
        <f t="shared" si="4"/>
        <v>0</v>
      </c>
    </row>
    <row r="62" spans="1:7" ht="13.5" hidden="1" thickBot="1" x14ac:dyDescent="0.25">
      <c r="A62" s="15">
        <f t="shared" si="5"/>
        <v>42</v>
      </c>
      <c r="B62" s="30">
        <f t="shared" si="6"/>
        <v>0</v>
      </c>
      <c r="C62" s="77">
        <f t="shared" si="0"/>
        <v>0</v>
      </c>
      <c r="D62" s="77">
        <f t="shared" si="1"/>
        <v>0</v>
      </c>
      <c r="E62" s="77">
        <f t="shared" si="2"/>
        <v>0</v>
      </c>
      <c r="F62" s="30">
        <f t="shared" si="3"/>
        <v>0</v>
      </c>
      <c r="G62" s="78">
        <f t="shared" si="4"/>
        <v>0</v>
      </c>
    </row>
    <row r="63" spans="1:7" ht="13.5" hidden="1" thickBot="1" x14ac:dyDescent="0.25">
      <c r="A63" s="15">
        <f t="shared" si="5"/>
        <v>43</v>
      </c>
      <c r="B63" s="30">
        <f t="shared" si="6"/>
        <v>0</v>
      </c>
      <c r="C63" s="77">
        <f t="shared" si="0"/>
        <v>0</v>
      </c>
      <c r="D63" s="77">
        <f t="shared" si="1"/>
        <v>0</v>
      </c>
      <c r="E63" s="77">
        <f t="shared" si="2"/>
        <v>0</v>
      </c>
      <c r="F63" s="30">
        <f t="shared" si="3"/>
        <v>0</v>
      </c>
      <c r="G63" s="78">
        <f t="shared" si="4"/>
        <v>0</v>
      </c>
    </row>
    <row r="64" spans="1:7" ht="13.5" hidden="1" thickBot="1" x14ac:dyDescent="0.25">
      <c r="A64" s="15">
        <f t="shared" si="5"/>
        <v>44</v>
      </c>
      <c r="B64" s="30">
        <f t="shared" si="6"/>
        <v>0</v>
      </c>
      <c r="C64" s="77">
        <f t="shared" si="0"/>
        <v>0</v>
      </c>
      <c r="D64" s="77">
        <f t="shared" si="1"/>
        <v>0</v>
      </c>
      <c r="E64" s="77">
        <f t="shared" si="2"/>
        <v>0</v>
      </c>
      <c r="F64" s="30">
        <f t="shared" si="3"/>
        <v>0</v>
      </c>
      <c r="G64" s="78">
        <f t="shared" si="4"/>
        <v>0</v>
      </c>
    </row>
    <row r="65" spans="1:7" ht="13.5" hidden="1" thickBot="1" x14ac:dyDescent="0.25">
      <c r="A65" s="15">
        <f t="shared" si="5"/>
        <v>45</v>
      </c>
      <c r="B65" s="30">
        <f t="shared" si="6"/>
        <v>0</v>
      </c>
      <c r="C65" s="77">
        <f t="shared" si="0"/>
        <v>0</v>
      </c>
      <c r="D65" s="77">
        <f t="shared" si="1"/>
        <v>0</v>
      </c>
      <c r="E65" s="77">
        <f t="shared" si="2"/>
        <v>0</v>
      </c>
      <c r="F65" s="30">
        <f t="shared" si="3"/>
        <v>0</v>
      </c>
      <c r="G65" s="78">
        <f t="shared" si="4"/>
        <v>0</v>
      </c>
    </row>
    <row r="66" spans="1:7" ht="13.5" hidden="1" thickBot="1" x14ac:dyDescent="0.25">
      <c r="A66" s="15">
        <f t="shared" si="5"/>
        <v>46</v>
      </c>
      <c r="B66" s="30">
        <f t="shared" si="6"/>
        <v>0</v>
      </c>
      <c r="C66" s="77">
        <f t="shared" si="0"/>
        <v>0</v>
      </c>
      <c r="D66" s="77">
        <f t="shared" si="1"/>
        <v>0</v>
      </c>
      <c r="E66" s="77">
        <f t="shared" si="2"/>
        <v>0</v>
      </c>
      <c r="F66" s="30">
        <f t="shared" si="3"/>
        <v>0</v>
      </c>
      <c r="G66" s="78">
        <f t="shared" si="4"/>
        <v>0</v>
      </c>
    </row>
    <row r="67" spans="1:7" ht="13.5" hidden="1" thickBot="1" x14ac:dyDescent="0.25">
      <c r="A67" s="15">
        <f t="shared" si="5"/>
        <v>47</v>
      </c>
      <c r="B67" s="30">
        <f t="shared" si="6"/>
        <v>0</v>
      </c>
      <c r="C67" s="77">
        <f t="shared" si="0"/>
        <v>0</v>
      </c>
      <c r="D67" s="77">
        <f t="shared" si="1"/>
        <v>0</v>
      </c>
      <c r="E67" s="77">
        <f t="shared" si="2"/>
        <v>0</v>
      </c>
      <c r="F67" s="30">
        <f t="shared" si="3"/>
        <v>0</v>
      </c>
      <c r="G67" s="78">
        <f t="shared" si="4"/>
        <v>0</v>
      </c>
    </row>
    <row r="68" spans="1:7" ht="13.5" hidden="1" thickBot="1" x14ac:dyDescent="0.25">
      <c r="A68" s="15">
        <f t="shared" si="5"/>
        <v>48</v>
      </c>
      <c r="B68" s="30">
        <f t="shared" si="6"/>
        <v>0</v>
      </c>
      <c r="C68" s="77">
        <f t="shared" si="0"/>
        <v>0</v>
      </c>
      <c r="D68" s="77">
        <f t="shared" si="1"/>
        <v>0</v>
      </c>
      <c r="E68" s="77">
        <f t="shared" si="2"/>
        <v>0</v>
      </c>
      <c r="F68" s="30">
        <f t="shared" si="3"/>
        <v>0</v>
      </c>
      <c r="G68" s="78">
        <f t="shared" si="4"/>
        <v>0</v>
      </c>
    </row>
    <row r="69" spans="1:7" ht="13.5" hidden="1" thickBot="1" x14ac:dyDescent="0.25">
      <c r="A69" s="15">
        <f t="shared" si="5"/>
        <v>49</v>
      </c>
      <c r="B69" s="30">
        <f t="shared" si="6"/>
        <v>0</v>
      </c>
      <c r="C69" s="77">
        <f t="shared" si="0"/>
        <v>0</v>
      </c>
      <c r="D69" s="77">
        <f t="shared" si="1"/>
        <v>0</v>
      </c>
      <c r="E69" s="77">
        <f t="shared" si="2"/>
        <v>0</v>
      </c>
      <c r="F69" s="30">
        <f t="shared" si="3"/>
        <v>0</v>
      </c>
      <c r="G69" s="78">
        <f t="shared" si="4"/>
        <v>0</v>
      </c>
    </row>
    <row r="70" spans="1:7" ht="13.5" hidden="1" thickBot="1" x14ac:dyDescent="0.25">
      <c r="A70" s="15">
        <f t="shared" si="5"/>
        <v>50</v>
      </c>
      <c r="B70" s="30">
        <f t="shared" si="6"/>
        <v>0</v>
      </c>
      <c r="C70" s="77">
        <f t="shared" si="0"/>
        <v>0</v>
      </c>
      <c r="D70" s="77">
        <f t="shared" si="1"/>
        <v>0</v>
      </c>
      <c r="E70" s="77">
        <f t="shared" si="2"/>
        <v>0</v>
      </c>
      <c r="F70" s="30">
        <f t="shared" si="3"/>
        <v>0</v>
      </c>
      <c r="G70" s="78">
        <f t="shared" si="4"/>
        <v>0</v>
      </c>
    </row>
    <row r="71" spans="1:7" ht="13.5" hidden="1" thickBot="1" x14ac:dyDescent="0.25">
      <c r="A71" s="15">
        <f t="shared" si="5"/>
        <v>51</v>
      </c>
      <c r="B71" s="30">
        <f t="shared" si="6"/>
        <v>0</v>
      </c>
      <c r="C71" s="77">
        <f t="shared" si="0"/>
        <v>0</v>
      </c>
      <c r="D71" s="77">
        <f t="shared" si="1"/>
        <v>0</v>
      </c>
      <c r="E71" s="77">
        <f t="shared" si="2"/>
        <v>0</v>
      </c>
      <c r="F71" s="30">
        <f t="shared" si="3"/>
        <v>0</v>
      </c>
      <c r="G71" s="78">
        <f t="shared" si="4"/>
        <v>0</v>
      </c>
    </row>
    <row r="72" spans="1:7" ht="13.5" hidden="1" thickBot="1" x14ac:dyDescent="0.25">
      <c r="A72" s="15">
        <f t="shared" si="5"/>
        <v>52</v>
      </c>
      <c r="B72" s="30">
        <f t="shared" si="6"/>
        <v>0</v>
      </c>
      <c r="C72" s="77">
        <f t="shared" si="0"/>
        <v>0</v>
      </c>
      <c r="D72" s="77">
        <f t="shared" si="1"/>
        <v>0</v>
      </c>
      <c r="E72" s="77">
        <f t="shared" si="2"/>
        <v>0</v>
      </c>
      <c r="F72" s="30">
        <f t="shared" si="3"/>
        <v>0</v>
      </c>
      <c r="G72" s="78">
        <f t="shared" si="4"/>
        <v>0</v>
      </c>
    </row>
    <row r="73" spans="1:7" ht="13.5" hidden="1" thickBot="1" x14ac:dyDescent="0.25">
      <c r="A73" s="15">
        <f t="shared" si="5"/>
        <v>53</v>
      </c>
      <c r="B73" s="30">
        <f t="shared" si="6"/>
        <v>0</v>
      </c>
      <c r="C73" s="77">
        <f t="shared" si="0"/>
        <v>0</v>
      </c>
      <c r="D73" s="77">
        <f t="shared" si="1"/>
        <v>0</v>
      </c>
      <c r="E73" s="77">
        <f t="shared" si="2"/>
        <v>0</v>
      </c>
      <c r="F73" s="30">
        <f t="shared" si="3"/>
        <v>0</v>
      </c>
      <c r="G73" s="78">
        <f t="shared" si="4"/>
        <v>0</v>
      </c>
    </row>
    <row r="74" spans="1:7" ht="13.5" hidden="1" thickBot="1" x14ac:dyDescent="0.25">
      <c r="A74" s="15">
        <f t="shared" si="5"/>
        <v>54</v>
      </c>
      <c r="B74" s="30">
        <f t="shared" si="6"/>
        <v>0</v>
      </c>
      <c r="C74" s="77">
        <f t="shared" si="0"/>
        <v>0</v>
      </c>
      <c r="D74" s="77">
        <f t="shared" si="1"/>
        <v>0</v>
      </c>
      <c r="E74" s="77">
        <f t="shared" si="2"/>
        <v>0</v>
      </c>
      <c r="F74" s="30">
        <f t="shared" si="3"/>
        <v>0</v>
      </c>
      <c r="G74" s="78">
        <f t="shared" si="4"/>
        <v>0</v>
      </c>
    </row>
    <row r="75" spans="1:7" ht="13.5" hidden="1" thickBot="1" x14ac:dyDescent="0.25">
      <c r="A75" s="15">
        <f t="shared" si="5"/>
        <v>55</v>
      </c>
      <c r="B75" s="30">
        <f t="shared" si="6"/>
        <v>0</v>
      </c>
      <c r="C75" s="77">
        <f t="shared" si="0"/>
        <v>0</v>
      </c>
      <c r="D75" s="77">
        <f t="shared" si="1"/>
        <v>0</v>
      </c>
      <c r="E75" s="77">
        <f t="shared" si="2"/>
        <v>0</v>
      </c>
      <c r="F75" s="30">
        <f t="shared" si="3"/>
        <v>0</v>
      </c>
      <c r="G75" s="78">
        <f t="shared" si="4"/>
        <v>0</v>
      </c>
    </row>
    <row r="76" spans="1:7" ht="13.5" hidden="1" thickBot="1" x14ac:dyDescent="0.25">
      <c r="A76" s="15">
        <f t="shared" si="5"/>
        <v>56</v>
      </c>
      <c r="B76" s="30">
        <f t="shared" si="6"/>
        <v>0</v>
      </c>
      <c r="C76" s="77">
        <f t="shared" si="0"/>
        <v>0</v>
      </c>
      <c r="D76" s="77">
        <f t="shared" si="1"/>
        <v>0</v>
      </c>
      <c r="E76" s="77">
        <f t="shared" si="2"/>
        <v>0</v>
      </c>
      <c r="F76" s="30">
        <f t="shared" si="3"/>
        <v>0</v>
      </c>
      <c r="G76" s="78">
        <f t="shared" si="4"/>
        <v>0</v>
      </c>
    </row>
    <row r="77" spans="1:7" ht="13.5" hidden="1" thickBot="1" x14ac:dyDescent="0.25">
      <c r="A77" s="15">
        <f t="shared" si="5"/>
        <v>57</v>
      </c>
      <c r="B77" s="30">
        <f t="shared" si="6"/>
        <v>0</v>
      </c>
      <c r="C77" s="77">
        <f t="shared" si="0"/>
        <v>0</v>
      </c>
      <c r="D77" s="77">
        <f t="shared" si="1"/>
        <v>0</v>
      </c>
      <c r="E77" s="77">
        <f t="shared" si="2"/>
        <v>0</v>
      </c>
      <c r="F77" s="30">
        <f t="shared" si="3"/>
        <v>0</v>
      </c>
      <c r="G77" s="78">
        <f t="shared" si="4"/>
        <v>0</v>
      </c>
    </row>
    <row r="78" spans="1:7" ht="13.5" hidden="1" thickBot="1" x14ac:dyDescent="0.25">
      <c r="A78" s="15">
        <f t="shared" si="5"/>
        <v>58</v>
      </c>
      <c r="B78" s="30">
        <f t="shared" si="6"/>
        <v>0</v>
      </c>
      <c r="C78" s="77">
        <f t="shared" si="0"/>
        <v>0</v>
      </c>
      <c r="D78" s="77">
        <f t="shared" si="1"/>
        <v>0</v>
      </c>
      <c r="E78" s="77">
        <f t="shared" si="2"/>
        <v>0</v>
      </c>
      <c r="F78" s="30">
        <f t="shared" si="3"/>
        <v>0</v>
      </c>
      <c r="G78" s="78">
        <f t="shared" si="4"/>
        <v>0</v>
      </c>
    </row>
    <row r="79" spans="1:7" ht="13.5" hidden="1" thickBot="1" x14ac:dyDescent="0.25">
      <c r="A79" s="15">
        <f t="shared" si="5"/>
        <v>59</v>
      </c>
      <c r="B79" s="30">
        <f t="shared" si="6"/>
        <v>0</v>
      </c>
      <c r="C79" s="77">
        <f t="shared" si="0"/>
        <v>0</v>
      </c>
      <c r="D79" s="77">
        <f t="shared" si="1"/>
        <v>0</v>
      </c>
      <c r="E79" s="77">
        <f t="shared" si="2"/>
        <v>0</v>
      </c>
      <c r="F79" s="30">
        <f t="shared" si="3"/>
        <v>0</v>
      </c>
      <c r="G79" s="78">
        <f t="shared" si="4"/>
        <v>0</v>
      </c>
    </row>
    <row r="80" spans="1:7" ht="13.5" hidden="1" thickBot="1" x14ac:dyDescent="0.25">
      <c r="A80" s="15">
        <f t="shared" si="5"/>
        <v>60</v>
      </c>
      <c r="B80" s="30">
        <f t="shared" si="6"/>
        <v>0</v>
      </c>
      <c r="C80" s="77">
        <f t="shared" si="0"/>
        <v>0</v>
      </c>
      <c r="D80" s="77">
        <f t="shared" si="1"/>
        <v>0</v>
      </c>
      <c r="E80" s="77">
        <f t="shared" si="2"/>
        <v>0</v>
      </c>
      <c r="F80" s="30">
        <f t="shared" si="3"/>
        <v>0</v>
      </c>
      <c r="G80" s="78">
        <f t="shared" si="4"/>
        <v>0</v>
      </c>
    </row>
    <row r="81" spans="1:7" ht="13.5" hidden="1" thickBot="1" x14ac:dyDescent="0.25">
      <c r="A81" s="15">
        <f t="shared" si="5"/>
        <v>61</v>
      </c>
      <c r="B81" s="30">
        <f t="shared" si="6"/>
        <v>0</v>
      </c>
      <c r="C81" s="77">
        <f t="shared" si="0"/>
        <v>0</v>
      </c>
      <c r="D81" s="77">
        <f t="shared" si="1"/>
        <v>0</v>
      </c>
      <c r="E81" s="77">
        <f t="shared" si="2"/>
        <v>0</v>
      </c>
      <c r="F81" s="30">
        <f t="shared" si="3"/>
        <v>0</v>
      </c>
      <c r="G81" s="78">
        <f t="shared" si="4"/>
        <v>0</v>
      </c>
    </row>
    <row r="82" spans="1:7" ht="13.5" hidden="1" thickBot="1" x14ac:dyDescent="0.25">
      <c r="A82" s="15">
        <f t="shared" si="5"/>
        <v>62</v>
      </c>
      <c r="B82" s="30">
        <f t="shared" si="6"/>
        <v>0</v>
      </c>
      <c r="C82" s="77">
        <f t="shared" si="0"/>
        <v>0</v>
      </c>
      <c r="D82" s="77">
        <f t="shared" si="1"/>
        <v>0</v>
      </c>
      <c r="E82" s="77">
        <f t="shared" si="2"/>
        <v>0</v>
      </c>
      <c r="F82" s="30">
        <f t="shared" si="3"/>
        <v>0</v>
      </c>
      <c r="G82" s="78">
        <f t="shared" si="4"/>
        <v>0</v>
      </c>
    </row>
    <row r="83" spans="1:7" ht="13.5" hidden="1" thickBot="1" x14ac:dyDescent="0.25">
      <c r="A83" s="15">
        <f t="shared" si="5"/>
        <v>63</v>
      </c>
      <c r="B83" s="30">
        <f t="shared" si="6"/>
        <v>0</v>
      </c>
      <c r="C83" s="77">
        <f t="shared" si="0"/>
        <v>0</v>
      </c>
      <c r="D83" s="77">
        <f t="shared" si="1"/>
        <v>0</v>
      </c>
      <c r="E83" s="77">
        <f t="shared" si="2"/>
        <v>0</v>
      </c>
      <c r="F83" s="30">
        <f t="shared" si="3"/>
        <v>0</v>
      </c>
      <c r="G83" s="78">
        <f t="shared" si="4"/>
        <v>0</v>
      </c>
    </row>
    <row r="84" spans="1:7" ht="13.5" hidden="1" thickBot="1" x14ac:dyDescent="0.25">
      <c r="A84" s="15">
        <f t="shared" si="5"/>
        <v>64</v>
      </c>
      <c r="B84" s="30">
        <f t="shared" si="6"/>
        <v>0</v>
      </c>
      <c r="C84" s="77">
        <f t="shared" si="0"/>
        <v>0</v>
      </c>
      <c r="D84" s="77">
        <f t="shared" si="1"/>
        <v>0</v>
      </c>
      <c r="E84" s="77">
        <f t="shared" si="2"/>
        <v>0</v>
      </c>
      <c r="F84" s="30">
        <f t="shared" si="3"/>
        <v>0</v>
      </c>
      <c r="G84" s="78">
        <f t="shared" si="4"/>
        <v>0</v>
      </c>
    </row>
    <row r="85" spans="1:7" ht="13.5" hidden="1" thickBot="1" x14ac:dyDescent="0.25">
      <c r="A85" s="15">
        <f t="shared" si="5"/>
        <v>65</v>
      </c>
      <c r="B85" s="30">
        <f t="shared" si="6"/>
        <v>0</v>
      </c>
      <c r="C85" s="77">
        <f t="shared" ref="C85:C148" si="7">IF(A85&lt;=$D$10,D85+$D$13,0)</f>
        <v>0</v>
      </c>
      <c r="D85" s="77">
        <f t="shared" ref="D85:D148" si="8">E85+F85</f>
        <v>0</v>
      </c>
      <c r="E85" s="77">
        <f t="shared" ref="E85:E148" si="9">B85*$D$11</f>
        <v>0</v>
      </c>
      <c r="F85" s="30">
        <f t="shared" ref="F85:F148" si="10">IF(A85&lt;=$D$10,$D$12*-1,0)</f>
        <v>0</v>
      </c>
      <c r="G85" s="78">
        <f t="shared" ref="G85:G148" si="11">B85-F85</f>
        <v>0</v>
      </c>
    </row>
    <row r="86" spans="1:7" ht="13.5" hidden="1" thickBot="1" x14ac:dyDescent="0.25">
      <c r="A86" s="15">
        <f t="shared" ref="A86:A149" si="12">A85+1</f>
        <v>66</v>
      </c>
      <c r="B86" s="30">
        <f t="shared" ref="B86:B149" si="13">B85-F85</f>
        <v>0</v>
      </c>
      <c r="C86" s="77">
        <f t="shared" si="7"/>
        <v>0</v>
      </c>
      <c r="D86" s="77">
        <f t="shared" si="8"/>
        <v>0</v>
      </c>
      <c r="E86" s="77">
        <f t="shared" si="9"/>
        <v>0</v>
      </c>
      <c r="F86" s="30">
        <f t="shared" si="10"/>
        <v>0</v>
      </c>
      <c r="G86" s="78">
        <f t="shared" si="11"/>
        <v>0</v>
      </c>
    </row>
    <row r="87" spans="1:7" ht="13.5" hidden="1" thickBot="1" x14ac:dyDescent="0.25">
      <c r="A87" s="15">
        <f t="shared" si="12"/>
        <v>67</v>
      </c>
      <c r="B87" s="30">
        <f t="shared" si="13"/>
        <v>0</v>
      </c>
      <c r="C87" s="77">
        <f t="shared" si="7"/>
        <v>0</v>
      </c>
      <c r="D87" s="77">
        <f t="shared" si="8"/>
        <v>0</v>
      </c>
      <c r="E87" s="77">
        <f t="shared" si="9"/>
        <v>0</v>
      </c>
      <c r="F87" s="30">
        <f t="shared" si="10"/>
        <v>0</v>
      </c>
      <c r="G87" s="78">
        <f t="shared" si="11"/>
        <v>0</v>
      </c>
    </row>
    <row r="88" spans="1:7" ht="13.5" hidden="1" thickBot="1" x14ac:dyDescent="0.25">
      <c r="A88" s="15">
        <f t="shared" si="12"/>
        <v>68</v>
      </c>
      <c r="B88" s="30">
        <f t="shared" si="13"/>
        <v>0</v>
      </c>
      <c r="C88" s="77">
        <f t="shared" si="7"/>
        <v>0</v>
      </c>
      <c r="D88" s="77">
        <f t="shared" si="8"/>
        <v>0</v>
      </c>
      <c r="E88" s="77">
        <f t="shared" si="9"/>
        <v>0</v>
      </c>
      <c r="F88" s="30">
        <f t="shared" si="10"/>
        <v>0</v>
      </c>
      <c r="G88" s="78">
        <f t="shared" si="11"/>
        <v>0</v>
      </c>
    </row>
    <row r="89" spans="1:7" ht="13.5" hidden="1" thickBot="1" x14ac:dyDescent="0.25">
      <c r="A89" s="15">
        <f t="shared" si="12"/>
        <v>69</v>
      </c>
      <c r="B89" s="30">
        <f t="shared" si="13"/>
        <v>0</v>
      </c>
      <c r="C89" s="77">
        <f t="shared" si="7"/>
        <v>0</v>
      </c>
      <c r="D89" s="77">
        <f t="shared" si="8"/>
        <v>0</v>
      </c>
      <c r="E89" s="77">
        <f t="shared" si="9"/>
        <v>0</v>
      </c>
      <c r="F89" s="30">
        <f t="shared" si="10"/>
        <v>0</v>
      </c>
      <c r="G89" s="78">
        <f t="shared" si="11"/>
        <v>0</v>
      </c>
    </row>
    <row r="90" spans="1:7" ht="13.5" hidden="1" thickBot="1" x14ac:dyDescent="0.25">
      <c r="A90" s="15">
        <f t="shared" si="12"/>
        <v>70</v>
      </c>
      <c r="B90" s="30">
        <f t="shared" si="13"/>
        <v>0</v>
      </c>
      <c r="C90" s="77">
        <f t="shared" si="7"/>
        <v>0</v>
      </c>
      <c r="D90" s="77">
        <f t="shared" si="8"/>
        <v>0</v>
      </c>
      <c r="E90" s="77">
        <f t="shared" si="9"/>
        <v>0</v>
      </c>
      <c r="F90" s="30">
        <f t="shared" si="10"/>
        <v>0</v>
      </c>
      <c r="G90" s="78">
        <f t="shared" si="11"/>
        <v>0</v>
      </c>
    </row>
    <row r="91" spans="1:7" ht="13.5" hidden="1" thickBot="1" x14ac:dyDescent="0.25">
      <c r="A91" s="15">
        <f t="shared" si="12"/>
        <v>71</v>
      </c>
      <c r="B91" s="30">
        <f t="shared" si="13"/>
        <v>0</v>
      </c>
      <c r="C91" s="77">
        <f t="shared" si="7"/>
        <v>0</v>
      </c>
      <c r="D91" s="77">
        <f t="shared" si="8"/>
        <v>0</v>
      </c>
      <c r="E91" s="77">
        <f t="shared" si="9"/>
        <v>0</v>
      </c>
      <c r="F91" s="30">
        <f t="shared" si="10"/>
        <v>0</v>
      </c>
      <c r="G91" s="78">
        <f t="shared" si="11"/>
        <v>0</v>
      </c>
    </row>
    <row r="92" spans="1:7" ht="13.5" hidden="1" thickBot="1" x14ac:dyDescent="0.25">
      <c r="A92" s="15">
        <f t="shared" si="12"/>
        <v>72</v>
      </c>
      <c r="B92" s="30">
        <f t="shared" si="13"/>
        <v>0</v>
      </c>
      <c r="C92" s="77">
        <f t="shared" si="7"/>
        <v>0</v>
      </c>
      <c r="D92" s="77">
        <f t="shared" si="8"/>
        <v>0</v>
      </c>
      <c r="E92" s="77">
        <f t="shared" si="9"/>
        <v>0</v>
      </c>
      <c r="F92" s="30">
        <f t="shared" si="10"/>
        <v>0</v>
      </c>
      <c r="G92" s="78">
        <f t="shared" si="11"/>
        <v>0</v>
      </c>
    </row>
    <row r="93" spans="1:7" ht="13.5" hidden="1" thickBot="1" x14ac:dyDescent="0.25">
      <c r="A93" s="15">
        <f t="shared" si="12"/>
        <v>73</v>
      </c>
      <c r="B93" s="30">
        <f t="shared" si="13"/>
        <v>0</v>
      </c>
      <c r="C93" s="77">
        <f t="shared" si="7"/>
        <v>0</v>
      </c>
      <c r="D93" s="77">
        <f t="shared" si="8"/>
        <v>0</v>
      </c>
      <c r="E93" s="77">
        <f t="shared" si="9"/>
        <v>0</v>
      </c>
      <c r="F93" s="30">
        <f t="shared" si="10"/>
        <v>0</v>
      </c>
      <c r="G93" s="78">
        <f t="shared" si="11"/>
        <v>0</v>
      </c>
    </row>
    <row r="94" spans="1:7" ht="13.5" hidden="1" thickBot="1" x14ac:dyDescent="0.25">
      <c r="A94" s="15">
        <f t="shared" si="12"/>
        <v>74</v>
      </c>
      <c r="B94" s="30">
        <f t="shared" si="13"/>
        <v>0</v>
      </c>
      <c r="C94" s="77">
        <f t="shared" si="7"/>
        <v>0</v>
      </c>
      <c r="D94" s="77">
        <f t="shared" si="8"/>
        <v>0</v>
      </c>
      <c r="E94" s="77">
        <f t="shared" si="9"/>
        <v>0</v>
      </c>
      <c r="F94" s="30">
        <f t="shared" si="10"/>
        <v>0</v>
      </c>
      <c r="G94" s="78">
        <f t="shared" si="11"/>
        <v>0</v>
      </c>
    </row>
    <row r="95" spans="1:7" ht="13.5" hidden="1" thickBot="1" x14ac:dyDescent="0.25">
      <c r="A95" s="15">
        <f t="shared" si="12"/>
        <v>75</v>
      </c>
      <c r="B95" s="30">
        <f t="shared" si="13"/>
        <v>0</v>
      </c>
      <c r="C95" s="77">
        <f t="shared" si="7"/>
        <v>0</v>
      </c>
      <c r="D95" s="77">
        <f t="shared" si="8"/>
        <v>0</v>
      </c>
      <c r="E95" s="77">
        <f t="shared" si="9"/>
        <v>0</v>
      </c>
      <c r="F95" s="30">
        <f t="shared" si="10"/>
        <v>0</v>
      </c>
      <c r="G95" s="78">
        <f t="shared" si="11"/>
        <v>0</v>
      </c>
    </row>
    <row r="96" spans="1:7" ht="13.5" hidden="1" thickBot="1" x14ac:dyDescent="0.25">
      <c r="A96" s="15">
        <f t="shared" si="12"/>
        <v>76</v>
      </c>
      <c r="B96" s="30">
        <f t="shared" si="13"/>
        <v>0</v>
      </c>
      <c r="C96" s="77">
        <f t="shared" si="7"/>
        <v>0</v>
      </c>
      <c r="D96" s="77">
        <f t="shared" si="8"/>
        <v>0</v>
      </c>
      <c r="E96" s="77">
        <f t="shared" si="9"/>
        <v>0</v>
      </c>
      <c r="F96" s="30">
        <f t="shared" si="10"/>
        <v>0</v>
      </c>
      <c r="G96" s="78">
        <f t="shared" si="11"/>
        <v>0</v>
      </c>
    </row>
    <row r="97" spans="1:7" ht="13.5" hidden="1" thickBot="1" x14ac:dyDescent="0.25">
      <c r="A97" s="15">
        <f t="shared" si="12"/>
        <v>77</v>
      </c>
      <c r="B97" s="30">
        <f t="shared" si="13"/>
        <v>0</v>
      </c>
      <c r="C97" s="77">
        <f t="shared" si="7"/>
        <v>0</v>
      </c>
      <c r="D97" s="77">
        <f t="shared" si="8"/>
        <v>0</v>
      </c>
      <c r="E97" s="77">
        <f t="shared" si="9"/>
        <v>0</v>
      </c>
      <c r="F97" s="30">
        <f t="shared" si="10"/>
        <v>0</v>
      </c>
      <c r="G97" s="78">
        <f t="shared" si="11"/>
        <v>0</v>
      </c>
    </row>
    <row r="98" spans="1:7" ht="13.5" hidden="1" thickBot="1" x14ac:dyDescent="0.25">
      <c r="A98" s="15">
        <f t="shared" si="12"/>
        <v>78</v>
      </c>
      <c r="B98" s="30">
        <f t="shared" si="13"/>
        <v>0</v>
      </c>
      <c r="C98" s="77">
        <f t="shared" si="7"/>
        <v>0</v>
      </c>
      <c r="D98" s="77">
        <f t="shared" si="8"/>
        <v>0</v>
      </c>
      <c r="E98" s="77">
        <f t="shared" si="9"/>
        <v>0</v>
      </c>
      <c r="F98" s="30">
        <f t="shared" si="10"/>
        <v>0</v>
      </c>
      <c r="G98" s="78">
        <f t="shared" si="11"/>
        <v>0</v>
      </c>
    </row>
    <row r="99" spans="1:7" ht="13.5" hidden="1" thickBot="1" x14ac:dyDescent="0.25">
      <c r="A99" s="15">
        <f t="shared" si="12"/>
        <v>79</v>
      </c>
      <c r="B99" s="30">
        <f t="shared" si="13"/>
        <v>0</v>
      </c>
      <c r="C99" s="77">
        <f t="shared" si="7"/>
        <v>0</v>
      </c>
      <c r="D99" s="77">
        <f t="shared" si="8"/>
        <v>0</v>
      </c>
      <c r="E99" s="77">
        <f t="shared" si="9"/>
        <v>0</v>
      </c>
      <c r="F99" s="30">
        <f t="shared" si="10"/>
        <v>0</v>
      </c>
      <c r="G99" s="78">
        <f t="shared" si="11"/>
        <v>0</v>
      </c>
    </row>
    <row r="100" spans="1:7" ht="13.5" hidden="1" thickBot="1" x14ac:dyDescent="0.25">
      <c r="A100" s="15">
        <f t="shared" si="12"/>
        <v>80</v>
      </c>
      <c r="B100" s="30">
        <f t="shared" si="13"/>
        <v>0</v>
      </c>
      <c r="C100" s="77">
        <f t="shared" si="7"/>
        <v>0</v>
      </c>
      <c r="D100" s="77">
        <f t="shared" si="8"/>
        <v>0</v>
      </c>
      <c r="E100" s="77">
        <f t="shared" si="9"/>
        <v>0</v>
      </c>
      <c r="F100" s="30">
        <f t="shared" si="10"/>
        <v>0</v>
      </c>
      <c r="G100" s="78">
        <f t="shared" si="11"/>
        <v>0</v>
      </c>
    </row>
    <row r="101" spans="1:7" ht="13.5" hidden="1" thickBot="1" x14ac:dyDescent="0.25">
      <c r="A101" s="15">
        <f t="shared" si="12"/>
        <v>81</v>
      </c>
      <c r="B101" s="30">
        <f t="shared" si="13"/>
        <v>0</v>
      </c>
      <c r="C101" s="77">
        <f t="shared" si="7"/>
        <v>0</v>
      </c>
      <c r="D101" s="77">
        <f t="shared" si="8"/>
        <v>0</v>
      </c>
      <c r="E101" s="77">
        <f t="shared" si="9"/>
        <v>0</v>
      </c>
      <c r="F101" s="30">
        <f t="shared" si="10"/>
        <v>0</v>
      </c>
      <c r="G101" s="78">
        <f t="shared" si="11"/>
        <v>0</v>
      </c>
    </row>
    <row r="102" spans="1:7" ht="13.5" hidden="1" thickBot="1" x14ac:dyDescent="0.25">
      <c r="A102" s="15">
        <f t="shared" si="12"/>
        <v>82</v>
      </c>
      <c r="B102" s="30">
        <f t="shared" si="13"/>
        <v>0</v>
      </c>
      <c r="C102" s="77">
        <f t="shared" si="7"/>
        <v>0</v>
      </c>
      <c r="D102" s="77">
        <f t="shared" si="8"/>
        <v>0</v>
      </c>
      <c r="E102" s="77">
        <f t="shared" si="9"/>
        <v>0</v>
      </c>
      <c r="F102" s="30">
        <f t="shared" si="10"/>
        <v>0</v>
      </c>
      <c r="G102" s="78">
        <f t="shared" si="11"/>
        <v>0</v>
      </c>
    </row>
    <row r="103" spans="1:7" ht="13.5" hidden="1" thickBot="1" x14ac:dyDescent="0.25">
      <c r="A103" s="15">
        <f t="shared" si="12"/>
        <v>83</v>
      </c>
      <c r="B103" s="30">
        <f t="shared" si="13"/>
        <v>0</v>
      </c>
      <c r="C103" s="77">
        <f t="shared" si="7"/>
        <v>0</v>
      </c>
      <c r="D103" s="77">
        <f t="shared" si="8"/>
        <v>0</v>
      </c>
      <c r="E103" s="77">
        <f t="shared" si="9"/>
        <v>0</v>
      </c>
      <c r="F103" s="30">
        <f t="shared" si="10"/>
        <v>0</v>
      </c>
      <c r="G103" s="78">
        <f t="shared" si="11"/>
        <v>0</v>
      </c>
    </row>
    <row r="104" spans="1:7" ht="13.5" hidden="1" thickBot="1" x14ac:dyDescent="0.25">
      <c r="A104" s="15">
        <f t="shared" si="12"/>
        <v>84</v>
      </c>
      <c r="B104" s="30">
        <f t="shared" si="13"/>
        <v>0</v>
      </c>
      <c r="C104" s="77">
        <f t="shared" si="7"/>
        <v>0</v>
      </c>
      <c r="D104" s="77">
        <f t="shared" si="8"/>
        <v>0</v>
      </c>
      <c r="E104" s="77">
        <f t="shared" si="9"/>
        <v>0</v>
      </c>
      <c r="F104" s="30">
        <f t="shared" si="10"/>
        <v>0</v>
      </c>
      <c r="G104" s="78">
        <f t="shared" si="11"/>
        <v>0</v>
      </c>
    </row>
    <row r="105" spans="1:7" ht="13.5" hidden="1" thickBot="1" x14ac:dyDescent="0.25">
      <c r="A105" s="15">
        <f t="shared" si="12"/>
        <v>85</v>
      </c>
      <c r="B105" s="30">
        <f t="shared" si="13"/>
        <v>0</v>
      </c>
      <c r="C105" s="77">
        <f t="shared" si="7"/>
        <v>0</v>
      </c>
      <c r="D105" s="77">
        <f t="shared" si="8"/>
        <v>0</v>
      </c>
      <c r="E105" s="77">
        <f t="shared" si="9"/>
        <v>0</v>
      </c>
      <c r="F105" s="30">
        <f t="shared" si="10"/>
        <v>0</v>
      </c>
      <c r="G105" s="78">
        <f t="shared" si="11"/>
        <v>0</v>
      </c>
    </row>
    <row r="106" spans="1:7" ht="13.5" hidden="1" thickBot="1" x14ac:dyDescent="0.25">
      <c r="A106" s="15">
        <f t="shared" si="12"/>
        <v>86</v>
      </c>
      <c r="B106" s="30">
        <f t="shared" si="13"/>
        <v>0</v>
      </c>
      <c r="C106" s="77">
        <f t="shared" si="7"/>
        <v>0</v>
      </c>
      <c r="D106" s="77">
        <f t="shared" si="8"/>
        <v>0</v>
      </c>
      <c r="E106" s="77">
        <f t="shared" si="9"/>
        <v>0</v>
      </c>
      <c r="F106" s="30">
        <f t="shared" si="10"/>
        <v>0</v>
      </c>
      <c r="G106" s="78">
        <f t="shared" si="11"/>
        <v>0</v>
      </c>
    </row>
    <row r="107" spans="1:7" ht="13.5" hidden="1" thickBot="1" x14ac:dyDescent="0.25">
      <c r="A107" s="15">
        <f t="shared" si="12"/>
        <v>87</v>
      </c>
      <c r="B107" s="30">
        <f t="shared" si="13"/>
        <v>0</v>
      </c>
      <c r="C107" s="77">
        <f t="shared" si="7"/>
        <v>0</v>
      </c>
      <c r="D107" s="77">
        <f t="shared" si="8"/>
        <v>0</v>
      </c>
      <c r="E107" s="77">
        <f t="shared" si="9"/>
        <v>0</v>
      </c>
      <c r="F107" s="30">
        <f t="shared" si="10"/>
        <v>0</v>
      </c>
      <c r="G107" s="78">
        <f t="shared" si="11"/>
        <v>0</v>
      </c>
    </row>
    <row r="108" spans="1:7" ht="13.5" hidden="1" thickBot="1" x14ac:dyDescent="0.25">
      <c r="A108" s="15">
        <f t="shared" si="12"/>
        <v>88</v>
      </c>
      <c r="B108" s="30">
        <f t="shared" si="13"/>
        <v>0</v>
      </c>
      <c r="C108" s="77">
        <f t="shared" si="7"/>
        <v>0</v>
      </c>
      <c r="D108" s="77">
        <f t="shared" si="8"/>
        <v>0</v>
      </c>
      <c r="E108" s="77">
        <f t="shared" si="9"/>
        <v>0</v>
      </c>
      <c r="F108" s="30">
        <f t="shared" si="10"/>
        <v>0</v>
      </c>
      <c r="G108" s="78">
        <f t="shared" si="11"/>
        <v>0</v>
      </c>
    </row>
    <row r="109" spans="1:7" ht="13.5" hidden="1" thickBot="1" x14ac:dyDescent="0.25">
      <c r="A109" s="15">
        <f t="shared" si="12"/>
        <v>89</v>
      </c>
      <c r="B109" s="30">
        <f t="shared" si="13"/>
        <v>0</v>
      </c>
      <c r="C109" s="77">
        <f t="shared" si="7"/>
        <v>0</v>
      </c>
      <c r="D109" s="77">
        <f t="shared" si="8"/>
        <v>0</v>
      </c>
      <c r="E109" s="77">
        <f t="shared" si="9"/>
        <v>0</v>
      </c>
      <c r="F109" s="30">
        <f t="shared" si="10"/>
        <v>0</v>
      </c>
      <c r="G109" s="78">
        <f t="shared" si="11"/>
        <v>0</v>
      </c>
    </row>
    <row r="110" spans="1:7" ht="13.5" hidden="1" thickBot="1" x14ac:dyDescent="0.25">
      <c r="A110" s="15">
        <f t="shared" si="12"/>
        <v>90</v>
      </c>
      <c r="B110" s="30">
        <f t="shared" si="13"/>
        <v>0</v>
      </c>
      <c r="C110" s="77">
        <f t="shared" si="7"/>
        <v>0</v>
      </c>
      <c r="D110" s="77">
        <f t="shared" si="8"/>
        <v>0</v>
      </c>
      <c r="E110" s="77">
        <f t="shared" si="9"/>
        <v>0</v>
      </c>
      <c r="F110" s="30">
        <f t="shared" si="10"/>
        <v>0</v>
      </c>
      <c r="G110" s="78">
        <f t="shared" si="11"/>
        <v>0</v>
      </c>
    </row>
    <row r="111" spans="1:7" ht="13.5" hidden="1" thickBot="1" x14ac:dyDescent="0.25">
      <c r="A111" s="15">
        <f t="shared" si="12"/>
        <v>91</v>
      </c>
      <c r="B111" s="30">
        <f t="shared" si="13"/>
        <v>0</v>
      </c>
      <c r="C111" s="77">
        <f t="shared" si="7"/>
        <v>0</v>
      </c>
      <c r="D111" s="77">
        <f t="shared" si="8"/>
        <v>0</v>
      </c>
      <c r="E111" s="77">
        <f t="shared" si="9"/>
        <v>0</v>
      </c>
      <c r="F111" s="30">
        <f t="shared" si="10"/>
        <v>0</v>
      </c>
      <c r="G111" s="78">
        <f t="shared" si="11"/>
        <v>0</v>
      </c>
    </row>
    <row r="112" spans="1:7" ht="13.5" hidden="1" thickBot="1" x14ac:dyDescent="0.25">
      <c r="A112" s="15">
        <f t="shared" si="12"/>
        <v>92</v>
      </c>
      <c r="B112" s="30">
        <f t="shared" si="13"/>
        <v>0</v>
      </c>
      <c r="C112" s="77">
        <f t="shared" si="7"/>
        <v>0</v>
      </c>
      <c r="D112" s="77">
        <f t="shared" si="8"/>
        <v>0</v>
      </c>
      <c r="E112" s="77">
        <f t="shared" si="9"/>
        <v>0</v>
      </c>
      <c r="F112" s="30">
        <f t="shared" si="10"/>
        <v>0</v>
      </c>
      <c r="G112" s="78">
        <f t="shared" si="11"/>
        <v>0</v>
      </c>
    </row>
    <row r="113" spans="1:7" ht="13.5" hidden="1" thickBot="1" x14ac:dyDescent="0.25">
      <c r="A113" s="15">
        <f t="shared" si="12"/>
        <v>93</v>
      </c>
      <c r="B113" s="30">
        <f t="shared" si="13"/>
        <v>0</v>
      </c>
      <c r="C113" s="77">
        <f t="shared" si="7"/>
        <v>0</v>
      </c>
      <c r="D113" s="77">
        <f t="shared" si="8"/>
        <v>0</v>
      </c>
      <c r="E113" s="77">
        <f t="shared" si="9"/>
        <v>0</v>
      </c>
      <c r="F113" s="30">
        <f t="shared" si="10"/>
        <v>0</v>
      </c>
      <c r="G113" s="78">
        <f t="shared" si="11"/>
        <v>0</v>
      </c>
    </row>
    <row r="114" spans="1:7" ht="13.5" hidden="1" thickBot="1" x14ac:dyDescent="0.25">
      <c r="A114" s="15">
        <f t="shared" si="12"/>
        <v>94</v>
      </c>
      <c r="B114" s="30">
        <f t="shared" si="13"/>
        <v>0</v>
      </c>
      <c r="C114" s="77">
        <f t="shared" si="7"/>
        <v>0</v>
      </c>
      <c r="D114" s="77">
        <f t="shared" si="8"/>
        <v>0</v>
      </c>
      <c r="E114" s="77">
        <f t="shared" si="9"/>
        <v>0</v>
      </c>
      <c r="F114" s="30">
        <f t="shared" si="10"/>
        <v>0</v>
      </c>
      <c r="G114" s="78">
        <f t="shared" si="11"/>
        <v>0</v>
      </c>
    </row>
    <row r="115" spans="1:7" ht="13.5" hidden="1" thickBot="1" x14ac:dyDescent="0.25">
      <c r="A115" s="15">
        <f t="shared" si="12"/>
        <v>95</v>
      </c>
      <c r="B115" s="30">
        <f t="shared" si="13"/>
        <v>0</v>
      </c>
      <c r="C115" s="77">
        <f t="shared" si="7"/>
        <v>0</v>
      </c>
      <c r="D115" s="77">
        <f t="shared" si="8"/>
        <v>0</v>
      </c>
      <c r="E115" s="77">
        <f t="shared" si="9"/>
        <v>0</v>
      </c>
      <c r="F115" s="30">
        <f t="shared" si="10"/>
        <v>0</v>
      </c>
      <c r="G115" s="78">
        <f t="shared" si="11"/>
        <v>0</v>
      </c>
    </row>
    <row r="116" spans="1:7" ht="13.5" hidden="1" thickBot="1" x14ac:dyDescent="0.25">
      <c r="A116" s="15">
        <f t="shared" si="12"/>
        <v>96</v>
      </c>
      <c r="B116" s="30">
        <f t="shared" si="13"/>
        <v>0</v>
      </c>
      <c r="C116" s="77">
        <f t="shared" si="7"/>
        <v>0</v>
      </c>
      <c r="D116" s="77">
        <f t="shared" si="8"/>
        <v>0</v>
      </c>
      <c r="E116" s="77">
        <f t="shared" si="9"/>
        <v>0</v>
      </c>
      <c r="F116" s="30">
        <f t="shared" si="10"/>
        <v>0</v>
      </c>
      <c r="G116" s="78">
        <f t="shared" si="11"/>
        <v>0</v>
      </c>
    </row>
    <row r="117" spans="1:7" ht="13.5" hidden="1" thickBot="1" x14ac:dyDescent="0.25">
      <c r="A117" s="15">
        <f t="shared" si="12"/>
        <v>97</v>
      </c>
      <c r="B117" s="30">
        <f t="shared" si="13"/>
        <v>0</v>
      </c>
      <c r="C117" s="77">
        <f t="shared" si="7"/>
        <v>0</v>
      </c>
      <c r="D117" s="77">
        <f t="shared" si="8"/>
        <v>0</v>
      </c>
      <c r="E117" s="77">
        <f t="shared" si="9"/>
        <v>0</v>
      </c>
      <c r="F117" s="30">
        <f t="shared" si="10"/>
        <v>0</v>
      </c>
      <c r="G117" s="78">
        <f t="shared" si="11"/>
        <v>0</v>
      </c>
    </row>
    <row r="118" spans="1:7" ht="13.5" hidden="1" thickBot="1" x14ac:dyDescent="0.25">
      <c r="A118" s="15">
        <f t="shared" si="12"/>
        <v>98</v>
      </c>
      <c r="B118" s="30">
        <f t="shared" si="13"/>
        <v>0</v>
      </c>
      <c r="C118" s="77">
        <f t="shared" si="7"/>
        <v>0</v>
      </c>
      <c r="D118" s="77">
        <f t="shared" si="8"/>
        <v>0</v>
      </c>
      <c r="E118" s="77">
        <f t="shared" si="9"/>
        <v>0</v>
      </c>
      <c r="F118" s="30">
        <f t="shared" si="10"/>
        <v>0</v>
      </c>
      <c r="G118" s="78">
        <f t="shared" si="11"/>
        <v>0</v>
      </c>
    </row>
    <row r="119" spans="1:7" ht="13.5" hidden="1" thickBot="1" x14ac:dyDescent="0.25">
      <c r="A119" s="15">
        <f t="shared" si="12"/>
        <v>99</v>
      </c>
      <c r="B119" s="30">
        <f t="shared" si="13"/>
        <v>0</v>
      </c>
      <c r="C119" s="77">
        <f t="shared" si="7"/>
        <v>0</v>
      </c>
      <c r="D119" s="77">
        <f t="shared" si="8"/>
        <v>0</v>
      </c>
      <c r="E119" s="77">
        <f t="shared" si="9"/>
        <v>0</v>
      </c>
      <c r="F119" s="30">
        <f t="shared" si="10"/>
        <v>0</v>
      </c>
      <c r="G119" s="78">
        <f t="shared" si="11"/>
        <v>0</v>
      </c>
    </row>
    <row r="120" spans="1:7" ht="13.5" hidden="1" thickBot="1" x14ac:dyDescent="0.25">
      <c r="A120" s="15">
        <f t="shared" si="12"/>
        <v>100</v>
      </c>
      <c r="B120" s="30">
        <f t="shared" si="13"/>
        <v>0</v>
      </c>
      <c r="C120" s="77">
        <f t="shared" si="7"/>
        <v>0</v>
      </c>
      <c r="D120" s="77">
        <f t="shared" si="8"/>
        <v>0</v>
      </c>
      <c r="E120" s="77">
        <f t="shared" si="9"/>
        <v>0</v>
      </c>
      <c r="F120" s="30">
        <f t="shared" si="10"/>
        <v>0</v>
      </c>
      <c r="G120" s="78">
        <f t="shared" si="11"/>
        <v>0</v>
      </c>
    </row>
    <row r="121" spans="1:7" ht="13.5" hidden="1" thickBot="1" x14ac:dyDescent="0.25">
      <c r="A121" s="15">
        <f t="shared" si="12"/>
        <v>101</v>
      </c>
      <c r="B121" s="30">
        <f t="shared" si="13"/>
        <v>0</v>
      </c>
      <c r="C121" s="77">
        <f t="shared" si="7"/>
        <v>0</v>
      </c>
      <c r="D121" s="77">
        <f t="shared" si="8"/>
        <v>0</v>
      </c>
      <c r="E121" s="77">
        <f t="shared" si="9"/>
        <v>0</v>
      </c>
      <c r="F121" s="30">
        <f t="shared" si="10"/>
        <v>0</v>
      </c>
      <c r="G121" s="78">
        <f t="shared" si="11"/>
        <v>0</v>
      </c>
    </row>
    <row r="122" spans="1:7" ht="13.5" hidden="1" thickBot="1" x14ac:dyDescent="0.25">
      <c r="A122" s="15">
        <f t="shared" si="12"/>
        <v>102</v>
      </c>
      <c r="B122" s="30">
        <f t="shared" si="13"/>
        <v>0</v>
      </c>
      <c r="C122" s="77">
        <f t="shared" si="7"/>
        <v>0</v>
      </c>
      <c r="D122" s="77">
        <f t="shared" si="8"/>
        <v>0</v>
      </c>
      <c r="E122" s="77">
        <f t="shared" si="9"/>
        <v>0</v>
      </c>
      <c r="F122" s="30">
        <f t="shared" si="10"/>
        <v>0</v>
      </c>
      <c r="G122" s="78">
        <f t="shared" si="11"/>
        <v>0</v>
      </c>
    </row>
    <row r="123" spans="1:7" ht="13.5" hidden="1" thickBot="1" x14ac:dyDescent="0.25">
      <c r="A123" s="15">
        <f t="shared" si="12"/>
        <v>103</v>
      </c>
      <c r="B123" s="30">
        <f t="shared" si="13"/>
        <v>0</v>
      </c>
      <c r="C123" s="77">
        <f t="shared" si="7"/>
        <v>0</v>
      </c>
      <c r="D123" s="77">
        <f t="shared" si="8"/>
        <v>0</v>
      </c>
      <c r="E123" s="77">
        <f t="shared" si="9"/>
        <v>0</v>
      </c>
      <c r="F123" s="30">
        <f t="shared" si="10"/>
        <v>0</v>
      </c>
      <c r="G123" s="78">
        <f t="shared" si="11"/>
        <v>0</v>
      </c>
    </row>
    <row r="124" spans="1:7" ht="13.5" hidden="1" thickBot="1" x14ac:dyDescent="0.25">
      <c r="A124" s="15">
        <f t="shared" si="12"/>
        <v>104</v>
      </c>
      <c r="B124" s="30">
        <f t="shared" si="13"/>
        <v>0</v>
      </c>
      <c r="C124" s="77">
        <f t="shared" si="7"/>
        <v>0</v>
      </c>
      <c r="D124" s="77">
        <f t="shared" si="8"/>
        <v>0</v>
      </c>
      <c r="E124" s="77">
        <f t="shared" si="9"/>
        <v>0</v>
      </c>
      <c r="F124" s="30">
        <f t="shared" si="10"/>
        <v>0</v>
      </c>
      <c r="G124" s="78">
        <f t="shared" si="11"/>
        <v>0</v>
      </c>
    </row>
    <row r="125" spans="1:7" ht="13.5" hidden="1" thickBot="1" x14ac:dyDescent="0.25">
      <c r="A125" s="15">
        <f t="shared" si="12"/>
        <v>105</v>
      </c>
      <c r="B125" s="30">
        <f t="shared" si="13"/>
        <v>0</v>
      </c>
      <c r="C125" s="77">
        <f t="shared" si="7"/>
        <v>0</v>
      </c>
      <c r="D125" s="77">
        <f t="shared" si="8"/>
        <v>0</v>
      </c>
      <c r="E125" s="77">
        <f t="shared" si="9"/>
        <v>0</v>
      </c>
      <c r="F125" s="30">
        <f t="shared" si="10"/>
        <v>0</v>
      </c>
      <c r="G125" s="78">
        <f t="shared" si="11"/>
        <v>0</v>
      </c>
    </row>
    <row r="126" spans="1:7" ht="13.5" hidden="1" thickBot="1" x14ac:dyDescent="0.25">
      <c r="A126" s="15">
        <f t="shared" si="12"/>
        <v>106</v>
      </c>
      <c r="B126" s="30">
        <f t="shared" si="13"/>
        <v>0</v>
      </c>
      <c r="C126" s="77">
        <f t="shared" si="7"/>
        <v>0</v>
      </c>
      <c r="D126" s="77">
        <f t="shared" si="8"/>
        <v>0</v>
      </c>
      <c r="E126" s="77">
        <f t="shared" si="9"/>
        <v>0</v>
      </c>
      <c r="F126" s="30">
        <f t="shared" si="10"/>
        <v>0</v>
      </c>
      <c r="G126" s="78">
        <f t="shared" si="11"/>
        <v>0</v>
      </c>
    </row>
    <row r="127" spans="1:7" ht="13.5" hidden="1" thickBot="1" x14ac:dyDescent="0.25">
      <c r="A127" s="15">
        <f t="shared" si="12"/>
        <v>107</v>
      </c>
      <c r="B127" s="30">
        <f t="shared" si="13"/>
        <v>0</v>
      </c>
      <c r="C127" s="77">
        <f t="shared" si="7"/>
        <v>0</v>
      </c>
      <c r="D127" s="77">
        <f t="shared" si="8"/>
        <v>0</v>
      </c>
      <c r="E127" s="77">
        <f t="shared" si="9"/>
        <v>0</v>
      </c>
      <c r="F127" s="30">
        <f t="shared" si="10"/>
        <v>0</v>
      </c>
      <c r="G127" s="78">
        <f t="shared" si="11"/>
        <v>0</v>
      </c>
    </row>
    <row r="128" spans="1:7" ht="13.5" hidden="1" thickBot="1" x14ac:dyDescent="0.25">
      <c r="A128" s="15">
        <f t="shared" si="12"/>
        <v>108</v>
      </c>
      <c r="B128" s="30">
        <f t="shared" si="13"/>
        <v>0</v>
      </c>
      <c r="C128" s="77">
        <f t="shared" si="7"/>
        <v>0</v>
      </c>
      <c r="D128" s="77">
        <f t="shared" si="8"/>
        <v>0</v>
      </c>
      <c r="E128" s="77">
        <f t="shared" si="9"/>
        <v>0</v>
      </c>
      <c r="F128" s="30">
        <f t="shared" si="10"/>
        <v>0</v>
      </c>
      <c r="G128" s="78">
        <f t="shared" si="11"/>
        <v>0</v>
      </c>
    </row>
    <row r="129" spans="1:7" ht="13.5" hidden="1" thickBot="1" x14ac:dyDescent="0.25">
      <c r="A129" s="15">
        <f t="shared" si="12"/>
        <v>109</v>
      </c>
      <c r="B129" s="30">
        <f t="shared" si="13"/>
        <v>0</v>
      </c>
      <c r="C129" s="77">
        <f t="shared" si="7"/>
        <v>0</v>
      </c>
      <c r="D129" s="77">
        <f t="shared" si="8"/>
        <v>0</v>
      </c>
      <c r="E129" s="77">
        <f t="shared" si="9"/>
        <v>0</v>
      </c>
      <c r="F129" s="30">
        <f t="shared" si="10"/>
        <v>0</v>
      </c>
      <c r="G129" s="78">
        <f t="shared" si="11"/>
        <v>0</v>
      </c>
    </row>
    <row r="130" spans="1:7" ht="13.5" hidden="1" thickBot="1" x14ac:dyDescent="0.25">
      <c r="A130" s="15">
        <f t="shared" si="12"/>
        <v>110</v>
      </c>
      <c r="B130" s="30">
        <f t="shared" si="13"/>
        <v>0</v>
      </c>
      <c r="C130" s="77">
        <f t="shared" si="7"/>
        <v>0</v>
      </c>
      <c r="D130" s="77">
        <f t="shared" si="8"/>
        <v>0</v>
      </c>
      <c r="E130" s="77">
        <f t="shared" si="9"/>
        <v>0</v>
      </c>
      <c r="F130" s="30">
        <f t="shared" si="10"/>
        <v>0</v>
      </c>
      <c r="G130" s="78">
        <f t="shared" si="11"/>
        <v>0</v>
      </c>
    </row>
    <row r="131" spans="1:7" ht="13.5" hidden="1" thickBot="1" x14ac:dyDescent="0.25">
      <c r="A131" s="15">
        <f t="shared" si="12"/>
        <v>111</v>
      </c>
      <c r="B131" s="30">
        <f t="shared" si="13"/>
        <v>0</v>
      </c>
      <c r="C131" s="77">
        <f t="shared" si="7"/>
        <v>0</v>
      </c>
      <c r="D131" s="77">
        <f t="shared" si="8"/>
        <v>0</v>
      </c>
      <c r="E131" s="77">
        <f t="shared" si="9"/>
        <v>0</v>
      </c>
      <c r="F131" s="30">
        <f t="shared" si="10"/>
        <v>0</v>
      </c>
      <c r="G131" s="78">
        <f t="shared" si="11"/>
        <v>0</v>
      </c>
    </row>
    <row r="132" spans="1:7" ht="13.5" hidden="1" thickBot="1" x14ac:dyDescent="0.25">
      <c r="A132" s="15">
        <f t="shared" si="12"/>
        <v>112</v>
      </c>
      <c r="B132" s="30">
        <f t="shared" si="13"/>
        <v>0</v>
      </c>
      <c r="C132" s="77">
        <f t="shared" si="7"/>
        <v>0</v>
      </c>
      <c r="D132" s="77">
        <f t="shared" si="8"/>
        <v>0</v>
      </c>
      <c r="E132" s="77">
        <f t="shared" si="9"/>
        <v>0</v>
      </c>
      <c r="F132" s="30">
        <f t="shared" si="10"/>
        <v>0</v>
      </c>
      <c r="G132" s="78">
        <f t="shared" si="11"/>
        <v>0</v>
      </c>
    </row>
    <row r="133" spans="1:7" ht="13.5" hidden="1" thickBot="1" x14ac:dyDescent="0.25">
      <c r="A133" s="15">
        <f t="shared" si="12"/>
        <v>113</v>
      </c>
      <c r="B133" s="30">
        <f t="shared" si="13"/>
        <v>0</v>
      </c>
      <c r="C133" s="77">
        <f t="shared" si="7"/>
        <v>0</v>
      </c>
      <c r="D133" s="77">
        <f t="shared" si="8"/>
        <v>0</v>
      </c>
      <c r="E133" s="77">
        <f t="shared" si="9"/>
        <v>0</v>
      </c>
      <c r="F133" s="30">
        <f t="shared" si="10"/>
        <v>0</v>
      </c>
      <c r="G133" s="78">
        <f t="shared" si="11"/>
        <v>0</v>
      </c>
    </row>
    <row r="134" spans="1:7" ht="13.5" hidden="1" thickBot="1" x14ac:dyDescent="0.25">
      <c r="A134" s="15">
        <f t="shared" si="12"/>
        <v>114</v>
      </c>
      <c r="B134" s="30">
        <f t="shared" si="13"/>
        <v>0</v>
      </c>
      <c r="C134" s="77">
        <f t="shared" si="7"/>
        <v>0</v>
      </c>
      <c r="D134" s="77">
        <f t="shared" si="8"/>
        <v>0</v>
      </c>
      <c r="E134" s="77">
        <f t="shared" si="9"/>
        <v>0</v>
      </c>
      <c r="F134" s="30">
        <f t="shared" si="10"/>
        <v>0</v>
      </c>
      <c r="G134" s="78">
        <f t="shared" si="11"/>
        <v>0</v>
      </c>
    </row>
    <row r="135" spans="1:7" ht="13.5" hidden="1" thickBot="1" x14ac:dyDescent="0.25">
      <c r="A135" s="15">
        <f t="shared" si="12"/>
        <v>115</v>
      </c>
      <c r="B135" s="30">
        <f t="shared" si="13"/>
        <v>0</v>
      </c>
      <c r="C135" s="77">
        <f t="shared" si="7"/>
        <v>0</v>
      </c>
      <c r="D135" s="77">
        <f t="shared" si="8"/>
        <v>0</v>
      </c>
      <c r="E135" s="77">
        <f t="shared" si="9"/>
        <v>0</v>
      </c>
      <c r="F135" s="30">
        <f t="shared" si="10"/>
        <v>0</v>
      </c>
      <c r="G135" s="78">
        <f t="shared" si="11"/>
        <v>0</v>
      </c>
    </row>
    <row r="136" spans="1:7" ht="13.5" hidden="1" thickBot="1" x14ac:dyDescent="0.25">
      <c r="A136" s="15">
        <f t="shared" si="12"/>
        <v>116</v>
      </c>
      <c r="B136" s="30">
        <f t="shared" si="13"/>
        <v>0</v>
      </c>
      <c r="C136" s="77">
        <f t="shared" si="7"/>
        <v>0</v>
      </c>
      <c r="D136" s="77">
        <f t="shared" si="8"/>
        <v>0</v>
      </c>
      <c r="E136" s="77">
        <f t="shared" si="9"/>
        <v>0</v>
      </c>
      <c r="F136" s="30">
        <f t="shared" si="10"/>
        <v>0</v>
      </c>
      <c r="G136" s="78">
        <f t="shared" si="11"/>
        <v>0</v>
      </c>
    </row>
    <row r="137" spans="1:7" ht="13.5" hidden="1" thickBot="1" x14ac:dyDescent="0.25">
      <c r="A137" s="15">
        <f t="shared" si="12"/>
        <v>117</v>
      </c>
      <c r="B137" s="30">
        <f t="shared" si="13"/>
        <v>0</v>
      </c>
      <c r="C137" s="77">
        <f t="shared" si="7"/>
        <v>0</v>
      </c>
      <c r="D137" s="77">
        <f t="shared" si="8"/>
        <v>0</v>
      </c>
      <c r="E137" s="77">
        <f t="shared" si="9"/>
        <v>0</v>
      </c>
      <c r="F137" s="30">
        <f t="shared" si="10"/>
        <v>0</v>
      </c>
      <c r="G137" s="78">
        <f t="shared" si="11"/>
        <v>0</v>
      </c>
    </row>
    <row r="138" spans="1:7" ht="13.5" hidden="1" thickBot="1" x14ac:dyDescent="0.25">
      <c r="A138" s="15">
        <f t="shared" si="12"/>
        <v>118</v>
      </c>
      <c r="B138" s="30">
        <f t="shared" si="13"/>
        <v>0</v>
      </c>
      <c r="C138" s="77">
        <f t="shared" si="7"/>
        <v>0</v>
      </c>
      <c r="D138" s="77">
        <f t="shared" si="8"/>
        <v>0</v>
      </c>
      <c r="E138" s="77">
        <f t="shared" si="9"/>
        <v>0</v>
      </c>
      <c r="F138" s="30">
        <f t="shared" si="10"/>
        <v>0</v>
      </c>
      <c r="G138" s="78">
        <f t="shared" si="11"/>
        <v>0</v>
      </c>
    </row>
    <row r="139" spans="1:7" ht="13.5" hidden="1" thickBot="1" x14ac:dyDescent="0.25">
      <c r="A139" s="15">
        <f t="shared" si="12"/>
        <v>119</v>
      </c>
      <c r="B139" s="30">
        <f t="shared" si="13"/>
        <v>0</v>
      </c>
      <c r="C139" s="77">
        <f t="shared" si="7"/>
        <v>0</v>
      </c>
      <c r="D139" s="77">
        <f t="shared" si="8"/>
        <v>0</v>
      </c>
      <c r="E139" s="77">
        <f t="shared" si="9"/>
        <v>0</v>
      </c>
      <c r="F139" s="30">
        <f t="shared" si="10"/>
        <v>0</v>
      </c>
      <c r="G139" s="78">
        <f t="shared" si="11"/>
        <v>0</v>
      </c>
    </row>
    <row r="140" spans="1:7" ht="13.5" hidden="1" thickBot="1" x14ac:dyDescent="0.25">
      <c r="A140" s="15">
        <f t="shared" si="12"/>
        <v>120</v>
      </c>
      <c r="B140" s="30">
        <f t="shared" si="13"/>
        <v>0</v>
      </c>
      <c r="C140" s="77">
        <f t="shared" si="7"/>
        <v>0</v>
      </c>
      <c r="D140" s="77">
        <f t="shared" si="8"/>
        <v>0</v>
      </c>
      <c r="E140" s="77">
        <f t="shared" si="9"/>
        <v>0</v>
      </c>
      <c r="F140" s="30">
        <f t="shared" si="10"/>
        <v>0</v>
      </c>
      <c r="G140" s="78">
        <f t="shared" si="11"/>
        <v>0</v>
      </c>
    </row>
    <row r="141" spans="1:7" ht="13.5" hidden="1" thickBot="1" x14ac:dyDescent="0.25">
      <c r="A141" s="15">
        <f t="shared" si="12"/>
        <v>121</v>
      </c>
      <c r="B141" s="30">
        <f t="shared" si="13"/>
        <v>0</v>
      </c>
      <c r="C141" s="77">
        <f t="shared" si="7"/>
        <v>0</v>
      </c>
      <c r="D141" s="77">
        <f t="shared" si="8"/>
        <v>0</v>
      </c>
      <c r="E141" s="77">
        <f t="shared" si="9"/>
        <v>0</v>
      </c>
      <c r="F141" s="30">
        <f t="shared" si="10"/>
        <v>0</v>
      </c>
      <c r="G141" s="78">
        <f t="shared" si="11"/>
        <v>0</v>
      </c>
    </row>
    <row r="142" spans="1:7" ht="13.5" hidden="1" thickBot="1" x14ac:dyDescent="0.25">
      <c r="A142" s="15">
        <f t="shared" si="12"/>
        <v>122</v>
      </c>
      <c r="B142" s="30">
        <f t="shared" si="13"/>
        <v>0</v>
      </c>
      <c r="C142" s="77">
        <f t="shared" si="7"/>
        <v>0</v>
      </c>
      <c r="D142" s="77">
        <f t="shared" si="8"/>
        <v>0</v>
      </c>
      <c r="E142" s="77">
        <f t="shared" si="9"/>
        <v>0</v>
      </c>
      <c r="F142" s="30">
        <f t="shared" si="10"/>
        <v>0</v>
      </c>
      <c r="G142" s="78">
        <f t="shared" si="11"/>
        <v>0</v>
      </c>
    </row>
    <row r="143" spans="1:7" ht="13.5" hidden="1" thickBot="1" x14ac:dyDescent="0.25">
      <c r="A143" s="15">
        <f t="shared" si="12"/>
        <v>123</v>
      </c>
      <c r="B143" s="30">
        <f t="shared" si="13"/>
        <v>0</v>
      </c>
      <c r="C143" s="77">
        <f t="shared" si="7"/>
        <v>0</v>
      </c>
      <c r="D143" s="77">
        <f t="shared" si="8"/>
        <v>0</v>
      </c>
      <c r="E143" s="77">
        <f t="shared" si="9"/>
        <v>0</v>
      </c>
      <c r="F143" s="30">
        <f t="shared" si="10"/>
        <v>0</v>
      </c>
      <c r="G143" s="78">
        <f t="shared" si="11"/>
        <v>0</v>
      </c>
    </row>
    <row r="144" spans="1:7" ht="13.5" hidden="1" thickBot="1" x14ac:dyDescent="0.25">
      <c r="A144" s="15">
        <f t="shared" si="12"/>
        <v>124</v>
      </c>
      <c r="B144" s="30">
        <f t="shared" si="13"/>
        <v>0</v>
      </c>
      <c r="C144" s="77">
        <f t="shared" si="7"/>
        <v>0</v>
      </c>
      <c r="D144" s="77">
        <f t="shared" si="8"/>
        <v>0</v>
      </c>
      <c r="E144" s="77">
        <f t="shared" si="9"/>
        <v>0</v>
      </c>
      <c r="F144" s="30">
        <f t="shared" si="10"/>
        <v>0</v>
      </c>
      <c r="G144" s="78">
        <f t="shared" si="11"/>
        <v>0</v>
      </c>
    </row>
    <row r="145" spans="1:7" ht="13.5" hidden="1" thickBot="1" x14ac:dyDescent="0.25">
      <c r="A145" s="15">
        <f t="shared" si="12"/>
        <v>125</v>
      </c>
      <c r="B145" s="30">
        <f t="shared" si="13"/>
        <v>0</v>
      </c>
      <c r="C145" s="77">
        <f t="shared" si="7"/>
        <v>0</v>
      </c>
      <c r="D145" s="77">
        <f t="shared" si="8"/>
        <v>0</v>
      </c>
      <c r="E145" s="77">
        <f t="shared" si="9"/>
        <v>0</v>
      </c>
      <c r="F145" s="30">
        <f t="shared" si="10"/>
        <v>0</v>
      </c>
      <c r="G145" s="78">
        <f t="shared" si="11"/>
        <v>0</v>
      </c>
    </row>
    <row r="146" spans="1:7" ht="13.5" hidden="1" thickBot="1" x14ac:dyDescent="0.25">
      <c r="A146" s="15">
        <f t="shared" si="12"/>
        <v>126</v>
      </c>
      <c r="B146" s="30">
        <f t="shared" si="13"/>
        <v>0</v>
      </c>
      <c r="C146" s="77">
        <f t="shared" si="7"/>
        <v>0</v>
      </c>
      <c r="D146" s="77">
        <f t="shared" si="8"/>
        <v>0</v>
      </c>
      <c r="E146" s="77">
        <f t="shared" si="9"/>
        <v>0</v>
      </c>
      <c r="F146" s="30">
        <f t="shared" si="10"/>
        <v>0</v>
      </c>
      <c r="G146" s="78">
        <f t="shared" si="11"/>
        <v>0</v>
      </c>
    </row>
    <row r="147" spans="1:7" ht="13.5" hidden="1" thickBot="1" x14ac:dyDescent="0.25">
      <c r="A147" s="15">
        <f t="shared" si="12"/>
        <v>127</v>
      </c>
      <c r="B147" s="30">
        <f t="shared" si="13"/>
        <v>0</v>
      </c>
      <c r="C147" s="77">
        <f t="shared" si="7"/>
        <v>0</v>
      </c>
      <c r="D147" s="77">
        <f t="shared" si="8"/>
        <v>0</v>
      </c>
      <c r="E147" s="77">
        <f t="shared" si="9"/>
        <v>0</v>
      </c>
      <c r="F147" s="30">
        <f t="shared" si="10"/>
        <v>0</v>
      </c>
      <c r="G147" s="78">
        <f t="shared" si="11"/>
        <v>0</v>
      </c>
    </row>
    <row r="148" spans="1:7" ht="13.5" hidden="1" thickBot="1" x14ac:dyDescent="0.25">
      <c r="A148" s="15">
        <f t="shared" si="12"/>
        <v>128</v>
      </c>
      <c r="B148" s="30">
        <f t="shared" si="13"/>
        <v>0</v>
      </c>
      <c r="C148" s="77">
        <f t="shared" si="7"/>
        <v>0</v>
      </c>
      <c r="D148" s="77">
        <f t="shared" si="8"/>
        <v>0</v>
      </c>
      <c r="E148" s="77">
        <f t="shared" si="9"/>
        <v>0</v>
      </c>
      <c r="F148" s="30">
        <f t="shared" si="10"/>
        <v>0</v>
      </c>
      <c r="G148" s="78">
        <f t="shared" si="11"/>
        <v>0</v>
      </c>
    </row>
    <row r="149" spans="1:7" ht="13.5" hidden="1" thickBot="1" x14ac:dyDescent="0.25">
      <c r="A149" s="15">
        <f t="shared" si="12"/>
        <v>129</v>
      </c>
      <c r="B149" s="30">
        <f t="shared" si="13"/>
        <v>0</v>
      </c>
      <c r="C149" s="77">
        <f t="shared" ref="C149:C212" si="14">IF(A149&lt;=$D$10,D149+$D$13,0)</f>
        <v>0</v>
      </c>
      <c r="D149" s="77">
        <f t="shared" ref="D149:D212" si="15">E149+F149</f>
        <v>0</v>
      </c>
      <c r="E149" s="77">
        <f t="shared" ref="E149:E212" si="16">B149*$D$11</f>
        <v>0</v>
      </c>
      <c r="F149" s="30">
        <f t="shared" ref="F149:F212" si="17">IF(A149&lt;=$D$10,$D$12*-1,0)</f>
        <v>0</v>
      </c>
      <c r="G149" s="78">
        <f t="shared" ref="G149:G212" si="18">B149-F149</f>
        <v>0</v>
      </c>
    </row>
    <row r="150" spans="1:7" ht="13.5" hidden="1" thickBot="1" x14ac:dyDescent="0.25">
      <c r="A150" s="15">
        <f t="shared" ref="A150:A213" si="19">A149+1</f>
        <v>130</v>
      </c>
      <c r="B150" s="30">
        <f t="shared" ref="B150:B213" si="20">B149-F149</f>
        <v>0</v>
      </c>
      <c r="C150" s="77">
        <f t="shared" si="14"/>
        <v>0</v>
      </c>
      <c r="D150" s="77">
        <f t="shared" si="15"/>
        <v>0</v>
      </c>
      <c r="E150" s="77">
        <f t="shared" si="16"/>
        <v>0</v>
      </c>
      <c r="F150" s="30">
        <f t="shared" si="17"/>
        <v>0</v>
      </c>
      <c r="G150" s="78">
        <f t="shared" si="18"/>
        <v>0</v>
      </c>
    </row>
    <row r="151" spans="1:7" ht="13.5" hidden="1" thickBot="1" x14ac:dyDescent="0.25">
      <c r="A151" s="15">
        <f t="shared" si="19"/>
        <v>131</v>
      </c>
      <c r="B151" s="30">
        <f t="shared" si="20"/>
        <v>0</v>
      </c>
      <c r="C151" s="77">
        <f t="shared" si="14"/>
        <v>0</v>
      </c>
      <c r="D151" s="77">
        <f t="shared" si="15"/>
        <v>0</v>
      </c>
      <c r="E151" s="77">
        <f t="shared" si="16"/>
        <v>0</v>
      </c>
      <c r="F151" s="30">
        <f t="shared" si="17"/>
        <v>0</v>
      </c>
      <c r="G151" s="78">
        <f t="shared" si="18"/>
        <v>0</v>
      </c>
    </row>
    <row r="152" spans="1:7" ht="13.5" hidden="1" thickBot="1" x14ac:dyDescent="0.25">
      <c r="A152" s="15">
        <f t="shared" si="19"/>
        <v>132</v>
      </c>
      <c r="B152" s="30">
        <f t="shared" si="20"/>
        <v>0</v>
      </c>
      <c r="C152" s="77">
        <f t="shared" si="14"/>
        <v>0</v>
      </c>
      <c r="D152" s="77">
        <f t="shared" si="15"/>
        <v>0</v>
      </c>
      <c r="E152" s="77">
        <f t="shared" si="16"/>
        <v>0</v>
      </c>
      <c r="F152" s="30">
        <f t="shared" si="17"/>
        <v>0</v>
      </c>
      <c r="G152" s="78">
        <f t="shared" si="18"/>
        <v>0</v>
      </c>
    </row>
    <row r="153" spans="1:7" ht="13.5" hidden="1" thickBot="1" x14ac:dyDescent="0.25">
      <c r="A153" s="15">
        <f t="shared" si="19"/>
        <v>133</v>
      </c>
      <c r="B153" s="30">
        <f t="shared" si="20"/>
        <v>0</v>
      </c>
      <c r="C153" s="77">
        <f t="shared" si="14"/>
        <v>0</v>
      </c>
      <c r="D153" s="77">
        <f t="shared" si="15"/>
        <v>0</v>
      </c>
      <c r="E153" s="77">
        <f t="shared" si="16"/>
        <v>0</v>
      </c>
      <c r="F153" s="30">
        <f t="shared" si="17"/>
        <v>0</v>
      </c>
      <c r="G153" s="78">
        <f t="shared" si="18"/>
        <v>0</v>
      </c>
    </row>
    <row r="154" spans="1:7" ht="13.5" hidden="1" thickBot="1" x14ac:dyDescent="0.25">
      <c r="A154" s="15">
        <f t="shared" si="19"/>
        <v>134</v>
      </c>
      <c r="B154" s="30">
        <f t="shared" si="20"/>
        <v>0</v>
      </c>
      <c r="C154" s="77">
        <f t="shared" si="14"/>
        <v>0</v>
      </c>
      <c r="D154" s="77">
        <f t="shared" si="15"/>
        <v>0</v>
      </c>
      <c r="E154" s="77">
        <f t="shared" si="16"/>
        <v>0</v>
      </c>
      <c r="F154" s="30">
        <f t="shared" si="17"/>
        <v>0</v>
      </c>
      <c r="G154" s="78">
        <f t="shared" si="18"/>
        <v>0</v>
      </c>
    </row>
    <row r="155" spans="1:7" ht="13.5" hidden="1" thickBot="1" x14ac:dyDescent="0.25">
      <c r="A155" s="15">
        <f t="shared" si="19"/>
        <v>135</v>
      </c>
      <c r="B155" s="30">
        <f t="shared" si="20"/>
        <v>0</v>
      </c>
      <c r="C155" s="77">
        <f t="shared" si="14"/>
        <v>0</v>
      </c>
      <c r="D155" s="77">
        <f t="shared" si="15"/>
        <v>0</v>
      </c>
      <c r="E155" s="77">
        <f t="shared" si="16"/>
        <v>0</v>
      </c>
      <c r="F155" s="30">
        <f t="shared" si="17"/>
        <v>0</v>
      </c>
      <c r="G155" s="78">
        <f t="shared" si="18"/>
        <v>0</v>
      </c>
    </row>
    <row r="156" spans="1:7" ht="13.5" hidden="1" thickBot="1" x14ac:dyDescent="0.25">
      <c r="A156" s="15">
        <f t="shared" si="19"/>
        <v>136</v>
      </c>
      <c r="B156" s="30">
        <f t="shared" si="20"/>
        <v>0</v>
      </c>
      <c r="C156" s="77">
        <f t="shared" si="14"/>
        <v>0</v>
      </c>
      <c r="D156" s="77">
        <f t="shared" si="15"/>
        <v>0</v>
      </c>
      <c r="E156" s="77">
        <f t="shared" si="16"/>
        <v>0</v>
      </c>
      <c r="F156" s="30">
        <f t="shared" si="17"/>
        <v>0</v>
      </c>
      <c r="G156" s="78">
        <f t="shared" si="18"/>
        <v>0</v>
      </c>
    </row>
    <row r="157" spans="1:7" ht="13.5" hidden="1" thickBot="1" x14ac:dyDescent="0.25">
      <c r="A157" s="15">
        <f t="shared" si="19"/>
        <v>137</v>
      </c>
      <c r="B157" s="30">
        <f t="shared" si="20"/>
        <v>0</v>
      </c>
      <c r="C157" s="77">
        <f t="shared" si="14"/>
        <v>0</v>
      </c>
      <c r="D157" s="77">
        <f t="shared" si="15"/>
        <v>0</v>
      </c>
      <c r="E157" s="77">
        <f t="shared" si="16"/>
        <v>0</v>
      </c>
      <c r="F157" s="30">
        <f t="shared" si="17"/>
        <v>0</v>
      </c>
      <c r="G157" s="78">
        <f t="shared" si="18"/>
        <v>0</v>
      </c>
    </row>
    <row r="158" spans="1:7" ht="13.5" hidden="1" thickBot="1" x14ac:dyDescent="0.25">
      <c r="A158" s="15">
        <f t="shared" si="19"/>
        <v>138</v>
      </c>
      <c r="B158" s="30">
        <f t="shared" si="20"/>
        <v>0</v>
      </c>
      <c r="C158" s="77">
        <f t="shared" si="14"/>
        <v>0</v>
      </c>
      <c r="D158" s="77">
        <f t="shared" si="15"/>
        <v>0</v>
      </c>
      <c r="E158" s="77">
        <f t="shared" si="16"/>
        <v>0</v>
      </c>
      <c r="F158" s="30">
        <f t="shared" si="17"/>
        <v>0</v>
      </c>
      <c r="G158" s="78">
        <f t="shared" si="18"/>
        <v>0</v>
      </c>
    </row>
    <row r="159" spans="1:7" ht="13.5" hidden="1" thickBot="1" x14ac:dyDescent="0.25">
      <c r="A159" s="15">
        <f t="shared" si="19"/>
        <v>139</v>
      </c>
      <c r="B159" s="30">
        <f t="shared" si="20"/>
        <v>0</v>
      </c>
      <c r="C159" s="77">
        <f t="shared" si="14"/>
        <v>0</v>
      </c>
      <c r="D159" s="77">
        <f t="shared" si="15"/>
        <v>0</v>
      </c>
      <c r="E159" s="77">
        <f t="shared" si="16"/>
        <v>0</v>
      </c>
      <c r="F159" s="30">
        <f t="shared" si="17"/>
        <v>0</v>
      </c>
      <c r="G159" s="78">
        <f t="shared" si="18"/>
        <v>0</v>
      </c>
    </row>
    <row r="160" spans="1:7" ht="13.5" hidden="1" thickBot="1" x14ac:dyDescent="0.25">
      <c r="A160" s="15">
        <f t="shared" si="19"/>
        <v>140</v>
      </c>
      <c r="B160" s="30">
        <f t="shared" si="20"/>
        <v>0</v>
      </c>
      <c r="C160" s="77">
        <f t="shared" si="14"/>
        <v>0</v>
      </c>
      <c r="D160" s="77">
        <f t="shared" si="15"/>
        <v>0</v>
      </c>
      <c r="E160" s="77">
        <f t="shared" si="16"/>
        <v>0</v>
      </c>
      <c r="F160" s="30">
        <f t="shared" si="17"/>
        <v>0</v>
      </c>
      <c r="G160" s="78">
        <f t="shared" si="18"/>
        <v>0</v>
      </c>
    </row>
    <row r="161" spans="1:7" ht="13.5" hidden="1" thickBot="1" x14ac:dyDescent="0.25">
      <c r="A161" s="15">
        <f t="shared" si="19"/>
        <v>141</v>
      </c>
      <c r="B161" s="30">
        <f t="shared" si="20"/>
        <v>0</v>
      </c>
      <c r="C161" s="77">
        <f t="shared" si="14"/>
        <v>0</v>
      </c>
      <c r="D161" s="77">
        <f t="shared" si="15"/>
        <v>0</v>
      </c>
      <c r="E161" s="77">
        <f t="shared" si="16"/>
        <v>0</v>
      </c>
      <c r="F161" s="30">
        <f t="shared" si="17"/>
        <v>0</v>
      </c>
      <c r="G161" s="78">
        <f t="shared" si="18"/>
        <v>0</v>
      </c>
    </row>
    <row r="162" spans="1:7" ht="13.5" hidden="1" thickBot="1" x14ac:dyDescent="0.25">
      <c r="A162" s="15">
        <f t="shared" si="19"/>
        <v>142</v>
      </c>
      <c r="B162" s="30">
        <f t="shared" si="20"/>
        <v>0</v>
      </c>
      <c r="C162" s="77">
        <f t="shared" si="14"/>
        <v>0</v>
      </c>
      <c r="D162" s="77">
        <f t="shared" si="15"/>
        <v>0</v>
      </c>
      <c r="E162" s="77">
        <f t="shared" si="16"/>
        <v>0</v>
      </c>
      <c r="F162" s="30">
        <f t="shared" si="17"/>
        <v>0</v>
      </c>
      <c r="G162" s="78">
        <f t="shared" si="18"/>
        <v>0</v>
      </c>
    </row>
    <row r="163" spans="1:7" ht="13.5" hidden="1" thickBot="1" x14ac:dyDescent="0.25">
      <c r="A163" s="15">
        <f t="shared" si="19"/>
        <v>143</v>
      </c>
      <c r="B163" s="30">
        <f t="shared" si="20"/>
        <v>0</v>
      </c>
      <c r="C163" s="77">
        <f t="shared" si="14"/>
        <v>0</v>
      </c>
      <c r="D163" s="77">
        <f t="shared" si="15"/>
        <v>0</v>
      </c>
      <c r="E163" s="77">
        <f t="shared" si="16"/>
        <v>0</v>
      </c>
      <c r="F163" s="30">
        <f t="shared" si="17"/>
        <v>0</v>
      </c>
      <c r="G163" s="78">
        <f t="shared" si="18"/>
        <v>0</v>
      </c>
    </row>
    <row r="164" spans="1:7" ht="13.5" hidden="1" thickBot="1" x14ac:dyDescent="0.25">
      <c r="A164" s="15">
        <f t="shared" si="19"/>
        <v>144</v>
      </c>
      <c r="B164" s="30">
        <f t="shared" si="20"/>
        <v>0</v>
      </c>
      <c r="C164" s="77">
        <f t="shared" si="14"/>
        <v>0</v>
      </c>
      <c r="D164" s="77">
        <f t="shared" si="15"/>
        <v>0</v>
      </c>
      <c r="E164" s="77">
        <f t="shared" si="16"/>
        <v>0</v>
      </c>
      <c r="F164" s="30">
        <f t="shared" si="17"/>
        <v>0</v>
      </c>
      <c r="G164" s="78">
        <f t="shared" si="18"/>
        <v>0</v>
      </c>
    </row>
    <row r="165" spans="1:7" ht="13.5" hidden="1" thickBot="1" x14ac:dyDescent="0.25">
      <c r="A165" s="15">
        <f t="shared" si="19"/>
        <v>145</v>
      </c>
      <c r="B165" s="30">
        <f t="shared" si="20"/>
        <v>0</v>
      </c>
      <c r="C165" s="77">
        <f t="shared" si="14"/>
        <v>0</v>
      </c>
      <c r="D165" s="77">
        <f t="shared" si="15"/>
        <v>0</v>
      </c>
      <c r="E165" s="77">
        <f t="shared" si="16"/>
        <v>0</v>
      </c>
      <c r="F165" s="30">
        <f t="shared" si="17"/>
        <v>0</v>
      </c>
      <c r="G165" s="78">
        <f t="shared" si="18"/>
        <v>0</v>
      </c>
    </row>
    <row r="166" spans="1:7" ht="13.5" hidden="1" thickBot="1" x14ac:dyDescent="0.25">
      <c r="A166" s="15">
        <f t="shared" si="19"/>
        <v>146</v>
      </c>
      <c r="B166" s="30">
        <f t="shared" si="20"/>
        <v>0</v>
      </c>
      <c r="C166" s="77">
        <f t="shared" si="14"/>
        <v>0</v>
      </c>
      <c r="D166" s="77">
        <f t="shared" si="15"/>
        <v>0</v>
      </c>
      <c r="E166" s="77">
        <f t="shared" si="16"/>
        <v>0</v>
      </c>
      <c r="F166" s="30">
        <f t="shared" si="17"/>
        <v>0</v>
      </c>
      <c r="G166" s="78">
        <f t="shared" si="18"/>
        <v>0</v>
      </c>
    </row>
    <row r="167" spans="1:7" ht="13.5" hidden="1" thickBot="1" x14ac:dyDescent="0.25">
      <c r="A167" s="15">
        <f t="shared" si="19"/>
        <v>147</v>
      </c>
      <c r="B167" s="30">
        <f t="shared" si="20"/>
        <v>0</v>
      </c>
      <c r="C167" s="77">
        <f t="shared" si="14"/>
        <v>0</v>
      </c>
      <c r="D167" s="77">
        <f t="shared" si="15"/>
        <v>0</v>
      </c>
      <c r="E167" s="77">
        <f t="shared" si="16"/>
        <v>0</v>
      </c>
      <c r="F167" s="30">
        <f t="shared" si="17"/>
        <v>0</v>
      </c>
      <c r="G167" s="78">
        <f t="shared" si="18"/>
        <v>0</v>
      </c>
    </row>
    <row r="168" spans="1:7" ht="13.5" hidden="1" thickBot="1" x14ac:dyDescent="0.25">
      <c r="A168" s="15">
        <f t="shared" si="19"/>
        <v>148</v>
      </c>
      <c r="B168" s="30">
        <f t="shared" si="20"/>
        <v>0</v>
      </c>
      <c r="C168" s="77">
        <f t="shared" si="14"/>
        <v>0</v>
      </c>
      <c r="D168" s="77">
        <f t="shared" si="15"/>
        <v>0</v>
      </c>
      <c r="E168" s="77">
        <f t="shared" si="16"/>
        <v>0</v>
      </c>
      <c r="F168" s="30">
        <f t="shared" si="17"/>
        <v>0</v>
      </c>
      <c r="G168" s="78">
        <f t="shared" si="18"/>
        <v>0</v>
      </c>
    </row>
    <row r="169" spans="1:7" ht="13.5" hidden="1" thickBot="1" x14ac:dyDescent="0.25">
      <c r="A169" s="15">
        <f t="shared" si="19"/>
        <v>149</v>
      </c>
      <c r="B169" s="30">
        <f t="shared" si="20"/>
        <v>0</v>
      </c>
      <c r="C169" s="77">
        <f t="shared" si="14"/>
        <v>0</v>
      </c>
      <c r="D169" s="77">
        <f t="shared" si="15"/>
        <v>0</v>
      </c>
      <c r="E169" s="77">
        <f t="shared" si="16"/>
        <v>0</v>
      </c>
      <c r="F169" s="30">
        <f t="shared" si="17"/>
        <v>0</v>
      </c>
      <c r="G169" s="78">
        <f t="shared" si="18"/>
        <v>0</v>
      </c>
    </row>
    <row r="170" spans="1:7" ht="13.5" hidden="1" thickBot="1" x14ac:dyDescent="0.25">
      <c r="A170" s="15">
        <f t="shared" si="19"/>
        <v>150</v>
      </c>
      <c r="B170" s="30">
        <f t="shared" si="20"/>
        <v>0</v>
      </c>
      <c r="C170" s="77">
        <f t="shared" si="14"/>
        <v>0</v>
      </c>
      <c r="D170" s="77">
        <f t="shared" si="15"/>
        <v>0</v>
      </c>
      <c r="E170" s="77">
        <f t="shared" si="16"/>
        <v>0</v>
      </c>
      <c r="F170" s="30">
        <f t="shared" si="17"/>
        <v>0</v>
      </c>
      <c r="G170" s="78">
        <f t="shared" si="18"/>
        <v>0</v>
      </c>
    </row>
    <row r="171" spans="1:7" ht="13.5" hidden="1" thickBot="1" x14ac:dyDescent="0.25">
      <c r="A171" s="15">
        <f t="shared" si="19"/>
        <v>151</v>
      </c>
      <c r="B171" s="30">
        <f t="shared" si="20"/>
        <v>0</v>
      </c>
      <c r="C171" s="77">
        <f t="shared" si="14"/>
        <v>0</v>
      </c>
      <c r="D171" s="77">
        <f t="shared" si="15"/>
        <v>0</v>
      </c>
      <c r="E171" s="77">
        <f t="shared" si="16"/>
        <v>0</v>
      </c>
      <c r="F171" s="30">
        <f t="shared" si="17"/>
        <v>0</v>
      </c>
      <c r="G171" s="78">
        <f t="shared" si="18"/>
        <v>0</v>
      </c>
    </row>
    <row r="172" spans="1:7" ht="13.5" hidden="1" thickBot="1" x14ac:dyDescent="0.25">
      <c r="A172" s="15">
        <f t="shared" si="19"/>
        <v>152</v>
      </c>
      <c r="B172" s="30">
        <f t="shared" si="20"/>
        <v>0</v>
      </c>
      <c r="C172" s="77">
        <f t="shared" si="14"/>
        <v>0</v>
      </c>
      <c r="D172" s="77">
        <f t="shared" si="15"/>
        <v>0</v>
      </c>
      <c r="E172" s="77">
        <f t="shared" si="16"/>
        <v>0</v>
      </c>
      <c r="F172" s="30">
        <f t="shared" si="17"/>
        <v>0</v>
      </c>
      <c r="G172" s="78">
        <f t="shared" si="18"/>
        <v>0</v>
      </c>
    </row>
    <row r="173" spans="1:7" ht="13.5" hidden="1" thickBot="1" x14ac:dyDescent="0.25">
      <c r="A173" s="15">
        <f t="shared" si="19"/>
        <v>153</v>
      </c>
      <c r="B173" s="30">
        <f t="shared" si="20"/>
        <v>0</v>
      </c>
      <c r="C173" s="77">
        <f t="shared" si="14"/>
        <v>0</v>
      </c>
      <c r="D173" s="77">
        <f t="shared" si="15"/>
        <v>0</v>
      </c>
      <c r="E173" s="77">
        <f t="shared" si="16"/>
        <v>0</v>
      </c>
      <c r="F173" s="30">
        <f t="shared" si="17"/>
        <v>0</v>
      </c>
      <c r="G173" s="78">
        <f t="shared" si="18"/>
        <v>0</v>
      </c>
    </row>
    <row r="174" spans="1:7" ht="13.5" hidden="1" thickBot="1" x14ac:dyDescent="0.25">
      <c r="A174" s="15">
        <f t="shared" si="19"/>
        <v>154</v>
      </c>
      <c r="B174" s="30">
        <f t="shared" si="20"/>
        <v>0</v>
      </c>
      <c r="C174" s="77">
        <f t="shared" si="14"/>
        <v>0</v>
      </c>
      <c r="D174" s="77">
        <f t="shared" si="15"/>
        <v>0</v>
      </c>
      <c r="E174" s="77">
        <f t="shared" si="16"/>
        <v>0</v>
      </c>
      <c r="F174" s="30">
        <f t="shared" si="17"/>
        <v>0</v>
      </c>
      <c r="G174" s="78">
        <f t="shared" si="18"/>
        <v>0</v>
      </c>
    </row>
    <row r="175" spans="1:7" ht="13.5" hidden="1" thickBot="1" x14ac:dyDescent="0.25">
      <c r="A175" s="15">
        <f t="shared" si="19"/>
        <v>155</v>
      </c>
      <c r="B175" s="30">
        <f t="shared" si="20"/>
        <v>0</v>
      </c>
      <c r="C175" s="77">
        <f t="shared" si="14"/>
        <v>0</v>
      </c>
      <c r="D175" s="77">
        <f t="shared" si="15"/>
        <v>0</v>
      </c>
      <c r="E175" s="77">
        <f t="shared" si="16"/>
        <v>0</v>
      </c>
      <c r="F175" s="30">
        <f t="shared" si="17"/>
        <v>0</v>
      </c>
      <c r="G175" s="78">
        <f t="shared" si="18"/>
        <v>0</v>
      </c>
    </row>
    <row r="176" spans="1:7" ht="13.5" hidden="1" thickBot="1" x14ac:dyDescent="0.25">
      <c r="A176" s="15">
        <f t="shared" si="19"/>
        <v>156</v>
      </c>
      <c r="B176" s="30">
        <f t="shared" si="20"/>
        <v>0</v>
      </c>
      <c r="C176" s="77">
        <f t="shared" si="14"/>
        <v>0</v>
      </c>
      <c r="D176" s="77">
        <f t="shared" si="15"/>
        <v>0</v>
      </c>
      <c r="E176" s="77">
        <f t="shared" si="16"/>
        <v>0</v>
      </c>
      <c r="F176" s="30">
        <f t="shared" si="17"/>
        <v>0</v>
      </c>
      <c r="G176" s="78">
        <f t="shared" si="18"/>
        <v>0</v>
      </c>
    </row>
    <row r="177" spans="1:7" ht="13.5" hidden="1" thickBot="1" x14ac:dyDescent="0.25">
      <c r="A177" s="15">
        <f t="shared" si="19"/>
        <v>157</v>
      </c>
      <c r="B177" s="30">
        <f t="shared" si="20"/>
        <v>0</v>
      </c>
      <c r="C177" s="77">
        <f t="shared" si="14"/>
        <v>0</v>
      </c>
      <c r="D177" s="77">
        <f t="shared" si="15"/>
        <v>0</v>
      </c>
      <c r="E177" s="77">
        <f t="shared" si="16"/>
        <v>0</v>
      </c>
      <c r="F177" s="30">
        <f t="shared" si="17"/>
        <v>0</v>
      </c>
      <c r="G177" s="78">
        <f t="shared" si="18"/>
        <v>0</v>
      </c>
    </row>
    <row r="178" spans="1:7" ht="13.5" hidden="1" thickBot="1" x14ac:dyDescent="0.25">
      <c r="A178" s="15">
        <f t="shared" si="19"/>
        <v>158</v>
      </c>
      <c r="B178" s="30">
        <f t="shared" si="20"/>
        <v>0</v>
      </c>
      <c r="C178" s="77">
        <f t="shared" si="14"/>
        <v>0</v>
      </c>
      <c r="D178" s="77">
        <f t="shared" si="15"/>
        <v>0</v>
      </c>
      <c r="E178" s="77">
        <f t="shared" si="16"/>
        <v>0</v>
      </c>
      <c r="F178" s="30">
        <f t="shared" si="17"/>
        <v>0</v>
      </c>
      <c r="G178" s="78">
        <f t="shared" si="18"/>
        <v>0</v>
      </c>
    </row>
    <row r="179" spans="1:7" ht="13.5" hidden="1" thickBot="1" x14ac:dyDescent="0.25">
      <c r="A179" s="15">
        <f t="shared" si="19"/>
        <v>159</v>
      </c>
      <c r="B179" s="30">
        <f t="shared" si="20"/>
        <v>0</v>
      </c>
      <c r="C179" s="77">
        <f t="shared" si="14"/>
        <v>0</v>
      </c>
      <c r="D179" s="77">
        <f t="shared" si="15"/>
        <v>0</v>
      </c>
      <c r="E179" s="77">
        <f t="shared" si="16"/>
        <v>0</v>
      </c>
      <c r="F179" s="30">
        <f t="shared" si="17"/>
        <v>0</v>
      </c>
      <c r="G179" s="78">
        <f t="shared" si="18"/>
        <v>0</v>
      </c>
    </row>
    <row r="180" spans="1:7" ht="13.5" hidden="1" thickBot="1" x14ac:dyDescent="0.25">
      <c r="A180" s="15">
        <f t="shared" si="19"/>
        <v>160</v>
      </c>
      <c r="B180" s="30">
        <f t="shared" si="20"/>
        <v>0</v>
      </c>
      <c r="C180" s="77">
        <f t="shared" si="14"/>
        <v>0</v>
      </c>
      <c r="D180" s="77">
        <f t="shared" si="15"/>
        <v>0</v>
      </c>
      <c r="E180" s="77">
        <f t="shared" si="16"/>
        <v>0</v>
      </c>
      <c r="F180" s="30">
        <f t="shared" si="17"/>
        <v>0</v>
      </c>
      <c r="G180" s="78">
        <f t="shared" si="18"/>
        <v>0</v>
      </c>
    </row>
    <row r="181" spans="1:7" ht="13.5" hidden="1" thickBot="1" x14ac:dyDescent="0.25">
      <c r="A181" s="15">
        <f t="shared" si="19"/>
        <v>161</v>
      </c>
      <c r="B181" s="30">
        <f t="shared" si="20"/>
        <v>0</v>
      </c>
      <c r="C181" s="77">
        <f t="shared" si="14"/>
        <v>0</v>
      </c>
      <c r="D181" s="77">
        <f t="shared" si="15"/>
        <v>0</v>
      </c>
      <c r="E181" s="77">
        <f t="shared" si="16"/>
        <v>0</v>
      </c>
      <c r="F181" s="30">
        <f t="shared" si="17"/>
        <v>0</v>
      </c>
      <c r="G181" s="78">
        <f t="shared" si="18"/>
        <v>0</v>
      </c>
    </row>
    <row r="182" spans="1:7" ht="13.5" hidden="1" thickBot="1" x14ac:dyDescent="0.25">
      <c r="A182" s="15">
        <f t="shared" si="19"/>
        <v>162</v>
      </c>
      <c r="B182" s="30">
        <f t="shared" si="20"/>
        <v>0</v>
      </c>
      <c r="C182" s="77">
        <f t="shared" si="14"/>
        <v>0</v>
      </c>
      <c r="D182" s="77">
        <f t="shared" si="15"/>
        <v>0</v>
      </c>
      <c r="E182" s="77">
        <f t="shared" si="16"/>
        <v>0</v>
      </c>
      <c r="F182" s="30">
        <f t="shared" si="17"/>
        <v>0</v>
      </c>
      <c r="G182" s="78">
        <f t="shared" si="18"/>
        <v>0</v>
      </c>
    </row>
    <row r="183" spans="1:7" ht="13.5" hidden="1" thickBot="1" x14ac:dyDescent="0.25">
      <c r="A183" s="15">
        <f t="shared" si="19"/>
        <v>163</v>
      </c>
      <c r="B183" s="30">
        <f t="shared" si="20"/>
        <v>0</v>
      </c>
      <c r="C183" s="77">
        <f t="shared" si="14"/>
        <v>0</v>
      </c>
      <c r="D183" s="77">
        <f t="shared" si="15"/>
        <v>0</v>
      </c>
      <c r="E183" s="77">
        <f t="shared" si="16"/>
        <v>0</v>
      </c>
      <c r="F183" s="30">
        <f t="shared" si="17"/>
        <v>0</v>
      </c>
      <c r="G183" s="78">
        <f t="shared" si="18"/>
        <v>0</v>
      </c>
    </row>
    <row r="184" spans="1:7" ht="13.5" hidden="1" thickBot="1" x14ac:dyDescent="0.25">
      <c r="A184" s="15">
        <f t="shared" si="19"/>
        <v>164</v>
      </c>
      <c r="B184" s="30">
        <f t="shared" si="20"/>
        <v>0</v>
      </c>
      <c r="C184" s="77">
        <f t="shared" si="14"/>
        <v>0</v>
      </c>
      <c r="D184" s="77">
        <f t="shared" si="15"/>
        <v>0</v>
      </c>
      <c r="E184" s="77">
        <f t="shared" si="16"/>
        <v>0</v>
      </c>
      <c r="F184" s="30">
        <f t="shared" si="17"/>
        <v>0</v>
      </c>
      <c r="G184" s="78">
        <f t="shared" si="18"/>
        <v>0</v>
      </c>
    </row>
    <row r="185" spans="1:7" ht="13.5" hidden="1" thickBot="1" x14ac:dyDescent="0.25">
      <c r="A185" s="15">
        <f t="shared" si="19"/>
        <v>165</v>
      </c>
      <c r="B185" s="30">
        <f t="shared" si="20"/>
        <v>0</v>
      </c>
      <c r="C185" s="77">
        <f t="shared" si="14"/>
        <v>0</v>
      </c>
      <c r="D185" s="77">
        <f t="shared" si="15"/>
        <v>0</v>
      </c>
      <c r="E185" s="77">
        <f t="shared" si="16"/>
        <v>0</v>
      </c>
      <c r="F185" s="30">
        <f t="shared" si="17"/>
        <v>0</v>
      </c>
      <c r="G185" s="78">
        <f t="shared" si="18"/>
        <v>0</v>
      </c>
    </row>
    <row r="186" spans="1:7" ht="13.5" hidden="1" thickBot="1" x14ac:dyDescent="0.25">
      <c r="A186" s="15">
        <f t="shared" si="19"/>
        <v>166</v>
      </c>
      <c r="B186" s="30">
        <f t="shared" si="20"/>
        <v>0</v>
      </c>
      <c r="C186" s="77">
        <f t="shared" si="14"/>
        <v>0</v>
      </c>
      <c r="D186" s="77">
        <f t="shared" si="15"/>
        <v>0</v>
      </c>
      <c r="E186" s="77">
        <f t="shared" si="16"/>
        <v>0</v>
      </c>
      <c r="F186" s="30">
        <f t="shared" si="17"/>
        <v>0</v>
      </c>
      <c r="G186" s="78">
        <f t="shared" si="18"/>
        <v>0</v>
      </c>
    </row>
    <row r="187" spans="1:7" ht="13.5" hidden="1" thickBot="1" x14ac:dyDescent="0.25">
      <c r="A187" s="15">
        <f t="shared" si="19"/>
        <v>167</v>
      </c>
      <c r="B187" s="30">
        <f t="shared" si="20"/>
        <v>0</v>
      </c>
      <c r="C187" s="77">
        <f t="shared" si="14"/>
        <v>0</v>
      </c>
      <c r="D187" s="77">
        <f t="shared" si="15"/>
        <v>0</v>
      </c>
      <c r="E187" s="77">
        <f t="shared" si="16"/>
        <v>0</v>
      </c>
      <c r="F187" s="30">
        <f t="shared" si="17"/>
        <v>0</v>
      </c>
      <c r="G187" s="78">
        <f t="shared" si="18"/>
        <v>0</v>
      </c>
    </row>
    <row r="188" spans="1:7" ht="13.5" hidden="1" thickBot="1" x14ac:dyDescent="0.25">
      <c r="A188" s="15">
        <f t="shared" si="19"/>
        <v>168</v>
      </c>
      <c r="B188" s="30">
        <f t="shared" si="20"/>
        <v>0</v>
      </c>
      <c r="C188" s="77">
        <f t="shared" si="14"/>
        <v>0</v>
      </c>
      <c r="D188" s="77">
        <f t="shared" si="15"/>
        <v>0</v>
      </c>
      <c r="E188" s="77">
        <f t="shared" si="16"/>
        <v>0</v>
      </c>
      <c r="F188" s="30">
        <f t="shared" si="17"/>
        <v>0</v>
      </c>
      <c r="G188" s="78">
        <f t="shared" si="18"/>
        <v>0</v>
      </c>
    </row>
    <row r="189" spans="1:7" ht="13.5" hidden="1" thickBot="1" x14ac:dyDescent="0.25">
      <c r="A189" s="15">
        <f t="shared" si="19"/>
        <v>169</v>
      </c>
      <c r="B189" s="30">
        <f t="shared" si="20"/>
        <v>0</v>
      </c>
      <c r="C189" s="77">
        <f t="shared" si="14"/>
        <v>0</v>
      </c>
      <c r="D189" s="77">
        <f t="shared" si="15"/>
        <v>0</v>
      </c>
      <c r="E189" s="77">
        <f t="shared" si="16"/>
        <v>0</v>
      </c>
      <c r="F189" s="30">
        <f t="shared" si="17"/>
        <v>0</v>
      </c>
      <c r="G189" s="78">
        <f t="shared" si="18"/>
        <v>0</v>
      </c>
    </row>
    <row r="190" spans="1:7" ht="13.5" hidden="1" thickBot="1" x14ac:dyDescent="0.25">
      <c r="A190" s="15">
        <f t="shared" si="19"/>
        <v>170</v>
      </c>
      <c r="B190" s="30">
        <f t="shared" si="20"/>
        <v>0</v>
      </c>
      <c r="C190" s="77">
        <f t="shared" si="14"/>
        <v>0</v>
      </c>
      <c r="D190" s="77">
        <f t="shared" si="15"/>
        <v>0</v>
      </c>
      <c r="E190" s="77">
        <f t="shared" si="16"/>
        <v>0</v>
      </c>
      <c r="F190" s="30">
        <f t="shared" si="17"/>
        <v>0</v>
      </c>
      <c r="G190" s="78">
        <f t="shared" si="18"/>
        <v>0</v>
      </c>
    </row>
    <row r="191" spans="1:7" ht="13.5" hidden="1" thickBot="1" x14ac:dyDescent="0.25">
      <c r="A191" s="15">
        <f t="shared" si="19"/>
        <v>171</v>
      </c>
      <c r="B191" s="30">
        <f t="shared" si="20"/>
        <v>0</v>
      </c>
      <c r="C191" s="77">
        <f t="shared" si="14"/>
        <v>0</v>
      </c>
      <c r="D191" s="77">
        <f t="shared" si="15"/>
        <v>0</v>
      </c>
      <c r="E191" s="77">
        <f t="shared" si="16"/>
        <v>0</v>
      </c>
      <c r="F191" s="30">
        <f t="shared" si="17"/>
        <v>0</v>
      </c>
      <c r="G191" s="78">
        <f t="shared" si="18"/>
        <v>0</v>
      </c>
    </row>
    <row r="192" spans="1:7" ht="13.5" hidden="1" thickBot="1" x14ac:dyDescent="0.25">
      <c r="A192" s="15">
        <f t="shared" si="19"/>
        <v>172</v>
      </c>
      <c r="B192" s="30">
        <f t="shared" si="20"/>
        <v>0</v>
      </c>
      <c r="C192" s="77">
        <f t="shared" si="14"/>
        <v>0</v>
      </c>
      <c r="D192" s="77">
        <f t="shared" si="15"/>
        <v>0</v>
      </c>
      <c r="E192" s="77">
        <f t="shared" si="16"/>
        <v>0</v>
      </c>
      <c r="F192" s="30">
        <f t="shared" si="17"/>
        <v>0</v>
      </c>
      <c r="G192" s="78">
        <f t="shared" si="18"/>
        <v>0</v>
      </c>
    </row>
    <row r="193" spans="1:7" ht="13.5" hidden="1" thickBot="1" x14ac:dyDescent="0.25">
      <c r="A193" s="15">
        <f t="shared" si="19"/>
        <v>173</v>
      </c>
      <c r="B193" s="30">
        <f t="shared" si="20"/>
        <v>0</v>
      </c>
      <c r="C193" s="77">
        <f t="shared" si="14"/>
        <v>0</v>
      </c>
      <c r="D193" s="77">
        <f t="shared" si="15"/>
        <v>0</v>
      </c>
      <c r="E193" s="77">
        <f t="shared" si="16"/>
        <v>0</v>
      </c>
      <c r="F193" s="30">
        <f t="shared" si="17"/>
        <v>0</v>
      </c>
      <c r="G193" s="78">
        <f t="shared" si="18"/>
        <v>0</v>
      </c>
    </row>
    <row r="194" spans="1:7" ht="13.5" hidden="1" thickBot="1" x14ac:dyDescent="0.25">
      <c r="A194" s="15">
        <f t="shared" si="19"/>
        <v>174</v>
      </c>
      <c r="B194" s="30">
        <f t="shared" si="20"/>
        <v>0</v>
      </c>
      <c r="C194" s="77">
        <f t="shared" si="14"/>
        <v>0</v>
      </c>
      <c r="D194" s="77">
        <f t="shared" si="15"/>
        <v>0</v>
      </c>
      <c r="E194" s="77">
        <f t="shared" si="16"/>
        <v>0</v>
      </c>
      <c r="F194" s="30">
        <f t="shared" si="17"/>
        <v>0</v>
      </c>
      <c r="G194" s="78">
        <f t="shared" si="18"/>
        <v>0</v>
      </c>
    </row>
    <row r="195" spans="1:7" ht="13.5" hidden="1" thickBot="1" x14ac:dyDescent="0.25">
      <c r="A195" s="15">
        <f t="shared" si="19"/>
        <v>175</v>
      </c>
      <c r="B195" s="30">
        <f t="shared" si="20"/>
        <v>0</v>
      </c>
      <c r="C195" s="77">
        <f t="shared" si="14"/>
        <v>0</v>
      </c>
      <c r="D195" s="77">
        <f t="shared" si="15"/>
        <v>0</v>
      </c>
      <c r="E195" s="77">
        <f t="shared" si="16"/>
        <v>0</v>
      </c>
      <c r="F195" s="30">
        <f t="shared" si="17"/>
        <v>0</v>
      </c>
      <c r="G195" s="78">
        <f t="shared" si="18"/>
        <v>0</v>
      </c>
    </row>
    <row r="196" spans="1:7" ht="13.5" hidden="1" thickBot="1" x14ac:dyDescent="0.25">
      <c r="A196" s="15">
        <f t="shared" si="19"/>
        <v>176</v>
      </c>
      <c r="B196" s="30">
        <f t="shared" si="20"/>
        <v>0</v>
      </c>
      <c r="C196" s="77">
        <f t="shared" si="14"/>
        <v>0</v>
      </c>
      <c r="D196" s="77">
        <f t="shared" si="15"/>
        <v>0</v>
      </c>
      <c r="E196" s="77">
        <f t="shared" si="16"/>
        <v>0</v>
      </c>
      <c r="F196" s="30">
        <f t="shared" si="17"/>
        <v>0</v>
      </c>
      <c r="G196" s="78">
        <f t="shared" si="18"/>
        <v>0</v>
      </c>
    </row>
    <row r="197" spans="1:7" ht="13.5" hidden="1" thickBot="1" x14ac:dyDescent="0.25">
      <c r="A197" s="15">
        <f t="shared" si="19"/>
        <v>177</v>
      </c>
      <c r="B197" s="30">
        <f t="shared" si="20"/>
        <v>0</v>
      </c>
      <c r="C197" s="77">
        <f t="shared" si="14"/>
        <v>0</v>
      </c>
      <c r="D197" s="77">
        <f t="shared" si="15"/>
        <v>0</v>
      </c>
      <c r="E197" s="77">
        <f t="shared" si="16"/>
        <v>0</v>
      </c>
      <c r="F197" s="30">
        <f t="shared" si="17"/>
        <v>0</v>
      </c>
      <c r="G197" s="78">
        <f t="shared" si="18"/>
        <v>0</v>
      </c>
    </row>
    <row r="198" spans="1:7" ht="13.5" hidden="1" thickBot="1" x14ac:dyDescent="0.25">
      <c r="A198" s="15">
        <f t="shared" si="19"/>
        <v>178</v>
      </c>
      <c r="B198" s="30">
        <f t="shared" si="20"/>
        <v>0</v>
      </c>
      <c r="C198" s="77">
        <f t="shared" si="14"/>
        <v>0</v>
      </c>
      <c r="D198" s="77">
        <f t="shared" si="15"/>
        <v>0</v>
      </c>
      <c r="E198" s="77">
        <f t="shared" si="16"/>
        <v>0</v>
      </c>
      <c r="F198" s="30">
        <f t="shared" si="17"/>
        <v>0</v>
      </c>
      <c r="G198" s="78">
        <f t="shared" si="18"/>
        <v>0</v>
      </c>
    </row>
    <row r="199" spans="1:7" ht="13.5" hidden="1" thickBot="1" x14ac:dyDescent="0.25">
      <c r="A199" s="15">
        <f t="shared" si="19"/>
        <v>179</v>
      </c>
      <c r="B199" s="30">
        <f t="shared" si="20"/>
        <v>0</v>
      </c>
      <c r="C199" s="77">
        <f t="shared" si="14"/>
        <v>0</v>
      </c>
      <c r="D199" s="77">
        <f t="shared" si="15"/>
        <v>0</v>
      </c>
      <c r="E199" s="77">
        <f t="shared" si="16"/>
        <v>0</v>
      </c>
      <c r="F199" s="30">
        <f t="shared" si="17"/>
        <v>0</v>
      </c>
      <c r="G199" s="78">
        <f t="shared" si="18"/>
        <v>0</v>
      </c>
    </row>
    <row r="200" spans="1:7" ht="13.5" hidden="1" thickBot="1" x14ac:dyDescent="0.25">
      <c r="A200" s="15">
        <f t="shared" si="19"/>
        <v>180</v>
      </c>
      <c r="B200" s="30">
        <f t="shared" si="20"/>
        <v>0</v>
      </c>
      <c r="C200" s="77">
        <f t="shared" si="14"/>
        <v>0</v>
      </c>
      <c r="D200" s="77">
        <f t="shared" si="15"/>
        <v>0</v>
      </c>
      <c r="E200" s="77">
        <f t="shared" si="16"/>
        <v>0</v>
      </c>
      <c r="F200" s="30">
        <f t="shared" si="17"/>
        <v>0</v>
      </c>
      <c r="G200" s="78">
        <f t="shared" si="18"/>
        <v>0</v>
      </c>
    </row>
    <row r="201" spans="1:7" ht="13.5" hidden="1" thickBot="1" x14ac:dyDescent="0.25">
      <c r="A201" s="15">
        <f t="shared" si="19"/>
        <v>181</v>
      </c>
      <c r="B201" s="30">
        <f t="shared" si="20"/>
        <v>0</v>
      </c>
      <c r="C201" s="77">
        <f t="shared" si="14"/>
        <v>0</v>
      </c>
      <c r="D201" s="77">
        <f t="shared" si="15"/>
        <v>0</v>
      </c>
      <c r="E201" s="77">
        <f t="shared" si="16"/>
        <v>0</v>
      </c>
      <c r="F201" s="30">
        <f t="shared" si="17"/>
        <v>0</v>
      </c>
      <c r="G201" s="78">
        <f t="shared" si="18"/>
        <v>0</v>
      </c>
    </row>
    <row r="202" spans="1:7" ht="13.5" hidden="1" thickBot="1" x14ac:dyDescent="0.25">
      <c r="A202" s="15">
        <f t="shared" si="19"/>
        <v>182</v>
      </c>
      <c r="B202" s="30">
        <f t="shared" si="20"/>
        <v>0</v>
      </c>
      <c r="C202" s="77">
        <f t="shared" si="14"/>
        <v>0</v>
      </c>
      <c r="D202" s="77">
        <f t="shared" si="15"/>
        <v>0</v>
      </c>
      <c r="E202" s="77">
        <f t="shared" si="16"/>
        <v>0</v>
      </c>
      <c r="F202" s="30">
        <f t="shared" si="17"/>
        <v>0</v>
      </c>
      <c r="G202" s="78">
        <f t="shared" si="18"/>
        <v>0</v>
      </c>
    </row>
    <row r="203" spans="1:7" ht="13.5" hidden="1" thickBot="1" x14ac:dyDescent="0.25">
      <c r="A203" s="15">
        <f t="shared" si="19"/>
        <v>183</v>
      </c>
      <c r="B203" s="30">
        <f t="shared" si="20"/>
        <v>0</v>
      </c>
      <c r="C203" s="77">
        <f t="shared" si="14"/>
        <v>0</v>
      </c>
      <c r="D203" s="77">
        <f t="shared" si="15"/>
        <v>0</v>
      </c>
      <c r="E203" s="77">
        <f t="shared" si="16"/>
        <v>0</v>
      </c>
      <c r="F203" s="30">
        <f t="shared" si="17"/>
        <v>0</v>
      </c>
      <c r="G203" s="78">
        <f t="shared" si="18"/>
        <v>0</v>
      </c>
    </row>
    <row r="204" spans="1:7" ht="13.5" hidden="1" thickBot="1" x14ac:dyDescent="0.25">
      <c r="A204" s="15">
        <f t="shared" si="19"/>
        <v>184</v>
      </c>
      <c r="B204" s="30">
        <f t="shared" si="20"/>
        <v>0</v>
      </c>
      <c r="C204" s="77">
        <f t="shared" si="14"/>
        <v>0</v>
      </c>
      <c r="D204" s="77">
        <f t="shared" si="15"/>
        <v>0</v>
      </c>
      <c r="E204" s="77">
        <f t="shared" si="16"/>
        <v>0</v>
      </c>
      <c r="F204" s="30">
        <f t="shared" si="17"/>
        <v>0</v>
      </c>
      <c r="G204" s="78">
        <f t="shared" si="18"/>
        <v>0</v>
      </c>
    </row>
    <row r="205" spans="1:7" ht="13.5" hidden="1" thickBot="1" x14ac:dyDescent="0.25">
      <c r="A205" s="15">
        <f t="shared" si="19"/>
        <v>185</v>
      </c>
      <c r="B205" s="30">
        <f t="shared" si="20"/>
        <v>0</v>
      </c>
      <c r="C205" s="77">
        <f t="shared" si="14"/>
        <v>0</v>
      </c>
      <c r="D205" s="77">
        <f t="shared" si="15"/>
        <v>0</v>
      </c>
      <c r="E205" s="77">
        <f t="shared" si="16"/>
        <v>0</v>
      </c>
      <c r="F205" s="30">
        <f t="shared" si="17"/>
        <v>0</v>
      </c>
      <c r="G205" s="78">
        <f t="shared" si="18"/>
        <v>0</v>
      </c>
    </row>
    <row r="206" spans="1:7" ht="13.5" hidden="1" thickBot="1" x14ac:dyDescent="0.25">
      <c r="A206" s="15">
        <f t="shared" si="19"/>
        <v>186</v>
      </c>
      <c r="B206" s="30">
        <f t="shared" si="20"/>
        <v>0</v>
      </c>
      <c r="C206" s="77">
        <f t="shared" si="14"/>
        <v>0</v>
      </c>
      <c r="D206" s="77">
        <f t="shared" si="15"/>
        <v>0</v>
      </c>
      <c r="E206" s="77">
        <f t="shared" si="16"/>
        <v>0</v>
      </c>
      <c r="F206" s="30">
        <f t="shared" si="17"/>
        <v>0</v>
      </c>
      <c r="G206" s="78">
        <f t="shared" si="18"/>
        <v>0</v>
      </c>
    </row>
    <row r="207" spans="1:7" ht="13.5" hidden="1" thickBot="1" x14ac:dyDescent="0.25">
      <c r="A207" s="15">
        <f t="shared" si="19"/>
        <v>187</v>
      </c>
      <c r="B207" s="30">
        <f t="shared" si="20"/>
        <v>0</v>
      </c>
      <c r="C207" s="77">
        <f t="shared" si="14"/>
        <v>0</v>
      </c>
      <c r="D207" s="77">
        <f t="shared" si="15"/>
        <v>0</v>
      </c>
      <c r="E207" s="77">
        <f t="shared" si="16"/>
        <v>0</v>
      </c>
      <c r="F207" s="30">
        <f t="shared" si="17"/>
        <v>0</v>
      </c>
      <c r="G207" s="78">
        <f t="shared" si="18"/>
        <v>0</v>
      </c>
    </row>
    <row r="208" spans="1:7" ht="13.5" hidden="1" thickBot="1" x14ac:dyDescent="0.25">
      <c r="A208" s="15">
        <f t="shared" si="19"/>
        <v>188</v>
      </c>
      <c r="B208" s="30">
        <f t="shared" si="20"/>
        <v>0</v>
      </c>
      <c r="C208" s="77">
        <f t="shared" si="14"/>
        <v>0</v>
      </c>
      <c r="D208" s="77">
        <f t="shared" si="15"/>
        <v>0</v>
      </c>
      <c r="E208" s="77">
        <f t="shared" si="16"/>
        <v>0</v>
      </c>
      <c r="F208" s="30">
        <f t="shared" si="17"/>
        <v>0</v>
      </c>
      <c r="G208" s="78">
        <f t="shared" si="18"/>
        <v>0</v>
      </c>
    </row>
    <row r="209" spans="1:7" ht="13.5" hidden="1" thickBot="1" x14ac:dyDescent="0.25">
      <c r="A209" s="15">
        <f t="shared" si="19"/>
        <v>189</v>
      </c>
      <c r="B209" s="30">
        <f t="shared" si="20"/>
        <v>0</v>
      </c>
      <c r="C209" s="77">
        <f t="shared" si="14"/>
        <v>0</v>
      </c>
      <c r="D209" s="77">
        <f t="shared" si="15"/>
        <v>0</v>
      </c>
      <c r="E209" s="77">
        <f t="shared" si="16"/>
        <v>0</v>
      </c>
      <c r="F209" s="30">
        <f t="shared" si="17"/>
        <v>0</v>
      </c>
      <c r="G209" s="78">
        <f t="shared" si="18"/>
        <v>0</v>
      </c>
    </row>
    <row r="210" spans="1:7" ht="13.5" hidden="1" thickBot="1" x14ac:dyDescent="0.25">
      <c r="A210" s="15">
        <f t="shared" si="19"/>
        <v>190</v>
      </c>
      <c r="B210" s="30">
        <f t="shared" si="20"/>
        <v>0</v>
      </c>
      <c r="C210" s="77">
        <f t="shared" si="14"/>
        <v>0</v>
      </c>
      <c r="D210" s="77">
        <f t="shared" si="15"/>
        <v>0</v>
      </c>
      <c r="E210" s="77">
        <f t="shared" si="16"/>
        <v>0</v>
      </c>
      <c r="F210" s="30">
        <f t="shared" si="17"/>
        <v>0</v>
      </c>
      <c r="G210" s="78">
        <f t="shared" si="18"/>
        <v>0</v>
      </c>
    </row>
    <row r="211" spans="1:7" ht="13.5" hidden="1" thickBot="1" x14ac:dyDescent="0.25">
      <c r="A211" s="15">
        <f t="shared" si="19"/>
        <v>191</v>
      </c>
      <c r="B211" s="30">
        <f t="shared" si="20"/>
        <v>0</v>
      </c>
      <c r="C211" s="77">
        <f t="shared" si="14"/>
        <v>0</v>
      </c>
      <c r="D211" s="77">
        <f t="shared" si="15"/>
        <v>0</v>
      </c>
      <c r="E211" s="77">
        <f t="shared" si="16"/>
        <v>0</v>
      </c>
      <c r="F211" s="30">
        <f t="shared" si="17"/>
        <v>0</v>
      </c>
      <c r="G211" s="78">
        <f t="shared" si="18"/>
        <v>0</v>
      </c>
    </row>
    <row r="212" spans="1:7" ht="13.5" hidden="1" thickBot="1" x14ac:dyDescent="0.25">
      <c r="A212" s="15">
        <f t="shared" si="19"/>
        <v>192</v>
      </c>
      <c r="B212" s="30">
        <f t="shared" si="20"/>
        <v>0</v>
      </c>
      <c r="C212" s="77">
        <f t="shared" si="14"/>
        <v>0</v>
      </c>
      <c r="D212" s="77">
        <f t="shared" si="15"/>
        <v>0</v>
      </c>
      <c r="E212" s="77">
        <f t="shared" si="16"/>
        <v>0</v>
      </c>
      <c r="F212" s="30">
        <f t="shared" si="17"/>
        <v>0</v>
      </c>
      <c r="G212" s="78">
        <f t="shared" si="18"/>
        <v>0</v>
      </c>
    </row>
    <row r="213" spans="1:7" ht="13.5" hidden="1" thickBot="1" x14ac:dyDescent="0.25">
      <c r="A213" s="15">
        <f t="shared" si="19"/>
        <v>193</v>
      </c>
      <c r="B213" s="30">
        <f t="shared" si="20"/>
        <v>0</v>
      </c>
      <c r="C213" s="77">
        <f t="shared" ref="C213:C276" si="21">IF(A213&lt;=$D$10,D213+$D$13,0)</f>
        <v>0</v>
      </c>
      <c r="D213" s="77">
        <f t="shared" ref="D213:D276" si="22">E213+F213</f>
        <v>0</v>
      </c>
      <c r="E213" s="77">
        <f t="shared" ref="E213:E276" si="23">B213*$D$11</f>
        <v>0</v>
      </c>
      <c r="F213" s="30">
        <f t="shared" ref="F213:F276" si="24">IF(A213&lt;=$D$10,$D$12*-1,0)</f>
        <v>0</v>
      </c>
      <c r="G213" s="78">
        <f t="shared" ref="G213:G276" si="25">B213-F213</f>
        <v>0</v>
      </c>
    </row>
    <row r="214" spans="1:7" ht="13.5" hidden="1" thickBot="1" x14ac:dyDescent="0.25">
      <c r="A214" s="15">
        <f t="shared" ref="A214:A277" si="26">A213+1</f>
        <v>194</v>
      </c>
      <c r="B214" s="30">
        <f t="shared" ref="B214:B277" si="27">B213-F213</f>
        <v>0</v>
      </c>
      <c r="C214" s="77">
        <f t="shared" si="21"/>
        <v>0</v>
      </c>
      <c r="D214" s="77">
        <f t="shared" si="22"/>
        <v>0</v>
      </c>
      <c r="E214" s="77">
        <f t="shared" si="23"/>
        <v>0</v>
      </c>
      <c r="F214" s="30">
        <f t="shared" si="24"/>
        <v>0</v>
      </c>
      <c r="G214" s="78">
        <f t="shared" si="25"/>
        <v>0</v>
      </c>
    </row>
    <row r="215" spans="1:7" ht="13.5" hidden="1" thickBot="1" x14ac:dyDescent="0.25">
      <c r="A215" s="15">
        <f t="shared" si="26"/>
        <v>195</v>
      </c>
      <c r="B215" s="30">
        <f t="shared" si="27"/>
        <v>0</v>
      </c>
      <c r="C215" s="77">
        <f t="shared" si="21"/>
        <v>0</v>
      </c>
      <c r="D215" s="77">
        <f t="shared" si="22"/>
        <v>0</v>
      </c>
      <c r="E215" s="77">
        <f t="shared" si="23"/>
        <v>0</v>
      </c>
      <c r="F215" s="30">
        <f t="shared" si="24"/>
        <v>0</v>
      </c>
      <c r="G215" s="78">
        <f t="shared" si="25"/>
        <v>0</v>
      </c>
    </row>
    <row r="216" spans="1:7" ht="13.5" hidden="1" thickBot="1" x14ac:dyDescent="0.25">
      <c r="A216" s="15">
        <f t="shared" si="26"/>
        <v>196</v>
      </c>
      <c r="B216" s="30">
        <f t="shared" si="27"/>
        <v>0</v>
      </c>
      <c r="C216" s="77">
        <f t="shared" si="21"/>
        <v>0</v>
      </c>
      <c r="D216" s="77">
        <f t="shared" si="22"/>
        <v>0</v>
      </c>
      <c r="E216" s="77">
        <f t="shared" si="23"/>
        <v>0</v>
      </c>
      <c r="F216" s="30">
        <f t="shared" si="24"/>
        <v>0</v>
      </c>
      <c r="G216" s="78">
        <f t="shared" si="25"/>
        <v>0</v>
      </c>
    </row>
    <row r="217" spans="1:7" ht="13.5" hidden="1" thickBot="1" x14ac:dyDescent="0.25">
      <c r="A217" s="15">
        <f t="shared" si="26"/>
        <v>197</v>
      </c>
      <c r="B217" s="30">
        <f t="shared" si="27"/>
        <v>0</v>
      </c>
      <c r="C217" s="77">
        <f t="shared" si="21"/>
        <v>0</v>
      </c>
      <c r="D217" s="77">
        <f t="shared" si="22"/>
        <v>0</v>
      </c>
      <c r="E217" s="77">
        <f t="shared" si="23"/>
        <v>0</v>
      </c>
      <c r="F217" s="30">
        <f t="shared" si="24"/>
        <v>0</v>
      </c>
      <c r="G217" s="78">
        <f t="shared" si="25"/>
        <v>0</v>
      </c>
    </row>
    <row r="218" spans="1:7" ht="13.5" hidden="1" thickBot="1" x14ac:dyDescent="0.25">
      <c r="A218" s="15">
        <f t="shared" si="26"/>
        <v>198</v>
      </c>
      <c r="B218" s="30">
        <f t="shared" si="27"/>
        <v>0</v>
      </c>
      <c r="C218" s="77">
        <f t="shared" si="21"/>
        <v>0</v>
      </c>
      <c r="D218" s="77">
        <f t="shared" si="22"/>
        <v>0</v>
      </c>
      <c r="E218" s="77">
        <f t="shared" si="23"/>
        <v>0</v>
      </c>
      <c r="F218" s="30">
        <f t="shared" si="24"/>
        <v>0</v>
      </c>
      <c r="G218" s="78">
        <f t="shared" si="25"/>
        <v>0</v>
      </c>
    </row>
    <row r="219" spans="1:7" ht="13.5" hidden="1" thickBot="1" x14ac:dyDescent="0.25">
      <c r="A219" s="15">
        <f t="shared" si="26"/>
        <v>199</v>
      </c>
      <c r="B219" s="30">
        <f t="shared" si="27"/>
        <v>0</v>
      </c>
      <c r="C219" s="77">
        <f t="shared" si="21"/>
        <v>0</v>
      </c>
      <c r="D219" s="77">
        <f t="shared" si="22"/>
        <v>0</v>
      </c>
      <c r="E219" s="77">
        <f t="shared" si="23"/>
        <v>0</v>
      </c>
      <c r="F219" s="30">
        <f t="shared" si="24"/>
        <v>0</v>
      </c>
      <c r="G219" s="78">
        <f t="shared" si="25"/>
        <v>0</v>
      </c>
    </row>
    <row r="220" spans="1:7" ht="13.5" hidden="1" thickBot="1" x14ac:dyDescent="0.25">
      <c r="A220" s="15">
        <f t="shared" si="26"/>
        <v>200</v>
      </c>
      <c r="B220" s="30">
        <f t="shared" si="27"/>
        <v>0</v>
      </c>
      <c r="C220" s="77">
        <f t="shared" si="21"/>
        <v>0</v>
      </c>
      <c r="D220" s="77">
        <f t="shared" si="22"/>
        <v>0</v>
      </c>
      <c r="E220" s="77">
        <f t="shared" si="23"/>
        <v>0</v>
      </c>
      <c r="F220" s="30">
        <f t="shared" si="24"/>
        <v>0</v>
      </c>
      <c r="G220" s="78">
        <f t="shared" si="25"/>
        <v>0</v>
      </c>
    </row>
    <row r="221" spans="1:7" ht="13.5" hidden="1" thickBot="1" x14ac:dyDescent="0.25">
      <c r="A221" s="15">
        <f t="shared" si="26"/>
        <v>201</v>
      </c>
      <c r="B221" s="30">
        <f t="shared" si="27"/>
        <v>0</v>
      </c>
      <c r="C221" s="77">
        <f t="shared" si="21"/>
        <v>0</v>
      </c>
      <c r="D221" s="77">
        <f t="shared" si="22"/>
        <v>0</v>
      </c>
      <c r="E221" s="77">
        <f t="shared" si="23"/>
        <v>0</v>
      </c>
      <c r="F221" s="30">
        <f t="shared" si="24"/>
        <v>0</v>
      </c>
      <c r="G221" s="78">
        <f t="shared" si="25"/>
        <v>0</v>
      </c>
    </row>
    <row r="222" spans="1:7" ht="13.5" hidden="1" thickBot="1" x14ac:dyDescent="0.25">
      <c r="A222" s="15">
        <f t="shared" si="26"/>
        <v>202</v>
      </c>
      <c r="B222" s="30">
        <f t="shared" si="27"/>
        <v>0</v>
      </c>
      <c r="C222" s="77">
        <f t="shared" si="21"/>
        <v>0</v>
      </c>
      <c r="D222" s="77">
        <f t="shared" si="22"/>
        <v>0</v>
      </c>
      <c r="E222" s="77">
        <f t="shared" si="23"/>
        <v>0</v>
      </c>
      <c r="F222" s="30">
        <f t="shared" si="24"/>
        <v>0</v>
      </c>
      <c r="G222" s="78">
        <f t="shared" si="25"/>
        <v>0</v>
      </c>
    </row>
    <row r="223" spans="1:7" ht="13.5" hidden="1" thickBot="1" x14ac:dyDescent="0.25">
      <c r="A223" s="15">
        <f t="shared" si="26"/>
        <v>203</v>
      </c>
      <c r="B223" s="30">
        <f t="shared" si="27"/>
        <v>0</v>
      </c>
      <c r="C223" s="77">
        <f t="shared" si="21"/>
        <v>0</v>
      </c>
      <c r="D223" s="77">
        <f t="shared" si="22"/>
        <v>0</v>
      </c>
      <c r="E223" s="77">
        <f t="shared" si="23"/>
        <v>0</v>
      </c>
      <c r="F223" s="30">
        <f t="shared" si="24"/>
        <v>0</v>
      </c>
      <c r="G223" s="78">
        <f t="shared" si="25"/>
        <v>0</v>
      </c>
    </row>
    <row r="224" spans="1:7" ht="13.5" hidden="1" thickBot="1" x14ac:dyDescent="0.25">
      <c r="A224" s="15">
        <f t="shared" si="26"/>
        <v>204</v>
      </c>
      <c r="B224" s="30">
        <f t="shared" si="27"/>
        <v>0</v>
      </c>
      <c r="C224" s="77">
        <f t="shared" si="21"/>
        <v>0</v>
      </c>
      <c r="D224" s="77">
        <f t="shared" si="22"/>
        <v>0</v>
      </c>
      <c r="E224" s="77">
        <f t="shared" si="23"/>
        <v>0</v>
      </c>
      <c r="F224" s="30">
        <f t="shared" si="24"/>
        <v>0</v>
      </c>
      <c r="G224" s="78">
        <f t="shared" si="25"/>
        <v>0</v>
      </c>
    </row>
    <row r="225" spans="1:7" ht="13.5" hidden="1" thickBot="1" x14ac:dyDescent="0.25">
      <c r="A225" s="15">
        <f t="shared" si="26"/>
        <v>205</v>
      </c>
      <c r="B225" s="30">
        <f t="shared" si="27"/>
        <v>0</v>
      </c>
      <c r="C225" s="77">
        <f t="shared" si="21"/>
        <v>0</v>
      </c>
      <c r="D225" s="77">
        <f t="shared" si="22"/>
        <v>0</v>
      </c>
      <c r="E225" s="77">
        <f t="shared" si="23"/>
        <v>0</v>
      </c>
      <c r="F225" s="30">
        <f t="shared" si="24"/>
        <v>0</v>
      </c>
      <c r="G225" s="78">
        <f t="shared" si="25"/>
        <v>0</v>
      </c>
    </row>
    <row r="226" spans="1:7" ht="13.5" hidden="1" thickBot="1" x14ac:dyDescent="0.25">
      <c r="A226" s="15">
        <f t="shared" si="26"/>
        <v>206</v>
      </c>
      <c r="B226" s="30">
        <f t="shared" si="27"/>
        <v>0</v>
      </c>
      <c r="C226" s="77">
        <f t="shared" si="21"/>
        <v>0</v>
      </c>
      <c r="D226" s="77">
        <f t="shared" si="22"/>
        <v>0</v>
      </c>
      <c r="E226" s="77">
        <f t="shared" si="23"/>
        <v>0</v>
      </c>
      <c r="F226" s="30">
        <f t="shared" si="24"/>
        <v>0</v>
      </c>
      <c r="G226" s="78">
        <f t="shared" si="25"/>
        <v>0</v>
      </c>
    </row>
    <row r="227" spans="1:7" ht="13.5" hidden="1" thickBot="1" x14ac:dyDescent="0.25">
      <c r="A227" s="15">
        <f t="shared" si="26"/>
        <v>207</v>
      </c>
      <c r="B227" s="30">
        <f t="shared" si="27"/>
        <v>0</v>
      </c>
      <c r="C227" s="77">
        <f t="shared" si="21"/>
        <v>0</v>
      </c>
      <c r="D227" s="77">
        <f t="shared" si="22"/>
        <v>0</v>
      </c>
      <c r="E227" s="77">
        <f t="shared" si="23"/>
        <v>0</v>
      </c>
      <c r="F227" s="30">
        <f t="shared" si="24"/>
        <v>0</v>
      </c>
      <c r="G227" s="78">
        <f t="shared" si="25"/>
        <v>0</v>
      </c>
    </row>
    <row r="228" spans="1:7" ht="13.5" hidden="1" thickBot="1" x14ac:dyDescent="0.25">
      <c r="A228" s="15">
        <f t="shared" si="26"/>
        <v>208</v>
      </c>
      <c r="B228" s="30">
        <f t="shared" si="27"/>
        <v>0</v>
      </c>
      <c r="C228" s="77">
        <f t="shared" si="21"/>
        <v>0</v>
      </c>
      <c r="D228" s="77">
        <f t="shared" si="22"/>
        <v>0</v>
      </c>
      <c r="E228" s="77">
        <f t="shared" si="23"/>
        <v>0</v>
      </c>
      <c r="F228" s="30">
        <f t="shared" si="24"/>
        <v>0</v>
      </c>
      <c r="G228" s="78">
        <f t="shared" si="25"/>
        <v>0</v>
      </c>
    </row>
    <row r="229" spans="1:7" ht="13.5" hidden="1" thickBot="1" x14ac:dyDescent="0.25">
      <c r="A229" s="15">
        <f t="shared" si="26"/>
        <v>209</v>
      </c>
      <c r="B229" s="30">
        <f t="shared" si="27"/>
        <v>0</v>
      </c>
      <c r="C229" s="77">
        <f t="shared" si="21"/>
        <v>0</v>
      </c>
      <c r="D229" s="77">
        <f t="shared" si="22"/>
        <v>0</v>
      </c>
      <c r="E229" s="77">
        <f t="shared" si="23"/>
        <v>0</v>
      </c>
      <c r="F229" s="30">
        <f t="shared" si="24"/>
        <v>0</v>
      </c>
      <c r="G229" s="78">
        <f t="shared" si="25"/>
        <v>0</v>
      </c>
    </row>
    <row r="230" spans="1:7" ht="13.5" hidden="1" thickBot="1" x14ac:dyDescent="0.25">
      <c r="A230" s="15">
        <f t="shared" si="26"/>
        <v>210</v>
      </c>
      <c r="B230" s="30">
        <f t="shared" si="27"/>
        <v>0</v>
      </c>
      <c r="C230" s="77">
        <f t="shared" si="21"/>
        <v>0</v>
      </c>
      <c r="D230" s="77">
        <f t="shared" si="22"/>
        <v>0</v>
      </c>
      <c r="E230" s="77">
        <f t="shared" si="23"/>
        <v>0</v>
      </c>
      <c r="F230" s="30">
        <f t="shared" si="24"/>
        <v>0</v>
      </c>
      <c r="G230" s="78">
        <f t="shared" si="25"/>
        <v>0</v>
      </c>
    </row>
    <row r="231" spans="1:7" ht="13.5" hidden="1" thickBot="1" x14ac:dyDescent="0.25">
      <c r="A231" s="15">
        <f t="shared" si="26"/>
        <v>211</v>
      </c>
      <c r="B231" s="30">
        <f t="shared" si="27"/>
        <v>0</v>
      </c>
      <c r="C231" s="77">
        <f t="shared" si="21"/>
        <v>0</v>
      </c>
      <c r="D231" s="77">
        <f t="shared" si="22"/>
        <v>0</v>
      </c>
      <c r="E231" s="77">
        <f t="shared" si="23"/>
        <v>0</v>
      </c>
      <c r="F231" s="30">
        <f t="shared" si="24"/>
        <v>0</v>
      </c>
      <c r="G231" s="78">
        <f t="shared" si="25"/>
        <v>0</v>
      </c>
    </row>
    <row r="232" spans="1:7" ht="13.5" hidden="1" thickBot="1" x14ac:dyDescent="0.25">
      <c r="A232" s="15">
        <f t="shared" si="26"/>
        <v>212</v>
      </c>
      <c r="B232" s="30">
        <f t="shared" si="27"/>
        <v>0</v>
      </c>
      <c r="C232" s="77">
        <f t="shared" si="21"/>
        <v>0</v>
      </c>
      <c r="D232" s="77">
        <f t="shared" si="22"/>
        <v>0</v>
      </c>
      <c r="E232" s="77">
        <f t="shared" si="23"/>
        <v>0</v>
      </c>
      <c r="F232" s="30">
        <f t="shared" si="24"/>
        <v>0</v>
      </c>
      <c r="G232" s="78">
        <f t="shared" si="25"/>
        <v>0</v>
      </c>
    </row>
    <row r="233" spans="1:7" ht="13.5" hidden="1" thickBot="1" x14ac:dyDescent="0.25">
      <c r="A233" s="15">
        <f t="shared" si="26"/>
        <v>213</v>
      </c>
      <c r="B233" s="30">
        <f t="shared" si="27"/>
        <v>0</v>
      </c>
      <c r="C233" s="77">
        <f t="shared" si="21"/>
        <v>0</v>
      </c>
      <c r="D233" s="77">
        <f t="shared" si="22"/>
        <v>0</v>
      </c>
      <c r="E233" s="77">
        <f t="shared" si="23"/>
        <v>0</v>
      </c>
      <c r="F233" s="30">
        <f t="shared" si="24"/>
        <v>0</v>
      </c>
      <c r="G233" s="78">
        <f t="shared" si="25"/>
        <v>0</v>
      </c>
    </row>
    <row r="234" spans="1:7" ht="13.5" hidden="1" thickBot="1" x14ac:dyDescent="0.25">
      <c r="A234" s="15">
        <f t="shared" si="26"/>
        <v>214</v>
      </c>
      <c r="B234" s="30">
        <f t="shared" si="27"/>
        <v>0</v>
      </c>
      <c r="C234" s="77">
        <f t="shared" si="21"/>
        <v>0</v>
      </c>
      <c r="D234" s="77">
        <f t="shared" si="22"/>
        <v>0</v>
      </c>
      <c r="E234" s="77">
        <f t="shared" si="23"/>
        <v>0</v>
      </c>
      <c r="F234" s="30">
        <f t="shared" si="24"/>
        <v>0</v>
      </c>
      <c r="G234" s="78">
        <f t="shared" si="25"/>
        <v>0</v>
      </c>
    </row>
    <row r="235" spans="1:7" ht="13.5" hidden="1" thickBot="1" x14ac:dyDescent="0.25">
      <c r="A235" s="15">
        <f t="shared" si="26"/>
        <v>215</v>
      </c>
      <c r="B235" s="30">
        <f t="shared" si="27"/>
        <v>0</v>
      </c>
      <c r="C235" s="77">
        <f t="shared" si="21"/>
        <v>0</v>
      </c>
      <c r="D235" s="77">
        <f t="shared" si="22"/>
        <v>0</v>
      </c>
      <c r="E235" s="77">
        <f t="shared" si="23"/>
        <v>0</v>
      </c>
      <c r="F235" s="30">
        <f t="shared" si="24"/>
        <v>0</v>
      </c>
      <c r="G235" s="78">
        <f t="shared" si="25"/>
        <v>0</v>
      </c>
    </row>
    <row r="236" spans="1:7" ht="13.5" hidden="1" thickBot="1" x14ac:dyDescent="0.25">
      <c r="A236" s="15">
        <f t="shared" si="26"/>
        <v>216</v>
      </c>
      <c r="B236" s="30">
        <f t="shared" si="27"/>
        <v>0</v>
      </c>
      <c r="C236" s="77">
        <f t="shared" si="21"/>
        <v>0</v>
      </c>
      <c r="D236" s="77">
        <f t="shared" si="22"/>
        <v>0</v>
      </c>
      <c r="E236" s="77">
        <f t="shared" si="23"/>
        <v>0</v>
      </c>
      <c r="F236" s="30">
        <f t="shared" si="24"/>
        <v>0</v>
      </c>
      <c r="G236" s="78">
        <f t="shared" si="25"/>
        <v>0</v>
      </c>
    </row>
    <row r="237" spans="1:7" ht="13.5" hidden="1" thickBot="1" x14ac:dyDescent="0.25">
      <c r="A237" s="15">
        <f t="shared" si="26"/>
        <v>217</v>
      </c>
      <c r="B237" s="30">
        <f t="shared" si="27"/>
        <v>0</v>
      </c>
      <c r="C237" s="77">
        <f t="shared" si="21"/>
        <v>0</v>
      </c>
      <c r="D237" s="77">
        <f t="shared" si="22"/>
        <v>0</v>
      </c>
      <c r="E237" s="77">
        <f t="shared" si="23"/>
        <v>0</v>
      </c>
      <c r="F237" s="30">
        <f t="shared" si="24"/>
        <v>0</v>
      </c>
      <c r="G237" s="78">
        <f t="shared" si="25"/>
        <v>0</v>
      </c>
    </row>
    <row r="238" spans="1:7" ht="13.5" hidden="1" thickBot="1" x14ac:dyDescent="0.25">
      <c r="A238" s="15">
        <f t="shared" si="26"/>
        <v>218</v>
      </c>
      <c r="B238" s="30">
        <f t="shared" si="27"/>
        <v>0</v>
      </c>
      <c r="C238" s="77">
        <f t="shared" si="21"/>
        <v>0</v>
      </c>
      <c r="D238" s="77">
        <f t="shared" si="22"/>
        <v>0</v>
      </c>
      <c r="E238" s="77">
        <f t="shared" si="23"/>
        <v>0</v>
      </c>
      <c r="F238" s="30">
        <f t="shared" si="24"/>
        <v>0</v>
      </c>
      <c r="G238" s="78">
        <f t="shared" si="25"/>
        <v>0</v>
      </c>
    </row>
    <row r="239" spans="1:7" ht="13.5" hidden="1" thickBot="1" x14ac:dyDescent="0.25">
      <c r="A239" s="15">
        <f t="shared" si="26"/>
        <v>219</v>
      </c>
      <c r="B239" s="30">
        <f t="shared" si="27"/>
        <v>0</v>
      </c>
      <c r="C239" s="77">
        <f t="shared" si="21"/>
        <v>0</v>
      </c>
      <c r="D239" s="77">
        <f t="shared" si="22"/>
        <v>0</v>
      </c>
      <c r="E239" s="77">
        <f t="shared" si="23"/>
        <v>0</v>
      </c>
      <c r="F239" s="30">
        <f t="shared" si="24"/>
        <v>0</v>
      </c>
      <c r="G239" s="78">
        <f t="shared" si="25"/>
        <v>0</v>
      </c>
    </row>
    <row r="240" spans="1:7" ht="13.5" hidden="1" thickBot="1" x14ac:dyDescent="0.25">
      <c r="A240" s="15">
        <f t="shared" si="26"/>
        <v>220</v>
      </c>
      <c r="B240" s="30">
        <f t="shared" si="27"/>
        <v>0</v>
      </c>
      <c r="C240" s="77">
        <f t="shared" si="21"/>
        <v>0</v>
      </c>
      <c r="D240" s="77">
        <f t="shared" si="22"/>
        <v>0</v>
      </c>
      <c r="E240" s="77">
        <f t="shared" si="23"/>
        <v>0</v>
      </c>
      <c r="F240" s="30">
        <f t="shared" si="24"/>
        <v>0</v>
      </c>
      <c r="G240" s="78">
        <f t="shared" si="25"/>
        <v>0</v>
      </c>
    </row>
    <row r="241" spans="1:7" ht="13.5" hidden="1" thickBot="1" x14ac:dyDescent="0.25">
      <c r="A241" s="15">
        <f t="shared" si="26"/>
        <v>221</v>
      </c>
      <c r="B241" s="30">
        <f t="shared" si="27"/>
        <v>0</v>
      </c>
      <c r="C241" s="77">
        <f t="shared" si="21"/>
        <v>0</v>
      </c>
      <c r="D241" s="77">
        <f t="shared" si="22"/>
        <v>0</v>
      </c>
      <c r="E241" s="77">
        <f t="shared" si="23"/>
        <v>0</v>
      </c>
      <c r="F241" s="30">
        <f t="shared" si="24"/>
        <v>0</v>
      </c>
      <c r="G241" s="78">
        <f t="shared" si="25"/>
        <v>0</v>
      </c>
    </row>
    <row r="242" spans="1:7" ht="13.5" hidden="1" thickBot="1" x14ac:dyDescent="0.25">
      <c r="A242" s="15">
        <f t="shared" si="26"/>
        <v>222</v>
      </c>
      <c r="B242" s="30">
        <f t="shared" si="27"/>
        <v>0</v>
      </c>
      <c r="C242" s="77">
        <f t="shared" si="21"/>
        <v>0</v>
      </c>
      <c r="D242" s="77">
        <f t="shared" si="22"/>
        <v>0</v>
      </c>
      <c r="E242" s="77">
        <f t="shared" si="23"/>
        <v>0</v>
      </c>
      <c r="F242" s="30">
        <f t="shared" si="24"/>
        <v>0</v>
      </c>
      <c r="G242" s="78">
        <f t="shared" si="25"/>
        <v>0</v>
      </c>
    </row>
    <row r="243" spans="1:7" ht="13.5" hidden="1" thickBot="1" x14ac:dyDescent="0.25">
      <c r="A243" s="15">
        <f t="shared" si="26"/>
        <v>223</v>
      </c>
      <c r="B243" s="30">
        <f t="shared" si="27"/>
        <v>0</v>
      </c>
      <c r="C243" s="77">
        <f t="shared" si="21"/>
        <v>0</v>
      </c>
      <c r="D243" s="77">
        <f t="shared" si="22"/>
        <v>0</v>
      </c>
      <c r="E243" s="77">
        <f t="shared" si="23"/>
        <v>0</v>
      </c>
      <c r="F243" s="30">
        <f t="shared" si="24"/>
        <v>0</v>
      </c>
      <c r="G243" s="78">
        <f t="shared" si="25"/>
        <v>0</v>
      </c>
    </row>
    <row r="244" spans="1:7" ht="13.5" hidden="1" thickBot="1" x14ac:dyDescent="0.25">
      <c r="A244" s="15">
        <f t="shared" si="26"/>
        <v>224</v>
      </c>
      <c r="B244" s="30">
        <f t="shared" si="27"/>
        <v>0</v>
      </c>
      <c r="C244" s="77">
        <f t="shared" si="21"/>
        <v>0</v>
      </c>
      <c r="D244" s="77">
        <f t="shared" si="22"/>
        <v>0</v>
      </c>
      <c r="E244" s="77">
        <f t="shared" si="23"/>
        <v>0</v>
      </c>
      <c r="F244" s="30">
        <f t="shared" si="24"/>
        <v>0</v>
      </c>
      <c r="G244" s="78">
        <f t="shared" si="25"/>
        <v>0</v>
      </c>
    </row>
    <row r="245" spans="1:7" ht="13.5" hidden="1" thickBot="1" x14ac:dyDescent="0.25">
      <c r="A245" s="15">
        <f t="shared" si="26"/>
        <v>225</v>
      </c>
      <c r="B245" s="30">
        <f t="shared" si="27"/>
        <v>0</v>
      </c>
      <c r="C245" s="77">
        <f t="shared" si="21"/>
        <v>0</v>
      </c>
      <c r="D245" s="77">
        <f t="shared" si="22"/>
        <v>0</v>
      </c>
      <c r="E245" s="77">
        <f t="shared" si="23"/>
        <v>0</v>
      </c>
      <c r="F245" s="30">
        <f t="shared" si="24"/>
        <v>0</v>
      </c>
      <c r="G245" s="78">
        <f t="shared" si="25"/>
        <v>0</v>
      </c>
    </row>
    <row r="246" spans="1:7" ht="13.5" hidden="1" thickBot="1" x14ac:dyDescent="0.25">
      <c r="A246" s="15">
        <f t="shared" si="26"/>
        <v>226</v>
      </c>
      <c r="B246" s="30">
        <f t="shared" si="27"/>
        <v>0</v>
      </c>
      <c r="C246" s="77">
        <f t="shared" si="21"/>
        <v>0</v>
      </c>
      <c r="D246" s="77">
        <f t="shared" si="22"/>
        <v>0</v>
      </c>
      <c r="E246" s="77">
        <f t="shared" si="23"/>
        <v>0</v>
      </c>
      <c r="F246" s="30">
        <f t="shared" si="24"/>
        <v>0</v>
      </c>
      <c r="G246" s="78">
        <f t="shared" si="25"/>
        <v>0</v>
      </c>
    </row>
    <row r="247" spans="1:7" ht="13.5" hidden="1" thickBot="1" x14ac:dyDescent="0.25">
      <c r="A247" s="15">
        <f t="shared" si="26"/>
        <v>227</v>
      </c>
      <c r="B247" s="30">
        <f t="shared" si="27"/>
        <v>0</v>
      </c>
      <c r="C247" s="77">
        <f t="shared" si="21"/>
        <v>0</v>
      </c>
      <c r="D247" s="77">
        <f t="shared" si="22"/>
        <v>0</v>
      </c>
      <c r="E247" s="77">
        <f t="shared" si="23"/>
        <v>0</v>
      </c>
      <c r="F247" s="30">
        <f t="shared" si="24"/>
        <v>0</v>
      </c>
      <c r="G247" s="78">
        <f t="shared" si="25"/>
        <v>0</v>
      </c>
    </row>
    <row r="248" spans="1:7" ht="13.5" hidden="1" thickBot="1" x14ac:dyDescent="0.25">
      <c r="A248" s="15">
        <f t="shared" si="26"/>
        <v>228</v>
      </c>
      <c r="B248" s="30">
        <f t="shared" si="27"/>
        <v>0</v>
      </c>
      <c r="C248" s="77">
        <f t="shared" si="21"/>
        <v>0</v>
      </c>
      <c r="D248" s="77">
        <f t="shared" si="22"/>
        <v>0</v>
      </c>
      <c r="E248" s="77">
        <f t="shared" si="23"/>
        <v>0</v>
      </c>
      <c r="F248" s="30">
        <f t="shared" si="24"/>
        <v>0</v>
      </c>
      <c r="G248" s="78">
        <f t="shared" si="25"/>
        <v>0</v>
      </c>
    </row>
    <row r="249" spans="1:7" ht="13.5" hidden="1" thickBot="1" x14ac:dyDescent="0.25">
      <c r="A249" s="15">
        <f t="shared" si="26"/>
        <v>229</v>
      </c>
      <c r="B249" s="30">
        <f t="shared" si="27"/>
        <v>0</v>
      </c>
      <c r="C249" s="77">
        <f t="shared" si="21"/>
        <v>0</v>
      </c>
      <c r="D249" s="77">
        <f t="shared" si="22"/>
        <v>0</v>
      </c>
      <c r="E249" s="77">
        <f t="shared" si="23"/>
        <v>0</v>
      </c>
      <c r="F249" s="30">
        <f t="shared" si="24"/>
        <v>0</v>
      </c>
      <c r="G249" s="78">
        <f t="shared" si="25"/>
        <v>0</v>
      </c>
    </row>
    <row r="250" spans="1:7" ht="13.5" hidden="1" thickBot="1" x14ac:dyDescent="0.25">
      <c r="A250" s="15">
        <f t="shared" si="26"/>
        <v>230</v>
      </c>
      <c r="B250" s="30">
        <f t="shared" si="27"/>
        <v>0</v>
      </c>
      <c r="C250" s="77">
        <f t="shared" si="21"/>
        <v>0</v>
      </c>
      <c r="D250" s="77">
        <f t="shared" si="22"/>
        <v>0</v>
      </c>
      <c r="E250" s="77">
        <f t="shared" si="23"/>
        <v>0</v>
      </c>
      <c r="F250" s="30">
        <f t="shared" si="24"/>
        <v>0</v>
      </c>
      <c r="G250" s="78">
        <f t="shared" si="25"/>
        <v>0</v>
      </c>
    </row>
    <row r="251" spans="1:7" ht="13.5" hidden="1" thickBot="1" x14ac:dyDescent="0.25">
      <c r="A251" s="15">
        <f t="shared" si="26"/>
        <v>231</v>
      </c>
      <c r="B251" s="30">
        <f t="shared" si="27"/>
        <v>0</v>
      </c>
      <c r="C251" s="77">
        <f t="shared" si="21"/>
        <v>0</v>
      </c>
      <c r="D251" s="77">
        <f t="shared" si="22"/>
        <v>0</v>
      </c>
      <c r="E251" s="77">
        <f t="shared" si="23"/>
        <v>0</v>
      </c>
      <c r="F251" s="30">
        <f t="shared" si="24"/>
        <v>0</v>
      </c>
      <c r="G251" s="78">
        <f t="shared" si="25"/>
        <v>0</v>
      </c>
    </row>
    <row r="252" spans="1:7" ht="13.5" hidden="1" thickBot="1" x14ac:dyDescent="0.25">
      <c r="A252" s="15">
        <f t="shared" si="26"/>
        <v>232</v>
      </c>
      <c r="B252" s="30">
        <f t="shared" si="27"/>
        <v>0</v>
      </c>
      <c r="C252" s="77">
        <f t="shared" si="21"/>
        <v>0</v>
      </c>
      <c r="D252" s="77">
        <f t="shared" si="22"/>
        <v>0</v>
      </c>
      <c r="E252" s="77">
        <f t="shared" si="23"/>
        <v>0</v>
      </c>
      <c r="F252" s="30">
        <f t="shared" si="24"/>
        <v>0</v>
      </c>
      <c r="G252" s="78">
        <f t="shared" si="25"/>
        <v>0</v>
      </c>
    </row>
    <row r="253" spans="1:7" ht="13.5" hidden="1" thickBot="1" x14ac:dyDescent="0.25">
      <c r="A253" s="15">
        <f t="shared" si="26"/>
        <v>233</v>
      </c>
      <c r="B253" s="30">
        <f t="shared" si="27"/>
        <v>0</v>
      </c>
      <c r="C253" s="77">
        <f t="shared" si="21"/>
        <v>0</v>
      </c>
      <c r="D253" s="77">
        <f t="shared" si="22"/>
        <v>0</v>
      </c>
      <c r="E253" s="77">
        <f t="shared" si="23"/>
        <v>0</v>
      </c>
      <c r="F253" s="30">
        <f t="shared" si="24"/>
        <v>0</v>
      </c>
      <c r="G253" s="78">
        <f t="shared" si="25"/>
        <v>0</v>
      </c>
    </row>
    <row r="254" spans="1:7" ht="13.5" hidden="1" thickBot="1" x14ac:dyDescent="0.25">
      <c r="A254" s="15">
        <f t="shared" si="26"/>
        <v>234</v>
      </c>
      <c r="B254" s="30">
        <f t="shared" si="27"/>
        <v>0</v>
      </c>
      <c r="C254" s="77">
        <f t="shared" si="21"/>
        <v>0</v>
      </c>
      <c r="D254" s="77">
        <f t="shared" si="22"/>
        <v>0</v>
      </c>
      <c r="E254" s="77">
        <f t="shared" si="23"/>
        <v>0</v>
      </c>
      <c r="F254" s="30">
        <f t="shared" si="24"/>
        <v>0</v>
      </c>
      <c r="G254" s="78">
        <f t="shared" si="25"/>
        <v>0</v>
      </c>
    </row>
    <row r="255" spans="1:7" ht="13.5" hidden="1" thickBot="1" x14ac:dyDescent="0.25">
      <c r="A255" s="15">
        <f t="shared" si="26"/>
        <v>235</v>
      </c>
      <c r="B255" s="30">
        <f t="shared" si="27"/>
        <v>0</v>
      </c>
      <c r="C255" s="77">
        <f t="shared" si="21"/>
        <v>0</v>
      </c>
      <c r="D255" s="77">
        <f t="shared" si="22"/>
        <v>0</v>
      </c>
      <c r="E255" s="77">
        <f t="shared" si="23"/>
        <v>0</v>
      </c>
      <c r="F255" s="30">
        <f t="shared" si="24"/>
        <v>0</v>
      </c>
      <c r="G255" s="78">
        <f t="shared" si="25"/>
        <v>0</v>
      </c>
    </row>
    <row r="256" spans="1:7" ht="13.5" hidden="1" thickBot="1" x14ac:dyDescent="0.25">
      <c r="A256" s="15">
        <f t="shared" si="26"/>
        <v>236</v>
      </c>
      <c r="B256" s="30">
        <f t="shared" si="27"/>
        <v>0</v>
      </c>
      <c r="C256" s="77">
        <f t="shared" si="21"/>
        <v>0</v>
      </c>
      <c r="D256" s="77">
        <f t="shared" si="22"/>
        <v>0</v>
      </c>
      <c r="E256" s="77">
        <f t="shared" si="23"/>
        <v>0</v>
      </c>
      <c r="F256" s="30">
        <f t="shared" si="24"/>
        <v>0</v>
      </c>
      <c r="G256" s="78">
        <f t="shared" si="25"/>
        <v>0</v>
      </c>
    </row>
    <row r="257" spans="1:7" ht="13.5" hidden="1" thickBot="1" x14ac:dyDescent="0.25">
      <c r="A257" s="15">
        <f t="shared" si="26"/>
        <v>237</v>
      </c>
      <c r="B257" s="30">
        <f t="shared" si="27"/>
        <v>0</v>
      </c>
      <c r="C257" s="77">
        <f t="shared" si="21"/>
        <v>0</v>
      </c>
      <c r="D257" s="77">
        <f t="shared" si="22"/>
        <v>0</v>
      </c>
      <c r="E257" s="77">
        <f t="shared" si="23"/>
        <v>0</v>
      </c>
      <c r="F257" s="30">
        <f t="shared" si="24"/>
        <v>0</v>
      </c>
      <c r="G257" s="78">
        <f t="shared" si="25"/>
        <v>0</v>
      </c>
    </row>
    <row r="258" spans="1:7" ht="13.5" hidden="1" thickBot="1" x14ac:dyDescent="0.25">
      <c r="A258" s="15">
        <f t="shared" si="26"/>
        <v>238</v>
      </c>
      <c r="B258" s="30">
        <f t="shared" si="27"/>
        <v>0</v>
      </c>
      <c r="C258" s="77">
        <f t="shared" si="21"/>
        <v>0</v>
      </c>
      <c r="D258" s="77">
        <f t="shared" si="22"/>
        <v>0</v>
      </c>
      <c r="E258" s="77">
        <f t="shared" si="23"/>
        <v>0</v>
      </c>
      <c r="F258" s="30">
        <f t="shared" si="24"/>
        <v>0</v>
      </c>
      <c r="G258" s="78">
        <f t="shared" si="25"/>
        <v>0</v>
      </c>
    </row>
    <row r="259" spans="1:7" ht="13.5" hidden="1" thickBot="1" x14ac:dyDescent="0.25">
      <c r="A259" s="15">
        <f t="shared" si="26"/>
        <v>239</v>
      </c>
      <c r="B259" s="30">
        <f t="shared" si="27"/>
        <v>0</v>
      </c>
      <c r="C259" s="77">
        <f t="shared" si="21"/>
        <v>0</v>
      </c>
      <c r="D259" s="77">
        <f t="shared" si="22"/>
        <v>0</v>
      </c>
      <c r="E259" s="77">
        <f t="shared" si="23"/>
        <v>0</v>
      </c>
      <c r="F259" s="30">
        <f t="shared" si="24"/>
        <v>0</v>
      </c>
      <c r="G259" s="78">
        <f t="shared" si="25"/>
        <v>0</v>
      </c>
    </row>
    <row r="260" spans="1:7" ht="13.5" hidden="1" thickBot="1" x14ac:dyDescent="0.25">
      <c r="A260" s="15">
        <f t="shared" si="26"/>
        <v>240</v>
      </c>
      <c r="B260" s="30">
        <f t="shared" si="27"/>
        <v>0</v>
      </c>
      <c r="C260" s="77">
        <f t="shared" si="21"/>
        <v>0</v>
      </c>
      <c r="D260" s="77">
        <f t="shared" si="22"/>
        <v>0</v>
      </c>
      <c r="E260" s="77">
        <f t="shared" si="23"/>
        <v>0</v>
      </c>
      <c r="F260" s="30">
        <f t="shared" si="24"/>
        <v>0</v>
      </c>
      <c r="G260" s="78">
        <f t="shared" si="25"/>
        <v>0</v>
      </c>
    </row>
    <row r="261" spans="1:7" ht="13.5" hidden="1" thickBot="1" x14ac:dyDescent="0.25">
      <c r="A261" s="15">
        <f t="shared" si="26"/>
        <v>241</v>
      </c>
      <c r="B261" s="30">
        <f t="shared" si="27"/>
        <v>0</v>
      </c>
      <c r="C261" s="77">
        <f t="shared" si="21"/>
        <v>0</v>
      </c>
      <c r="D261" s="77">
        <f t="shared" si="22"/>
        <v>0</v>
      </c>
      <c r="E261" s="77">
        <f t="shared" si="23"/>
        <v>0</v>
      </c>
      <c r="F261" s="30">
        <f t="shared" si="24"/>
        <v>0</v>
      </c>
      <c r="G261" s="78">
        <f t="shared" si="25"/>
        <v>0</v>
      </c>
    </row>
    <row r="262" spans="1:7" ht="13.5" hidden="1" thickBot="1" x14ac:dyDescent="0.25">
      <c r="A262" s="15">
        <f t="shared" si="26"/>
        <v>242</v>
      </c>
      <c r="B262" s="30">
        <f t="shared" si="27"/>
        <v>0</v>
      </c>
      <c r="C262" s="77">
        <f t="shared" si="21"/>
        <v>0</v>
      </c>
      <c r="D262" s="77">
        <f t="shared" si="22"/>
        <v>0</v>
      </c>
      <c r="E262" s="77">
        <f t="shared" si="23"/>
        <v>0</v>
      </c>
      <c r="F262" s="30">
        <f t="shared" si="24"/>
        <v>0</v>
      </c>
      <c r="G262" s="78">
        <f t="shared" si="25"/>
        <v>0</v>
      </c>
    </row>
    <row r="263" spans="1:7" ht="13.5" hidden="1" thickBot="1" x14ac:dyDescent="0.25">
      <c r="A263" s="15">
        <f t="shared" si="26"/>
        <v>243</v>
      </c>
      <c r="B263" s="30">
        <f t="shared" si="27"/>
        <v>0</v>
      </c>
      <c r="C263" s="77">
        <f t="shared" si="21"/>
        <v>0</v>
      </c>
      <c r="D263" s="77">
        <f t="shared" si="22"/>
        <v>0</v>
      </c>
      <c r="E263" s="77">
        <f t="shared" si="23"/>
        <v>0</v>
      </c>
      <c r="F263" s="30">
        <f t="shared" si="24"/>
        <v>0</v>
      </c>
      <c r="G263" s="78">
        <f t="shared" si="25"/>
        <v>0</v>
      </c>
    </row>
    <row r="264" spans="1:7" ht="13.5" hidden="1" thickBot="1" x14ac:dyDescent="0.25">
      <c r="A264" s="15">
        <f t="shared" si="26"/>
        <v>244</v>
      </c>
      <c r="B264" s="30">
        <f t="shared" si="27"/>
        <v>0</v>
      </c>
      <c r="C264" s="77">
        <f t="shared" si="21"/>
        <v>0</v>
      </c>
      <c r="D264" s="77">
        <f t="shared" si="22"/>
        <v>0</v>
      </c>
      <c r="E264" s="77">
        <f t="shared" si="23"/>
        <v>0</v>
      </c>
      <c r="F264" s="30">
        <f t="shared" si="24"/>
        <v>0</v>
      </c>
      <c r="G264" s="78">
        <f t="shared" si="25"/>
        <v>0</v>
      </c>
    </row>
    <row r="265" spans="1:7" ht="13.5" hidden="1" thickBot="1" x14ac:dyDescent="0.25">
      <c r="A265" s="15">
        <f t="shared" si="26"/>
        <v>245</v>
      </c>
      <c r="B265" s="30">
        <f t="shared" si="27"/>
        <v>0</v>
      </c>
      <c r="C265" s="77">
        <f t="shared" si="21"/>
        <v>0</v>
      </c>
      <c r="D265" s="77">
        <f t="shared" si="22"/>
        <v>0</v>
      </c>
      <c r="E265" s="77">
        <f t="shared" si="23"/>
        <v>0</v>
      </c>
      <c r="F265" s="30">
        <f t="shared" si="24"/>
        <v>0</v>
      </c>
      <c r="G265" s="78">
        <f t="shared" si="25"/>
        <v>0</v>
      </c>
    </row>
    <row r="266" spans="1:7" ht="13.5" hidden="1" thickBot="1" x14ac:dyDescent="0.25">
      <c r="A266" s="15">
        <f t="shared" si="26"/>
        <v>246</v>
      </c>
      <c r="B266" s="30">
        <f t="shared" si="27"/>
        <v>0</v>
      </c>
      <c r="C266" s="77">
        <f t="shared" si="21"/>
        <v>0</v>
      </c>
      <c r="D266" s="77">
        <f t="shared" si="22"/>
        <v>0</v>
      </c>
      <c r="E266" s="77">
        <f t="shared" si="23"/>
        <v>0</v>
      </c>
      <c r="F266" s="30">
        <f t="shared" si="24"/>
        <v>0</v>
      </c>
      <c r="G266" s="78">
        <f t="shared" si="25"/>
        <v>0</v>
      </c>
    </row>
    <row r="267" spans="1:7" ht="13.5" hidden="1" thickBot="1" x14ac:dyDescent="0.25">
      <c r="A267" s="15">
        <f t="shared" si="26"/>
        <v>247</v>
      </c>
      <c r="B267" s="30">
        <f t="shared" si="27"/>
        <v>0</v>
      </c>
      <c r="C267" s="77">
        <f t="shared" si="21"/>
        <v>0</v>
      </c>
      <c r="D267" s="77">
        <f t="shared" si="22"/>
        <v>0</v>
      </c>
      <c r="E267" s="77">
        <f t="shared" si="23"/>
        <v>0</v>
      </c>
      <c r="F267" s="30">
        <f t="shared" si="24"/>
        <v>0</v>
      </c>
      <c r="G267" s="78">
        <f t="shared" si="25"/>
        <v>0</v>
      </c>
    </row>
    <row r="268" spans="1:7" ht="13.5" hidden="1" thickBot="1" x14ac:dyDescent="0.25">
      <c r="A268" s="15">
        <f t="shared" si="26"/>
        <v>248</v>
      </c>
      <c r="B268" s="30">
        <f t="shared" si="27"/>
        <v>0</v>
      </c>
      <c r="C268" s="77">
        <f t="shared" si="21"/>
        <v>0</v>
      </c>
      <c r="D268" s="77">
        <f t="shared" si="22"/>
        <v>0</v>
      </c>
      <c r="E268" s="77">
        <f t="shared" si="23"/>
        <v>0</v>
      </c>
      <c r="F268" s="30">
        <f t="shared" si="24"/>
        <v>0</v>
      </c>
      <c r="G268" s="78">
        <f t="shared" si="25"/>
        <v>0</v>
      </c>
    </row>
    <row r="269" spans="1:7" ht="13.5" hidden="1" thickBot="1" x14ac:dyDescent="0.25">
      <c r="A269" s="15">
        <f t="shared" si="26"/>
        <v>249</v>
      </c>
      <c r="B269" s="30">
        <f t="shared" si="27"/>
        <v>0</v>
      </c>
      <c r="C269" s="77">
        <f t="shared" si="21"/>
        <v>0</v>
      </c>
      <c r="D269" s="77">
        <f t="shared" si="22"/>
        <v>0</v>
      </c>
      <c r="E269" s="77">
        <f t="shared" si="23"/>
        <v>0</v>
      </c>
      <c r="F269" s="30">
        <f t="shared" si="24"/>
        <v>0</v>
      </c>
      <c r="G269" s="78">
        <f t="shared" si="25"/>
        <v>0</v>
      </c>
    </row>
    <row r="270" spans="1:7" ht="13.5" hidden="1" thickBot="1" x14ac:dyDescent="0.25">
      <c r="A270" s="15">
        <f t="shared" si="26"/>
        <v>250</v>
      </c>
      <c r="B270" s="30">
        <f t="shared" si="27"/>
        <v>0</v>
      </c>
      <c r="C270" s="77">
        <f t="shared" si="21"/>
        <v>0</v>
      </c>
      <c r="D270" s="77">
        <f t="shared" si="22"/>
        <v>0</v>
      </c>
      <c r="E270" s="77">
        <f t="shared" si="23"/>
        <v>0</v>
      </c>
      <c r="F270" s="30">
        <f t="shared" si="24"/>
        <v>0</v>
      </c>
      <c r="G270" s="78">
        <f t="shared" si="25"/>
        <v>0</v>
      </c>
    </row>
    <row r="271" spans="1:7" ht="13.5" hidden="1" thickBot="1" x14ac:dyDescent="0.25">
      <c r="A271" s="15">
        <f t="shared" si="26"/>
        <v>251</v>
      </c>
      <c r="B271" s="30">
        <f t="shared" si="27"/>
        <v>0</v>
      </c>
      <c r="C271" s="77">
        <f t="shared" si="21"/>
        <v>0</v>
      </c>
      <c r="D271" s="77">
        <f t="shared" si="22"/>
        <v>0</v>
      </c>
      <c r="E271" s="77">
        <f t="shared" si="23"/>
        <v>0</v>
      </c>
      <c r="F271" s="30">
        <f t="shared" si="24"/>
        <v>0</v>
      </c>
      <c r="G271" s="78">
        <f t="shared" si="25"/>
        <v>0</v>
      </c>
    </row>
    <row r="272" spans="1:7" ht="13.5" hidden="1" thickBot="1" x14ac:dyDescent="0.25">
      <c r="A272" s="15">
        <f t="shared" si="26"/>
        <v>252</v>
      </c>
      <c r="B272" s="30">
        <f t="shared" si="27"/>
        <v>0</v>
      </c>
      <c r="C272" s="77">
        <f t="shared" si="21"/>
        <v>0</v>
      </c>
      <c r="D272" s="77">
        <f t="shared" si="22"/>
        <v>0</v>
      </c>
      <c r="E272" s="77">
        <f t="shared" si="23"/>
        <v>0</v>
      </c>
      <c r="F272" s="30">
        <f t="shared" si="24"/>
        <v>0</v>
      </c>
      <c r="G272" s="78">
        <f t="shared" si="25"/>
        <v>0</v>
      </c>
    </row>
    <row r="273" spans="1:7" ht="13.5" hidden="1" thickBot="1" x14ac:dyDescent="0.25">
      <c r="A273" s="15">
        <f t="shared" si="26"/>
        <v>253</v>
      </c>
      <c r="B273" s="30">
        <f t="shared" si="27"/>
        <v>0</v>
      </c>
      <c r="C273" s="77">
        <f t="shared" si="21"/>
        <v>0</v>
      </c>
      <c r="D273" s="77">
        <f t="shared" si="22"/>
        <v>0</v>
      </c>
      <c r="E273" s="77">
        <f t="shared" si="23"/>
        <v>0</v>
      </c>
      <c r="F273" s="30">
        <f t="shared" si="24"/>
        <v>0</v>
      </c>
      <c r="G273" s="78">
        <f t="shared" si="25"/>
        <v>0</v>
      </c>
    </row>
    <row r="274" spans="1:7" ht="13.5" hidden="1" thickBot="1" x14ac:dyDescent="0.25">
      <c r="A274" s="15">
        <f t="shared" si="26"/>
        <v>254</v>
      </c>
      <c r="B274" s="30">
        <f t="shared" si="27"/>
        <v>0</v>
      </c>
      <c r="C274" s="77">
        <f t="shared" si="21"/>
        <v>0</v>
      </c>
      <c r="D274" s="77">
        <f t="shared" si="22"/>
        <v>0</v>
      </c>
      <c r="E274" s="77">
        <f t="shared" si="23"/>
        <v>0</v>
      </c>
      <c r="F274" s="30">
        <f t="shared" si="24"/>
        <v>0</v>
      </c>
      <c r="G274" s="78">
        <f t="shared" si="25"/>
        <v>0</v>
      </c>
    </row>
    <row r="275" spans="1:7" ht="13.5" hidden="1" thickBot="1" x14ac:dyDescent="0.25">
      <c r="A275" s="15">
        <f t="shared" si="26"/>
        <v>255</v>
      </c>
      <c r="B275" s="30">
        <f t="shared" si="27"/>
        <v>0</v>
      </c>
      <c r="C275" s="77">
        <f t="shared" si="21"/>
        <v>0</v>
      </c>
      <c r="D275" s="77">
        <f t="shared" si="22"/>
        <v>0</v>
      </c>
      <c r="E275" s="77">
        <f t="shared" si="23"/>
        <v>0</v>
      </c>
      <c r="F275" s="30">
        <f t="shared" si="24"/>
        <v>0</v>
      </c>
      <c r="G275" s="78">
        <f t="shared" si="25"/>
        <v>0</v>
      </c>
    </row>
    <row r="276" spans="1:7" ht="13.5" hidden="1" thickBot="1" x14ac:dyDescent="0.25">
      <c r="A276" s="15">
        <f t="shared" si="26"/>
        <v>256</v>
      </c>
      <c r="B276" s="30">
        <f t="shared" si="27"/>
        <v>0</v>
      </c>
      <c r="C276" s="77">
        <f t="shared" si="21"/>
        <v>0</v>
      </c>
      <c r="D276" s="77">
        <f t="shared" si="22"/>
        <v>0</v>
      </c>
      <c r="E276" s="77">
        <f t="shared" si="23"/>
        <v>0</v>
      </c>
      <c r="F276" s="30">
        <f t="shared" si="24"/>
        <v>0</v>
      </c>
      <c r="G276" s="78">
        <f t="shared" si="25"/>
        <v>0</v>
      </c>
    </row>
    <row r="277" spans="1:7" ht="13.5" hidden="1" thickBot="1" x14ac:dyDescent="0.25">
      <c r="A277" s="15">
        <f t="shared" si="26"/>
        <v>257</v>
      </c>
      <c r="B277" s="30">
        <f t="shared" si="27"/>
        <v>0</v>
      </c>
      <c r="C277" s="77">
        <f t="shared" ref="C277:C340" si="28">IF(A277&lt;=$D$10,D277+$D$13,0)</f>
        <v>0</v>
      </c>
      <c r="D277" s="77">
        <f t="shared" ref="D277:D340" si="29">E277+F277</f>
        <v>0</v>
      </c>
      <c r="E277" s="77">
        <f t="shared" ref="E277:E340" si="30">B277*$D$11</f>
        <v>0</v>
      </c>
      <c r="F277" s="30">
        <f t="shared" ref="F277:F340" si="31">IF(A277&lt;=$D$10,$D$12*-1,0)</f>
        <v>0</v>
      </c>
      <c r="G277" s="78">
        <f t="shared" ref="G277:G340" si="32">B277-F277</f>
        <v>0</v>
      </c>
    </row>
    <row r="278" spans="1:7" ht="13.5" hidden="1" thickBot="1" x14ac:dyDescent="0.25">
      <c r="A278" s="15">
        <f t="shared" ref="A278:A341" si="33">A277+1</f>
        <v>258</v>
      </c>
      <c r="B278" s="30">
        <f t="shared" ref="B278:B341" si="34">B277-F277</f>
        <v>0</v>
      </c>
      <c r="C278" s="77">
        <f t="shared" si="28"/>
        <v>0</v>
      </c>
      <c r="D278" s="77">
        <f t="shared" si="29"/>
        <v>0</v>
      </c>
      <c r="E278" s="77">
        <f t="shared" si="30"/>
        <v>0</v>
      </c>
      <c r="F278" s="30">
        <f t="shared" si="31"/>
        <v>0</v>
      </c>
      <c r="G278" s="78">
        <f t="shared" si="32"/>
        <v>0</v>
      </c>
    </row>
    <row r="279" spans="1:7" ht="13.5" hidden="1" thickBot="1" x14ac:dyDescent="0.25">
      <c r="A279" s="15">
        <f t="shared" si="33"/>
        <v>259</v>
      </c>
      <c r="B279" s="30">
        <f t="shared" si="34"/>
        <v>0</v>
      </c>
      <c r="C279" s="77">
        <f t="shared" si="28"/>
        <v>0</v>
      </c>
      <c r="D279" s="77">
        <f t="shared" si="29"/>
        <v>0</v>
      </c>
      <c r="E279" s="77">
        <f t="shared" si="30"/>
        <v>0</v>
      </c>
      <c r="F279" s="30">
        <f t="shared" si="31"/>
        <v>0</v>
      </c>
      <c r="G279" s="78">
        <f t="shared" si="32"/>
        <v>0</v>
      </c>
    </row>
    <row r="280" spans="1:7" ht="13.5" hidden="1" thickBot="1" x14ac:dyDescent="0.25">
      <c r="A280" s="15">
        <f t="shared" si="33"/>
        <v>260</v>
      </c>
      <c r="B280" s="30">
        <f t="shared" si="34"/>
        <v>0</v>
      </c>
      <c r="C280" s="77">
        <f t="shared" si="28"/>
        <v>0</v>
      </c>
      <c r="D280" s="77">
        <f t="shared" si="29"/>
        <v>0</v>
      </c>
      <c r="E280" s="77">
        <f t="shared" si="30"/>
        <v>0</v>
      </c>
      <c r="F280" s="30">
        <f t="shared" si="31"/>
        <v>0</v>
      </c>
      <c r="G280" s="78">
        <f t="shared" si="32"/>
        <v>0</v>
      </c>
    </row>
    <row r="281" spans="1:7" ht="13.5" hidden="1" thickBot="1" x14ac:dyDescent="0.25">
      <c r="A281" s="15">
        <f t="shared" si="33"/>
        <v>261</v>
      </c>
      <c r="B281" s="30">
        <f t="shared" si="34"/>
        <v>0</v>
      </c>
      <c r="C281" s="77">
        <f t="shared" si="28"/>
        <v>0</v>
      </c>
      <c r="D281" s="77">
        <f t="shared" si="29"/>
        <v>0</v>
      </c>
      <c r="E281" s="77">
        <f t="shared" si="30"/>
        <v>0</v>
      </c>
      <c r="F281" s="30">
        <f t="shared" si="31"/>
        <v>0</v>
      </c>
      <c r="G281" s="78">
        <f t="shared" si="32"/>
        <v>0</v>
      </c>
    </row>
    <row r="282" spans="1:7" ht="13.5" hidden="1" thickBot="1" x14ac:dyDescent="0.25">
      <c r="A282" s="15">
        <f t="shared" si="33"/>
        <v>262</v>
      </c>
      <c r="B282" s="30">
        <f t="shared" si="34"/>
        <v>0</v>
      </c>
      <c r="C282" s="77">
        <f t="shared" si="28"/>
        <v>0</v>
      </c>
      <c r="D282" s="77">
        <f t="shared" si="29"/>
        <v>0</v>
      </c>
      <c r="E282" s="77">
        <f t="shared" si="30"/>
        <v>0</v>
      </c>
      <c r="F282" s="30">
        <f t="shared" si="31"/>
        <v>0</v>
      </c>
      <c r="G282" s="78">
        <f t="shared" si="32"/>
        <v>0</v>
      </c>
    </row>
    <row r="283" spans="1:7" ht="13.5" hidden="1" thickBot="1" x14ac:dyDescent="0.25">
      <c r="A283" s="15">
        <f t="shared" si="33"/>
        <v>263</v>
      </c>
      <c r="B283" s="30">
        <f t="shared" si="34"/>
        <v>0</v>
      </c>
      <c r="C283" s="77">
        <f t="shared" si="28"/>
        <v>0</v>
      </c>
      <c r="D283" s="77">
        <f t="shared" si="29"/>
        <v>0</v>
      </c>
      <c r="E283" s="77">
        <f t="shared" si="30"/>
        <v>0</v>
      </c>
      <c r="F283" s="30">
        <f t="shared" si="31"/>
        <v>0</v>
      </c>
      <c r="G283" s="78">
        <f t="shared" si="32"/>
        <v>0</v>
      </c>
    </row>
    <row r="284" spans="1:7" ht="13.5" hidden="1" thickBot="1" x14ac:dyDescent="0.25">
      <c r="A284" s="15">
        <f t="shared" si="33"/>
        <v>264</v>
      </c>
      <c r="B284" s="30">
        <f t="shared" si="34"/>
        <v>0</v>
      </c>
      <c r="C284" s="77">
        <f t="shared" si="28"/>
        <v>0</v>
      </c>
      <c r="D284" s="77">
        <f t="shared" si="29"/>
        <v>0</v>
      </c>
      <c r="E284" s="77">
        <f t="shared" si="30"/>
        <v>0</v>
      </c>
      <c r="F284" s="30">
        <f t="shared" si="31"/>
        <v>0</v>
      </c>
      <c r="G284" s="78">
        <f t="shared" si="32"/>
        <v>0</v>
      </c>
    </row>
    <row r="285" spans="1:7" ht="13.5" hidden="1" thickBot="1" x14ac:dyDescent="0.25">
      <c r="A285" s="15">
        <f t="shared" si="33"/>
        <v>265</v>
      </c>
      <c r="B285" s="30">
        <f t="shared" si="34"/>
        <v>0</v>
      </c>
      <c r="C285" s="77">
        <f t="shared" si="28"/>
        <v>0</v>
      </c>
      <c r="D285" s="77">
        <f t="shared" si="29"/>
        <v>0</v>
      </c>
      <c r="E285" s="77">
        <f t="shared" si="30"/>
        <v>0</v>
      </c>
      <c r="F285" s="30">
        <f t="shared" si="31"/>
        <v>0</v>
      </c>
      <c r="G285" s="78">
        <f t="shared" si="32"/>
        <v>0</v>
      </c>
    </row>
    <row r="286" spans="1:7" ht="13.5" hidden="1" thickBot="1" x14ac:dyDescent="0.25">
      <c r="A286" s="15">
        <f t="shared" si="33"/>
        <v>266</v>
      </c>
      <c r="B286" s="30">
        <f t="shared" si="34"/>
        <v>0</v>
      </c>
      <c r="C286" s="77">
        <f t="shared" si="28"/>
        <v>0</v>
      </c>
      <c r="D286" s="77">
        <f t="shared" si="29"/>
        <v>0</v>
      </c>
      <c r="E286" s="77">
        <f t="shared" si="30"/>
        <v>0</v>
      </c>
      <c r="F286" s="30">
        <f t="shared" si="31"/>
        <v>0</v>
      </c>
      <c r="G286" s="78">
        <f t="shared" si="32"/>
        <v>0</v>
      </c>
    </row>
    <row r="287" spans="1:7" ht="13.5" hidden="1" thickBot="1" x14ac:dyDescent="0.25">
      <c r="A287" s="15">
        <f t="shared" si="33"/>
        <v>267</v>
      </c>
      <c r="B287" s="30">
        <f t="shared" si="34"/>
        <v>0</v>
      </c>
      <c r="C287" s="77">
        <f t="shared" si="28"/>
        <v>0</v>
      </c>
      <c r="D287" s="77">
        <f t="shared" si="29"/>
        <v>0</v>
      </c>
      <c r="E287" s="77">
        <f t="shared" si="30"/>
        <v>0</v>
      </c>
      <c r="F287" s="30">
        <f t="shared" si="31"/>
        <v>0</v>
      </c>
      <c r="G287" s="78">
        <f t="shared" si="32"/>
        <v>0</v>
      </c>
    </row>
    <row r="288" spans="1:7" ht="13.5" hidden="1" thickBot="1" x14ac:dyDescent="0.25">
      <c r="A288" s="15">
        <f t="shared" si="33"/>
        <v>268</v>
      </c>
      <c r="B288" s="30">
        <f t="shared" si="34"/>
        <v>0</v>
      </c>
      <c r="C288" s="77">
        <f t="shared" si="28"/>
        <v>0</v>
      </c>
      <c r="D288" s="77">
        <f t="shared" si="29"/>
        <v>0</v>
      </c>
      <c r="E288" s="77">
        <f t="shared" si="30"/>
        <v>0</v>
      </c>
      <c r="F288" s="30">
        <f t="shared" si="31"/>
        <v>0</v>
      </c>
      <c r="G288" s="78">
        <f t="shared" si="32"/>
        <v>0</v>
      </c>
    </row>
    <row r="289" spans="1:7" ht="13.5" hidden="1" thickBot="1" x14ac:dyDescent="0.25">
      <c r="A289" s="15">
        <f t="shared" si="33"/>
        <v>269</v>
      </c>
      <c r="B289" s="30">
        <f t="shared" si="34"/>
        <v>0</v>
      </c>
      <c r="C289" s="77">
        <f t="shared" si="28"/>
        <v>0</v>
      </c>
      <c r="D289" s="77">
        <f t="shared" si="29"/>
        <v>0</v>
      </c>
      <c r="E289" s="77">
        <f t="shared" si="30"/>
        <v>0</v>
      </c>
      <c r="F289" s="30">
        <f t="shared" si="31"/>
        <v>0</v>
      </c>
      <c r="G289" s="78">
        <f t="shared" si="32"/>
        <v>0</v>
      </c>
    </row>
    <row r="290" spans="1:7" ht="13.5" hidden="1" thickBot="1" x14ac:dyDescent="0.25">
      <c r="A290" s="15">
        <f t="shared" si="33"/>
        <v>270</v>
      </c>
      <c r="B290" s="30">
        <f t="shared" si="34"/>
        <v>0</v>
      </c>
      <c r="C290" s="77">
        <f t="shared" si="28"/>
        <v>0</v>
      </c>
      <c r="D290" s="77">
        <f t="shared" si="29"/>
        <v>0</v>
      </c>
      <c r="E290" s="77">
        <f t="shared" si="30"/>
        <v>0</v>
      </c>
      <c r="F290" s="30">
        <f t="shared" si="31"/>
        <v>0</v>
      </c>
      <c r="G290" s="78">
        <f t="shared" si="32"/>
        <v>0</v>
      </c>
    </row>
    <row r="291" spans="1:7" ht="13.5" hidden="1" thickBot="1" x14ac:dyDescent="0.25">
      <c r="A291" s="15">
        <f t="shared" si="33"/>
        <v>271</v>
      </c>
      <c r="B291" s="30">
        <f t="shared" si="34"/>
        <v>0</v>
      </c>
      <c r="C291" s="77">
        <f t="shared" si="28"/>
        <v>0</v>
      </c>
      <c r="D291" s="77">
        <f t="shared" si="29"/>
        <v>0</v>
      </c>
      <c r="E291" s="77">
        <f t="shared" si="30"/>
        <v>0</v>
      </c>
      <c r="F291" s="30">
        <f t="shared" si="31"/>
        <v>0</v>
      </c>
      <c r="G291" s="78">
        <f t="shared" si="32"/>
        <v>0</v>
      </c>
    </row>
    <row r="292" spans="1:7" ht="13.5" hidden="1" thickBot="1" x14ac:dyDescent="0.25">
      <c r="A292" s="15">
        <f t="shared" si="33"/>
        <v>272</v>
      </c>
      <c r="B292" s="30">
        <f t="shared" si="34"/>
        <v>0</v>
      </c>
      <c r="C292" s="77">
        <f t="shared" si="28"/>
        <v>0</v>
      </c>
      <c r="D292" s="77">
        <f t="shared" si="29"/>
        <v>0</v>
      </c>
      <c r="E292" s="77">
        <f t="shared" si="30"/>
        <v>0</v>
      </c>
      <c r="F292" s="30">
        <f t="shared" si="31"/>
        <v>0</v>
      </c>
      <c r="G292" s="78">
        <f t="shared" si="32"/>
        <v>0</v>
      </c>
    </row>
    <row r="293" spans="1:7" ht="13.5" hidden="1" thickBot="1" x14ac:dyDescent="0.25">
      <c r="A293" s="15">
        <f t="shared" si="33"/>
        <v>273</v>
      </c>
      <c r="B293" s="30">
        <f t="shared" si="34"/>
        <v>0</v>
      </c>
      <c r="C293" s="77">
        <f t="shared" si="28"/>
        <v>0</v>
      </c>
      <c r="D293" s="77">
        <f t="shared" si="29"/>
        <v>0</v>
      </c>
      <c r="E293" s="77">
        <f t="shared" si="30"/>
        <v>0</v>
      </c>
      <c r="F293" s="30">
        <f t="shared" si="31"/>
        <v>0</v>
      </c>
      <c r="G293" s="78">
        <f t="shared" si="32"/>
        <v>0</v>
      </c>
    </row>
    <row r="294" spans="1:7" ht="13.5" hidden="1" thickBot="1" x14ac:dyDescent="0.25">
      <c r="A294" s="15">
        <f t="shared" si="33"/>
        <v>274</v>
      </c>
      <c r="B294" s="30">
        <f t="shared" si="34"/>
        <v>0</v>
      </c>
      <c r="C294" s="77">
        <f t="shared" si="28"/>
        <v>0</v>
      </c>
      <c r="D294" s="77">
        <f t="shared" si="29"/>
        <v>0</v>
      </c>
      <c r="E294" s="77">
        <f t="shared" si="30"/>
        <v>0</v>
      </c>
      <c r="F294" s="30">
        <f t="shared" si="31"/>
        <v>0</v>
      </c>
      <c r="G294" s="78">
        <f t="shared" si="32"/>
        <v>0</v>
      </c>
    </row>
    <row r="295" spans="1:7" ht="13.5" hidden="1" thickBot="1" x14ac:dyDescent="0.25">
      <c r="A295" s="15">
        <f t="shared" si="33"/>
        <v>275</v>
      </c>
      <c r="B295" s="30">
        <f t="shared" si="34"/>
        <v>0</v>
      </c>
      <c r="C295" s="77">
        <f t="shared" si="28"/>
        <v>0</v>
      </c>
      <c r="D295" s="77">
        <f t="shared" si="29"/>
        <v>0</v>
      </c>
      <c r="E295" s="77">
        <f t="shared" si="30"/>
        <v>0</v>
      </c>
      <c r="F295" s="30">
        <f t="shared" si="31"/>
        <v>0</v>
      </c>
      <c r="G295" s="78">
        <f t="shared" si="32"/>
        <v>0</v>
      </c>
    </row>
    <row r="296" spans="1:7" ht="13.5" hidden="1" thickBot="1" x14ac:dyDescent="0.25">
      <c r="A296" s="15">
        <f t="shared" si="33"/>
        <v>276</v>
      </c>
      <c r="B296" s="30">
        <f t="shared" si="34"/>
        <v>0</v>
      </c>
      <c r="C296" s="77">
        <f t="shared" si="28"/>
        <v>0</v>
      </c>
      <c r="D296" s="77">
        <f t="shared" si="29"/>
        <v>0</v>
      </c>
      <c r="E296" s="77">
        <f t="shared" si="30"/>
        <v>0</v>
      </c>
      <c r="F296" s="30">
        <f t="shared" si="31"/>
        <v>0</v>
      </c>
      <c r="G296" s="78">
        <f t="shared" si="32"/>
        <v>0</v>
      </c>
    </row>
    <row r="297" spans="1:7" ht="13.5" hidden="1" thickBot="1" x14ac:dyDescent="0.25">
      <c r="A297" s="15">
        <f t="shared" si="33"/>
        <v>277</v>
      </c>
      <c r="B297" s="30">
        <f t="shared" si="34"/>
        <v>0</v>
      </c>
      <c r="C297" s="77">
        <f t="shared" si="28"/>
        <v>0</v>
      </c>
      <c r="D297" s="77">
        <f t="shared" si="29"/>
        <v>0</v>
      </c>
      <c r="E297" s="77">
        <f t="shared" si="30"/>
        <v>0</v>
      </c>
      <c r="F297" s="30">
        <f t="shared" si="31"/>
        <v>0</v>
      </c>
      <c r="G297" s="78">
        <f t="shared" si="32"/>
        <v>0</v>
      </c>
    </row>
    <row r="298" spans="1:7" ht="13.5" hidden="1" thickBot="1" x14ac:dyDescent="0.25">
      <c r="A298" s="15">
        <f t="shared" si="33"/>
        <v>278</v>
      </c>
      <c r="B298" s="30">
        <f t="shared" si="34"/>
        <v>0</v>
      </c>
      <c r="C298" s="77">
        <f t="shared" si="28"/>
        <v>0</v>
      </c>
      <c r="D298" s="77">
        <f t="shared" si="29"/>
        <v>0</v>
      </c>
      <c r="E298" s="77">
        <f t="shared" si="30"/>
        <v>0</v>
      </c>
      <c r="F298" s="30">
        <f t="shared" si="31"/>
        <v>0</v>
      </c>
      <c r="G298" s="78">
        <f t="shared" si="32"/>
        <v>0</v>
      </c>
    </row>
    <row r="299" spans="1:7" ht="13.5" hidden="1" thickBot="1" x14ac:dyDescent="0.25">
      <c r="A299" s="15">
        <f t="shared" si="33"/>
        <v>279</v>
      </c>
      <c r="B299" s="30">
        <f t="shared" si="34"/>
        <v>0</v>
      </c>
      <c r="C299" s="77">
        <f t="shared" si="28"/>
        <v>0</v>
      </c>
      <c r="D299" s="77">
        <f t="shared" si="29"/>
        <v>0</v>
      </c>
      <c r="E299" s="77">
        <f t="shared" si="30"/>
        <v>0</v>
      </c>
      <c r="F299" s="30">
        <f t="shared" si="31"/>
        <v>0</v>
      </c>
      <c r="G299" s="78">
        <f t="shared" si="32"/>
        <v>0</v>
      </c>
    </row>
    <row r="300" spans="1:7" ht="13.5" hidden="1" thickBot="1" x14ac:dyDescent="0.25">
      <c r="A300" s="15">
        <f t="shared" si="33"/>
        <v>280</v>
      </c>
      <c r="B300" s="30">
        <f t="shared" si="34"/>
        <v>0</v>
      </c>
      <c r="C300" s="77">
        <f t="shared" si="28"/>
        <v>0</v>
      </c>
      <c r="D300" s="77">
        <f t="shared" si="29"/>
        <v>0</v>
      </c>
      <c r="E300" s="77">
        <f t="shared" si="30"/>
        <v>0</v>
      </c>
      <c r="F300" s="30">
        <f t="shared" si="31"/>
        <v>0</v>
      </c>
      <c r="G300" s="78">
        <f t="shared" si="32"/>
        <v>0</v>
      </c>
    </row>
    <row r="301" spans="1:7" ht="13.5" hidden="1" thickBot="1" x14ac:dyDescent="0.25">
      <c r="A301" s="15">
        <f t="shared" si="33"/>
        <v>281</v>
      </c>
      <c r="B301" s="30">
        <f t="shared" si="34"/>
        <v>0</v>
      </c>
      <c r="C301" s="77">
        <f t="shared" si="28"/>
        <v>0</v>
      </c>
      <c r="D301" s="77">
        <f t="shared" si="29"/>
        <v>0</v>
      </c>
      <c r="E301" s="77">
        <f t="shared" si="30"/>
        <v>0</v>
      </c>
      <c r="F301" s="30">
        <f t="shared" si="31"/>
        <v>0</v>
      </c>
      <c r="G301" s="78">
        <f t="shared" si="32"/>
        <v>0</v>
      </c>
    </row>
    <row r="302" spans="1:7" ht="13.5" hidden="1" thickBot="1" x14ac:dyDescent="0.25">
      <c r="A302" s="15">
        <f t="shared" si="33"/>
        <v>282</v>
      </c>
      <c r="B302" s="30">
        <f t="shared" si="34"/>
        <v>0</v>
      </c>
      <c r="C302" s="77">
        <f t="shared" si="28"/>
        <v>0</v>
      </c>
      <c r="D302" s="77">
        <f t="shared" si="29"/>
        <v>0</v>
      </c>
      <c r="E302" s="77">
        <f t="shared" si="30"/>
        <v>0</v>
      </c>
      <c r="F302" s="30">
        <f t="shared" si="31"/>
        <v>0</v>
      </c>
      <c r="G302" s="78">
        <f t="shared" si="32"/>
        <v>0</v>
      </c>
    </row>
    <row r="303" spans="1:7" ht="13.5" hidden="1" thickBot="1" x14ac:dyDescent="0.25">
      <c r="A303" s="15">
        <f t="shared" si="33"/>
        <v>283</v>
      </c>
      <c r="B303" s="30">
        <f t="shared" si="34"/>
        <v>0</v>
      </c>
      <c r="C303" s="77">
        <f t="shared" si="28"/>
        <v>0</v>
      </c>
      <c r="D303" s="77">
        <f t="shared" si="29"/>
        <v>0</v>
      </c>
      <c r="E303" s="77">
        <f t="shared" si="30"/>
        <v>0</v>
      </c>
      <c r="F303" s="30">
        <f t="shared" si="31"/>
        <v>0</v>
      </c>
      <c r="G303" s="78">
        <f t="shared" si="32"/>
        <v>0</v>
      </c>
    </row>
    <row r="304" spans="1:7" ht="13.5" hidden="1" thickBot="1" x14ac:dyDescent="0.25">
      <c r="A304" s="15">
        <f t="shared" si="33"/>
        <v>284</v>
      </c>
      <c r="B304" s="30">
        <f t="shared" si="34"/>
        <v>0</v>
      </c>
      <c r="C304" s="77">
        <f t="shared" si="28"/>
        <v>0</v>
      </c>
      <c r="D304" s="77">
        <f t="shared" si="29"/>
        <v>0</v>
      </c>
      <c r="E304" s="77">
        <f t="shared" si="30"/>
        <v>0</v>
      </c>
      <c r="F304" s="30">
        <f t="shared" si="31"/>
        <v>0</v>
      </c>
      <c r="G304" s="78">
        <f t="shared" si="32"/>
        <v>0</v>
      </c>
    </row>
    <row r="305" spans="1:7" ht="13.5" hidden="1" thickBot="1" x14ac:dyDescent="0.25">
      <c r="A305" s="15">
        <f t="shared" si="33"/>
        <v>285</v>
      </c>
      <c r="B305" s="30">
        <f t="shared" si="34"/>
        <v>0</v>
      </c>
      <c r="C305" s="77">
        <f t="shared" si="28"/>
        <v>0</v>
      </c>
      <c r="D305" s="77">
        <f t="shared" si="29"/>
        <v>0</v>
      </c>
      <c r="E305" s="77">
        <f t="shared" si="30"/>
        <v>0</v>
      </c>
      <c r="F305" s="30">
        <f t="shared" si="31"/>
        <v>0</v>
      </c>
      <c r="G305" s="78">
        <f t="shared" si="32"/>
        <v>0</v>
      </c>
    </row>
    <row r="306" spans="1:7" ht="13.5" hidden="1" thickBot="1" x14ac:dyDescent="0.25">
      <c r="A306" s="15">
        <f t="shared" si="33"/>
        <v>286</v>
      </c>
      <c r="B306" s="30">
        <f t="shared" si="34"/>
        <v>0</v>
      </c>
      <c r="C306" s="77">
        <f t="shared" si="28"/>
        <v>0</v>
      </c>
      <c r="D306" s="77">
        <f t="shared" si="29"/>
        <v>0</v>
      </c>
      <c r="E306" s="77">
        <f t="shared" si="30"/>
        <v>0</v>
      </c>
      <c r="F306" s="30">
        <f t="shared" si="31"/>
        <v>0</v>
      </c>
      <c r="G306" s="78">
        <f t="shared" si="32"/>
        <v>0</v>
      </c>
    </row>
    <row r="307" spans="1:7" ht="13.5" hidden="1" thickBot="1" x14ac:dyDescent="0.25">
      <c r="A307" s="15">
        <f t="shared" si="33"/>
        <v>287</v>
      </c>
      <c r="B307" s="30">
        <f t="shared" si="34"/>
        <v>0</v>
      </c>
      <c r="C307" s="77">
        <f t="shared" si="28"/>
        <v>0</v>
      </c>
      <c r="D307" s="77">
        <f t="shared" si="29"/>
        <v>0</v>
      </c>
      <c r="E307" s="77">
        <f t="shared" si="30"/>
        <v>0</v>
      </c>
      <c r="F307" s="30">
        <f t="shared" si="31"/>
        <v>0</v>
      </c>
      <c r="G307" s="78">
        <f t="shared" si="32"/>
        <v>0</v>
      </c>
    </row>
    <row r="308" spans="1:7" ht="13.5" hidden="1" thickBot="1" x14ac:dyDescent="0.25">
      <c r="A308" s="15">
        <f t="shared" si="33"/>
        <v>288</v>
      </c>
      <c r="B308" s="30">
        <f t="shared" si="34"/>
        <v>0</v>
      </c>
      <c r="C308" s="77">
        <f t="shared" si="28"/>
        <v>0</v>
      </c>
      <c r="D308" s="77">
        <f t="shared" si="29"/>
        <v>0</v>
      </c>
      <c r="E308" s="77">
        <f t="shared" si="30"/>
        <v>0</v>
      </c>
      <c r="F308" s="30">
        <f t="shared" si="31"/>
        <v>0</v>
      </c>
      <c r="G308" s="78">
        <f t="shared" si="32"/>
        <v>0</v>
      </c>
    </row>
    <row r="309" spans="1:7" ht="13.5" hidden="1" thickBot="1" x14ac:dyDescent="0.25">
      <c r="A309" s="15">
        <f t="shared" si="33"/>
        <v>289</v>
      </c>
      <c r="B309" s="30">
        <f t="shared" si="34"/>
        <v>0</v>
      </c>
      <c r="C309" s="77">
        <f t="shared" si="28"/>
        <v>0</v>
      </c>
      <c r="D309" s="77">
        <f t="shared" si="29"/>
        <v>0</v>
      </c>
      <c r="E309" s="77">
        <f t="shared" si="30"/>
        <v>0</v>
      </c>
      <c r="F309" s="30">
        <f t="shared" si="31"/>
        <v>0</v>
      </c>
      <c r="G309" s="78">
        <f t="shared" si="32"/>
        <v>0</v>
      </c>
    </row>
    <row r="310" spans="1:7" ht="13.5" hidden="1" thickBot="1" x14ac:dyDescent="0.25">
      <c r="A310" s="15">
        <f t="shared" si="33"/>
        <v>290</v>
      </c>
      <c r="B310" s="30">
        <f t="shared" si="34"/>
        <v>0</v>
      </c>
      <c r="C310" s="77">
        <f t="shared" si="28"/>
        <v>0</v>
      </c>
      <c r="D310" s="77">
        <f t="shared" si="29"/>
        <v>0</v>
      </c>
      <c r="E310" s="77">
        <f t="shared" si="30"/>
        <v>0</v>
      </c>
      <c r="F310" s="30">
        <f t="shared" si="31"/>
        <v>0</v>
      </c>
      <c r="G310" s="78">
        <f t="shared" si="32"/>
        <v>0</v>
      </c>
    </row>
    <row r="311" spans="1:7" ht="13.5" hidden="1" thickBot="1" x14ac:dyDescent="0.25">
      <c r="A311" s="15">
        <f t="shared" si="33"/>
        <v>291</v>
      </c>
      <c r="B311" s="30">
        <f t="shared" si="34"/>
        <v>0</v>
      </c>
      <c r="C311" s="77">
        <f t="shared" si="28"/>
        <v>0</v>
      </c>
      <c r="D311" s="77">
        <f t="shared" si="29"/>
        <v>0</v>
      </c>
      <c r="E311" s="77">
        <f t="shared" si="30"/>
        <v>0</v>
      </c>
      <c r="F311" s="30">
        <f t="shared" si="31"/>
        <v>0</v>
      </c>
      <c r="G311" s="78">
        <f t="shared" si="32"/>
        <v>0</v>
      </c>
    </row>
    <row r="312" spans="1:7" ht="13.5" hidden="1" thickBot="1" x14ac:dyDescent="0.25">
      <c r="A312" s="15">
        <f t="shared" si="33"/>
        <v>292</v>
      </c>
      <c r="B312" s="30">
        <f t="shared" si="34"/>
        <v>0</v>
      </c>
      <c r="C312" s="77">
        <f t="shared" si="28"/>
        <v>0</v>
      </c>
      <c r="D312" s="77">
        <f t="shared" si="29"/>
        <v>0</v>
      </c>
      <c r="E312" s="77">
        <f t="shared" si="30"/>
        <v>0</v>
      </c>
      <c r="F312" s="30">
        <f t="shared" si="31"/>
        <v>0</v>
      </c>
      <c r="G312" s="78">
        <f t="shared" si="32"/>
        <v>0</v>
      </c>
    </row>
    <row r="313" spans="1:7" ht="13.5" hidden="1" thickBot="1" x14ac:dyDescent="0.25">
      <c r="A313" s="15">
        <f t="shared" si="33"/>
        <v>293</v>
      </c>
      <c r="B313" s="30">
        <f t="shared" si="34"/>
        <v>0</v>
      </c>
      <c r="C313" s="77">
        <f t="shared" si="28"/>
        <v>0</v>
      </c>
      <c r="D313" s="77">
        <f t="shared" si="29"/>
        <v>0</v>
      </c>
      <c r="E313" s="77">
        <f t="shared" si="30"/>
        <v>0</v>
      </c>
      <c r="F313" s="30">
        <f t="shared" si="31"/>
        <v>0</v>
      </c>
      <c r="G313" s="78">
        <f t="shared" si="32"/>
        <v>0</v>
      </c>
    </row>
    <row r="314" spans="1:7" ht="13.5" hidden="1" thickBot="1" x14ac:dyDescent="0.25">
      <c r="A314" s="15">
        <f t="shared" si="33"/>
        <v>294</v>
      </c>
      <c r="B314" s="30">
        <f t="shared" si="34"/>
        <v>0</v>
      </c>
      <c r="C314" s="77">
        <f t="shared" si="28"/>
        <v>0</v>
      </c>
      <c r="D314" s="77">
        <f t="shared" si="29"/>
        <v>0</v>
      </c>
      <c r="E314" s="77">
        <f t="shared" si="30"/>
        <v>0</v>
      </c>
      <c r="F314" s="30">
        <f t="shared" si="31"/>
        <v>0</v>
      </c>
      <c r="G314" s="78">
        <f t="shared" si="32"/>
        <v>0</v>
      </c>
    </row>
    <row r="315" spans="1:7" ht="13.5" hidden="1" thickBot="1" x14ac:dyDescent="0.25">
      <c r="A315" s="15">
        <f t="shared" si="33"/>
        <v>295</v>
      </c>
      <c r="B315" s="30">
        <f t="shared" si="34"/>
        <v>0</v>
      </c>
      <c r="C315" s="77">
        <f t="shared" si="28"/>
        <v>0</v>
      </c>
      <c r="D315" s="77">
        <f t="shared" si="29"/>
        <v>0</v>
      </c>
      <c r="E315" s="77">
        <f t="shared" si="30"/>
        <v>0</v>
      </c>
      <c r="F315" s="30">
        <f t="shared" si="31"/>
        <v>0</v>
      </c>
      <c r="G315" s="78">
        <f t="shared" si="32"/>
        <v>0</v>
      </c>
    </row>
    <row r="316" spans="1:7" ht="13.5" hidden="1" thickBot="1" x14ac:dyDescent="0.25">
      <c r="A316" s="15">
        <f t="shared" si="33"/>
        <v>296</v>
      </c>
      <c r="B316" s="30">
        <f t="shared" si="34"/>
        <v>0</v>
      </c>
      <c r="C316" s="77">
        <f t="shared" si="28"/>
        <v>0</v>
      </c>
      <c r="D316" s="77">
        <f t="shared" si="29"/>
        <v>0</v>
      </c>
      <c r="E316" s="77">
        <f t="shared" si="30"/>
        <v>0</v>
      </c>
      <c r="F316" s="30">
        <f t="shared" si="31"/>
        <v>0</v>
      </c>
      <c r="G316" s="78">
        <f t="shared" si="32"/>
        <v>0</v>
      </c>
    </row>
    <row r="317" spans="1:7" ht="13.5" hidden="1" thickBot="1" x14ac:dyDescent="0.25">
      <c r="A317" s="15">
        <f t="shared" si="33"/>
        <v>297</v>
      </c>
      <c r="B317" s="30">
        <f t="shared" si="34"/>
        <v>0</v>
      </c>
      <c r="C317" s="77">
        <f t="shared" si="28"/>
        <v>0</v>
      </c>
      <c r="D317" s="77">
        <f t="shared" si="29"/>
        <v>0</v>
      </c>
      <c r="E317" s="77">
        <f t="shared" si="30"/>
        <v>0</v>
      </c>
      <c r="F317" s="30">
        <f t="shared" si="31"/>
        <v>0</v>
      </c>
      <c r="G317" s="78">
        <f t="shared" si="32"/>
        <v>0</v>
      </c>
    </row>
    <row r="318" spans="1:7" ht="13.5" hidden="1" thickBot="1" x14ac:dyDescent="0.25">
      <c r="A318" s="15">
        <f t="shared" si="33"/>
        <v>298</v>
      </c>
      <c r="B318" s="30">
        <f t="shared" si="34"/>
        <v>0</v>
      </c>
      <c r="C318" s="77">
        <f t="shared" si="28"/>
        <v>0</v>
      </c>
      <c r="D318" s="77">
        <f t="shared" si="29"/>
        <v>0</v>
      </c>
      <c r="E318" s="77">
        <f t="shared" si="30"/>
        <v>0</v>
      </c>
      <c r="F318" s="30">
        <f t="shared" si="31"/>
        <v>0</v>
      </c>
      <c r="G318" s="78">
        <f t="shared" si="32"/>
        <v>0</v>
      </c>
    </row>
    <row r="319" spans="1:7" ht="13.5" hidden="1" thickBot="1" x14ac:dyDescent="0.25">
      <c r="A319" s="15">
        <f t="shared" si="33"/>
        <v>299</v>
      </c>
      <c r="B319" s="30">
        <f t="shared" si="34"/>
        <v>0</v>
      </c>
      <c r="C319" s="77">
        <f t="shared" si="28"/>
        <v>0</v>
      </c>
      <c r="D319" s="77">
        <f t="shared" si="29"/>
        <v>0</v>
      </c>
      <c r="E319" s="77">
        <f t="shared" si="30"/>
        <v>0</v>
      </c>
      <c r="F319" s="30">
        <f t="shared" si="31"/>
        <v>0</v>
      </c>
      <c r="G319" s="78">
        <f t="shared" si="32"/>
        <v>0</v>
      </c>
    </row>
    <row r="320" spans="1:7" ht="13.5" hidden="1" thickBot="1" x14ac:dyDescent="0.25">
      <c r="A320" s="15">
        <f t="shared" si="33"/>
        <v>300</v>
      </c>
      <c r="B320" s="30">
        <f t="shared" si="34"/>
        <v>0</v>
      </c>
      <c r="C320" s="77">
        <f t="shared" si="28"/>
        <v>0</v>
      </c>
      <c r="D320" s="77">
        <f t="shared" si="29"/>
        <v>0</v>
      </c>
      <c r="E320" s="77">
        <f t="shared" si="30"/>
        <v>0</v>
      </c>
      <c r="F320" s="30">
        <f t="shared" si="31"/>
        <v>0</v>
      </c>
      <c r="G320" s="78">
        <f t="shared" si="32"/>
        <v>0</v>
      </c>
    </row>
    <row r="321" spans="1:7" ht="13.5" hidden="1" thickBot="1" x14ac:dyDescent="0.25">
      <c r="A321" s="15">
        <f t="shared" si="33"/>
        <v>301</v>
      </c>
      <c r="B321" s="30">
        <f t="shared" si="34"/>
        <v>0</v>
      </c>
      <c r="C321" s="77">
        <f t="shared" si="28"/>
        <v>0</v>
      </c>
      <c r="D321" s="77">
        <f t="shared" si="29"/>
        <v>0</v>
      </c>
      <c r="E321" s="77">
        <f t="shared" si="30"/>
        <v>0</v>
      </c>
      <c r="F321" s="30">
        <f t="shared" si="31"/>
        <v>0</v>
      </c>
      <c r="G321" s="78">
        <f t="shared" si="32"/>
        <v>0</v>
      </c>
    </row>
    <row r="322" spans="1:7" ht="13.5" hidden="1" thickBot="1" x14ac:dyDescent="0.25">
      <c r="A322" s="15">
        <f t="shared" si="33"/>
        <v>302</v>
      </c>
      <c r="B322" s="30">
        <f t="shared" si="34"/>
        <v>0</v>
      </c>
      <c r="C322" s="77">
        <f t="shared" si="28"/>
        <v>0</v>
      </c>
      <c r="D322" s="77">
        <f t="shared" si="29"/>
        <v>0</v>
      </c>
      <c r="E322" s="77">
        <f t="shared" si="30"/>
        <v>0</v>
      </c>
      <c r="F322" s="30">
        <f t="shared" si="31"/>
        <v>0</v>
      </c>
      <c r="G322" s="78">
        <f t="shared" si="32"/>
        <v>0</v>
      </c>
    </row>
    <row r="323" spans="1:7" ht="13.5" hidden="1" thickBot="1" x14ac:dyDescent="0.25">
      <c r="A323" s="15">
        <f t="shared" si="33"/>
        <v>303</v>
      </c>
      <c r="B323" s="30">
        <f t="shared" si="34"/>
        <v>0</v>
      </c>
      <c r="C323" s="77">
        <f t="shared" si="28"/>
        <v>0</v>
      </c>
      <c r="D323" s="77">
        <f t="shared" si="29"/>
        <v>0</v>
      </c>
      <c r="E323" s="77">
        <f t="shared" si="30"/>
        <v>0</v>
      </c>
      <c r="F323" s="30">
        <f t="shared" si="31"/>
        <v>0</v>
      </c>
      <c r="G323" s="78">
        <f t="shared" si="32"/>
        <v>0</v>
      </c>
    </row>
    <row r="324" spans="1:7" ht="13.5" hidden="1" thickBot="1" x14ac:dyDescent="0.25">
      <c r="A324" s="15">
        <f t="shared" si="33"/>
        <v>304</v>
      </c>
      <c r="B324" s="30">
        <f t="shared" si="34"/>
        <v>0</v>
      </c>
      <c r="C324" s="77">
        <f t="shared" si="28"/>
        <v>0</v>
      </c>
      <c r="D324" s="77">
        <f t="shared" si="29"/>
        <v>0</v>
      </c>
      <c r="E324" s="77">
        <f t="shared" si="30"/>
        <v>0</v>
      </c>
      <c r="F324" s="30">
        <f t="shared" si="31"/>
        <v>0</v>
      </c>
      <c r="G324" s="78">
        <f t="shared" si="32"/>
        <v>0</v>
      </c>
    </row>
    <row r="325" spans="1:7" ht="13.5" hidden="1" thickBot="1" x14ac:dyDescent="0.25">
      <c r="A325" s="15">
        <f t="shared" si="33"/>
        <v>305</v>
      </c>
      <c r="B325" s="30">
        <f t="shared" si="34"/>
        <v>0</v>
      </c>
      <c r="C325" s="77">
        <f t="shared" si="28"/>
        <v>0</v>
      </c>
      <c r="D325" s="77">
        <f t="shared" si="29"/>
        <v>0</v>
      </c>
      <c r="E325" s="77">
        <f t="shared" si="30"/>
        <v>0</v>
      </c>
      <c r="F325" s="30">
        <f t="shared" si="31"/>
        <v>0</v>
      </c>
      <c r="G325" s="78">
        <f t="shared" si="32"/>
        <v>0</v>
      </c>
    </row>
    <row r="326" spans="1:7" ht="13.5" hidden="1" thickBot="1" x14ac:dyDescent="0.25">
      <c r="A326" s="15">
        <f t="shared" si="33"/>
        <v>306</v>
      </c>
      <c r="B326" s="30">
        <f t="shared" si="34"/>
        <v>0</v>
      </c>
      <c r="C326" s="77">
        <f t="shared" si="28"/>
        <v>0</v>
      </c>
      <c r="D326" s="77">
        <f t="shared" si="29"/>
        <v>0</v>
      </c>
      <c r="E326" s="77">
        <f t="shared" si="30"/>
        <v>0</v>
      </c>
      <c r="F326" s="30">
        <f t="shared" si="31"/>
        <v>0</v>
      </c>
      <c r="G326" s="78">
        <f t="shared" si="32"/>
        <v>0</v>
      </c>
    </row>
    <row r="327" spans="1:7" ht="13.5" hidden="1" thickBot="1" x14ac:dyDescent="0.25">
      <c r="A327" s="15">
        <f t="shared" si="33"/>
        <v>307</v>
      </c>
      <c r="B327" s="30">
        <f t="shared" si="34"/>
        <v>0</v>
      </c>
      <c r="C327" s="77">
        <f t="shared" si="28"/>
        <v>0</v>
      </c>
      <c r="D327" s="77">
        <f t="shared" si="29"/>
        <v>0</v>
      </c>
      <c r="E327" s="77">
        <f t="shared" si="30"/>
        <v>0</v>
      </c>
      <c r="F327" s="30">
        <f t="shared" si="31"/>
        <v>0</v>
      </c>
      <c r="G327" s="78">
        <f t="shared" si="32"/>
        <v>0</v>
      </c>
    </row>
    <row r="328" spans="1:7" ht="13.5" hidden="1" thickBot="1" x14ac:dyDescent="0.25">
      <c r="A328" s="15">
        <f t="shared" si="33"/>
        <v>308</v>
      </c>
      <c r="B328" s="30">
        <f t="shared" si="34"/>
        <v>0</v>
      </c>
      <c r="C328" s="77">
        <f t="shared" si="28"/>
        <v>0</v>
      </c>
      <c r="D328" s="77">
        <f t="shared" si="29"/>
        <v>0</v>
      </c>
      <c r="E328" s="77">
        <f t="shared" si="30"/>
        <v>0</v>
      </c>
      <c r="F328" s="30">
        <f t="shared" si="31"/>
        <v>0</v>
      </c>
      <c r="G328" s="78">
        <f t="shared" si="32"/>
        <v>0</v>
      </c>
    </row>
    <row r="329" spans="1:7" ht="13.5" hidden="1" thickBot="1" x14ac:dyDescent="0.25">
      <c r="A329" s="15">
        <f t="shared" si="33"/>
        <v>309</v>
      </c>
      <c r="B329" s="30">
        <f t="shared" si="34"/>
        <v>0</v>
      </c>
      <c r="C329" s="77">
        <f t="shared" si="28"/>
        <v>0</v>
      </c>
      <c r="D329" s="77">
        <f t="shared" si="29"/>
        <v>0</v>
      </c>
      <c r="E329" s="77">
        <f t="shared" si="30"/>
        <v>0</v>
      </c>
      <c r="F329" s="30">
        <f t="shared" si="31"/>
        <v>0</v>
      </c>
      <c r="G329" s="78">
        <f t="shared" si="32"/>
        <v>0</v>
      </c>
    </row>
    <row r="330" spans="1:7" ht="13.5" hidden="1" thickBot="1" x14ac:dyDescent="0.25">
      <c r="A330" s="15">
        <f t="shared" si="33"/>
        <v>310</v>
      </c>
      <c r="B330" s="30">
        <f t="shared" si="34"/>
        <v>0</v>
      </c>
      <c r="C330" s="77">
        <f t="shared" si="28"/>
        <v>0</v>
      </c>
      <c r="D330" s="77">
        <f t="shared" si="29"/>
        <v>0</v>
      </c>
      <c r="E330" s="77">
        <f t="shared" si="30"/>
        <v>0</v>
      </c>
      <c r="F330" s="30">
        <f t="shared" si="31"/>
        <v>0</v>
      </c>
      <c r="G330" s="78">
        <f t="shared" si="32"/>
        <v>0</v>
      </c>
    </row>
    <row r="331" spans="1:7" ht="13.5" hidden="1" thickBot="1" x14ac:dyDescent="0.25">
      <c r="A331" s="15">
        <f t="shared" si="33"/>
        <v>311</v>
      </c>
      <c r="B331" s="30">
        <f t="shared" si="34"/>
        <v>0</v>
      </c>
      <c r="C331" s="77">
        <f t="shared" si="28"/>
        <v>0</v>
      </c>
      <c r="D331" s="77">
        <f t="shared" si="29"/>
        <v>0</v>
      </c>
      <c r="E331" s="77">
        <f t="shared" si="30"/>
        <v>0</v>
      </c>
      <c r="F331" s="30">
        <f t="shared" si="31"/>
        <v>0</v>
      </c>
      <c r="G331" s="78">
        <f t="shared" si="32"/>
        <v>0</v>
      </c>
    </row>
    <row r="332" spans="1:7" ht="13.5" hidden="1" thickBot="1" x14ac:dyDescent="0.25">
      <c r="A332" s="15">
        <f t="shared" si="33"/>
        <v>312</v>
      </c>
      <c r="B332" s="30">
        <f t="shared" si="34"/>
        <v>0</v>
      </c>
      <c r="C332" s="77">
        <f t="shared" si="28"/>
        <v>0</v>
      </c>
      <c r="D332" s="77">
        <f t="shared" si="29"/>
        <v>0</v>
      </c>
      <c r="E332" s="77">
        <f t="shared" si="30"/>
        <v>0</v>
      </c>
      <c r="F332" s="30">
        <f t="shared" si="31"/>
        <v>0</v>
      </c>
      <c r="G332" s="78">
        <f t="shared" si="32"/>
        <v>0</v>
      </c>
    </row>
    <row r="333" spans="1:7" ht="13.5" hidden="1" thickBot="1" x14ac:dyDescent="0.25">
      <c r="A333" s="15">
        <f t="shared" si="33"/>
        <v>313</v>
      </c>
      <c r="B333" s="30">
        <f t="shared" si="34"/>
        <v>0</v>
      </c>
      <c r="C333" s="77">
        <f t="shared" si="28"/>
        <v>0</v>
      </c>
      <c r="D333" s="77">
        <f t="shared" si="29"/>
        <v>0</v>
      </c>
      <c r="E333" s="77">
        <f t="shared" si="30"/>
        <v>0</v>
      </c>
      <c r="F333" s="30">
        <f t="shared" si="31"/>
        <v>0</v>
      </c>
      <c r="G333" s="78">
        <f t="shared" si="32"/>
        <v>0</v>
      </c>
    </row>
    <row r="334" spans="1:7" ht="13.5" hidden="1" thickBot="1" x14ac:dyDescent="0.25">
      <c r="A334" s="15">
        <f t="shared" si="33"/>
        <v>314</v>
      </c>
      <c r="B334" s="30">
        <f t="shared" si="34"/>
        <v>0</v>
      </c>
      <c r="C334" s="77">
        <f t="shared" si="28"/>
        <v>0</v>
      </c>
      <c r="D334" s="77">
        <f t="shared" si="29"/>
        <v>0</v>
      </c>
      <c r="E334" s="77">
        <f t="shared" si="30"/>
        <v>0</v>
      </c>
      <c r="F334" s="30">
        <f t="shared" si="31"/>
        <v>0</v>
      </c>
      <c r="G334" s="78">
        <f t="shared" si="32"/>
        <v>0</v>
      </c>
    </row>
    <row r="335" spans="1:7" ht="13.5" hidden="1" thickBot="1" x14ac:dyDescent="0.25">
      <c r="A335" s="15">
        <f t="shared" si="33"/>
        <v>315</v>
      </c>
      <c r="B335" s="30">
        <f t="shared" si="34"/>
        <v>0</v>
      </c>
      <c r="C335" s="77">
        <f t="shared" si="28"/>
        <v>0</v>
      </c>
      <c r="D335" s="77">
        <f t="shared" si="29"/>
        <v>0</v>
      </c>
      <c r="E335" s="77">
        <f t="shared" si="30"/>
        <v>0</v>
      </c>
      <c r="F335" s="30">
        <f t="shared" si="31"/>
        <v>0</v>
      </c>
      <c r="G335" s="78">
        <f t="shared" si="32"/>
        <v>0</v>
      </c>
    </row>
    <row r="336" spans="1:7" ht="13.5" hidden="1" thickBot="1" x14ac:dyDescent="0.25">
      <c r="A336" s="15">
        <f t="shared" si="33"/>
        <v>316</v>
      </c>
      <c r="B336" s="30">
        <f t="shared" si="34"/>
        <v>0</v>
      </c>
      <c r="C336" s="77">
        <f t="shared" si="28"/>
        <v>0</v>
      </c>
      <c r="D336" s="77">
        <f t="shared" si="29"/>
        <v>0</v>
      </c>
      <c r="E336" s="77">
        <f t="shared" si="30"/>
        <v>0</v>
      </c>
      <c r="F336" s="30">
        <f t="shared" si="31"/>
        <v>0</v>
      </c>
      <c r="G336" s="78">
        <f t="shared" si="32"/>
        <v>0</v>
      </c>
    </row>
    <row r="337" spans="1:7" ht="13.5" hidden="1" thickBot="1" x14ac:dyDescent="0.25">
      <c r="A337" s="15">
        <f t="shared" si="33"/>
        <v>317</v>
      </c>
      <c r="B337" s="30">
        <f t="shared" si="34"/>
        <v>0</v>
      </c>
      <c r="C337" s="77">
        <f t="shared" si="28"/>
        <v>0</v>
      </c>
      <c r="D337" s="77">
        <f t="shared" si="29"/>
        <v>0</v>
      </c>
      <c r="E337" s="77">
        <f t="shared" si="30"/>
        <v>0</v>
      </c>
      <c r="F337" s="30">
        <f t="shared" si="31"/>
        <v>0</v>
      </c>
      <c r="G337" s="78">
        <f t="shared" si="32"/>
        <v>0</v>
      </c>
    </row>
    <row r="338" spans="1:7" ht="13.5" hidden="1" thickBot="1" x14ac:dyDescent="0.25">
      <c r="A338" s="15">
        <f t="shared" si="33"/>
        <v>318</v>
      </c>
      <c r="B338" s="30">
        <f t="shared" si="34"/>
        <v>0</v>
      </c>
      <c r="C338" s="77">
        <f t="shared" si="28"/>
        <v>0</v>
      </c>
      <c r="D338" s="77">
        <f t="shared" si="29"/>
        <v>0</v>
      </c>
      <c r="E338" s="77">
        <f t="shared" si="30"/>
        <v>0</v>
      </c>
      <c r="F338" s="30">
        <f t="shared" si="31"/>
        <v>0</v>
      </c>
      <c r="G338" s="78">
        <f t="shared" si="32"/>
        <v>0</v>
      </c>
    </row>
    <row r="339" spans="1:7" ht="13.5" hidden="1" thickBot="1" x14ac:dyDescent="0.25">
      <c r="A339" s="15">
        <f t="shared" si="33"/>
        <v>319</v>
      </c>
      <c r="B339" s="30">
        <f t="shared" si="34"/>
        <v>0</v>
      </c>
      <c r="C339" s="77">
        <f t="shared" si="28"/>
        <v>0</v>
      </c>
      <c r="D339" s="77">
        <f t="shared" si="29"/>
        <v>0</v>
      </c>
      <c r="E339" s="77">
        <f t="shared" si="30"/>
        <v>0</v>
      </c>
      <c r="F339" s="30">
        <f t="shared" si="31"/>
        <v>0</v>
      </c>
      <c r="G339" s="78">
        <f t="shared" si="32"/>
        <v>0</v>
      </c>
    </row>
    <row r="340" spans="1:7" ht="13.5" hidden="1" thickBot="1" x14ac:dyDescent="0.25">
      <c r="A340" s="15">
        <f t="shared" si="33"/>
        <v>320</v>
      </c>
      <c r="B340" s="30">
        <f t="shared" si="34"/>
        <v>0</v>
      </c>
      <c r="C340" s="77">
        <f t="shared" si="28"/>
        <v>0</v>
      </c>
      <c r="D340" s="77">
        <f t="shared" si="29"/>
        <v>0</v>
      </c>
      <c r="E340" s="77">
        <f t="shared" si="30"/>
        <v>0</v>
      </c>
      <c r="F340" s="30">
        <f t="shared" si="31"/>
        <v>0</v>
      </c>
      <c r="G340" s="78">
        <f t="shared" si="32"/>
        <v>0</v>
      </c>
    </row>
    <row r="341" spans="1:7" ht="13.5" hidden="1" thickBot="1" x14ac:dyDescent="0.25">
      <c r="A341" s="15">
        <f t="shared" si="33"/>
        <v>321</v>
      </c>
      <c r="B341" s="30">
        <f t="shared" si="34"/>
        <v>0</v>
      </c>
      <c r="C341" s="77">
        <f t="shared" ref="C341:C380" si="35">IF(A341&lt;=$D$10,D341+$D$13,0)</f>
        <v>0</v>
      </c>
      <c r="D341" s="77">
        <f t="shared" ref="D341:D381" si="36">E341+F341</f>
        <v>0</v>
      </c>
      <c r="E341" s="77">
        <f t="shared" ref="E341:E380" si="37">B341*$D$11</f>
        <v>0</v>
      </c>
      <c r="F341" s="30">
        <f t="shared" ref="F341:F380" si="38">IF(A341&lt;=$D$10,$D$12*-1,0)</f>
        <v>0</v>
      </c>
      <c r="G341" s="78">
        <f t="shared" ref="G341:G380" si="39">B341-F341</f>
        <v>0</v>
      </c>
    </row>
    <row r="342" spans="1:7" ht="13.5" hidden="1" thickBot="1" x14ac:dyDescent="0.25">
      <c r="A342" s="15">
        <f t="shared" ref="A342:A380" si="40">A341+1</f>
        <v>322</v>
      </c>
      <c r="B342" s="30">
        <f t="shared" ref="B342:B380" si="41">B341-F341</f>
        <v>0</v>
      </c>
      <c r="C342" s="77">
        <f t="shared" si="35"/>
        <v>0</v>
      </c>
      <c r="D342" s="77">
        <f t="shared" si="36"/>
        <v>0</v>
      </c>
      <c r="E342" s="77">
        <f t="shared" si="37"/>
        <v>0</v>
      </c>
      <c r="F342" s="30">
        <f t="shared" si="38"/>
        <v>0</v>
      </c>
      <c r="G342" s="78">
        <f t="shared" si="39"/>
        <v>0</v>
      </c>
    </row>
    <row r="343" spans="1:7" ht="13.5" hidden="1" thickBot="1" x14ac:dyDescent="0.25">
      <c r="A343" s="15">
        <f t="shared" si="40"/>
        <v>323</v>
      </c>
      <c r="B343" s="30">
        <f t="shared" si="41"/>
        <v>0</v>
      </c>
      <c r="C343" s="77">
        <f t="shared" si="35"/>
        <v>0</v>
      </c>
      <c r="D343" s="77">
        <f t="shared" si="36"/>
        <v>0</v>
      </c>
      <c r="E343" s="77">
        <f t="shared" si="37"/>
        <v>0</v>
      </c>
      <c r="F343" s="30">
        <f t="shared" si="38"/>
        <v>0</v>
      </c>
      <c r="G343" s="78">
        <f t="shared" si="39"/>
        <v>0</v>
      </c>
    </row>
    <row r="344" spans="1:7" ht="13.5" hidden="1" thickBot="1" x14ac:dyDescent="0.25">
      <c r="A344" s="15">
        <f t="shared" si="40"/>
        <v>324</v>
      </c>
      <c r="B344" s="30">
        <f t="shared" si="41"/>
        <v>0</v>
      </c>
      <c r="C344" s="77">
        <f t="shared" si="35"/>
        <v>0</v>
      </c>
      <c r="D344" s="77">
        <f t="shared" si="36"/>
        <v>0</v>
      </c>
      <c r="E344" s="77">
        <f t="shared" si="37"/>
        <v>0</v>
      </c>
      <c r="F344" s="30">
        <f t="shared" si="38"/>
        <v>0</v>
      </c>
      <c r="G344" s="78">
        <f t="shared" si="39"/>
        <v>0</v>
      </c>
    </row>
    <row r="345" spans="1:7" ht="13.5" hidden="1" thickBot="1" x14ac:dyDescent="0.25">
      <c r="A345" s="15">
        <f t="shared" si="40"/>
        <v>325</v>
      </c>
      <c r="B345" s="30">
        <f t="shared" si="41"/>
        <v>0</v>
      </c>
      <c r="C345" s="77">
        <f t="shared" si="35"/>
        <v>0</v>
      </c>
      <c r="D345" s="77">
        <f t="shared" si="36"/>
        <v>0</v>
      </c>
      <c r="E345" s="77">
        <f t="shared" si="37"/>
        <v>0</v>
      </c>
      <c r="F345" s="30">
        <f t="shared" si="38"/>
        <v>0</v>
      </c>
      <c r="G345" s="78">
        <f t="shared" si="39"/>
        <v>0</v>
      </c>
    </row>
    <row r="346" spans="1:7" ht="13.5" hidden="1" thickBot="1" x14ac:dyDescent="0.25">
      <c r="A346" s="15">
        <f t="shared" si="40"/>
        <v>326</v>
      </c>
      <c r="B346" s="30">
        <f t="shared" si="41"/>
        <v>0</v>
      </c>
      <c r="C346" s="77">
        <f t="shared" si="35"/>
        <v>0</v>
      </c>
      <c r="D346" s="77">
        <f t="shared" si="36"/>
        <v>0</v>
      </c>
      <c r="E346" s="77">
        <f t="shared" si="37"/>
        <v>0</v>
      </c>
      <c r="F346" s="30">
        <f t="shared" si="38"/>
        <v>0</v>
      </c>
      <c r="G346" s="78">
        <f t="shared" si="39"/>
        <v>0</v>
      </c>
    </row>
    <row r="347" spans="1:7" ht="13.5" hidden="1" thickBot="1" x14ac:dyDescent="0.25">
      <c r="A347" s="15">
        <f t="shared" si="40"/>
        <v>327</v>
      </c>
      <c r="B347" s="30">
        <f t="shared" si="41"/>
        <v>0</v>
      </c>
      <c r="C347" s="77">
        <f t="shared" si="35"/>
        <v>0</v>
      </c>
      <c r="D347" s="77">
        <f t="shared" si="36"/>
        <v>0</v>
      </c>
      <c r="E347" s="77">
        <f t="shared" si="37"/>
        <v>0</v>
      </c>
      <c r="F347" s="30">
        <f t="shared" si="38"/>
        <v>0</v>
      </c>
      <c r="G347" s="78">
        <f t="shared" si="39"/>
        <v>0</v>
      </c>
    </row>
    <row r="348" spans="1:7" ht="13.5" hidden="1" thickBot="1" x14ac:dyDescent="0.25">
      <c r="A348" s="15">
        <f t="shared" si="40"/>
        <v>328</v>
      </c>
      <c r="B348" s="30">
        <f t="shared" si="41"/>
        <v>0</v>
      </c>
      <c r="C348" s="77">
        <f t="shared" si="35"/>
        <v>0</v>
      </c>
      <c r="D348" s="77">
        <f t="shared" si="36"/>
        <v>0</v>
      </c>
      <c r="E348" s="77">
        <f t="shared" si="37"/>
        <v>0</v>
      </c>
      <c r="F348" s="30">
        <f t="shared" si="38"/>
        <v>0</v>
      </c>
      <c r="G348" s="78">
        <f t="shared" si="39"/>
        <v>0</v>
      </c>
    </row>
    <row r="349" spans="1:7" ht="13.5" hidden="1" thickBot="1" x14ac:dyDescent="0.25">
      <c r="A349" s="15">
        <f t="shared" si="40"/>
        <v>329</v>
      </c>
      <c r="B349" s="30">
        <f t="shared" si="41"/>
        <v>0</v>
      </c>
      <c r="C349" s="77">
        <f t="shared" si="35"/>
        <v>0</v>
      </c>
      <c r="D349" s="77">
        <f t="shared" si="36"/>
        <v>0</v>
      </c>
      <c r="E349" s="77">
        <f t="shared" si="37"/>
        <v>0</v>
      </c>
      <c r="F349" s="30">
        <f t="shared" si="38"/>
        <v>0</v>
      </c>
      <c r="G349" s="78">
        <f t="shared" si="39"/>
        <v>0</v>
      </c>
    </row>
    <row r="350" spans="1:7" ht="13.5" hidden="1" thickBot="1" x14ac:dyDescent="0.25">
      <c r="A350" s="15">
        <f t="shared" si="40"/>
        <v>330</v>
      </c>
      <c r="B350" s="30">
        <f t="shared" si="41"/>
        <v>0</v>
      </c>
      <c r="C350" s="77">
        <f t="shared" si="35"/>
        <v>0</v>
      </c>
      <c r="D350" s="77">
        <f t="shared" si="36"/>
        <v>0</v>
      </c>
      <c r="E350" s="77">
        <f t="shared" si="37"/>
        <v>0</v>
      </c>
      <c r="F350" s="30">
        <f t="shared" si="38"/>
        <v>0</v>
      </c>
      <c r="G350" s="78">
        <f t="shared" si="39"/>
        <v>0</v>
      </c>
    </row>
    <row r="351" spans="1:7" ht="13.5" hidden="1" thickBot="1" x14ac:dyDescent="0.25">
      <c r="A351" s="15">
        <f t="shared" si="40"/>
        <v>331</v>
      </c>
      <c r="B351" s="30">
        <f t="shared" si="41"/>
        <v>0</v>
      </c>
      <c r="C351" s="77">
        <f t="shared" si="35"/>
        <v>0</v>
      </c>
      <c r="D351" s="77">
        <f t="shared" si="36"/>
        <v>0</v>
      </c>
      <c r="E351" s="77">
        <f t="shared" si="37"/>
        <v>0</v>
      </c>
      <c r="F351" s="30">
        <f t="shared" si="38"/>
        <v>0</v>
      </c>
      <c r="G351" s="78">
        <f t="shared" si="39"/>
        <v>0</v>
      </c>
    </row>
    <row r="352" spans="1:7" ht="13.5" hidden="1" thickBot="1" x14ac:dyDescent="0.25">
      <c r="A352" s="15">
        <f t="shared" si="40"/>
        <v>332</v>
      </c>
      <c r="B352" s="30">
        <f t="shared" si="41"/>
        <v>0</v>
      </c>
      <c r="C352" s="77">
        <f t="shared" si="35"/>
        <v>0</v>
      </c>
      <c r="D352" s="77">
        <f t="shared" si="36"/>
        <v>0</v>
      </c>
      <c r="E352" s="77">
        <f t="shared" si="37"/>
        <v>0</v>
      </c>
      <c r="F352" s="30">
        <f t="shared" si="38"/>
        <v>0</v>
      </c>
      <c r="G352" s="78">
        <f t="shared" si="39"/>
        <v>0</v>
      </c>
    </row>
    <row r="353" spans="1:7" ht="13.5" hidden="1" thickBot="1" x14ac:dyDescent="0.25">
      <c r="A353" s="15">
        <f t="shared" si="40"/>
        <v>333</v>
      </c>
      <c r="B353" s="30">
        <f t="shared" si="41"/>
        <v>0</v>
      </c>
      <c r="C353" s="77">
        <f t="shared" si="35"/>
        <v>0</v>
      </c>
      <c r="D353" s="77">
        <f t="shared" si="36"/>
        <v>0</v>
      </c>
      <c r="E353" s="77">
        <f t="shared" si="37"/>
        <v>0</v>
      </c>
      <c r="F353" s="30">
        <f t="shared" si="38"/>
        <v>0</v>
      </c>
      <c r="G353" s="78">
        <f t="shared" si="39"/>
        <v>0</v>
      </c>
    </row>
    <row r="354" spans="1:7" ht="13.5" hidden="1" thickBot="1" x14ac:dyDescent="0.25">
      <c r="A354" s="15">
        <f t="shared" si="40"/>
        <v>334</v>
      </c>
      <c r="B354" s="30">
        <f t="shared" si="41"/>
        <v>0</v>
      </c>
      <c r="C354" s="77">
        <f t="shared" si="35"/>
        <v>0</v>
      </c>
      <c r="D354" s="77">
        <f t="shared" si="36"/>
        <v>0</v>
      </c>
      <c r="E354" s="77">
        <f t="shared" si="37"/>
        <v>0</v>
      </c>
      <c r="F354" s="30">
        <f t="shared" si="38"/>
        <v>0</v>
      </c>
      <c r="G354" s="78">
        <f t="shared" si="39"/>
        <v>0</v>
      </c>
    </row>
    <row r="355" spans="1:7" ht="13.5" hidden="1" thickBot="1" x14ac:dyDescent="0.25">
      <c r="A355" s="15">
        <f t="shared" si="40"/>
        <v>335</v>
      </c>
      <c r="B355" s="30">
        <f t="shared" si="41"/>
        <v>0</v>
      </c>
      <c r="C355" s="77">
        <f t="shared" si="35"/>
        <v>0</v>
      </c>
      <c r="D355" s="77">
        <f t="shared" si="36"/>
        <v>0</v>
      </c>
      <c r="E355" s="77">
        <f t="shared" si="37"/>
        <v>0</v>
      </c>
      <c r="F355" s="30">
        <f t="shared" si="38"/>
        <v>0</v>
      </c>
      <c r="G355" s="78">
        <f t="shared" si="39"/>
        <v>0</v>
      </c>
    </row>
    <row r="356" spans="1:7" ht="13.5" hidden="1" thickBot="1" x14ac:dyDescent="0.25">
      <c r="A356" s="15">
        <f t="shared" si="40"/>
        <v>336</v>
      </c>
      <c r="B356" s="30">
        <f t="shared" si="41"/>
        <v>0</v>
      </c>
      <c r="C356" s="77">
        <f t="shared" si="35"/>
        <v>0</v>
      </c>
      <c r="D356" s="77">
        <f t="shared" si="36"/>
        <v>0</v>
      </c>
      <c r="E356" s="77">
        <f t="shared" si="37"/>
        <v>0</v>
      </c>
      <c r="F356" s="30">
        <f t="shared" si="38"/>
        <v>0</v>
      </c>
      <c r="G356" s="78">
        <f t="shared" si="39"/>
        <v>0</v>
      </c>
    </row>
    <row r="357" spans="1:7" ht="13.5" hidden="1" thickBot="1" x14ac:dyDescent="0.25">
      <c r="A357" s="15">
        <f t="shared" si="40"/>
        <v>337</v>
      </c>
      <c r="B357" s="30">
        <f t="shared" si="41"/>
        <v>0</v>
      </c>
      <c r="C357" s="77">
        <f t="shared" si="35"/>
        <v>0</v>
      </c>
      <c r="D357" s="77">
        <f t="shared" si="36"/>
        <v>0</v>
      </c>
      <c r="E357" s="77">
        <f t="shared" si="37"/>
        <v>0</v>
      </c>
      <c r="F357" s="30">
        <f t="shared" si="38"/>
        <v>0</v>
      </c>
      <c r="G357" s="78">
        <f t="shared" si="39"/>
        <v>0</v>
      </c>
    </row>
    <row r="358" spans="1:7" ht="13.5" hidden="1" thickBot="1" x14ac:dyDescent="0.25">
      <c r="A358" s="15">
        <f t="shared" si="40"/>
        <v>338</v>
      </c>
      <c r="B358" s="30">
        <f t="shared" si="41"/>
        <v>0</v>
      </c>
      <c r="C358" s="77">
        <f t="shared" si="35"/>
        <v>0</v>
      </c>
      <c r="D358" s="77">
        <f t="shared" si="36"/>
        <v>0</v>
      </c>
      <c r="E358" s="77">
        <f t="shared" si="37"/>
        <v>0</v>
      </c>
      <c r="F358" s="30">
        <f t="shared" si="38"/>
        <v>0</v>
      </c>
      <c r="G358" s="78">
        <f t="shared" si="39"/>
        <v>0</v>
      </c>
    </row>
    <row r="359" spans="1:7" ht="13.5" hidden="1" thickBot="1" x14ac:dyDescent="0.25">
      <c r="A359" s="15">
        <f t="shared" si="40"/>
        <v>339</v>
      </c>
      <c r="B359" s="30">
        <f t="shared" si="41"/>
        <v>0</v>
      </c>
      <c r="C359" s="77">
        <f t="shared" si="35"/>
        <v>0</v>
      </c>
      <c r="D359" s="77">
        <f t="shared" si="36"/>
        <v>0</v>
      </c>
      <c r="E359" s="77">
        <f t="shared" si="37"/>
        <v>0</v>
      </c>
      <c r="F359" s="30">
        <f t="shared" si="38"/>
        <v>0</v>
      </c>
      <c r="G359" s="78">
        <f t="shared" si="39"/>
        <v>0</v>
      </c>
    </row>
    <row r="360" spans="1:7" ht="13.5" hidden="1" thickBot="1" x14ac:dyDescent="0.25">
      <c r="A360" s="15">
        <f t="shared" si="40"/>
        <v>340</v>
      </c>
      <c r="B360" s="30">
        <f t="shared" si="41"/>
        <v>0</v>
      </c>
      <c r="C360" s="77">
        <f t="shared" si="35"/>
        <v>0</v>
      </c>
      <c r="D360" s="77">
        <f t="shared" si="36"/>
        <v>0</v>
      </c>
      <c r="E360" s="77">
        <f t="shared" si="37"/>
        <v>0</v>
      </c>
      <c r="F360" s="30">
        <f t="shared" si="38"/>
        <v>0</v>
      </c>
      <c r="G360" s="78">
        <f t="shared" si="39"/>
        <v>0</v>
      </c>
    </row>
    <row r="361" spans="1:7" ht="13.5" hidden="1" thickBot="1" x14ac:dyDescent="0.25">
      <c r="A361" s="15">
        <f t="shared" si="40"/>
        <v>341</v>
      </c>
      <c r="B361" s="30">
        <f t="shared" si="41"/>
        <v>0</v>
      </c>
      <c r="C361" s="77">
        <f t="shared" si="35"/>
        <v>0</v>
      </c>
      <c r="D361" s="77">
        <f t="shared" si="36"/>
        <v>0</v>
      </c>
      <c r="E361" s="77">
        <f t="shared" si="37"/>
        <v>0</v>
      </c>
      <c r="F361" s="30">
        <f t="shared" si="38"/>
        <v>0</v>
      </c>
      <c r="G361" s="78">
        <f t="shared" si="39"/>
        <v>0</v>
      </c>
    </row>
    <row r="362" spans="1:7" ht="13.5" hidden="1" thickBot="1" x14ac:dyDescent="0.25">
      <c r="A362" s="15">
        <f t="shared" si="40"/>
        <v>342</v>
      </c>
      <c r="B362" s="30">
        <f t="shared" si="41"/>
        <v>0</v>
      </c>
      <c r="C362" s="77">
        <f t="shared" si="35"/>
        <v>0</v>
      </c>
      <c r="D362" s="77">
        <f t="shared" si="36"/>
        <v>0</v>
      </c>
      <c r="E362" s="77">
        <f t="shared" si="37"/>
        <v>0</v>
      </c>
      <c r="F362" s="30">
        <f t="shared" si="38"/>
        <v>0</v>
      </c>
      <c r="G362" s="78">
        <f t="shared" si="39"/>
        <v>0</v>
      </c>
    </row>
    <row r="363" spans="1:7" ht="13.5" hidden="1" thickBot="1" x14ac:dyDescent="0.25">
      <c r="A363" s="15">
        <f t="shared" si="40"/>
        <v>343</v>
      </c>
      <c r="B363" s="30">
        <f t="shared" si="41"/>
        <v>0</v>
      </c>
      <c r="C363" s="77">
        <f t="shared" si="35"/>
        <v>0</v>
      </c>
      <c r="D363" s="77">
        <f t="shared" si="36"/>
        <v>0</v>
      </c>
      <c r="E363" s="77">
        <f t="shared" si="37"/>
        <v>0</v>
      </c>
      <c r="F363" s="30">
        <f t="shared" si="38"/>
        <v>0</v>
      </c>
      <c r="G363" s="78">
        <f t="shared" si="39"/>
        <v>0</v>
      </c>
    </row>
    <row r="364" spans="1:7" ht="13.5" hidden="1" thickBot="1" x14ac:dyDescent="0.25">
      <c r="A364" s="15">
        <f t="shared" si="40"/>
        <v>344</v>
      </c>
      <c r="B364" s="30">
        <f t="shared" si="41"/>
        <v>0</v>
      </c>
      <c r="C364" s="77">
        <f t="shared" si="35"/>
        <v>0</v>
      </c>
      <c r="D364" s="77">
        <f t="shared" si="36"/>
        <v>0</v>
      </c>
      <c r="E364" s="77">
        <f t="shared" si="37"/>
        <v>0</v>
      </c>
      <c r="F364" s="30">
        <f t="shared" si="38"/>
        <v>0</v>
      </c>
      <c r="G364" s="78">
        <f t="shared" si="39"/>
        <v>0</v>
      </c>
    </row>
    <row r="365" spans="1:7" ht="13.5" hidden="1" thickBot="1" x14ac:dyDescent="0.25">
      <c r="A365" s="15">
        <f t="shared" si="40"/>
        <v>345</v>
      </c>
      <c r="B365" s="30">
        <f t="shared" si="41"/>
        <v>0</v>
      </c>
      <c r="C365" s="77">
        <f t="shared" si="35"/>
        <v>0</v>
      </c>
      <c r="D365" s="77">
        <f t="shared" si="36"/>
        <v>0</v>
      </c>
      <c r="E365" s="77">
        <f t="shared" si="37"/>
        <v>0</v>
      </c>
      <c r="F365" s="30">
        <f t="shared" si="38"/>
        <v>0</v>
      </c>
      <c r="G365" s="78">
        <f t="shared" si="39"/>
        <v>0</v>
      </c>
    </row>
    <row r="366" spans="1:7" ht="13.5" hidden="1" thickBot="1" x14ac:dyDescent="0.25">
      <c r="A366" s="15">
        <f t="shared" si="40"/>
        <v>346</v>
      </c>
      <c r="B366" s="30">
        <f t="shared" si="41"/>
        <v>0</v>
      </c>
      <c r="C366" s="77">
        <f t="shared" si="35"/>
        <v>0</v>
      </c>
      <c r="D366" s="77">
        <f t="shared" si="36"/>
        <v>0</v>
      </c>
      <c r="E366" s="77">
        <f t="shared" si="37"/>
        <v>0</v>
      </c>
      <c r="F366" s="30">
        <f t="shared" si="38"/>
        <v>0</v>
      </c>
      <c r="G366" s="78">
        <f t="shared" si="39"/>
        <v>0</v>
      </c>
    </row>
    <row r="367" spans="1:7" ht="13.5" hidden="1" thickBot="1" x14ac:dyDescent="0.25">
      <c r="A367" s="15">
        <f t="shared" si="40"/>
        <v>347</v>
      </c>
      <c r="B367" s="30">
        <f t="shared" si="41"/>
        <v>0</v>
      </c>
      <c r="C367" s="77">
        <f t="shared" si="35"/>
        <v>0</v>
      </c>
      <c r="D367" s="77">
        <f t="shared" si="36"/>
        <v>0</v>
      </c>
      <c r="E367" s="77">
        <f t="shared" si="37"/>
        <v>0</v>
      </c>
      <c r="F367" s="30">
        <f t="shared" si="38"/>
        <v>0</v>
      </c>
      <c r="G367" s="78">
        <f t="shared" si="39"/>
        <v>0</v>
      </c>
    </row>
    <row r="368" spans="1:7" ht="13.5" hidden="1" thickBot="1" x14ac:dyDescent="0.25">
      <c r="A368" s="15">
        <f t="shared" si="40"/>
        <v>348</v>
      </c>
      <c r="B368" s="30">
        <f t="shared" si="41"/>
        <v>0</v>
      </c>
      <c r="C368" s="77">
        <f t="shared" si="35"/>
        <v>0</v>
      </c>
      <c r="D368" s="77">
        <f t="shared" si="36"/>
        <v>0</v>
      </c>
      <c r="E368" s="77">
        <f t="shared" si="37"/>
        <v>0</v>
      </c>
      <c r="F368" s="30">
        <f t="shared" si="38"/>
        <v>0</v>
      </c>
      <c r="G368" s="78">
        <f t="shared" si="39"/>
        <v>0</v>
      </c>
    </row>
    <row r="369" spans="1:7" ht="13.5" hidden="1" thickBot="1" x14ac:dyDescent="0.25">
      <c r="A369" s="15">
        <f t="shared" si="40"/>
        <v>349</v>
      </c>
      <c r="B369" s="30">
        <f t="shared" si="41"/>
        <v>0</v>
      </c>
      <c r="C369" s="77">
        <f t="shared" si="35"/>
        <v>0</v>
      </c>
      <c r="D369" s="77">
        <f t="shared" si="36"/>
        <v>0</v>
      </c>
      <c r="E369" s="77">
        <f t="shared" si="37"/>
        <v>0</v>
      </c>
      <c r="F369" s="30">
        <f t="shared" si="38"/>
        <v>0</v>
      </c>
      <c r="G369" s="78">
        <f t="shared" si="39"/>
        <v>0</v>
      </c>
    </row>
    <row r="370" spans="1:7" ht="13.5" hidden="1" thickBot="1" x14ac:dyDescent="0.25">
      <c r="A370" s="15">
        <f t="shared" si="40"/>
        <v>350</v>
      </c>
      <c r="B370" s="30">
        <f t="shared" si="41"/>
        <v>0</v>
      </c>
      <c r="C370" s="77">
        <f t="shared" si="35"/>
        <v>0</v>
      </c>
      <c r="D370" s="77">
        <f t="shared" si="36"/>
        <v>0</v>
      </c>
      <c r="E370" s="77">
        <f t="shared" si="37"/>
        <v>0</v>
      </c>
      <c r="F370" s="30">
        <f t="shared" si="38"/>
        <v>0</v>
      </c>
      <c r="G370" s="78">
        <f t="shared" si="39"/>
        <v>0</v>
      </c>
    </row>
    <row r="371" spans="1:7" ht="13.5" hidden="1" thickBot="1" x14ac:dyDescent="0.25">
      <c r="A371" s="15">
        <f t="shared" si="40"/>
        <v>351</v>
      </c>
      <c r="B371" s="30">
        <f t="shared" si="41"/>
        <v>0</v>
      </c>
      <c r="C371" s="77">
        <f t="shared" si="35"/>
        <v>0</v>
      </c>
      <c r="D371" s="77">
        <f t="shared" si="36"/>
        <v>0</v>
      </c>
      <c r="E371" s="77">
        <f t="shared" si="37"/>
        <v>0</v>
      </c>
      <c r="F371" s="30">
        <f t="shared" si="38"/>
        <v>0</v>
      </c>
      <c r="G371" s="78">
        <f t="shared" si="39"/>
        <v>0</v>
      </c>
    </row>
    <row r="372" spans="1:7" ht="13.5" hidden="1" thickBot="1" x14ac:dyDescent="0.25">
      <c r="A372" s="15">
        <f t="shared" si="40"/>
        <v>352</v>
      </c>
      <c r="B372" s="30">
        <f t="shared" si="41"/>
        <v>0</v>
      </c>
      <c r="C372" s="77">
        <f t="shared" si="35"/>
        <v>0</v>
      </c>
      <c r="D372" s="77">
        <f t="shared" si="36"/>
        <v>0</v>
      </c>
      <c r="E372" s="77">
        <f t="shared" si="37"/>
        <v>0</v>
      </c>
      <c r="F372" s="30">
        <f t="shared" si="38"/>
        <v>0</v>
      </c>
      <c r="G372" s="78">
        <f t="shared" si="39"/>
        <v>0</v>
      </c>
    </row>
    <row r="373" spans="1:7" ht="13.5" hidden="1" thickBot="1" x14ac:dyDescent="0.25">
      <c r="A373" s="15">
        <f t="shared" si="40"/>
        <v>353</v>
      </c>
      <c r="B373" s="30">
        <f t="shared" si="41"/>
        <v>0</v>
      </c>
      <c r="C373" s="77">
        <f t="shared" si="35"/>
        <v>0</v>
      </c>
      <c r="D373" s="77">
        <f t="shared" si="36"/>
        <v>0</v>
      </c>
      <c r="E373" s="77">
        <f t="shared" si="37"/>
        <v>0</v>
      </c>
      <c r="F373" s="30">
        <f t="shared" si="38"/>
        <v>0</v>
      </c>
      <c r="G373" s="78">
        <f t="shared" si="39"/>
        <v>0</v>
      </c>
    </row>
    <row r="374" spans="1:7" ht="13.5" hidden="1" thickBot="1" x14ac:dyDescent="0.25">
      <c r="A374" s="15">
        <f t="shared" si="40"/>
        <v>354</v>
      </c>
      <c r="B374" s="30">
        <f t="shared" si="41"/>
        <v>0</v>
      </c>
      <c r="C374" s="77">
        <f t="shared" si="35"/>
        <v>0</v>
      </c>
      <c r="D374" s="77">
        <f t="shared" si="36"/>
        <v>0</v>
      </c>
      <c r="E374" s="77">
        <f t="shared" si="37"/>
        <v>0</v>
      </c>
      <c r="F374" s="30">
        <f t="shared" si="38"/>
        <v>0</v>
      </c>
      <c r="G374" s="78">
        <f t="shared" si="39"/>
        <v>0</v>
      </c>
    </row>
    <row r="375" spans="1:7" ht="13.5" hidden="1" thickBot="1" x14ac:dyDescent="0.25">
      <c r="A375" s="15">
        <f t="shared" si="40"/>
        <v>355</v>
      </c>
      <c r="B375" s="30">
        <f t="shared" si="41"/>
        <v>0</v>
      </c>
      <c r="C375" s="77">
        <f t="shared" si="35"/>
        <v>0</v>
      </c>
      <c r="D375" s="77">
        <f t="shared" si="36"/>
        <v>0</v>
      </c>
      <c r="E375" s="77">
        <f t="shared" si="37"/>
        <v>0</v>
      </c>
      <c r="F375" s="30">
        <f t="shared" si="38"/>
        <v>0</v>
      </c>
      <c r="G375" s="78">
        <f t="shared" si="39"/>
        <v>0</v>
      </c>
    </row>
    <row r="376" spans="1:7" ht="13.5" hidden="1" thickBot="1" x14ac:dyDescent="0.25">
      <c r="A376" s="15">
        <f t="shared" si="40"/>
        <v>356</v>
      </c>
      <c r="B376" s="30">
        <f t="shared" si="41"/>
        <v>0</v>
      </c>
      <c r="C376" s="77">
        <f t="shared" si="35"/>
        <v>0</v>
      </c>
      <c r="D376" s="77">
        <f t="shared" si="36"/>
        <v>0</v>
      </c>
      <c r="E376" s="77">
        <f t="shared" si="37"/>
        <v>0</v>
      </c>
      <c r="F376" s="30">
        <f t="shared" si="38"/>
        <v>0</v>
      </c>
      <c r="G376" s="78">
        <f t="shared" si="39"/>
        <v>0</v>
      </c>
    </row>
    <row r="377" spans="1:7" ht="13.5" hidden="1" thickBot="1" x14ac:dyDescent="0.25">
      <c r="A377" s="15">
        <f t="shared" si="40"/>
        <v>357</v>
      </c>
      <c r="B377" s="30">
        <f t="shared" si="41"/>
        <v>0</v>
      </c>
      <c r="C377" s="77">
        <f t="shared" si="35"/>
        <v>0</v>
      </c>
      <c r="D377" s="77">
        <f t="shared" si="36"/>
        <v>0</v>
      </c>
      <c r="E377" s="77">
        <f t="shared" si="37"/>
        <v>0</v>
      </c>
      <c r="F377" s="30">
        <f t="shared" si="38"/>
        <v>0</v>
      </c>
      <c r="G377" s="78">
        <f t="shared" si="39"/>
        <v>0</v>
      </c>
    </row>
    <row r="378" spans="1:7" ht="13.5" hidden="1" thickBot="1" x14ac:dyDescent="0.25">
      <c r="A378" s="15">
        <f t="shared" si="40"/>
        <v>358</v>
      </c>
      <c r="B378" s="30">
        <f t="shared" si="41"/>
        <v>0</v>
      </c>
      <c r="C378" s="77">
        <f t="shared" si="35"/>
        <v>0</v>
      </c>
      <c r="D378" s="77">
        <f t="shared" si="36"/>
        <v>0</v>
      </c>
      <c r="E378" s="77">
        <f t="shared" si="37"/>
        <v>0</v>
      </c>
      <c r="F378" s="30">
        <f t="shared" si="38"/>
        <v>0</v>
      </c>
      <c r="G378" s="78">
        <f t="shared" si="39"/>
        <v>0</v>
      </c>
    </row>
    <row r="379" spans="1:7" ht="13.5" hidden="1" thickBot="1" x14ac:dyDescent="0.25">
      <c r="A379" s="15">
        <f t="shared" si="40"/>
        <v>359</v>
      </c>
      <c r="B379" s="30">
        <f t="shared" si="41"/>
        <v>0</v>
      </c>
      <c r="C379" s="77">
        <f t="shared" si="35"/>
        <v>0</v>
      </c>
      <c r="D379" s="77">
        <f t="shared" si="36"/>
        <v>0</v>
      </c>
      <c r="E379" s="77">
        <f t="shared" si="37"/>
        <v>0</v>
      </c>
      <c r="F379" s="30">
        <f t="shared" si="38"/>
        <v>0</v>
      </c>
      <c r="G379" s="78">
        <f t="shared" si="39"/>
        <v>0</v>
      </c>
    </row>
    <row r="380" spans="1:7" ht="13.5" hidden="1" thickBot="1" x14ac:dyDescent="0.25">
      <c r="A380" s="15">
        <f t="shared" si="40"/>
        <v>360</v>
      </c>
      <c r="B380" s="30">
        <f t="shared" si="41"/>
        <v>0</v>
      </c>
      <c r="C380" s="77">
        <f t="shared" si="35"/>
        <v>0</v>
      </c>
      <c r="D380" s="77">
        <f t="shared" si="36"/>
        <v>0</v>
      </c>
      <c r="E380" s="77">
        <f t="shared" si="37"/>
        <v>0</v>
      </c>
      <c r="F380" s="30">
        <f t="shared" si="38"/>
        <v>0</v>
      </c>
      <c r="G380" s="78">
        <f t="shared" si="39"/>
        <v>0</v>
      </c>
    </row>
    <row r="381" spans="1:7" ht="13.5" thickBot="1" x14ac:dyDescent="0.25">
      <c r="A381" s="32" t="s">
        <v>21</v>
      </c>
      <c r="B381" s="80"/>
      <c r="C381" s="80">
        <f>SUM(C21:C380)</f>
        <v>6930000</v>
      </c>
      <c r="D381" s="80">
        <f t="shared" si="36"/>
        <v>6930000</v>
      </c>
      <c r="E381" s="80">
        <f>SUM(E21:E380)</f>
        <v>930000</v>
      </c>
      <c r="F381" s="80">
        <f>SUM(F21:F380)</f>
        <v>6000000</v>
      </c>
      <c r="G381" s="81"/>
    </row>
    <row r="382" spans="1:7" x14ac:dyDescent="0.2">
      <c r="A382" s="2"/>
    </row>
    <row r="383" spans="1:7" x14ac:dyDescent="0.2">
      <c r="A383" s="2"/>
    </row>
    <row r="384" spans="1:7"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sheetData>
  <mergeCells count="15">
    <mergeCell ref="A7:C7"/>
    <mergeCell ref="A1:G1"/>
    <mergeCell ref="A2:C2"/>
    <mergeCell ref="A4:C4"/>
    <mergeCell ref="A5:C5"/>
    <mergeCell ref="A6:C6"/>
    <mergeCell ref="A14:D14"/>
    <mergeCell ref="A15:C15"/>
    <mergeCell ref="A16:D16"/>
    <mergeCell ref="A8:C8"/>
    <mergeCell ref="A9:C9"/>
    <mergeCell ref="A10:C10"/>
    <mergeCell ref="A11:C11"/>
    <mergeCell ref="A12:C12"/>
    <mergeCell ref="A13:C13"/>
  </mergeCells>
  <pageMargins left="0.59055118110236227" right="0.39370078740157483" top="0.39370078740157483" bottom="0.39370078740157483" header="0.51181102362204722" footer="0.51181102362204722"/>
  <pageSetup paperSize="9" orientation="portrait" horizontalDpi="36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FBB3-FB80-4084-BC91-289F56740412}">
  <sheetPr>
    <pageSetUpPr fitToPage="1"/>
  </sheetPr>
  <dimension ref="A1:BA23"/>
  <sheetViews>
    <sheetView topLeftCell="A5" workbookViewId="0">
      <selection activeCell="A4" sqref="A4:D4"/>
    </sheetView>
  </sheetViews>
  <sheetFormatPr defaultRowHeight="12.75" x14ac:dyDescent="0.2"/>
  <cols>
    <col min="1" max="1" width="5.85546875" customWidth="1"/>
    <col min="2" max="2" width="10.7109375" customWidth="1"/>
    <col min="3" max="3" width="1.7109375" customWidth="1"/>
    <col min="4" max="4" width="2.7109375" customWidth="1"/>
    <col min="5" max="5" width="14.5703125" customWidth="1"/>
    <col min="6" max="6" width="1.85546875" bestFit="1" customWidth="1"/>
    <col min="7" max="7" width="5.140625" bestFit="1" customWidth="1"/>
    <col min="8" max="8" width="2.85546875" bestFit="1" customWidth="1"/>
    <col min="9" max="9" width="2.140625" bestFit="1" customWidth="1"/>
    <col min="10" max="10" width="13.140625" customWidth="1"/>
    <col min="11" max="11" width="1.85546875" bestFit="1" customWidth="1"/>
    <col min="12" max="12" width="5.140625" bestFit="1" customWidth="1"/>
    <col min="13" max="13" width="1.85546875" bestFit="1" customWidth="1"/>
    <col min="14" max="14" width="2.140625" bestFit="1" customWidth="1"/>
    <col min="15" max="15" width="12.5703125" customWidth="1"/>
    <col min="16" max="16" width="2" customWidth="1"/>
    <col min="17" max="17" width="5.140625" bestFit="1" customWidth="1"/>
    <col min="18" max="18" width="2.28515625" customWidth="1"/>
    <col min="19" max="19" width="1.85546875" customWidth="1"/>
    <col min="20" max="20" width="12.5703125" customWidth="1"/>
    <col min="21" max="21" width="2.140625" customWidth="1"/>
    <col min="22" max="22" width="5.42578125" customWidth="1"/>
    <col min="23" max="23" width="1.85546875" bestFit="1" customWidth="1"/>
    <col min="24" max="24" width="1.85546875" customWidth="1"/>
    <col min="25" max="25" width="11.42578125" bestFit="1" customWidth="1"/>
    <col min="26" max="26" width="1.85546875" customWidth="1"/>
    <col min="27" max="27" width="4.7109375" customWidth="1"/>
    <col min="28" max="28" width="1.85546875" customWidth="1"/>
    <col min="29" max="29" width="2.42578125" customWidth="1"/>
    <col min="30" max="30" width="11.42578125" bestFit="1" customWidth="1"/>
    <col min="31" max="31" width="2.28515625" customWidth="1"/>
    <col min="32" max="32" width="5.7109375" customWidth="1"/>
    <col min="33" max="33" width="1.85546875" customWidth="1"/>
    <col min="34" max="34" width="1.7109375" customWidth="1"/>
    <col min="35" max="35" width="11.42578125" bestFit="1" customWidth="1"/>
    <col min="36" max="36" width="2.7109375" customWidth="1"/>
    <col min="37" max="37" width="5.28515625" customWidth="1"/>
    <col min="38" max="38" width="2.28515625" customWidth="1"/>
    <col min="39" max="39" width="2" customWidth="1"/>
    <col min="40" max="40" width="11.42578125" bestFit="1" customWidth="1"/>
    <col min="41" max="41" width="1.85546875" customWidth="1"/>
    <col min="42" max="42" width="4.85546875" customWidth="1"/>
    <col min="43" max="43" width="2" customWidth="1"/>
    <col min="44" max="44" width="1.7109375" customWidth="1"/>
    <col min="45" max="45" width="11.42578125" bestFit="1" customWidth="1"/>
    <col min="46" max="46" width="2.28515625" customWidth="1"/>
    <col min="47" max="47" width="4.85546875" customWidth="1"/>
    <col min="48" max="48" width="2.140625" customWidth="1"/>
    <col min="49" max="49" width="2" customWidth="1"/>
    <col min="50" max="50" width="11.42578125" bestFit="1" customWidth="1"/>
    <col min="51" max="51" width="1.85546875" customWidth="1"/>
    <col min="52" max="52" width="5.28515625" customWidth="1"/>
    <col min="53" max="53" width="2.7109375" customWidth="1"/>
  </cols>
  <sheetData>
    <row r="1" spans="1:53" ht="29.25" customHeight="1" x14ac:dyDescent="0.2">
      <c r="A1" s="336" t="s">
        <v>47</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row>
    <row r="2" spans="1:53" ht="63.75" customHeight="1" x14ac:dyDescent="0.2">
      <c r="A2" s="313" t="str">
        <f>CONCATENATE("Først skal ydelsen på lånet beregnes. Ydelsen på et serielån består af et konstant afdrag og en faldende rente. For det pågældende lån med en hovedstol på ",'opg 2 Effektivrente serielån'!D2," og ",'opg 2 Effektivrente serielån'!D10," terminer udregnes afdraget ved at dividere ",'opg 2 Effektivrente serielån'!D2," med ",'opg 2 Effektivrente serielån'!D10,". Det giver et afdrag på ",'opg 2 Effektivrente serielån'!D12*-1,". Nu skal renten så beregnes udfra restgælden. Nedenstående tabel viser beregningen af ydelsen. ",IF('opg 2 Effektivrente serielån'!D10&gt;10," (Beregningen vises maksimalt for 10 terminer, for at vise metoden)"," "))</f>
        <v xml:space="preserve">Først skal ydelsen på lånet beregnes. Ydelsen på et serielån består af et konstant afdrag og en faldende rente. For det pågældende lån med en hovedstol på 6000000 og 10 terminer udregnes afdraget ved at dividere 6000000 med 10. Det giver et afdrag på 300000. Nu skal renten så beregnes udfra restgælden. Nedenstående tabel viser beregningen af ydelsen.  </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row>
    <row r="3" spans="1:53" ht="44.25" customHeight="1" x14ac:dyDescent="0.35">
      <c r="A3" s="82"/>
      <c r="B3" s="82"/>
      <c r="C3" s="82"/>
      <c r="D3" s="82"/>
      <c r="E3" s="337" t="s">
        <v>46</v>
      </c>
      <c r="F3" s="338"/>
      <c r="G3" s="338"/>
      <c r="H3" s="83">
        <v>1</v>
      </c>
      <c r="I3" s="339" t="str">
        <f>IF('opg 2 Effektivrente serielån'!$G$21=0,"","Ydelse")</f>
        <v>Ydelse</v>
      </c>
      <c r="J3" s="340"/>
      <c r="K3" s="340"/>
      <c r="L3" s="340"/>
      <c r="M3" s="84" t="str">
        <f>IF('opg 2 Effektivrente serielån'!G21=0,"","2")</f>
        <v>2</v>
      </c>
      <c r="N3" s="339" t="str">
        <f>IF('opg 2 Effektivrente serielån'!$G$22=0,"","Ydelse")</f>
        <v>Ydelse</v>
      </c>
      <c r="O3" s="340"/>
      <c r="P3" s="340"/>
      <c r="Q3" s="340"/>
      <c r="R3" s="84" t="str">
        <f>IF('opg 2 Effektivrente serielån'!$G$22=0,"","3")</f>
        <v>3</v>
      </c>
      <c r="S3" s="339" t="str">
        <f>IF('opg 2 Effektivrente serielån'!$G$23=0,"","Ydelse")</f>
        <v>Ydelse</v>
      </c>
      <c r="T3" s="340"/>
      <c r="U3" s="340"/>
      <c r="V3" s="340"/>
      <c r="W3" s="84" t="str">
        <f>IF('opg 2 Effektivrente serielån'!$G$23=0,"","4")</f>
        <v>4</v>
      </c>
      <c r="X3" s="339" t="str">
        <f>IF('opg 2 Effektivrente serielån'!$G$24=0,"","Ydelse")</f>
        <v>Ydelse</v>
      </c>
      <c r="Y3" s="340"/>
      <c r="Z3" s="340"/>
      <c r="AA3" s="340"/>
      <c r="AB3" s="84" t="str">
        <f>IF('opg 2 Effektivrente serielån'!$G$24=0,"","5")</f>
        <v>5</v>
      </c>
      <c r="AC3" s="339" t="str">
        <f>IF('opg 2 Effektivrente serielån'!$G$25=0,"","Ydelse")</f>
        <v>Ydelse</v>
      </c>
      <c r="AD3" s="340"/>
      <c r="AE3" s="340"/>
      <c r="AF3" s="340"/>
      <c r="AG3" s="84" t="str">
        <f>IF('opg 2 Effektivrente serielån'!$G$25=0,"","6")</f>
        <v>6</v>
      </c>
      <c r="AH3" s="339" t="str">
        <f>IF('opg 2 Effektivrente serielån'!$G$26=0,"","Ydelse")</f>
        <v>Ydelse</v>
      </c>
      <c r="AI3" s="340"/>
      <c r="AJ3" s="340"/>
      <c r="AK3" s="340"/>
      <c r="AL3" s="84" t="str">
        <f>IF('opg 2 Effektivrente serielån'!$G$26=0,"","7")</f>
        <v>7</v>
      </c>
      <c r="AM3" s="339" t="str">
        <f>IF('opg 2 Effektivrente serielån'!$G$27=0,"","Ydelse")</f>
        <v>Ydelse</v>
      </c>
      <c r="AN3" s="340"/>
      <c r="AO3" s="340"/>
      <c r="AP3" s="340"/>
      <c r="AQ3" s="84" t="str">
        <f>IF('opg 2 Effektivrente serielån'!$G$27=0,"","8")</f>
        <v>8</v>
      </c>
      <c r="AR3" s="339" t="str">
        <f>IF('opg 2 Effektivrente serielån'!$G$28=0,"","Ydelse")</f>
        <v>Ydelse</v>
      </c>
      <c r="AS3" s="340"/>
      <c r="AT3" s="340"/>
      <c r="AU3" s="340"/>
      <c r="AV3" s="84" t="str">
        <f>IF('opg 2 Effektivrente serielån'!$G$28=0,"","9")</f>
        <v>9</v>
      </c>
      <c r="AW3" s="339" t="str">
        <f>IF('opg 2 Effektivrente serielån'!$G$29=0,"","Ydelse")</f>
        <v>Ydelse</v>
      </c>
      <c r="AX3" s="340"/>
      <c r="AY3" s="340"/>
      <c r="AZ3" s="340"/>
      <c r="BA3" s="84" t="str">
        <f>IF('opg 2 Effektivrente serielån'!$G$29=0,"","10")</f>
        <v>10</v>
      </c>
    </row>
    <row r="4" spans="1:53" ht="44.25" customHeight="1" x14ac:dyDescent="0.25">
      <c r="A4" s="324" t="s">
        <v>48</v>
      </c>
      <c r="B4" s="325"/>
      <c r="C4" s="325"/>
      <c r="D4" s="326"/>
      <c r="E4" s="332">
        <f>'opg 2 Effektivrente serielån'!D2</f>
        <v>6000000</v>
      </c>
      <c r="F4" s="332"/>
      <c r="G4" s="332"/>
      <c r="H4" s="332"/>
      <c r="I4" s="328">
        <f>IF('opg 2 Effektivrente serielån'!$G$21=0," ",'opg 2 Effektivrente serielån'!$B$22)</f>
        <v>5700000</v>
      </c>
      <c r="J4" s="328"/>
      <c r="K4" s="328"/>
      <c r="L4" s="328"/>
      <c r="M4" s="328"/>
      <c r="N4" s="333">
        <f>IF('opg 2 Effektivrente serielån'!$G$22=0," ",'opg 2 Effektivrente serielån'!$B$23)</f>
        <v>5400000</v>
      </c>
      <c r="O4" s="334"/>
      <c r="P4" s="334"/>
      <c r="Q4" s="334"/>
      <c r="R4" s="335"/>
      <c r="S4" s="328">
        <f>IF('opg 2 Effektivrente serielån'!$G$23=0," ",'opg 2 Effektivrente serielån'!$B$24)</f>
        <v>5100000</v>
      </c>
      <c r="T4" s="328"/>
      <c r="U4" s="328"/>
      <c r="V4" s="328"/>
      <c r="W4" s="328"/>
      <c r="X4" s="328">
        <f>IF('opg 2 Effektivrente serielån'!$G$24=0," ",'opg 2 Effektivrente serielån'!$B$25)</f>
        <v>4800000</v>
      </c>
      <c r="Y4" s="328"/>
      <c r="Z4" s="328"/>
      <c r="AA4" s="328"/>
      <c r="AB4" s="328"/>
      <c r="AC4" s="328">
        <f>IF('opg 2 Effektivrente serielån'!$G$25=0," ",'opg 2 Effektivrente serielån'!$B$26)</f>
        <v>4500000</v>
      </c>
      <c r="AD4" s="328"/>
      <c r="AE4" s="328"/>
      <c r="AF4" s="328"/>
      <c r="AG4" s="328"/>
      <c r="AH4" s="328">
        <f>IF('opg 2 Effektivrente serielån'!$G$26=0," ",'opg 2 Effektivrente serielån'!$B$27)</f>
        <v>4200000</v>
      </c>
      <c r="AI4" s="328"/>
      <c r="AJ4" s="328"/>
      <c r="AK4" s="328"/>
      <c r="AL4" s="328"/>
      <c r="AM4" s="328">
        <f>IF('opg 2 Effektivrente serielån'!$G$27=0," ",'opg 2 Effektivrente serielån'!$B$28)</f>
        <v>3900000</v>
      </c>
      <c r="AN4" s="328"/>
      <c r="AO4" s="328"/>
      <c r="AP4" s="328"/>
      <c r="AQ4" s="328"/>
      <c r="AR4" s="328">
        <f>IF('opg 2 Effektivrente serielån'!$G$28=0," ",'opg 2 Effektivrente serielån'!$B$29)</f>
        <v>3600000</v>
      </c>
      <c r="AS4" s="328"/>
      <c r="AT4" s="328"/>
      <c r="AU4" s="328"/>
      <c r="AV4" s="328"/>
      <c r="AW4" s="328">
        <f>IF('opg 2 Effektivrente serielån'!$G$29=0," ",'opg 2 Effektivrente serielån'!$B$30)</f>
        <v>3300000</v>
      </c>
      <c r="AX4" s="328"/>
      <c r="AY4" s="328"/>
      <c r="AZ4" s="328"/>
      <c r="BA4" s="328"/>
    </row>
    <row r="5" spans="1:53" ht="44.25" customHeight="1" x14ac:dyDescent="0.25">
      <c r="A5" s="324" t="str">
        <f>CONCATENATE("Rente ",'opg 2 Effektivrente serielån'!D11*100,"% af restgælden")</f>
        <v>Rente 2% af restgælden</v>
      </c>
      <c r="B5" s="325"/>
      <c r="C5" s="325"/>
      <c r="D5" s="326"/>
      <c r="E5" s="332">
        <f>'opg 2 Effektivrente serielån'!E21</f>
        <v>120000</v>
      </c>
      <c r="F5" s="332"/>
      <c r="G5" s="332"/>
      <c r="H5" s="332"/>
      <c r="I5" s="328">
        <f>IF('opg 2 Effektivrente serielån'!$G$21=0," ",'opg 2 Effektivrente serielån'!$E$22)</f>
        <v>114000</v>
      </c>
      <c r="J5" s="328"/>
      <c r="K5" s="328"/>
      <c r="L5" s="328"/>
      <c r="M5" s="328"/>
      <c r="N5" s="328">
        <f>IF('opg 2 Effektivrente serielån'!$G$22=0," ",'opg 2 Effektivrente serielån'!$E$23)</f>
        <v>108000</v>
      </c>
      <c r="O5" s="328"/>
      <c r="P5" s="328"/>
      <c r="Q5" s="328"/>
      <c r="R5" s="328"/>
      <c r="S5" s="328">
        <f>IF('opg 2 Effektivrente serielån'!$G$23=0," ",'opg 2 Effektivrente serielån'!$E$24)</f>
        <v>102000</v>
      </c>
      <c r="T5" s="328"/>
      <c r="U5" s="328"/>
      <c r="V5" s="328"/>
      <c r="W5" s="328"/>
      <c r="X5" s="328">
        <f>IF('opg 2 Effektivrente serielån'!$G$24=0," ",'opg 2 Effektivrente serielån'!$E$25)</f>
        <v>96000</v>
      </c>
      <c r="Y5" s="328"/>
      <c r="Z5" s="328"/>
      <c r="AA5" s="328"/>
      <c r="AB5" s="328"/>
      <c r="AC5" s="328">
        <f>IF('opg 2 Effektivrente serielån'!$G$25=0," ",'opg 2 Effektivrente serielån'!$E$26)</f>
        <v>90000</v>
      </c>
      <c r="AD5" s="328"/>
      <c r="AE5" s="328"/>
      <c r="AF5" s="328"/>
      <c r="AG5" s="328"/>
      <c r="AH5" s="328">
        <f>IF('opg 2 Effektivrente serielån'!$G$26=0," ",'opg 2 Effektivrente serielån'!$E$27)</f>
        <v>84000</v>
      </c>
      <c r="AI5" s="328"/>
      <c r="AJ5" s="328"/>
      <c r="AK5" s="328"/>
      <c r="AL5" s="328"/>
      <c r="AM5" s="328">
        <f>IF('opg 2 Effektivrente serielån'!$G$27=0," ",'opg 2 Effektivrente serielån'!$E$28)</f>
        <v>78000</v>
      </c>
      <c r="AN5" s="328"/>
      <c r="AO5" s="328"/>
      <c r="AP5" s="328"/>
      <c r="AQ5" s="328"/>
      <c r="AR5" s="328">
        <f>IF('opg 2 Effektivrente serielån'!$G$28=0," ",'opg 2 Effektivrente serielån'!$E$29)</f>
        <v>72000</v>
      </c>
      <c r="AS5" s="328"/>
      <c r="AT5" s="328"/>
      <c r="AU5" s="328"/>
      <c r="AV5" s="328"/>
      <c r="AW5" s="328">
        <f>IF('opg 2 Effektivrente serielån'!$G$29=0," ",'opg 2 Effektivrente serielån'!$E$30)</f>
        <v>66000</v>
      </c>
      <c r="AX5" s="328"/>
      <c r="AY5" s="328"/>
      <c r="AZ5" s="328"/>
      <c r="BA5" s="328"/>
    </row>
    <row r="6" spans="1:53" ht="33.75" customHeight="1" x14ac:dyDescent="0.25">
      <c r="A6" s="324" t="s">
        <v>19</v>
      </c>
      <c r="B6" s="325"/>
      <c r="C6" s="325"/>
      <c r="D6" s="326"/>
      <c r="E6" s="332">
        <f>'opg 2 Effektivrente serielån'!F21</f>
        <v>300000</v>
      </c>
      <c r="F6" s="332"/>
      <c r="G6" s="332"/>
      <c r="H6" s="332"/>
      <c r="I6" s="328">
        <f>IF('opg 2 Effektivrente serielån'!$G$21=0," ",'opg 2 Effektivrente serielån'!$F$22)</f>
        <v>300000</v>
      </c>
      <c r="J6" s="328"/>
      <c r="K6" s="328"/>
      <c r="L6" s="328"/>
      <c r="M6" s="328"/>
      <c r="N6" s="328">
        <f>IF('opg 2 Effektivrente serielån'!$G$22=0," ",'opg 2 Effektivrente serielån'!$F$23)</f>
        <v>300000</v>
      </c>
      <c r="O6" s="328"/>
      <c r="P6" s="328"/>
      <c r="Q6" s="328"/>
      <c r="R6" s="328"/>
      <c r="S6" s="328">
        <f>IF('opg 2 Effektivrente serielån'!$G$23=0," ",'opg 2 Effektivrente serielån'!$F$24)</f>
        <v>300000</v>
      </c>
      <c r="T6" s="328"/>
      <c r="U6" s="328"/>
      <c r="V6" s="328"/>
      <c r="W6" s="328"/>
      <c r="X6" s="328">
        <f>IF('opg 2 Effektivrente serielån'!$G$24=0," ",'opg 2 Effektivrente serielån'!$F$25)</f>
        <v>300000</v>
      </c>
      <c r="Y6" s="328"/>
      <c r="Z6" s="328"/>
      <c r="AA6" s="328"/>
      <c r="AB6" s="328"/>
      <c r="AC6" s="328">
        <f>IF('opg 2 Effektivrente serielån'!$G$25=0," ",'opg 2 Effektivrente serielån'!$F$26)</f>
        <v>300000</v>
      </c>
      <c r="AD6" s="328"/>
      <c r="AE6" s="328"/>
      <c r="AF6" s="328"/>
      <c r="AG6" s="328"/>
      <c r="AH6" s="328">
        <f>IF('opg 2 Effektivrente serielån'!$G$26=0," ",'opg 2 Effektivrente serielån'!$F$27)</f>
        <v>300000</v>
      </c>
      <c r="AI6" s="328"/>
      <c r="AJ6" s="328"/>
      <c r="AK6" s="328"/>
      <c r="AL6" s="328"/>
      <c r="AM6" s="328">
        <f>IF('opg 2 Effektivrente serielån'!$G$27=0," ",'opg 2 Effektivrente serielån'!$F$28)</f>
        <v>300000</v>
      </c>
      <c r="AN6" s="328"/>
      <c r="AO6" s="328"/>
      <c r="AP6" s="328"/>
      <c r="AQ6" s="328"/>
      <c r="AR6" s="328">
        <f>IF('opg 2 Effektivrente serielån'!$G$28=0," ",'opg 2 Effektivrente serielån'!$F$29)</f>
        <v>300000</v>
      </c>
      <c r="AS6" s="328"/>
      <c r="AT6" s="328"/>
      <c r="AU6" s="328"/>
      <c r="AV6" s="328"/>
      <c r="AW6" s="328">
        <f>IF('opg 2 Effektivrente serielån'!$G$29=0," ",'opg 2 Effektivrente serielån'!$F$30)</f>
        <v>3300000</v>
      </c>
      <c r="AX6" s="328"/>
      <c r="AY6" s="328"/>
      <c r="AZ6" s="328"/>
      <c r="BA6" s="328"/>
    </row>
    <row r="7" spans="1:53" ht="33.75" hidden="1" customHeight="1" x14ac:dyDescent="0.25">
      <c r="A7" s="324" t="s">
        <v>49</v>
      </c>
      <c r="B7" s="325"/>
      <c r="C7" s="326"/>
      <c r="D7" s="85"/>
      <c r="E7" s="329">
        <f>'opg 2 Effektivrente serielån'!D13</f>
        <v>0</v>
      </c>
      <c r="F7" s="330"/>
      <c r="G7" s="330"/>
      <c r="H7" s="331"/>
      <c r="I7" s="328">
        <f>IF('opg 2 Effektivrente serielån'!$G$21=0," ",'opg 2 Effektivrente serielån'!$D13)</f>
        <v>0</v>
      </c>
      <c r="J7" s="328"/>
      <c r="K7" s="328"/>
      <c r="L7" s="328"/>
      <c r="M7" s="328"/>
      <c r="N7" s="328">
        <f>IF('opg 2 Effektivrente serielån'!$G$22=0," ",'opg 2 Effektivrente serielån'!$D13)</f>
        <v>0</v>
      </c>
      <c r="O7" s="328"/>
      <c r="P7" s="328"/>
      <c r="Q7" s="328"/>
      <c r="R7" s="328"/>
      <c r="S7" s="328">
        <f>IF('opg 2 Effektivrente serielån'!$G$23=0," ",'opg 2 Effektivrente serielån'!$D$13)</f>
        <v>0</v>
      </c>
      <c r="T7" s="328"/>
      <c r="U7" s="328"/>
      <c r="V7" s="328"/>
      <c r="W7" s="328"/>
      <c r="X7" s="328">
        <f>IF('opg 2 Effektivrente serielån'!$G$24=0," ",'opg 2 Effektivrente serielån'!$D13)</f>
        <v>0</v>
      </c>
      <c r="Y7" s="328"/>
      <c r="Z7" s="328"/>
      <c r="AA7" s="328"/>
      <c r="AB7" s="328"/>
      <c r="AC7" s="328">
        <f>IF('opg 2 Effektivrente serielån'!$G$25=0," ",'opg 2 Effektivrente serielån'!$D13)</f>
        <v>0</v>
      </c>
      <c r="AD7" s="328"/>
      <c r="AE7" s="328"/>
      <c r="AF7" s="328"/>
      <c r="AG7" s="328"/>
      <c r="AH7" s="328">
        <f>IF('opg 2 Effektivrente serielån'!$G$26=0," ",'opg 2 Effektivrente serielån'!$D13)</f>
        <v>0</v>
      </c>
      <c r="AI7" s="328"/>
      <c r="AJ7" s="328"/>
      <c r="AK7" s="328"/>
      <c r="AL7" s="328"/>
      <c r="AM7" s="328">
        <f>IF('opg 2 Effektivrente serielån'!$G$27=0," ",'opg 2 Effektivrente serielån'!$D13)</f>
        <v>0</v>
      </c>
      <c r="AN7" s="328"/>
      <c r="AO7" s="328"/>
      <c r="AP7" s="328"/>
      <c r="AQ7" s="328"/>
      <c r="AR7" s="328">
        <f>IF('opg 2 Effektivrente serielån'!$G$28=0," ",'opg 2 Effektivrente serielån'!$D13)</f>
        <v>0</v>
      </c>
      <c r="AS7" s="328"/>
      <c r="AT7" s="328"/>
      <c r="AU7" s="328"/>
      <c r="AV7" s="328"/>
      <c r="AW7" s="328">
        <f>IF('opg 2 Effektivrente serielån'!$G$29=0," ",'opg 2 Effektivrente serielån'!$D13)</f>
        <v>0</v>
      </c>
      <c r="AX7" s="328"/>
      <c r="AY7" s="328"/>
      <c r="AZ7" s="328"/>
      <c r="BA7" s="328"/>
    </row>
    <row r="8" spans="1:53" ht="44.25" customHeight="1" x14ac:dyDescent="0.25">
      <c r="A8" s="324" t="str">
        <f>IF('opg 2 Effektivrente serielån'!D13=0,"Ydelse                     (afdrag + rente)","Ydelse      (afdrag+rente   +gebyr)")</f>
        <v>Ydelse                     (afdrag + rente)</v>
      </c>
      <c r="B8" s="325"/>
      <c r="C8" s="325"/>
      <c r="D8" s="326"/>
      <c r="E8" s="327">
        <f>'opg 2 Effektivrente serielån'!C21</f>
        <v>420000</v>
      </c>
      <c r="F8" s="327"/>
      <c r="G8" s="327"/>
      <c r="H8" s="327"/>
      <c r="I8" s="328">
        <f>IF('opg 2 Effektivrente serielån'!$G$21=0," ",'opg 2 Effektivrente serielån'!$C$22)</f>
        <v>414000</v>
      </c>
      <c r="J8" s="328"/>
      <c r="K8" s="328"/>
      <c r="L8" s="328"/>
      <c r="M8" s="328"/>
      <c r="N8" s="328">
        <f>IF('opg 2 Effektivrente serielån'!$G$22=0," ",'opg 2 Effektivrente serielån'!$C$23)</f>
        <v>408000</v>
      </c>
      <c r="O8" s="328"/>
      <c r="P8" s="328"/>
      <c r="Q8" s="328"/>
      <c r="R8" s="328"/>
      <c r="S8" s="328">
        <f>IF('opg 2 Effektivrente serielån'!$G$23=0," ",'opg 2 Effektivrente serielån'!$C$24)</f>
        <v>402000</v>
      </c>
      <c r="T8" s="328"/>
      <c r="U8" s="328"/>
      <c r="V8" s="328"/>
      <c r="W8" s="328"/>
      <c r="X8" s="328">
        <f>IF('opg 2 Effektivrente serielån'!$G$24=0," ",'opg 2 Effektivrente serielån'!$C$25)</f>
        <v>396000</v>
      </c>
      <c r="Y8" s="328"/>
      <c r="Z8" s="328"/>
      <c r="AA8" s="328"/>
      <c r="AB8" s="328"/>
      <c r="AC8" s="328">
        <f>IF('opg 2 Effektivrente serielån'!$G$25=0," ",'opg 2 Effektivrente serielån'!$C$26)</f>
        <v>390000</v>
      </c>
      <c r="AD8" s="328"/>
      <c r="AE8" s="328"/>
      <c r="AF8" s="328"/>
      <c r="AG8" s="328"/>
      <c r="AH8" s="328">
        <f>IF('opg 2 Effektivrente serielån'!$G$26=0," ",'opg 2 Effektivrente serielån'!$C$27)</f>
        <v>384000</v>
      </c>
      <c r="AI8" s="328"/>
      <c r="AJ8" s="328"/>
      <c r="AK8" s="328"/>
      <c r="AL8" s="328"/>
      <c r="AM8" s="328">
        <f>IF('opg 2 Effektivrente serielån'!$G$27=0," ",'opg 2 Effektivrente serielån'!$C$28)</f>
        <v>378000</v>
      </c>
      <c r="AN8" s="328"/>
      <c r="AO8" s="328"/>
      <c r="AP8" s="328"/>
      <c r="AQ8" s="328"/>
      <c r="AR8" s="328">
        <f>IF('opg 2 Effektivrente serielån'!$G$28=0," ",'opg 2 Effektivrente serielån'!$C$29)</f>
        <v>372000</v>
      </c>
      <c r="AS8" s="328"/>
      <c r="AT8" s="328"/>
      <c r="AU8" s="328"/>
      <c r="AV8" s="328"/>
      <c r="AW8" s="328">
        <f>IF('opg 2 Effektivrente serielån'!$G$29=0," ",'opg 2 Effektivrente serielån'!$C$30)</f>
        <v>3366000</v>
      </c>
      <c r="AX8" s="328"/>
      <c r="AY8" s="328"/>
      <c r="AZ8" s="328"/>
      <c r="BA8" s="328"/>
    </row>
    <row r="9" spans="1:53" ht="34.5" customHeight="1"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row>
    <row r="10" spans="1:53" ht="41.25" customHeight="1" x14ac:dyDescent="0.2">
      <c r="A10" s="313" t="str">
        <f>CONCATENATE("Den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ubekendt.",IF('opg 2 Effektivrente serielån'!D10&gt;10," (Beregningen vises maximalt for 10 terminer for at vise metoden)"," "))</f>
        <v xml:space="preserv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 </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row>
    <row r="11" spans="1:53" ht="26.25" customHeight="1" x14ac:dyDescent="0.4">
      <c r="A11" s="314" t="str">
        <f>CONCATENATE("(Nettoprovenuet)     ",'opg 2 Effektivrente serielån'!D6)</f>
        <v>(Nettoprovenuet)     5930000</v>
      </c>
      <c r="B11" s="315"/>
      <c r="C11" t="s">
        <v>26</v>
      </c>
      <c r="E11" s="86">
        <f>'opg 2 Effektivrente serielån'!C21</f>
        <v>420000</v>
      </c>
      <c r="F11" s="87" t="s">
        <v>29</v>
      </c>
      <c r="G11" t="s">
        <v>50</v>
      </c>
      <c r="H11" s="88">
        <v>-1</v>
      </c>
      <c r="I11" t="str">
        <f>IF('opg 2 Effektivrente serielån'!C22=0,"","+")</f>
        <v>+</v>
      </c>
      <c r="J11" s="89">
        <f>IF('opg 2 Effektivrente serielån'!C22=0,"",'opg 2 Effektivrente serielån'!C22)</f>
        <v>414000</v>
      </c>
      <c r="K11" t="str">
        <f>IF('opg 2 Effektivrente serielån'!C22=0,"","*")</f>
        <v>*</v>
      </c>
      <c r="L11" t="str">
        <f>IF('opg 2 Effektivrente serielån'!C22=0,"","(1+r)")</f>
        <v>(1+r)</v>
      </c>
      <c r="M11" s="90" t="str">
        <f>IF('opg 2 Effektivrente serielån'!C22=0,"","-2")</f>
        <v>-2</v>
      </c>
      <c r="N11" s="91" t="str">
        <f>IF('opg 2 Effektivrente serielån'!C23=0,"","+")</f>
        <v>+</v>
      </c>
      <c r="O11" s="92">
        <f>IF('opg 2 Effektivrente serielån'!C23=0,"",'opg 2 Effektivrente serielån'!C23)</f>
        <v>408000</v>
      </c>
      <c r="P11" s="91" t="str">
        <f>IF('opg 2 Effektivrente serielån'!C23=0,"","*")</f>
        <v>*</v>
      </c>
      <c r="Q11" s="91" t="str">
        <f>IF('opg 2 Effektivrente serielån'!C23=0,"","(1+r)")</f>
        <v>(1+r)</v>
      </c>
      <c r="R11" s="90" t="str">
        <f>IF('opg 2 Effektivrente serielån'!C23=0,"","-3")</f>
        <v>-3</v>
      </c>
      <c r="S11" s="93" t="str">
        <f>IF('opg 2 Effektivrente serielån'!C24=0,"","+")</f>
        <v>+</v>
      </c>
      <c r="T11" s="94">
        <f>IF('opg 2 Effektivrente serielån'!C24=0,"",'opg 2 Effektivrente serielån'!C24)</f>
        <v>402000</v>
      </c>
      <c r="U11" s="94" t="str">
        <f>IF('opg 2 Effektivrente serielån'!C24=0,"","*")</f>
        <v>*</v>
      </c>
      <c r="V11" s="95" t="str">
        <f>IF('opg 2 Effektivrente serielån'!C24=0,"","(1+r)")</f>
        <v>(1+r)</v>
      </c>
      <c r="W11" s="96" t="str">
        <f>IF('opg 2 Effektivrente serielån'!C24=0,"","-4")</f>
        <v>-4</v>
      </c>
      <c r="X11" s="94" t="str">
        <f>IF('opg 2 Effektivrente serielån'!C25=0,"","+")</f>
        <v>+</v>
      </c>
      <c r="Y11" s="94">
        <f>IF('opg 2 Effektivrente serielån'!C25=0,"",'opg 2 Effektivrente serielån'!C25)</f>
        <v>396000</v>
      </c>
      <c r="Z11" s="94" t="str">
        <f>IF('opg 2 Effektivrente serielån'!C25=0,"","*")</f>
        <v>*</v>
      </c>
      <c r="AA11" s="94" t="str">
        <f>IF('opg 2 Effektivrente serielån'!C25=0,"","(1+r)")</f>
        <v>(1+r)</v>
      </c>
      <c r="AB11" s="96" t="str">
        <f>IF('opg 2 Effektivrente serielån'!C25=0,"","-5")</f>
        <v>-5</v>
      </c>
      <c r="AC11" s="94" t="str">
        <f>IF('opg 2 Effektivrente serielån'!C26=0,"","+")</f>
        <v>+</v>
      </c>
      <c r="AD11" s="94">
        <f>IF('opg 2 Effektivrente serielån'!C26=0,"",'opg 2 Effektivrente serielån'!C26)</f>
        <v>390000</v>
      </c>
      <c r="AE11" s="94" t="str">
        <f>IF('opg 2 Effektivrente serielån'!C26=0,"","*")</f>
        <v>*</v>
      </c>
      <c r="AF11" s="94" t="str">
        <f>IF('opg 2 Effektivrente serielån'!C26=0,"","(1+r)")</f>
        <v>(1+r)</v>
      </c>
      <c r="AG11" s="96" t="str">
        <f>IF('opg 2 Effektivrente serielån'!C26=0,"","-6")</f>
        <v>-6</v>
      </c>
      <c r="AH11" s="94" t="str">
        <f>IF('opg 2 Effektivrente serielån'!C27=0,"","+")</f>
        <v>+</v>
      </c>
      <c r="AI11" s="94">
        <f>IF('opg 2 Effektivrente serielån'!C27=0,"",'opg 2 Effektivrente serielån'!C27)</f>
        <v>384000</v>
      </c>
      <c r="AJ11" s="94" t="str">
        <f>IF('opg 2 Effektivrente serielån'!C27=0,"","*")</f>
        <v>*</v>
      </c>
      <c r="AK11" s="94" t="str">
        <f>IF('opg 2 Effektivrente serielån'!C27=0,"","(1+r)")</f>
        <v>(1+r)</v>
      </c>
      <c r="AL11" s="96" t="str">
        <f>IF('opg 2 Effektivrente serielån'!C27=0,"","-7")</f>
        <v>-7</v>
      </c>
      <c r="AM11" s="94" t="str">
        <f>IF('opg 2 Effektivrente serielån'!C28=0,"","+")</f>
        <v>+</v>
      </c>
      <c r="AN11" s="94">
        <f>IF('opg 2 Effektivrente serielån'!C28=0,"",'opg 2 Effektivrente serielån'!C28)</f>
        <v>378000</v>
      </c>
      <c r="AO11" s="94" t="str">
        <f>IF('opg 2 Effektivrente serielån'!C28=0,"","*")</f>
        <v>*</v>
      </c>
      <c r="AP11" s="94" t="str">
        <f>IF('opg 2 Effektivrente serielån'!C28=0,"","(1+r)")</f>
        <v>(1+r)</v>
      </c>
      <c r="AQ11" s="96" t="str">
        <f>IF('opg 2 Effektivrente serielån'!C28=0,"","-8")</f>
        <v>-8</v>
      </c>
      <c r="AR11" s="94" t="str">
        <f>IF('opg 2 Effektivrente serielån'!C29=0,"","+")</f>
        <v>+</v>
      </c>
      <c r="AS11" s="94">
        <f>IF('opg 2 Effektivrente serielån'!C29=0,"",'opg 2 Effektivrente serielån'!C29)</f>
        <v>372000</v>
      </c>
      <c r="AT11" s="94" t="str">
        <f>IF('opg 2 Effektivrente serielån'!C29=0,"","*")</f>
        <v>*</v>
      </c>
      <c r="AU11" s="94" t="str">
        <f>IF('opg 2 Effektivrente serielån'!C29=0,"","(1+r)")</f>
        <v>(1+r)</v>
      </c>
      <c r="AV11" s="96" t="str">
        <f>IF('opg 2 Effektivrente serielån'!C29=0,"","-9")</f>
        <v>-9</v>
      </c>
      <c r="AW11" s="94" t="str">
        <f>IF('opg 2 Effektivrente serielån'!C30=0,"","+")</f>
        <v>+</v>
      </c>
      <c r="AX11" s="94">
        <f>IF('opg 2 Effektivrente serielån'!C30=0,"",'opg 2 Effektivrente serielån'!C30)</f>
        <v>3366000</v>
      </c>
      <c r="AY11" s="94" t="str">
        <f>IF('opg 2 Effektivrente serielån'!C30=0,"","*")</f>
        <v>*</v>
      </c>
      <c r="AZ11" s="94" t="str">
        <f>IF('opg 2 Effektivrente serielån'!C30=0,"","(1+r)")</f>
        <v>(1+r)</v>
      </c>
      <c r="BA11" s="96" t="str">
        <f>IF('opg 2 Effektivrente serielån'!C30=0,"","-10")</f>
        <v>-10</v>
      </c>
    </row>
    <row r="12" spans="1:53" ht="20.25" customHeight="1" x14ac:dyDescent="0.25">
      <c r="A12" s="316" t="s">
        <v>36</v>
      </c>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row>
    <row r="13" spans="1:53" ht="24" customHeight="1" x14ac:dyDescent="0.2">
      <c r="A13" s="317" t="s">
        <v>31</v>
      </c>
      <c r="B13" s="317"/>
      <c r="C13" s="97" t="s">
        <v>26</v>
      </c>
      <c r="D13" s="97"/>
      <c r="E13" s="98">
        <f>IRR('opg 2 Effektivrente serielån'!C20:C380)</f>
        <v>2.1671513253458397E-2</v>
      </c>
    </row>
    <row r="14" spans="1:53" ht="24" customHeight="1" x14ac:dyDescent="0.25">
      <c r="A14" s="316" t="s">
        <v>51</v>
      </c>
      <c r="B14" s="316"/>
      <c r="C14" s="316"/>
      <c r="D14" s="316"/>
      <c r="E14" s="316"/>
    </row>
    <row r="15" spans="1:53" ht="25.15" customHeight="1" thickBot="1" x14ac:dyDescent="0.3">
      <c r="A15" s="318" t="s">
        <v>31</v>
      </c>
      <c r="B15" s="318"/>
      <c r="C15" s="99" t="s">
        <v>26</v>
      </c>
      <c r="D15" s="99"/>
      <c r="E15" s="100">
        <f>E13</f>
        <v>2.1671513253458397E-2</v>
      </c>
    </row>
    <row r="16" spans="1:53" ht="13.5" thickTop="1" x14ac:dyDescent="0.2"/>
    <row r="17" spans="1:20" ht="21" customHeight="1" x14ac:dyDescent="0.2">
      <c r="A17" s="319" t="str">
        <f>IF('opg 2 Effektivrente serielån'!D9=1,"",CONCATENATE("Da terminerne på lånet er ",'opg 2 Effektivrente serielån'!D9," gange pr. år skal følgende beregning foretages:"))</f>
        <v>Da terminerne på lånet er 2 gange pr. år skal følgende beregning foretages:</v>
      </c>
      <c r="B17" s="319"/>
      <c r="C17" s="319"/>
      <c r="D17" s="319"/>
      <c r="E17" s="319"/>
      <c r="F17" s="319"/>
      <c r="G17" s="319"/>
      <c r="H17" s="319"/>
      <c r="I17" s="319"/>
      <c r="J17" s="319"/>
      <c r="K17" s="319"/>
      <c r="L17" s="319"/>
      <c r="M17" s="319"/>
      <c r="N17" s="319"/>
      <c r="O17" s="319"/>
      <c r="P17" s="319"/>
      <c r="Q17" s="319"/>
      <c r="R17" s="319"/>
      <c r="S17" s="319"/>
      <c r="T17" s="319"/>
    </row>
    <row r="18" spans="1:20" ht="32.450000000000003" customHeight="1" x14ac:dyDescent="0.25">
      <c r="A18" s="320" t="str">
        <f>IF('opg 2 Effektivrente serielån'!$D$9=1,"","(1+r)")</f>
        <v>(1+r)</v>
      </c>
      <c r="B18" s="320"/>
      <c r="C18" s="54">
        <f>IF('opg 2 Effektivrente serielån'!$D$9=1,"",'opg 2 Effektivrente serielån'!$D$9)</f>
        <v>2</v>
      </c>
      <c r="D18" s="101" t="str">
        <f>IF('opg 2 Effektivrente serielån'!$D$9=1,"","-1")</f>
        <v>-1</v>
      </c>
      <c r="E18" s="55" t="str">
        <f>IF('opg 2 Effektivrente serielån'!$D$9=1,"",CONCATENATE("="," Årlig rente"))</f>
        <v>= Årlig rente</v>
      </c>
    </row>
    <row r="19" spans="1:20" ht="23.45" customHeight="1" x14ac:dyDescent="0.2">
      <c r="A19" s="102" t="str">
        <f>IF('opg 2 Effektivrente serielån'!$D$9=1,"","Ved at indsætte fås:")</f>
        <v>Ved at indsætte fås:</v>
      </c>
      <c r="B19" s="102"/>
      <c r="C19" s="102"/>
      <c r="D19" s="102"/>
      <c r="E19" s="102"/>
      <c r="F19" s="102"/>
      <c r="G19" s="102"/>
      <c r="H19" s="103"/>
      <c r="I19" s="103"/>
      <c r="J19" s="103"/>
      <c r="K19" s="103"/>
      <c r="L19" s="103"/>
      <c r="M19" s="103"/>
      <c r="N19" s="103"/>
      <c r="O19" s="103"/>
      <c r="P19" s="103"/>
      <c r="Q19" s="103"/>
      <c r="R19" s="103"/>
      <c r="S19" s="103"/>
      <c r="T19" s="103"/>
    </row>
    <row r="20" spans="1:20" ht="30.6" customHeight="1" x14ac:dyDescent="0.25">
      <c r="A20" s="321" t="str">
        <f>IF('opg 2 Effektivrente serielån'!D9=1,"",CONCATENATE("(1+",ROUND(E15,4),")"))</f>
        <v>(1+0,0217)</v>
      </c>
      <c r="B20" s="321"/>
      <c r="C20" s="54">
        <f>IF('opg 2 Effektivrente serielån'!$D$9=1,"",'opg 2 Effektivrente serielån'!$D$9)</f>
        <v>2</v>
      </c>
      <c r="D20" s="101" t="str">
        <f>IF('opg 2 Effektivrente serielån'!$D$9=1,"","-1")</f>
        <v>-1</v>
      </c>
      <c r="E20" s="55" t="str">
        <f>IF('opg 2 Effektivrente serielån'!$D$9=1,"",CONCATENATE("="," Årlig rente"))</f>
        <v>= Årlig rente</v>
      </c>
    </row>
    <row r="21" spans="1:20" ht="31.15" customHeight="1" x14ac:dyDescent="0.25">
      <c r="A21" s="322">
        <f>IF('opg 2 Effektivrente serielån'!D9=1,"",'opg 2 Effektivrente serielån'!D15)</f>
        <v>4.3812680993611686E-2</v>
      </c>
      <c r="B21" s="322"/>
      <c r="C21" s="322"/>
      <c r="D21" s="322"/>
      <c r="E21" s="55" t="str">
        <f>E20</f>
        <v>= Årlig rente</v>
      </c>
    </row>
    <row r="22" spans="1:20" ht="18" x14ac:dyDescent="0.25">
      <c r="A22" s="316" t="str">
        <f>IF('opg 2 Effektivrente serielån'!D9=1,"","Eller udtrykt i %:")</f>
        <v>Eller udtrykt i %:</v>
      </c>
      <c r="B22" s="316"/>
      <c r="C22" s="316"/>
      <c r="D22" s="316"/>
      <c r="E22" s="316"/>
    </row>
    <row r="23" spans="1:20" ht="24.6" customHeight="1" x14ac:dyDescent="0.25">
      <c r="A23" s="312" t="str">
        <f>IF('opg 2 Effektivrente serielån'!$D$9=1,"",CONCATENATE("Årlig rente = ",ROUND('opg 2 Effektivrente serielån'!D15*100,2),"%"))</f>
        <v>Årlig rente = 4,38%</v>
      </c>
      <c r="B23" s="312"/>
      <c r="C23" s="312"/>
      <c r="D23" s="312"/>
      <c r="E23" s="312"/>
      <c r="F23" s="312"/>
    </row>
  </sheetData>
  <mergeCells count="80">
    <mergeCell ref="A1:BA1"/>
    <mergeCell ref="A2:BA2"/>
    <mergeCell ref="E3:G3"/>
    <mergeCell ref="I3:L3"/>
    <mergeCell ref="N3:Q3"/>
    <mergeCell ref="S3:V3"/>
    <mergeCell ref="X3:AA3"/>
    <mergeCell ref="AC3:AF3"/>
    <mergeCell ref="AH3:AK3"/>
    <mergeCell ref="AM3:AP3"/>
    <mergeCell ref="AR3:AU3"/>
    <mergeCell ref="AW3:AZ3"/>
    <mergeCell ref="AR4:AV4"/>
    <mergeCell ref="A4:D4"/>
    <mergeCell ref="E4:H4"/>
    <mergeCell ref="I4:M4"/>
    <mergeCell ref="N4:R4"/>
    <mergeCell ref="S4:W4"/>
    <mergeCell ref="AW4:BA4"/>
    <mergeCell ref="A5:D5"/>
    <mergeCell ref="E5:H5"/>
    <mergeCell ref="I5:M5"/>
    <mergeCell ref="N5:R5"/>
    <mergeCell ref="S5:W5"/>
    <mergeCell ref="X5:AB5"/>
    <mergeCell ref="AC5:AG5"/>
    <mergeCell ref="AH5:AL5"/>
    <mergeCell ref="AM5:AQ5"/>
    <mergeCell ref="AR5:AV5"/>
    <mergeCell ref="AW5:BA5"/>
    <mergeCell ref="X4:AB4"/>
    <mergeCell ref="AC4:AG4"/>
    <mergeCell ref="AH4:AL4"/>
    <mergeCell ref="AM4:AQ4"/>
    <mergeCell ref="X6:AB6"/>
    <mergeCell ref="A7:C7"/>
    <mergeCell ref="E7:H7"/>
    <mergeCell ref="I7:M7"/>
    <mergeCell ref="N7:R7"/>
    <mergeCell ref="S7:W7"/>
    <mergeCell ref="X7:AB7"/>
    <mergeCell ref="A6:D6"/>
    <mergeCell ref="E6:H6"/>
    <mergeCell ref="I6:M6"/>
    <mergeCell ref="N6:R6"/>
    <mergeCell ref="S6:W6"/>
    <mergeCell ref="AW7:BA7"/>
    <mergeCell ref="AC6:AG6"/>
    <mergeCell ref="AH6:AL6"/>
    <mergeCell ref="AM6:AQ6"/>
    <mergeCell ref="AR6:AV6"/>
    <mergeCell ref="AW6:BA6"/>
    <mergeCell ref="AC7:AG7"/>
    <mergeCell ref="AH7:AL7"/>
    <mergeCell ref="AM7:AQ7"/>
    <mergeCell ref="AR7:AV7"/>
    <mergeCell ref="A9:BA9"/>
    <mergeCell ref="A8:D8"/>
    <mergeCell ref="E8:H8"/>
    <mergeCell ref="I8:M8"/>
    <mergeCell ref="N8:R8"/>
    <mergeCell ref="S8:W8"/>
    <mergeCell ref="X8:AB8"/>
    <mergeCell ref="AC8:AG8"/>
    <mergeCell ref="AH8:AL8"/>
    <mergeCell ref="AM8:AQ8"/>
    <mergeCell ref="AR8:AV8"/>
    <mergeCell ref="AW8:BA8"/>
    <mergeCell ref="A23:F23"/>
    <mergeCell ref="A10:BA10"/>
    <mergeCell ref="A11:B11"/>
    <mergeCell ref="A12:BA12"/>
    <mergeCell ref="A13:B13"/>
    <mergeCell ref="A14:E14"/>
    <mergeCell ref="A15:B15"/>
    <mergeCell ref="A17:T17"/>
    <mergeCell ref="A18:B18"/>
    <mergeCell ref="A20:B20"/>
    <mergeCell ref="A21:D21"/>
    <mergeCell ref="A22:E22"/>
  </mergeCells>
  <pageMargins left="0.39370078740157483" right="0.39370078740157483" top="0.98425196850393704" bottom="0.98425196850393704" header="0" footer="0"/>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2735-ECFC-4A6C-8F11-4D5996351991}">
  <sheetPr>
    <pageSetUpPr fitToPage="1"/>
  </sheetPr>
  <dimension ref="A1:K387"/>
  <sheetViews>
    <sheetView zoomScale="140" workbookViewId="0">
      <selection activeCell="F4" sqref="F4"/>
    </sheetView>
  </sheetViews>
  <sheetFormatPr defaultRowHeight="12.75" x14ac:dyDescent="0.2"/>
  <cols>
    <col min="1" max="1" width="6.28515625" customWidth="1"/>
    <col min="2" max="2" width="13.85546875" customWidth="1"/>
    <col min="3" max="3" width="15.7109375" customWidth="1"/>
    <col min="4" max="4" width="17.42578125" customWidth="1"/>
    <col min="5" max="5" width="13.5703125" customWidth="1"/>
    <col min="6" max="6" width="14.5703125" customWidth="1"/>
    <col min="7" max="7" width="14.42578125" customWidth="1"/>
  </cols>
  <sheetData>
    <row r="1" spans="1:11" ht="27" thickBot="1" x14ac:dyDescent="0.45">
      <c r="A1" s="307" t="s">
        <v>0</v>
      </c>
      <c r="B1" s="308"/>
      <c r="C1" s="308"/>
      <c r="D1" s="308"/>
      <c r="E1" s="308"/>
      <c r="F1" s="308"/>
      <c r="G1" s="309"/>
    </row>
    <row r="2" spans="1:11" x14ac:dyDescent="0.2">
      <c r="A2" s="310" t="s">
        <v>1</v>
      </c>
      <c r="B2" s="311"/>
      <c r="C2" s="311"/>
      <c r="D2" s="1">
        <v>6000000</v>
      </c>
      <c r="E2" s="2"/>
      <c r="F2" s="2"/>
      <c r="G2" s="3"/>
    </row>
    <row r="3" spans="1:11" x14ac:dyDescent="0.2">
      <c r="A3" s="305" t="s">
        <v>2</v>
      </c>
      <c r="B3" s="306"/>
      <c r="C3" s="306"/>
      <c r="D3" s="4">
        <v>100</v>
      </c>
      <c r="E3" s="2"/>
      <c r="F3" s="2"/>
      <c r="G3" s="3"/>
    </row>
    <row r="4" spans="1:11" x14ac:dyDescent="0.2">
      <c r="A4" s="305" t="s">
        <v>3</v>
      </c>
      <c r="B4" s="306"/>
      <c r="C4" s="306"/>
      <c r="D4" s="5">
        <v>100000</v>
      </c>
      <c r="E4" s="2"/>
      <c r="F4" s="2"/>
      <c r="G4" s="3"/>
    </row>
    <row r="5" spans="1:11" ht="13.5" thickBot="1" x14ac:dyDescent="0.25">
      <c r="A5" s="305" t="s">
        <v>4</v>
      </c>
      <c r="B5" s="306"/>
      <c r="C5" s="306"/>
      <c r="D5" s="6">
        <f>(D2*(D3/100))-D4</f>
        <v>5900000</v>
      </c>
      <c r="E5" s="2"/>
      <c r="F5" s="2"/>
      <c r="G5" s="3"/>
    </row>
    <row r="6" spans="1:11" ht="13.5" thickTop="1" x14ac:dyDescent="0.2">
      <c r="A6" s="305" t="s">
        <v>5</v>
      </c>
      <c r="B6" s="306"/>
      <c r="C6" s="306"/>
      <c r="D6" s="7">
        <v>3.4000000000000002E-2</v>
      </c>
      <c r="E6" s="2"/>
      <c r="F6" s="2"/>
      <c r="G6" s="3"/>
    </row>
    <row r="7" spans="1:11" x14ac:dyDescent="0.2">
      <c r="A7" s="305" t="s">
        <v>6</v>
      </c>
      <c r="B7" s="306"/>
      <c r="C7" s="306"/>
      <c r="D7" s="8">
        <v>5</v>
      </c>
      <c r="E7" s="2"/>
      <c r="F7" s="2"/>
      <c r="G7" s="3"/>
    </row>
    <row r="8" spans="1:11" x14ac:dyDescent="0.2">
      <c r="A8" s="305" t="s">
        <v>7</v>
      </c>
      <c r="B8" s="306"/>
      <c r="C8" s="306"/>
      <c r="D8" s="8">
        <v>4</v>
      </c>
      <c r="E8" s="2"/>
      <c r="F8" s="2"/>
      <c r="G8" s="3"/>
    </row>
    <row r="9" spans="1:11" x14ac:dyDescent="0.2">
      <c r="A9" s="305" t="s">
        <v>8</v>
      </c>
      <c r="B9" s="306"/>
      <c r="C9" s="306"/>
      <c r="D9" s="9">
        <f>D7*D8</f>
        <v>20</v>
      </c>
      <c r="E9" s="2"/>
      <c r="F9" s="2"/>
      <c r="G9" s="3"/>
    </row>
    <row r="10" spans="1:11" x14ac:dyDescent="0.2">
      <c r="A10" s="305" t="s">
        <v>9</v>
      </c>
      <c r="B10" s="306"/>
      <c r="C10" s="306"/>
      <c r="D10" s="10">
        <f>D6/D8</f>
        <v>8.5000000000000006E-3</v>
      </c>
      <c r="E10" s="2"/>
      <c r="F10" s="2"/>
      <c r="G10" s="3"/>
    </row>
    <row r="11" spans="1:11" x14ac:dyDescent="0.2">
      <c r="A11" s="305" t="s">
        <v>10</v>
      </c>
      <c r="B11" s="306"/>
      <c r="C11" s="306"/>
      <c r="D11" s="11">
        <f>(PMT(D10,D9,D2))</f>
        <v>-327492.30467407382</v>
      </c>
      <c r="E11" s="12" t="s">
        <v>11</v>
      </c>
      <c r="F11" s="13"/>
      <c r="G11" s="14"/>
    </row>
    <row r="12" spans="1:11" hidden="1" x14ac:dyDescent="0.2">
      <c r="A12" s="305" t="s">
        <v>12</v>
      </c>
      <c r="B12" s="306"/>
      <c r="C12" s="306"/>
      <c r="D12" s="4">
        <v>0</v>
      </c>
      <c r="E12" s="2"/>
      <c r="F12" s="2"/>
      <c r="G12" s="3"/>
    </row>
    <row r="13" spans="1:11" x14ac:dyDescent="0.2">
      <c r="A13" s="297"/>
      <c r="B13" s="298"/>
      <c r="C13" s="298"/>
      <c r="D13" s="299"/>
      <c r="E13" s="2"/>
      <c r="F13" s="2"/>
      <c r="G13" s="3"/>
    </row>
    <row r="14" spans="1:11" hidden="1" x14ac:dyDescent="0.2">
      <c r="A14" s="15"/>
      <c r="B14" s="2"/>
      <c r="C14" s="2"/>
      <c r="D14" s="11">
        <f>D11-D12</f>
        <v>-327492.30467407382</v>
      </c>
      <c r="E14" s="2"/>
      <c r="F14" s="2"/>
      <c r="G14" s="3"/>
    </row>
    <row r="15" spans="1:11" hidden="1" x14ac:dyDescent="0.2">
      <c r="A15" s="15"/>
      <c r="B15" s="2"/>
      <c r="C15" s="2"/>
      <c r="D15" s="3"/>
      <c r="E15" s="2"/>
      <c r="F15" s="2"/>
      <c r="G15" s="3"/>
    </row>
    <row r="16" spans="1:11" ht="18" x14ac:dyDescent="0.25">
      <c r="A16" s="300" t="s">
        <v>13</v>
      </c>
      <c r="B16" s="301"/>
      <c r="C16" s="301"/>
      <c r="D16" s="16">
        <f>(POWER((RATE(D9,D14,D5)+1),D8))-1</f>
        <v>4.1282312696151235E-2</v>
      </c>
      <c r="E16" s="300" t="str">
        <f>E11</f>
        <v>(Beregning: se note til annuitetslån)</v>
      </c>
      <c r="F16" s="301"/>
      <c r="G16" s="341"/>
      <c r="H16" s="17"/>
      <c r="I16" s="17"/>
      <c r="J16" s="17"/>
      <c r="K16" s="17"/>
    </row>
    <row r="17" spans="1:11" ht="13.5" thickBot="1" x14ac:dyDescent="0.25">
      <c r="A17" s="302"/>
      <c r="B17" s="303"/>
      <c r="C17" s="303"/>
      <c r="D17" s="304"/>
      <c r="E17" s="18"/>
      <c r="F17" s="18"/>
      <c r="G17" s="19"/>
      <c r="H17" s="17"/>
      <c r="I17" s="17"/>
      <c r="J17" s="17"/>
      <c r="K17" s="17"/>
    </row>
    <row r="18" spans="1:11" ht="13.5" thickBot="1" x14ac:dyDescent="0.25">
      <c r="A18" s="20"/>
      <c r="B18" s="21"/>
      <c r="C18" s="21"/>
      <c r="D18" s="22"/>
      <c r="E18" s="22"/>
      <c r="F18" s="22"/>
      <c r="G18" s="23"/>
      <c r="H18" s="17"/>
      <c r="I18" s="17"/>
      <c r="J18" s="17"/>
      <c r="K18" s="17"/>
    </row>
    <row r="19" spans="1:11" x14ac:dyDescent="0.2">
      <c r="A19" s="24" t="str">
        <f>CONCATENATE("Amortisationstabel annuitetslån: (",D9," terminer)")</f>
        <v>Amortisationstabel annuitetslån: (20 terminer)</v>
      </c>
      <c r="B19" s="25"/>
      <c r="C19" s="25"/>
      <c r="D19" s="18"/>
      <c r="E19" s="18"/>
      <c r="F19" s="18"/>
      <c r="G19" s="19"/>
      <c r="H19" s="17"/>
      <c r="I19" s="17"/>
      <c r="J19" s="17"/>
      <c r="K19" s="17"/>
    </row>
    <row r="20" spans="1:11" ht="25.5" x14ac:dyDescent="0.2">
      <c r="A20" s="15" t="s">
        <v>14</v>
      </c>
      <c r="B20" s="26" t="s">
        <v>15</v>
      </c>
      <c r="C20" s="26" t="s">
        <v>16</v>
      </c>
      <c r="D20" s="27" t="s">
        <v>17</v>
      </c>
      <c r="E20" s="26" t="s">
        <v>18</v>
      </c>
      <c r="F20" s="26" t="s">
        <v>19</v>
      </c>
      <c r="G20" s="28" t="s">
        <v>20</v>
      </c>
      <c r="H20" s="29"/>
    </row>
    <row r="21" spans="1:11" x14ac:dyDescent="0.2">
      <c r="A21" s="15">
        <v>1</v>
      </c>
      <c r="B21" s="30">
        <f>D2</f>
        <v>6000000</v>
      </c>
      <c r="C21" s="30">
        <f t="shared" ref="C21:C84" si="0">IF(A21&lt;=$D$9,$D$14*-1,0)</f>
        <v>327492.30467407382</v>
      </c>
      <c r="D21" s="30">
        <f t="shared" ref="D21:D84" si="1">IF(A21&gt;$D$9,0,$D$11*-1)</f>
        <v>327492.30467407382</v>
      </c>
      <c r="E21" s="31">
        <f t="shared" ref="E21:E84" si="2">B21*$D$10</f>
        <v>51000.000000000007</v>
      </c>
      <c r="F21" s="30">
        <f t="shared" ref="F21:F84" si="3">D21-E21</f>
        <v>276492.30467407382</v>
      </c>
      <c r="G21" s="11">
        <f t="shared" ref="G21:G84" si="4">B21-F21</f>
        <v>5723507.6953259259</v>
      </c>
    </row>
    <row r="22" spans="1:11" x14ac:dyDescent="0.2">
      <c r="A22" s="15">
        <f t="shared" ref="A22:A85" si="5">A21+1</f>
        <v>2</v>
      </c>
      <c r="B22" s="30">
        <f t="shared" ref="B22:B85" si="6">IF(A22&lt;=$D$9,G21,0)</f>
        <v>5723507.6953259259</v>
      </c>
      <c r="C22" s="30">
        <f t="shared" si="0"/>
        <v>327492.30467407382</v>
      </c>
      <c r="D22" s="30">
        <f t="shared" si="1"/>
        <v>327492.30467407382</v>
      </c>
      <c r="E22" s="31">
        <f t="shared" si="2"/>
        <v>48649.815410270377</v>
      </c>
      <c r="F22" s="30">
        <f t="shared" si="3"/>
        <v>278842.48926380347</v>
      </c>
      <c r="G22" s="11">
        <f t="shared" si="4"/>
        <v>5444665.2060621222</v>
      </c>
    </row>
    <row r="23" spans="1:11" x14ac:dyDescent="0.2">
      <c r="A23" s="15">
        <f t="shared" si="5"/>
        <v>3</v>
      </c>
      <c r="B23" s="30">
        <f t="shared" si="6"/>
        <v>5444665.2060621222</v>
      </c>
      <c r="C23" s="30">
        <f t="shared" si="0"/>
        <v>327492.30467407382</v>
      </c>
      <c r="D23" s="30">
        <f t="shared" si="1"/>
        <v>327492.30467407382</v>
      </c>
      <c r="E23" s="31">
        <f t="shared" si="2"/>
        <v>46279.654251528045</v>
      </c>
      <c r="F23" s="30">
        <f t="shared" si="3"/>
        <v>281212.65042254579</v>
      </c>
      <c r="G23" s="11">
        <f t="shared" si="4"/>
        <v>5163452.5556395762</v>
      </c>
    </row>
    <row r="24" spans="1:11" x14ac:dyDescent="0.2">
      <c r="A24" s="15">
        <f t="shared" si="5"/>
        <v>4</v>
      </c>
      <c r="B24" s="30">
        <f t="shared" si="6"/>
        <v>5163452.5556395762</v>
      </c>
      <c r="C24" s="30">
        <f t="shared" si="0"/>
        <v>327492.30467407382</v>
      </c>
      <c r="D24" s="30">
        <f t="shared" si="1"/>
        <v>327492.30467407382</v>
      </c>
      <c r="E24" s="31">
        <f t="shared" si="2"/>
        <v>43889.346722936403</v>
      </c>
      <c r="F24" s="30">
        <f t="shared" si="3"/>
        <v>283602.95795113745</v>
      </c>
      <c r="G24" s="11">
        <f t="shared" si="4"/>
        <v>4879849.5976884384</v>
      </c>
    </row>
    <row r="25" spans="1:11" x14ac:dyDescent="0.2">
      <c r="A25" s="15">
        <f t="shared" si="5"/>
        <v>5</v>
      </c>
      <c r="B25" s="30">
        <f t="shared" si="6"/>
        <v>4879849.5976884384</v>
      </c>
      <c r="C25" s="30">
        <f t="shared" si="0"/>
        <v>327492.30467407382</v>
      </c>
      <c r="D25" s="30">
        <f t="shared" si="1"/>
        <v>327492.30467407382</v>
      </c>
      <c r="E25" s="31">
        <f t="shared" si="2"/>
        <v>41478.721580351732</v>
      </c>
      <c r="F25" s="30">
        <f t="shared" si="3"/>
        <v>286013.58309372212</v>
      </c>
      <c r="G25" s="11">
        <f t="shared" si="4"/>
        <v>4593836.014594716</v>
      </c>
    </row>
    <row r="26" spans="1:11" x14ac:dyDescent="0.2">
      <c r="A26" s="15">
        <f t="shared" si="5"/>
        <v>6</v>
      </c>
      <c r="B26" s="30">
        <f t="shared" si="6"/>
        <v>4593836.014594716</v>
      </c>
      <c r="C26" s="30">
        <f t="shared" si="0"/>
        <v>327492.30467407382</v>
      </c>
      <c r="D26" s="30">
        <f t="shared" si="1"/>
        <v>327492.30467407382</v>
      </c>
      <c r="E26" s="31">
        <f t="shared" si="2"/>
        <v>39047.606124055092</v>
      </c>
      <c r="F26" s="30">
        <f t="shared" si="3"/>
        <v>288444.69855001871</v>
      </c>
      <c r="G26" s="11">
        <f t="shared" si="4"/>
        <v>4305391.3160446975</v>
      </c>
    </row>
    <row r="27" spans="1:11" x14ac:dyDescent="0.2">
      <c r="A27" s="15">
        <f t="shared" si="5"/>
        <v>7</v>
      </c>
      <c r="B27" s="30">
        <f t="shared" si="6"/>
        <v>4305391.3160446975</v>
      </c>
      <c r="C27" s="30">
        <f t="shared" si="0"/>
        <v>327492.30467407382</v>
      </c>
      <c r="D27" s="30">
        <f t="shared" si="1"/>
        <v>327492.30467407382</v>
      </c>
      <c r="E27" s="31">
        <f t="shared" si="2"/>
        <v>36595.826186379934</v>
      </c>
      <c r="F27" s="30">
        <f t="shared" si="3"/>
        <v>290896.47848769388</v>
      </c>
      <c r="G27" s="11">
        <f t="shared" si="4"/>
        <v>4014494.8375570038</v>
      </c>
    </row>
    <row r="28" spans="1:11" x14ac:dyDescent="0.2">
      <c r="A28" s="15">
        <f t="shared" si="5"/>
        <v>8</v>
      </c>
      <c r="B28" s="30">
        <f t="shared" si="6"/>
        <v>4014494.8375570038</v>
      </c>
      <c r="C28" s="30">
        <f t="shared" si="0"/>
        <v>327492.30467407382</v>
      </c>
      <c r="D28" s="30">
        <f t="shared" si="1"/>
        <v>327492.30467407382</v>
      </c>
      <c r="E28" s="31">
        <f t="shared" si="2"/>
        <v>34123.206119234535</v>
      </c>
      <c r="F28" s="30">
        <f t="shared" si="3"/>
        <v>293369.09855483926</v>
      </c>
      <c r="G28" s="11">
        <f t="shared" si="4"/>
        <v>3721125.7390021645</v>
      </c>
    </row>
    <row r="29" spans="1:11" x14ac:dyDescent="0.2">
      <c r="A29" s="15">
        <f t="shared" si="5"/>
        <v>9</v>
      </c>
      <c r="B29" s="30">
        <f t="shared" si="6"/>
        <v>3721125.7390021645</v>
      </c>
      <c r="C29" s="30">
        <f t="shared" si="0"/>
        <v>327492.30467407382</v>
      </c>
      <c r="D29" s="30">
        <f t="shared" si="1"/>
        <v>327492.30467407382</v>
      </c>
      <c r="E29" s="31">
        <f t="shared" si="2"/>
        <v>31629.568781518399</v>
      </c>
      <c r="F29" s="30">
        <f t="shared" si="3"/>
        <v>295862.73589255544</v>
      </c>
      <c r="G29" s="11">
        <f t="shared" si="4"/>
        <v>3425263.0031096088</v>
      </c>
    </row>
    <row r="30" spans="1:11" x14ac:dyDescent="0.2">
      <c r="A30" s="15">
        <f t="shared" si="5"/>
        <v>10</v>
      </c>
      <c r="B30" s="30">
        <f t="shared" si="6"/>
        <v>3425263.0031096088</v>
      </c>
      <c r="C30" s="30">
        <f t="shared" si="0"/>
        <v>327492.30467407382</v>
      </c>
      <c r="D30" s="30">
        <f t="shared" si="1"/>
        <v>327492.30467407382</v>
      </c>
      <c r="E30" s="31">
        <f t="shared" si="2"/>
        <v>29114.735526431676</v>
      </c>
      <c r="F30" s="30">
        <f t="shared" si="3"/>
        <v>298377.56914764212</v>
      </c>
      <c r="G30" s="11">
        <f t="shared" si="4"/>
        <v>3126885.4339619665</v>
      </c>
    </row>
    <row r="31" spans="1:11" x14ac:dyDescent="0.2">
      <c r="A31" s="15">
        <f t="shared" si="5"/>
        <v>11</v>
      </c>
      <c r="B31" s="30">
        <f t="shared" si="6"/>
        <v>3126885.4339619665</v>
      </c>
      <c r="C31" s="30">
        <f t="shared" si="0"/>
        <v>327492.30467407382</v>
      </c>
      <c r="D31" s="30">
        <f t="shared" si="1"/>
        <v>327492.30467407382</v>
      </c>
      <c r="E31" s="31">
        <f t="shared" si="2"/>
        <v>26578.526188676718</v>
      </c>
      <c r="F31" s="30">
        <f t="shared" si="3"/>
        <v>300913.77848539711</v>
      </c>
      <c r="G31" s="11">
        <f t="shared" si="4"/>
        <v>2825971.6554765692</v>
      </c>
    </row>
    <row r="32" spans="1:11" x14ac:dyDescent="0.2">
      <c r="A32" s="15">
        <f t="shared" si="5"/>
        <v>12</v>
      </c>
      <c r="B32" s="30">
        <f t="shared" si="6"/>
        <v>2825971.6554765692</v>
      </c>
      <c r="C32" s="30">
        <f t="shared" si="0"/>
        <v>327492.30467407382</v>
      </c>
      <c r="D32" s="30">
        <f t="shared" si="1"/>
        <v>327492.30467407382</v>
      </c>
      <c r="E32" s="31">
        <f t="shared" si="2"/>
        <v>24020.759071550841</v>
      </c>
      <c r="F32" s="30">
        <f t="shared" si="3"/>
        <v>303471.54560252297</v>
      </c>
      <c r="G32" s="11">
        <f t="shared" si="4"/>
        <v>2522500.1098740464</v>
      </c>
    </row>
    <row r="33" spans="1:7" x14ac:dyDescent="0.2">
      <c r="A33" s="15">
        <f t="shared" si="5"/>
        <v>13</v>
      </c>
      <c r="B33" s="30">
        <f t="shared" si="6"/>
        <v>2522500.1098740464</v>
      </c>
      <c r="C33" s="30">
        <f t="shared" si="0"/>
        <v>327492.30467407382</v>
      </c>
      <c r="D33" s="30">
        <f t="shared" si="1"/>
        <v>327492.30467407382</v>
      </c>
      <c r="E33" s="31">
        <f t="shared" si="2"/>
        <v>21441.250933929397</v>
      </c>
      <c r="F33" s="30">
        <f t="shared" si="3"/>
        <v>306051.05374014442</v>
      </c>
      <c r="G33" s="11">
        <f t="shared" si="4"/>
        <v>2216449.0561339022</v>
      </c>
    </row>
    <row r="34" spans="1:7" x14ac:dyDescent="0.2">
      <c r="A34" s="15">
        <f t="shared" si="5"/>
        <v>14</v>
      </c>
      <c r="B34" s="30">
        <f t="shared" si="6"/>
        <v>2216449.0561339022</v>
      </c>
      <c r="C34" s="30">
        <f t="shared" si="0"/>
        <v>327492.30467407382</v>
      </c>
      <c r="D34" s="30">
        <f t="shared" si="1"/>
        <v>327492.30467407382</v>
      </c>
      <c r="E34" s="31">
        <f t="shared" si="2"/>
        <v>18839.816977138169</v>
      </c>
      <c r="F34" s="30">
        <f t="shared" si="3"/>
        <v>308652.48769693566</v>
      </c>
      <c r="G34" s="11">
        <f t="shared" si="4"/>
        <v>1907796.5684369665</v>
      </c>
    </row>
    <row r="35" spans="1:7" x14ac:dyDescent="0.2">
      <c r="A35" s="15">
        <f t="shared" si="5"/>
        <v>15</v>
      </c>
      <c r="B35" s="30">
        <f t="shared" si="6"/>
        <v>1907796.5684369665</v>
      </c>
      <c r="C35" s="30">
        <f t="shared" si="0"/>
        <v>327492.30467407382</v>
      </c>
      <c r="D35" s="30">
        <f t="shared" si="1"/>
        <v>327492.30467407382</v>
      </c>
      <c r="E35" s="31">
        <f t="shared" si="2"/>
        <v>16216.270831714217</v>
      </c>
      <c r="F35" s="30">
        <f t="shared" si="3"/>
        <v>311276.03384235961</v>
      </c>
      <c r="G35" s="11">
        <f t="shared" si="4"/>
        <v>1596520.5345946068</v>
      </c>
    </row>
    <row r="36" spans="1:7" x14ac:dyDescent="0.2">
      <c r="A36" s="15">
        <f t="shared" si="5"/>
        <v>16</v>
      </c>
      <c r="B36" s="30">
        <f t="shared" si="6"/>
        <v>1596520.5345946068</v>
      </c>
      <c r="C36" s="30">
        <f t="shared" si="0"/>
        <v>327492.30467407382</v>
      </c>
      <c r="D36" s="30">
        <f t="shared" si="1"/>
        <v>327492.30467407382</v>
      </c>
      <c r="E36" s="31">
        <f t="shared" si="2"/>
        <v>13570.42454405416</v>
      </c>
      <c r="F36" s="30">
        <f t="shared" si="3"/>
        <v>313921.88013001968</v>
      </c>
      <c r="G36" s="11">
        <f t="shared" si="4"/>
        <v>1282598.6544645871</v>
      </c>
    </row>
    <row r="37" spans="1:7" x14ac:dyDescent="0.2">
      <c r="A37" s="15">
        <f t="shared" si="5"/>
        <v>17</v>
      </c>
      <c r="B37" s="30">
        <f t="shared" si="6"/>
        <v>1282598.6544645871</v>
      </c>
      <c r="C37" s="30">
        <f t="shared" si="0"/>
        <v>327492.30467407382</v>
      </c>
      <c r="D37" s="30">
        <f t="shared" si="1"/>
        <v>327492.30467407382</v>
      </c>
      <c r="E37" s="31">
        <f t="shared" si="2"/>
        <v>10902.088562948991</v>
      </c>
      <c r="F37" s="30">
        <f t="shared" si="3"/>
        <v>316590.21611112484</v>
      </c>
      <c r="G37" s="11">
        <f t="shared" si="4"/>
        <v>966008.43835346226</v>
      </c>
    </row>
    <row r="38" spans="1:7" x14ac:dyDescent="0.2">
      <c r="A38" s="15">
        <f t="shared" si="5"/>
        <v>18</v>
      </c>
      <c r="B38" s="30">
        <f t="shared" si="6"/>
        <v>966008.43835346226</v>
      </c>
      <c r="C38" s="30">
        <f t="shared" si="0"/>
        <v>327492.30467407382</v>
      </c>
      <c r="D38" s="30">
        <f t="shared" si="1"/>
        <v>327492.30467407382</v>
      </c>
      <c r="E38" s="31">
        <f t="shared" si="2"/>
        <v>8211.0717260044294</v>
      </c>
      <c r="F38" s="30">
        <f t="shared" si="3"/>
        <v>319281.2329480694</v>
      </c>
      <c r="G38" s="11">
        <f t="shared" si="4"/>
        <v>646727.20540539292</v>
      </c>
    </row>
    <row r="39" spans="1:7" x14ac:dyDescent="0.2">
      <c r="A39" s="15">
        <f t="shared" si="5"/>
        <v>19</v>
      </c>
      <c r="B39" s="30">
        <f t="shared" si="6"/>
        <v>646727.20540539292</v>
      </c>
      <c r="C39" s="30">
        <f t="shared" si="0"/>
        <v>327492.30467407382</v>
      </c>
      <c r="D39" s="30">
        <f t="shared" si="1"/>
        <v>327492.30467407382</v>
      </c>
      <c r="E39" s="31">
        <f t="shared" si="2"/>
        <v>5497.1812459458406</v>
      </c>
      <c r="F39" s="30">
        <f t="shared" si="3"/>
        <v>321995.12342812796</v>
      </c>
      <c r="G39" s="11">
        <f t="shared" si="4"/>
        <v>324732.08197726496</v>
      </c>
    </row>
    <row r="40" spans="1:7" x14ac:dyDescent="0.2">
      <c r="A40" s="15">
        <f t="shared" si="5"/>
        <v>20</v>
      </c>
      <c r="B40" s="30">
        <f t="shared" si="6"/>
        <v>324732.08197726496</v>
      </c>
      <c r="C40" s="30">
        <f t="shared" si="0"/>
        <v>327492.30467407382</v>
      </c>
      <c r="D40" s="30">
        <f t="shared" si="1"/>
        <v>327492.30467407382</v>
      </c>
      <c r="E40" s="31">
        <f t="shared" si="2"/>
        <v>2760.2226968067525</v>
      </c>
      <c r="F40" s="30">
        <f t="shared" si="3"/>
        <v>324732.08197726705</v>
      </c>
      <c r="G40" s="11">
        <f t="shared" si="4"/>
        <v>-2.0954757928848267E-9</v>
      </c>
    </row>
    <row r="41" spans="1:7" x14ac:dyDescent="0.2">
      <c r="A41" s="15">
        <f t="shared" si="5"/>
        <v>21</v>
      </c>
      <c r="B41" s="30">
        <f t="shared" si="6"/>
        <v>0</v>
      </c>
      <c r="C41" s="30">
        <f t="shared" si="0"/>
        <v>0</v>
      </c>
      <c r="D41" s="30">
        <f t="shared" si="1"/>
        <v>0</v>
      </c>
      <c r="E41" s="31">
        <f t="shared" si="2"/>
        <v>0</v>
      </c>
      <c r="F41" s="30">
        <f t="shared" si="3"/>
        <v>0</v>
      </c>
      <c r="G41" s="11">
        <f t="shared" si="4"/>
        <v>0</v>
      </c>
    </row>
    <row r="42" spans="1:7" x14ac:dyDescent="0.2">
      <c r="A42" s="15">
        <f t="shared" si="5"/>
        <v>22</v>
      </c>
      <c r="B42" s="30">
        <f t="shared" si="6"/>
        <v>0</v>
      </c>
      <c r="C42" s="30">
        <f t="shared" si="0"/>
        <v>0</v>
      </c>
      <c r="D42" s="30">
        <f t="shared" si="1"/>
        <v>0</v>
      </c>
      <c r="E42" s="31">
        <f t="shared" si="2"/>
        <v>0</v>
      </c>
      <c r="F42" s="30">
        <f t="shared" si="3"/>
        <v>0</v>
      </c>
      <c r="G42" s="11">
        <f t="shared" si="4"/>
        <v>0</v>
      </c>
    </row>
    <row r="43" spans="1:7" x14ac:dyDescent="0.2">
      <c r="A43" s="15">
        <f t="shared" si="5"/>
        <v>23</v>
      </c>
      <c r="B43" s="30">
        <f t="shared" si="6"/>
        <v>0</v>
      </c>
      <c r="C43" s="30">
        <f t="shared" si="0"/>
        <v>0</v>
      </c>
      <c r="D43" s="30">
        <f t="shared" si="1"/>
        <v>0</v>
      </c>
      <c r="E43" s="31">
        <f t="shared" si="2"/>
        <v>0</v>
      </c>
      <c r="F43" s="30">
        <f t="shared" si="3"/>
        <v>0</v>
      </c>
      <c r="G43" s="11">
        <f t="shared" si="4"/>
        <v>0</v>
      </c>
    </row>
    <row r="44" spans="1:7" x14ac:dyDescent="0.2">
      <c r="A44" s="15">
        <f t="shared" si="5"/>
        <v>24</v>
      </c>
      <c r="B44" s="30">
        <f t="shared" si="6"/>
        <v>0</v>
      </c>
      <c r="C44" s="30">
        <f t="shared" si="0"/>
        <v>0</v>
      </c>
      <c r="D44" s="30">
        <f t="shared" si="1"/>
        <v>0</v>
      </c>
      <c r="E44" s="31">
        <f t="shared" si="2"/>
        <v>0</v>
      </c>
      <c r="F44" s="30">
        <f t="shared" si="3"/>
        <v>0</v>
      </c>
      <c r="G44" s="11">
        <f t="shared" si="4"/>
        <v>0</v>
      </c>
    </row>
    <row r="45" spans="1:7" x14ac:dyDescent="0.2">
      <c r="A45" s="15">
        <f t="shared" si="5"/>
        <v>25</v>
      </c>
      <c r="B45" s="30">
        <f t="shared" si="6"/>
        <v>0</v>
      </c>
      <c r="C45" s="30">
        <f t="shared" si="0"/>
        <v>0</v>
      </c>
      <c r="D45" s="30">
        <f t="shared" si="1"/>
        <v>0</v>
      </c>
      <c r="E45" s="31">
        <f t="shared" si="2"/>
        <v>0</v>
      </c>
      <c r="F45" s="30">
        <f t="shared" si="3"/>
        <v>0</v>
      </c>
      <c r="G45" s="11">
        <f t="shared" si="4"/>
        <v>0</v>
      </c>
    </row>
    <row r="46" spans="1:7" x14ac:dyDescent="0.2">
      <c r="A46" s="15">
        <f t="shared" si="5"/>
        <v>26</v>
      </c>
      <c r="B46" s="30">
        <f t="shared" si="6"/>
        <v>0</v>
      </c>
      <c r="C46" s="30">
        <f t="shared" si="0"/>
        <v>0</v>
      </c>
      <c r="D46" s="30">
        <f t="shared" si="1"/>
        <v>0</v>
      </c>
      <c r="E46" s="31">
        <f t="shared" si="2"/>
        <v>0</v>
      </c>
      <c r="F46" s="30">
        <f t="shared" si="3"/>
        <v>0</v>
      </c>
      <c r="G46" s="11">
        <f t="shared" si="4"/>
        <v>0</v>
      </c>
    </row>
    <row r="47" spans="1:7" x14ac:dyDescent="0.2">
      <c r="A47" s="15">
        <f t="shared" si="5"/>
        <v>27</v>
      </c>
      <c r="B47" s="30">
        <f t="shared" si="6"/>
        <v>0</v>
      </c>
      <c r="C47" s="30">
        <f t="shared" si="0"/>
        <v>0</v>
      </c>
      <c r="D47" s="30">
        <f t="shared" si="1"/>
        <v>0</v>
      </c>
      <c r="E47" s="31">
        <f t="shared" si="2"/>
        <v>0</v>
      </c>
      <c r="F47" s="30">
        <f t="shared" si="3"/>
        <v>0</v>
      </c>
      <c r="G47" s="11">
        <f t="shared" si="4"/>
        <v>0</v>
      </c>
    </row>
    <row r="48" spans="1:7" x14ac:dyDescent="0.2">
      <c r="A48" s="15">
        <f t="shared" si="5"/>
        <v>28</v>
      </c>
      <c r="B48" s="30">
        <f t="shared" si="6"/>
        <v>0</v>
      </c>
      <c r="C48" s="30">
        <f t="shared" si="0"/>
        <v>0</v>
      </c>
      <c r="D48" s="30">
        <f t="shared" si="1"/>
        <v>0</v>
      </c>
      <c r="E48" s="31">
        <f t="shared" si="2"/>
        <v>0</v>
      </c>
      <c r="F48" s="30">
        <f t="shared" si="3"/>
        <v>0</v>
      </c>
      <c r="G48" s="11">
        <f t="shared" si="4"/>
        <v>0</v>
      </c>
    </row>
    <row r="49" spans="1:7" x14ac:dyDescent="0.2">
      <c r="A49" s="15">
        <f t="shared" si="5"/>
        <v>29</v>
      </c>
      <c r="B49" s="30">
        <f t="shared" si="6"/>
        <v>0</v>
      </c>
      <c r="C49" s="30">
        <f t="shared" si="0"/>
        <v>0</v>
      </c>
      <c r="D49" s="30">
        <f t="shared" si="1"/>
        <v>0</v>
      </c>
      <c r="E49" s="31">
        <f t="shared" si="2"/>
        <v>0</v>
      </c>
      <c r="F49" s="30">
        <f t="shared" si="3"/>
        <v>0</v>
      </c>
      <c r="G49" s="11">
        <f t="shared" si="4"/>
        <v>0</v>
      </c>
    </row>
    <row r="50" spans="1:7" x14ac:dyDescent="0.2">
      <c r="A50" s="15">
        <f t="shared" si="5"/>
        <v>30</v>
      </c>
      <c r="B50" s="30">
        <f t="shared" si="6"/>
        <v>0</v>
      </c>
      <c r="C50" s="30">
        <f t="shared" si="0"/>
        <v>0</v>
      </c>
      <c r="D50" s="30">
        <f t="shared" si="1"/>
        <v>0</v>
      </c>
      <c r="E50" s="31">
        <f t="shared" si="2"/>
        <v>0</v>
      </c>
      <c r="F50" s="30">
        <f t="shared" si="3"/>
        <v>0</v>
      </c>
      <c r="G50" s="11">
        <f t="shared" si="4"/>
        <v>0</v>
      </c>
    </row>
    <row r="51" spans="1:7" x14ac:dyDescent="0.2">
      <c r="A51" s="15">
        <f t="shared" si="5"/>
        <v>31</v>
      </c>
      <c r="B51" s="30">
        <f t="shared" si="6"/>
        <v>0</v>
      </c>
      <c r="C51" s="30">
        <f t="shared" si="0"/>
        <v>0</v>
      </c>
      <c r="D51" s="30">
        <f t="shared" si="1"/>
        <v>0</v>
      </c>
      <c r="E51" s="31">
        <f t="shared" si="2"/>
        <v>0</v>
      </c>
      <c r="F51" s="30">
        <f t="shared" si="3"/>
        <v>0</v>
      </c>
      <c r="G51" s="11">
        <f t="shared" si="4"/>
        <v>0</v>
      </c>
    </row>
    <row r="52" spans="1:7" x14ac:dyDescent="0.2">
      <c r="A52" s="15">
        <f t="shared" si="5"/>
        <v>32</v>
      </c>
      <c r="B52" s="30">
        <f t="shared" si="6"/>
        <v>0</v>
      </c>
      <c r="C52" s="30">
        <f t="shared" si="0"/>
        <v>0</v>
      </c>
      <c r="D52" s="30">
        <f t="shared" si="1"/>
        <v>0</v>
      </c>
      <c r="E52" s="31">
        <f t="shared" si="2"/>
        <v>0</v>
      </c>
      <c r="F52" s="30">
        <f t="shared" si="3"/>
        <v>0</v>
      </c>
      <c r="G52" s="11">
        <f t="shared" si="4"/>
        <v>0</v>
      </c>
    </row>
    <row r="53" spans="1:7" x14ac:dyDescent="0.2">
      <c r="A53" s="15">
        <f t="shared" si="5"/>
        <v>33</v>
      </c>
      <c r="B53" s="30">
        <f t="shared" si="6"/>
        <v>0</v>
      </c>
      <c r="C53" s="30">
        <f t="shared" si="0"/>
        <v>0</v>
      </c>
      <c r="D53" s="30">
        <f t="shared" si="1"/>
        <v>0</v>
      </c>
      <c r="E53" s="31">
        <f t="shared" si="2"/>
        <v>0</v>
      </c>
      <c r="F53" s="30">
        <f t="shared" si="3"/>
        <v>0</v>
      </c>
      <c r="G53" s="11">
        <f t="shared" si="4"/>
        <v>0</v>
      </c>
    </row>
    <row r="54" spans="1:7" x14ac:dyDescent="0.2">
      <c r="A54" s="15">
        <f t="shared" si="5"/>
        <v>34</v>
      </c>
      <c r="B54" s="30">
        <f t="shared" si="6"/>
        <v>0</v>
      </c>
      <c r="C54" s="30">
        <f t="shared" si="0"/>
        <v>0</v>
      </c>
      <c r="D54" s="30">
        <f t="shared" si="1"/>
        <v>0</v>
      </c>
      <c r="E54" s="31">
        <f t="shared" si="2"/>
        <v>0</v>
      </c>
      <c r="F54" s="30">
        <f t="shared" si="3"/>
        <v>0</v>
      </c>
      <c r="G54" s="11">
        <f t="shared" si="4"/>
        <v>0</v>
      </c>
    </row>
    <row r="55" spans="1:7" x14ac:dyDescent="0.2">
      <c r="A55" s="15">
        <f t="shared" si="5"/>
        <v>35</v>
      </c>
      <c r="B55" s="30">
        <f t="shared" si="6"/>
        <v>0</v>
      </c>
      <c r="C55" s="30">
        <f t="shared" si="0"/>
        <v>0</v>
      </c>
      <c r="D55" s="30">
        <f t="shared" si="1"/>
        <v>0</v>
      </c>
      <c r="E55" s="31">
        <f t="shared" si="2"/>
        <v>0</v>
      </c>
      <c r="F55" s="30">
        <f t="shared" si="3"/>
        <v>0</v>
      </c>
      <c r="G55" s="11">
        <f t="shared" si="4"/>
        <v>0</v>
      </c>
    </row>
    <row r="56" spans="1:7" x14ac:dyDescent="0.2">
      <c r="A56" s="15">
        <f t="shared" si="5"/>
        <v>36</v>
      </c>
      <c r="B56" s="30">
        <f t="shared" si="6"/>
        <v>0</v>
      </c>
      <c r="C56" s="30">
        <f t="shared" si="0"/>
        <v>0</v>
      </c>
      <c r="D56" s="30">
        <f t="shared" si="1"/>
        <v>0</v>
      </c>
      <c r="E56" s="31">
        <f t="shared" si="2"/>
        <v>0</v>
      </c>
      <c r="F56" s="30">
        <f t="shared" si="3"/>
        <v>0</v>
      </c>
      <c r="G56" s="11">
        <f t="shared" si="4"/>
        <v>0</v>
      </c>
    </row>
    <row r="57" spans="1:7" x14ac:dyDescent="0.2">
      <c r="A57" s="15">
        <f t="shared" si="5"/>
        <v>37</v>
      </c>
      <c r="B57" s="30">
        <f t="shared" si="6"/>
        <v>0</v>
      </c>
      <c r="C57" s="30">
        <f t="shared" si="0"/>
        <v>0</v>
      </c>
      <c r="D57" s="30">
        <f t="shared" si="1"/>
        <v>0</v>
      </c>
      <c r="E57" s="31">
        <f t="shared" si="2"/>
        <v>0</v>
      </c>
      <c r="F57" s="30">
        <f t="shared" si="3"/>
        <v>0</v>
      </c>
      <c r="G57" s="11">
        <f t="shared" si="4"/>
        <v>0</v>
      </c>
    </row>
    <row r="58" spans="1:7" x14ac:dyDescent="0.2">
      <c r="A58" s="15">
        <f t="shared" si="5"/>
        <v>38</v>
      </c>
      <c r="B58" s="30">
        <f t="shared" si="6"/>
        <v>0</v>
      </c>
      <c r="C58" s="30">
        <f t="shared" si="0"/>
        <v>0</v>
      </c>
      <c r="D58" s="30">
        <f t="shared" si="1"/>
        <v>0</v>
      </c>
      <c r="E58" s="31">
        <f t="shared" si="2"/>
        <v>0</v>
      </c>
      <c r="F58" s="30">
        <f t="shared" si="3"/>
        <v>0</v>
      </c>
      <c r="G58" s="11">
        <f t="shared" si="4"/>
        <v>0</v>
      </c>
    </row>
    <row r="59" spans="1:7" x14ac:dyDescent="0.2">
      <c r="A59" s="15">
        <f t="shared" si="5"/>
        <v>39</v>
      </c>
      <c r="B59" s="30">
        <f t="shared" si="6"/>
        <v>0</v>
      </c>
      <c r="C59" s="30">
        <f t="shared" si="0"/>
        <v>0</v>
      </c>
      <c r="D59" s="30">
        <f t="shared" si="1"/>
        <v>0</v>
      </c>
      <c r="E59" s="31">
        <f t="shared" si="2"/>
        <v>0</v>
      </c>
      <c r="F59" s="30">
        <f t="shared" si="3"/>
        <v>0</v>
      </c>
      <c r="G59" s="11">
        <f t="shared" si="4"/>
        <v>0</v>
      </c>
    </row>
    <row r="60" spans="1:7" ht="13.5" thickBot="1" x14ac:dyDescent="0.25">
      <c r="A60" s="15">
        <f t="shared" si="5"/>
        <v>40</v>
      </c>
      <c r="B60" s="30">
        <f t="shared" si="6"/>
        <v>0</v>
      </c>
      <c r="C60" s="30">
        <f t="shared" si="0"/>
        <v>0</v>
      </c>
      <c r="D60" s="30">
        <f t="shared" si="1"/>
        <v>0</v>
      </c>
      <c r="E60" s="31">
        <f t="shared" si="2"/>
        <v>0</v>
      </c>
      <c r="F60" s="30">
        <f t="shared" si="3"/>
        <v>0</v>
      </c>
      <c r="G60" s="11">
        <f t="shared" si="4"/>
        <v>0</v>
      </c>
    </row>
    <row r="61" spans="1:7" ht="13.5" hidden="1" thickBot="1" x14ac:dyDescent="0.25">
      <c r="A61" s="15">
        <f t="shared" si="5"/>
        <v>41</v>
      </c>
      <c r="B61" s="30">
        <f t="shared" si="6"/>
        <v>0</v>
      </c>
      <c r="C61" s="30">
        <f t="shared" si="0"/>
        <v>0</v>
      </c>
      <c r="D61" s="30">
        <f t="shared" si="1"/>
        <v>0</v>
      </c>
      <c r="E61" s="31">
        <f t="shared" si="2"/>
        <v>0</v>
      </c>
      <c r="F61" s="30">
        <f t="shared" si="3"/>
        <v>0</v>
      </c>
      <c r="G61" s="11">
        <f t="shared" si="4"/>
        <v>0</v>
      </c>
    </row>
    <row r="62" spans="1:7" ht="13.5" hidden="1" thickBot="1" x14ac:dyDescent="0.25">
      <c r="A62" s="15">
        <f t="shared" si="5"/>
        <v>42</v>
      </c>
      <c r="B62" s="30">
        <f t="shared" si="6"/>
        <v>0</v>
      </c>
      <c r="C62" s="30">
        <f t="shared" si="0"/>
        <v>0</v>
      </c>
      <c r="D62" s="30">
        <f t="shared" si="1"/>
        <v>0</v>
      </c>
      <c r="E62" s="31">
        <f t="shared" si="2"/>
        <v>0</v>
      </c>
      <c r="F62" s="30">
        <f t="shared" si="3"/>
        <v>0</v>
      </c>
      <c r="G62" s="11">
        <f t="shared" si="4"/>
        <v>0</v>
      </c>
    </row>
    <row r="63" spans="1:7" ht="13.5" hidden="1" thickBot="1" x14ac:dyDescent="0.25">
      <c r="A63" s="15">
        <f t="shared" si="5"/>
        <v>43</v>
      </c>
      <c r="B63" s="30">
        <f t="shared" si="6"/>
        <v>0</v>
      </c>
      <c r="C63" s="30">
        <f t="shared" si="0"/>
        <v>0</v>
      </c>
      <c r="D63" s="30">
        <f t="shared" si="1"/>
        <v>0</v>
      </c>
      <c r="E63" s="31">
        <f t="shared" si="2"/>
        <v>0</v>
      </c>
      <c r="F63" s="30">
        <f t="shared" si="3"/>
        <v>0</v>
      </c>
      <c r="G63" s="11">
        <f t="shared" si="4"/>
        <v>0</v>
      </c>
    </row>
    <row r="64" spans="1:7" ht="13.5" hidden="1" thickBot="1" x14ac:dyDescent="0.25">
      <c r="A64" s="15">
        <f t="shared" si="5"/>
        <v>44</v>
      </c>
      <c r="B64" s="30">
        <f t="shared" si="6"/>
        <v>0</v>
      </c>
      <c r="C64" s="30">
        <f t="shared" si="0"/>
        <v>0</v>
      </c>
      <c r="D64" s="30">
        <f t="shared" si="1"/>
        <v>0</v>
      </c>
      <c r="E64" s="31">
        <f t="shared" si="2"/>
        <v>0</v>
      </c>
      <c r="F64" s="30">
        <f t="shared" si="3"/>
        <v>0</v>
      </c>
      <c r="G64" s="11">
        <f t="shared" si="4"/>
        <v>0</v>
      </c>
    </row>
    <row r="65" spans="1:7" ht="13.5" hidden="1" thickBot="1" x14ac:dyDescent="0.25">
      <c r="A65" s="15">
        <f t="shared" si="5"/>
        <v>45</v>
      </c>
      <c r="B65" s="30">
        <f t="shared" si="6"/>
        <v>0</v>
      </c>
      <c r="C65" s="30">
        <f t="shared" si="0"/>
        <v>0</v>
      </c>
      <c r="D65" s="30">
        <f t="shared" si="1"/>
        <v>0</v>
      </c>
      <c r="E65" s="31">
        <f t="shared" si="2"/>
        <v>0</v>
      </c>
      <c r="F65" s="30">
        <f t="shared" si="3"/>
        <v>0</v>
      </c>
      <c r="G65" s="11">
        <f t="shared" si="4"/>
        <v>0</v>
      </c>
    </row>
    <row r="66" spans="1:7" ht="13.5" hidden="1" thickBot="1" x14ac:dyDescent="0.25">
      <c r="A66" s="15">
        <f t="shared" si="5"/>
        <v>46</v>
      </c>
      <c r="B66" s="30">
        <f t="shared" si="6"/>
        <v>0</v>
      </c>
      <c r="C66" s="30">
        <f t="shared" si="0"/>
        <v>0</v>
      </c>
      <c r="D66" s="30">
        <f t="shared" si="1"/>
        <v>0</v>
      </c>
      <c r="E66" s="31">
        <f t="shared" si="2"/>
        <v>0</v>
      </c>
      <c r="F66" s="30">
        <f t="shared" si="3"/>
        <v>0</v>
      </c>
      <c r="G66" s="11">
        <f t="shared" si="4"/>
        <v>0</v>
      </c>
    </row>
    <row r="67" spans="1:7" ht="13.5" hidden="1" thickBot="1" x14ac:dyDescent="0.25">
      <c r="A67" s="15">
        <f t="shared" si="5"/>
        <v>47</v>
      </c>
      <c r="B67" s="30">
        <f t="shared" si="6"/>
        <v>0</v>
      </c>
      <c r="C67" s="30">
        <f t="shared" si="0"/>
        <v>0</v>
      </c>
      <c r="D67" s="30">
        <f t="shared" si="1"/>
        <v>0</v>
      </c>
      <c r="E67" s="31">
        <f t="shared" si="2"/>
        <v>0</v>
      </c>
      <c r="F67" s="30">
        <f t="shared" si="3"/>
        <v>0</v>
      </c>
      <c r="G67" s="11">
        <f t="shared" si="4"/>
        <v>0</v>
      </c>
    </row>
    <row r="68" spans="1:7" ht="13.5" hidden="1" thickBot="1" x14ac:dyDescent="0.25">
      <c r="A68" s="15">
        <f t="shared" si="5"/>
        <v>48</v>
      </c>
      <c r="B68" s="30">
        <f t="shared" si="6"/>
        <v>0</v>
      </c>
      <c r="C68" s="30">
        <f t="shared" si="0"/>
        <v>0</v>
      </c>
      <c r="D68" s="30">
        <f t="shared" si="1"/>
        <v>0</v>
      </c>
      <c r="E68" s="31">
        <f t="shared" si="2"/>
        <v>0</v>
      </c>
      <c r="F68" s="30">
        <f t="shared" si="3"/>
        <v>0</v>
      </c>
      <c r="G68" s="11">
        <f t="shared" si="4"/>
        <v>0</v>
      </c>
    </row>
    <row r="69" spans="1:7" ht="13.5" hidden="1" thickBot="1" x14ac:dyDescent="0.25">
      <c r="A69" s="15">
        <f t="shared" si="5"/>
        <v>49</v>
      </c>
      <c r="B69" s="30">
        <f t="shared" si="6"/>
        <v>0</v>
      </c>
      <c r="C69" s="30">
        <f t="shared" si="0"/>
        <v>0</v>
      </c>
      <c r="D69" s="30">
        <f t="shared" si="1"/>
        <v>0</v>
      </c>
      <c r="E69" s="31">
        <f t="shared" si="2"/>
        <v>0</v>
      </c>
      <c r="F69" s="30">
        <f t="shared" si="3"/>
        <v>0</v>
      </c>
      <c r="G69" s="11">
        <f t="shared" si="4"/>
        <v>0</v>
      </c>
    </row>
    <row r="70" spans="1:7" ht="13.5" hidden="1" thickBot="1" x14ac:dyDescent="0.25">
      <c r="A70" s="15">
        <f t="shared" si="5"/>
        <v>50</v>
      </c>
      <c r="B70" s="30">
        <f t="shared" si="6"/>
        <v>0</v>
      </c>
      <c r="C70" s="30">
        <f t="shared" si="0"/>
        <v>0</v>
      </c>
      <c r="D70" s="30">
        <f t="shared" si="1"/>
        <v>0</v>
      </c>
      <c r="E70" s="31">
        <f t="shared" si="2"/>
        <v>0</v>
      </c>
      <c r="F70" s="30">
        <f t="shared" si="3"/>
        <v>0</v>
      </c>
      <c r="G70" s="11">
        <f t="shared" si="4"/>
        <v>0</v>
      </c>
    </row>
    <row r="71" spans="1:7" ht="13.5" hidden="1" thickBot="1" x14ac:dyDescent="0.25">
      <c r="A71" s="15">
        <f t="shared" si="5"/>
        <v>51</v>
      </c>
      <c r="B71" s="30">
        <f t="shared" si="6"/>
        <v>0</v>
      </c>
      <c r="C71" s="30">
        <f t="shared" si="0"/>
        <v>0</v>
      </c>
      <c r="D71" s="30">
        <f t="shared" si="1"/>
        <v>0</v>
      </c>
      <c r="E71" s="31">
        <f t="shared" si="2"/>
        <v>0</v>
      </c>
      <c r="F71" s="30">
        <f t="shared" si="3"/>
        <v>0</v>
      </c>
      <c r="G71" s="11">
        <f t="shared" si="4"/>
        <v>0</v>
      </c>
    </row>
    <row r="72" spans="1:7" ht="13.5" hidden="1" thickBot="1" x14ac:dyDescent="0.25">
      <c r="A72" s="15">
        <f t="shared" si="5"/>
        <v>52</v>
      </c>
      <c r="B72" s="30">
        <f t="shared" si="6"/>
        <v>0</v>
      </c>
      <c r="C72" s="30">
        <f t="shared" si="0"/>
        <v>0</v>
      </c>
      <c r="D72" s="30">
        <f t="shared" si="1"/>
        <v>0</v>
      </c>
      <c r="E72" s="31">
        <f t="shared" si="2"/>
        <v>0</v>
      </c>
      <c r="F72" s="30">
        <f t="shared" si="3"/>
        <v>0</v>
      </c>
      <c r="G72" s="11">
        <f t="shared" si="4"/>
        <v>0</v>
      </c>
    </row>
    <row r="73" spans="1:7" ht="13.5" hidden="1" thickBot="1" x14ac:dyDescent="0.25">
      <c r="A73" s="15">
        <f t="shared" si="5"/>
        <v>53</v>
      </c>
      <c r="B73" s="30">
        <f t="shared" si="6"/>
        <v>0</v>
      </c>
      <c r="C73" s="30">
        <f t="shared" si="0"/>
        <v>0</v>
      </c>
      <c r="D73" s="30">
        <f t="shared" si="1"/>
        <v>0</v>
      </c>
      <c r="E73" s="31">
        <f t="shared" si="2"/>
        <v>0</v>
      </c>
      <c r="F73" s="30">
        <f t="shared" si="3"/>
        <v>0</v>
      </c>
      <c r="G73" s="11">
        <f t="shared" si="4"/>
        <v>0</v>
      </c>
    </row>
    <row r="74" spans="1:7" ht="13.5" hidden="1" thickBot="1" x14ac:dyDescent="0.25">
      <c r="A74" s="15">
        <f t="shared" si="5"/>
        <v>54</v>
      </c>
      <c r="B74" s="30">
        <f t="shared" si="6"/>
        <v>0</v>
      </c>
      <c r="C74" s="30">
        <f t="shared" si="0"/>
        <v>0</v>
      </c>
      <c r="D74" s="30">
        <f t="shared" si="1"/>
        <v>0</v>
      </c>
      <c r="E74" s="31">
        <f t="shared" si="2"/>
        <v>0</v>
      </c>
      <c r="F74" s="30">
        <f t="shared" si="3"/>
        <v>0</v>
      </c>
      <c r="G74" s="11">
        <f t="shared" si="4"/>
        <v>0</v>
      </c>
    </row>
    <row r="75" spans="1:7" ht="13.5" hidden="1" thickBot="1" x14ac:dyDescent="0.25">
      <c r="A75" s="15">
        <f t="shared" si="5"/>
        <v>55</v>
      </c>
      <c r="B75" s="30">
        <f t="shared" si="6"/>
        <v>0</v>
      </c>
      <c r="C75" s="30">
        <f t="shared" si="0"/>
        <v>0</v>
      </c>
      <c r="D75" s="30">
        <f t="shared" si="1"/>
        <v>0</v>
      </c>
      <c r="E75" s="31">
        <f t="shared" si="2"/>
        <v>0</v>
      </c>
      <c r="F75" s="30">
        <f t="shared" si="3"/>
        <v>0</v>
      </c>
      <c r="G75" s="11">
        <f t="shared" si="4"/>
        <v>0</v>
      </c>
    </row>
    <row r="76" spans="1:7" ht="13.5" hidden="1" thickBot="1" x14ac:dyDescent="0.25">
      <c r="A76" s="15">
        <f t="shared" si="5"/>
        <v>56</v>
      </c>
      <c r="B76" s="30">
        <f t="shared" si="6"/>
        <v>0</v>
      </c>
      <c r="C76" s="30">
        <f t="shared" si="0"/>
        <v>0</v>
      </c>
      <c r="D76" s="30">
        <f t="shared" si="1"/>
        <v>0</v>
      </c>
      <c r="E76" s="31">
        <f t="shared" si="2"/>
        <v>0</v>
      </c>
      <c r="F76" s="30">
        <f t="shared" si="3"/>
        <v>0</v>
      </c>
      <c r="G76" s="11">
        <f t="shared" si="4"/>
        <v>0</v>
      </c>
    </row>
    <row r="77" spans="1:7" ht="13.5" hidden="1" thickBot="1" x14ac:dyDescent="0.25">
      <c r="A77" s="15">
        <f t="shared" si="5"/>
        <v>57</v>
      </c>
      <c r="B77" s="30">
        <f t="shared" si="6"/>
        <v>0</v>
      </c>
      <c r="C77" s="30">
        <f t="shared" si="0"/>
        <v>0</v>
      </c>
      <c r="D77" s="30">
        <f t="shared" si="1"/>
        <v>0</v>
      </c>
      <c r="E77" s="31">
        <f t="shared" si="2"/>
        <v>0</v>
      </c>
      <c r="F77" s="30">
        <f t="shared" si="3"/>
        <v>0</v>
      </c>
      <c r="G77" s="11">
        <f t="shared" si="4"/>
        <v>0</v>
      </c>
    </row>
    <row r="78" spans="1:7" ht="13.5" hidden="1" thickBot="1" x14ac:dyDescent="0.25">
      <c r="A78" s="15">
        <f t="shared" si="5"/>
        <v>58</v>
      </c>
      <c r="B78" s="30">
        <f t="shared" si="6"/>
        <v>0</v>
      </c>
      <c r="C78" s="30">
        <f t="shared" si="0"/>
        <v>0</v>
      </c>
      <c r="D78" s="30">
        <f t="shared" si="1"/>
        <v>0</v>
      </c>
      <c r="E78" s="31">
        <f t="shared" si="2"/>
        <v>0</v>
      </c>
      <c r="F78" s="30">
        <f t="shared" si="3"/>
        <v>0</v>
      </c>
      <c r="G78" s="11">
        <f t="shared" si="4"/>
        <v>0</v>
      </c>
    </row>
    <row r="79" spans="1:7" ht="13.5" hidden="1" thickBot="1" x14ac:dyDescent="0.25">
      <c r="A79" s="15">
        <f t="shared" si="5"/>
        <v>59</v>
      </c>
      <c r="B79" s="30">
        <f t="shared" si="6"/>
        <v>0</v>
      </c>
      <c r="C79" s="30">
        <f t="shared" si="0"/>
        <v>0</v>
      </c>
      <c r="D79" s="30">
        <f t="shared" si="1"/>
        <v>0</v>
      </c>
      <c r="E79" s="31">
        <f t="shared" si="2"/>
        <v>0</v>
      </c>
      <c r="F79" s="30">
        <f t="shared" si="3"/>
        <v>0</v>
      </c>
      <c r="G79" s="11">
        <f t="shared" si="4"/>
        <v>0</v>
      </c>
    </row>
    <row r="80" spans="1:7" ht="13.5" hidden="1" thickBot="1" x14ac:dyDescent="0.25">
      <c r="A80" s="15">
        <f t="shared" si="5"/>
        <v>60</v>
      </c>
      <c r="B80" s="30">
        <f t="shared" si="6"/>
        <v>0</v>
      </c>
      <c r="C80" s="30">
        <f t="shared" si="0"/>
        <v>0</v>
      </c>
      <c r="D80" s="30">
        <f t="shared" si="1"/>
        <v>0</v>
      </c>
      <c r="E80" s="31">
        <f t="shared" si="2"/>
        <v>0</v>
      </c>
      <c r="F80" s="30">
        <f t="shared" si="3"/>
        <v>0</v>
      </c>
      <c r="G80" s="11">
        <f t="shared" si="4"/>
        <v>0</v>
      </c>
    </row>
    <row r="81" spans="1:7" ht="13.5" hidden="1" thickBot="1" x14ac:dyDescent="0.25">
      <c r="A81" s="15">
        <f t="shared" si="5"/>
        <v>61</v>
      </c>
      <c r="B81" s="30">
        <f t="shared" si="6"/>
        <v>0</v>
      </c>
      <c r="C81" s="30">
        <f t="shared" si="0"/>
        <v>0</v>
      </c>
      <c r="D81" s="30">
        <f t="shared" si="1"/>
        <v>0</v>
      </c>
      <c r="E81" s="31">
        <f t="shared" si="2"/>
        <v>0</v>
      </c>
      <c r="F81" s="30">
        <f t="shared" si="3"/>
        <v>0</v>
      </c>
      <c r="G81" s="11">
        <f t="shared" si="4"/>
        <v>0</v>
      </c>
    </row>
    <row r="82" spans="1:7" ht="13.5" hidden="1" thickBot="1" x14ac:dyDescent="0.25">
      <c r="A82" s="15">
        <f t="shared" si="5"/>
        <v>62</v>
      </c>
      <c r="B82" s="30">
        <f t="shared" si="6"/>
        <v>0</v>
      </c>
      <c r="C82" s="30">
        <f t="shared" si="0"/>
        <v>0</v>
      </c>
      <c r="D82" s="30">
        <f t="shared" si="1"/>
        <v>0</v>
      </c>
      <c r="E82" s="31">
        <f t="shared" si="2"/>
        <v>0</v>
      </c>
      <c r="F82" s="30">
        <f t="shared" si="3"/>
        <v>0</v>
      </c>
      <c r="G82" s="11">
        <f t="shared" si="4"/>
        <v>0</v>
      </c>
    </row>
    <row r="83" spans="1:7" ht="13.5" hidden="1" thickBot="1" x14ac:dyDescent="0.25">
      <c r="A83" s="15">
        <f t="shared" si="5"/>
        <v>63</v>
      </c>
      <c r="B83" s="30">
        <f t="shared" si="6"/>
        <v>0</v>
      </c>
      <c r="C83" s="30">
        <f t="shared" si="0"/>
        <v>0</v>
      </c>
      <c r="D83" s="30">
        <f t="shared" si="1"/>
        <v>0</v>
      </c>
      <c r="E83" s="31">
        <f t="shared" si="2"/>
        <v>0</v>
      </c>
      <c r="F83" s="30">
        <f t="shared" si="3"/>
        <v>0</v>
      </c>
      <c r="G83" s="11">
        <f t="shared" si="4"/>
        <v>0</v>
      </c>
    </row>
    <row r="84" spans="1:7" ht="13.5" hidden="1" thickBot="1" x14ac:dyDescent="0.25">
      <c r="A84" s="15">
        <f t="shared" si="5"/>
        <v>64</v>
      </c>
      <c r="B84" s="30">
        <f t="shared" si="6"/>
        <v>0</v>
      </c>
      <c r="C84" s="30">
        <f t="shared" si="0"/>
        <v>0</v>
      </c>
      <c r="D84" s="30">
        <f t="shared" si="1"/>
        <v>0</v>
      </c>
      <c r="E84" s="31">
        <f t="shared" si="2"/>
        <v>0</v>
      </c>
      <c r="F84" s="30">
        <f t="shared" si="3"/>
        <v>0</v>
      </c>
      <c r="G84" s="11">
        <f t="shared" si="4"/>
        <v>0</v>
      </c>
    </row>
    <row r="85" spans="1:7" ht="13.5" hidden="1" thickBot="1" x14ac:dyDescent="0.25">
      <c r="A85" s="15">
        <f t="shared" si="5"/>
        <v>65</v>
      </c>
      <c r="B85" s="30">
        <f t="shared" si="6"/>
        <v>0</v>
      </c>
      <c r="C85" s="30">
        <f t="shared" ref="C85:C148" si="7">IF(A85&lt;=$D$9,$D$14*-1,0)</f>
        <v>0</v>
      </c>
      <c r="D85" s="30">
        <f t="shared" ref="D85:D148" si="8">IF(A85&gt;$D$9,0,$D$11*-1)</f>
        <v>0</v>
      </c>
      <c r="E85" s="31">
        <f t="shared" ref="E85:E148" si="9">B85*$D$10</f>
        <v>0</v>
      </c>
      <c r="F85" s="30">
        <f t="shared" ref="F85:F148" si="10">D85-E85</f>
        <v>0</v>
      </c>
      <c r="G85" s="11">
        <f t="shared" ref="G85:G148" si="11">B85-F85</f>
        <v>0</v>
      </c>
    </row>
    <row r="86" spans="1:7" ht="13.5" hidden="1" thickBot="1" x14ac:dyDescent="0.25">
      <c r="A86" s="15">
        <f t="shared" ref="A86:A149" si="12">A85+1</f>
        <v>66</v>
      </c>
      <c r="B86" s="30">
        <f t="shared" ref="B86:B149" si="13">IF(A86&lt;=$D$9,G85,0)</f>
        <v>0</v>
      </c>
      <c r="C86" s="30">
        <f t="shared" si="7"/>
        <v>0</v>
      </c>
      <c r="D86" s="30">
        <f t="shared" si="8"/>
        <v>0</v>
      </c>
      <c r="E86" s="31">
        <f t="shared" si="9"/>
        <v>0</v>
      </c>
      <c r="F86" s="30">
        <f t="shared" si="10"/>
        <v>0</v>
      </c>
      <c r="G86" s="11">
        <f t="shared" si="11"/>
        <v>0</v>
      </c>
    </row>
    <row r="87" spans="1:7" ht="13.5" hidden="1" thickBot="1" x14ac:dyDescent="0.25">
      <c r="A87" s="15">
        <f t="shared" si="12"/>
        <v>67</v>
      </c>
      <c r="B87" s="30">
        <f t="shared" si="13"/>
        <v>0</v>
      </c>
      <c r="C87" s="30">
        <f t="shared" si="7"/>
        <v>0</v>
      </c>
      <c r="D87" s="30">
        <f t="shared" si="8"/>
        <v>0</v>
      </c>
      <c r="E87" s="31">
        <f t="shared" si="9"/>
        <v>0</v>
      </c>
      <c r="F87" s="30">
        <f t="shared" si="10"/>
        <v>0</v>
      </c>
      <c r="G87" s="11">
        <f t="shared" si="11"/>
        <v>0</v>
      </c>
    </row>
    <row r="88" spans="1:7" ht="13.5" hidden="1" thickBot="1" x14ac:dyDescent="0.25">
      <c r="A88" s="15">
        <f t="shared" si="12"/>
        <v>68</v>
      </c>
      <c r="B88" s="30">
        <f t="shared" si="13"/>
        <v>0</v>
      </c>
      <c r="C88" s="30">
        <f t="shared" si="7"/>
        <v>0</v>
      </c>
      <c r="D88" s="30">
        <f t="shared" si="8"/>
        <v>0</v>
      </c>
      <c r="E88" s="31">
        <f t="shared" si="9"/>
        <v>0</v>
      </c>
      <c r="F88" s="30">
        <f t="shared" si="10"/>
        <v>0</v>
      </c>
      <c r="G88" s="11">
        <f t="shared" si="11"/>
        <v>0</v>
      </c>
    </row>
    <row r="89" spans="1:7" ht="13.5" hidden="1" thickBot="1" x14ac:dyDescent="0.25">
      <c r="A89" s="15">
        <f t="shared" si="12"/>
        <v>69</v>
      </c>
      <c r="B89" s="30">
        <f t="shared" si="13"/>
        <v>0</v>
      </c>
      <c r="C89" s="30">
        <f t="shared" si="7"/>
        <v>0</v>
      </c>
      <c r="D89" s="30">
        <f t="shared" si="8"/>
        <v>0</v>
      </c>
      <c r="E89" s="31">
        <f t="shared" si="9"/>
        <v>0</v>
      </c>
      <c r="F89" s="30">
        <f t="shared" si="10"/>
        <v>0</v>
      </c>
      <c r="G89" s="11">
        <f t="shared" si="11"/>
        <v>0</v>
      </c>
    </row>
    <row r="90" spans="1:7" ht="13.5" hidden="1" thickBot="1" x14ac:dyDescent="0.25">
      <c r="A90" s="15">
        <f t="shared" si="12"/>
        <v>70</v>
      </c>
      <c r="B90" s="30">
        <f t="shared" si="13"/>
        <v>0</v>
      </c>
      <c r="C90" s="30">
        <f t="shared" si="7"/>
        <v>0</v>
      </c>
      <c r="D90" s="30">
        <f t="shared" si="8"/>
        <v>0</v>
      </c>
      <c r="E90" s="31">
        <f t="shared" si="9"/>
        <v>0</v>
      </c>
      <c r="F90" s="30">
        <f t="shared" si="10"/>
        <v>0</v>
      </c>
      <c r="G90" s="11">
        <f t="shared" si="11"/>
        <v>0</v>
      </c>
    </row>
    <row r="91" spans="1:7" ht="13.5" hidden="1" thickBot="1" x14ac:dyDescent="0.25">
      <c r="A91" s="15">
        <f t="shared" si="12"/>
        <v>71</v>
      </c>
      <c r="B91" s="30">
        <f t="shared" si="13"/>
        <v>0</v>
      </c>
      <c r="C91" s="30">
        <f t="shared" si="7"/>
        <v>0</v>
      </c>
      <c r="D91" s="30">
        <f t="shared" si="8"/>
        <v>0</v>
      </c>
      <c r="E91" s="31">
        <f t="shared" si="9"/>
        <v>0</v>
      </c>
      <c r="F91" s="30">
        <f t="shared" si="10"/>
        <v>0</v>
      </c>
      <c r="G91" s="11">
        <f t="shared" si="11"/>
        <v>0</v>
      </c>
    </row>
    <row r="92" spans="1:7" ht="13.5" hidden="1" thickBot="1" x14ac:dyDescent="0.25">
      <c r="A92" s="15">
        <f t="shared" si="12"/>
        <v>72</v>
      </c>
      <c r="B92" s="30">
        <f t="shared" si="13"/>
        <v>0</v>
      </c>
      <c r="C92" s="30">
        <f t="shared" si="7"/>
        <v>0</v>
      </c>
      <c r="D92" s="30">
        <f t="shared" si="8"/>
        <v>0</v>
      </c>
      <c r="E92" s="31">
        <f t="shared" si="9"/>
        <v>0</v>
      </c>
      <c r="F92" s="30">
        <f t="shared" si="10"/>
        <v>0</v>
      </c>
      <c r="G92" s="11">
        <f t="shared" si="11"/>
        <v>0</v>
      </c>
    </row>
    <row r="93" spans="1:7" ht="13.5" hidden="1" thickBot="1" x14ac:dyDescent="0.25">
      <c r="A93" s="15">
        <f t="shared" si="12"/>
        <v>73</v>
      </c>
      <c r="B93" s="30">
        <f t="shared" si="13"/>
        <v>0</v>
      </c>
      <c r="C93" s="30">
        <f t="shared" si="7"/>
        <v>0</v>
      </c>
      <c r="D93" s="30">
        <f t="shared" si="8"/>
        <v>0</v>
      </c>
      <c r="E93" s="31">
        <f t="shared" si="9"/>
        <v>0</v>
      </c>
      <c r="F93" s="30">
        <f t="shared" si="10"/>
        <v>0</v>
      </c>
      <c r="G93" s="11">
        <f t="shared" si="11"/>
        <v>0</v>
      </c>
    </row>
    <row r="94" spans="1:7" ht="13.5" hidden="1" thickBot="1" x14ac:dyDescent="0.25">
      <c r="A94" s="15">
        <f t="shared" si="12"/>
        <v>74</v>
      </c>
      <c r="B94" s="30">
        <f t="shared" si="13"/>
        <v>0</v>
      </c>
      <c r="C94" s="30">
        <f t="shared" si="7"/>
        <v>0</v>
      </c>
      <c r="D94" s="30">
        <f t="shared" si="8"/>
        <v>0</v>
      </c>
      <c r="E94" s="31">
        <f t="shared" si="9"/>
        <v>0</v>
      </c>
      <c r="F94" s="30">
        <f t="shared" si="10"/>
        <v>0</v>
      </c>
      <c r="G94" s="11">
        <f t="shared" si="11"/>
        <v>0</v>
      </c>
    </row>
    <row r="95" spans="1:7" ht="13.5" hidden="1" thickBot="1" x14ac:dyDescent="0.25">
      <c r="A95" s="15">
        <f t="shared" si="12"/>
        <v>75</v>
      </c>
      <c r="B95" s="30">
        <f t="shared" si="13"/>
        <v>0</v>
      </c>
      <c r="C95" s="30">
        <f t="shared" si="7"/>
        <v>0</v>
      </c>
      <c r="D95" s="30">
        <f t="shared" si="8"/>
        <v>0</v>
      </c>
      <c r="E95" s="31">
        <f t="shared" si="9"/>
        <v>0</v>
      </c>
      <c r="F95" s="30">
        <f t="shared" si="10"/>
        <v>0</v>
      </c>
      <c r="G95" s="11">
        <f t="shared" si="11"/>
        <v>0</v>
      </c>
    </row>
    <row r="96" spans="1:7" ht="13.5" hidden="1" thickBot="1" x14ac:dyDescent="0.25">
      <c r="A96" s="15">
        <f t="shared" si="12"/>
        <v>76</v>
      </c>
      <c r="B96" s="30">
        <f t="shared" si="13"/>
        <v>0</v>
      </c>
      <c r="C96" s="30">
        <f t="shared" si="7"/>
        <v>0</v>
      </c>
      <c r="D96" s="30">
        <f t="shared" si="8"/>
        <v>0</v>
      </c>
      <c r="E96" s="31">
        <f t="shared" si="9"/>
        <v>0</v>
      </c>
      <c r="F96" s="30">
        <f t="shared" si="10"/>
        <v>0</v>
      </c>
      <c r="G96" s="11">
        <f t="shared" si="11"/>
        <v>0</v>
      </c>
    </row>
    <row r="97" spans="1:7" ht="13.5" hidden="1" thickBot="1" x14ac:dyDescent="0.25">
      <c r="A97" s="15">
        <f t="shared" si="12"/>
        <v>77</v>
      </c>
      <c r="B97" s="30">
        <f t="shared" si="13"/>
        <v>0</v>
      </c>
      <c r="C97" s="30">
        <f t="shared" si="7"/>
        <v>0</v>
      </c>
      <c r="D97" s="30">
        <f t="shared" si="8"/>
        <v>0</v>
      </c>
      <c r="E97" s="31">
        <f t="shared" si="9"/>
        <v>0</v>
      </c>
      <c r="F97" s="30">
        <f t="shared" si="10"/>
        <v>0</v>
      </c>
      <c r="G97" s="11">
        <f t="shared" si="11"/>
        <v>0</v>
      </c>
    </row>
    <row r="98" spans="1:7" ht="13.5" hidden="1" thickBot="1" x14ac:dyDescent="0.25">
      <c r="A98" s="15">
        <f t="shared" si="12"/>
        <v>78</v>
      </c>
      <c r="B98" s="30">
        <f t="shared" si="13"/>
        <v>0</v>
      </c>
      <c r="C98" s="30">
        <f t="shared" si="7"/>
        <v>0</v>
      </c>
      <c r="D98" s="30">
        <f t="shared" si="8"/>
        <v>0</v>
      </c>
      <c r="E98" s="31">
        <f t="shared" si="9"/>
        <v>0</v>
      </c>
      <c r="F98" s="30">
        <f t="shared" si="10"/>
        <v>0</v>
      </c>
      <c r="G98" s="11">
        <f t="shared" si="11"/>
        <v>0</v>
      </c>
    </row>
    <row r="99" spans="1:7" ht="13.5" hidden="1" thickBot="1" x14ac:dyDescent="0.25">
      <c r="A99" s="15">
        <f t="shared" si="12"/>
        <v>79</v>
      </c>
      <c r="B99" s="30">
        <f t="shared" si="13"/>
        <v>0</v>
      </c>
      <c r="C99" s="30">
        <f t="shared" si="7"/>
        <v>0</v>
      </c>
      <c r="D99" s="30">
        <f t="shared" si="8"/>
        <v>0</v>
      </c>
      <c r="E99" s="31">
        <f t="shared" si="9"/>
        <v>0</v>
      </c>
      <c r="F99" s="30">
        <f t="shared" si="10"/>
        <v>0</v>
      </c>
      <c r="G99" s="11">
        <f t="shared" si="11"/>
        <v>0</v>
      </c>
    </row>
    <row r="100" spans="1:7" ht="13.5" hidden="1" thickBot="1" x14ac:dyDescent="0.25">
      <c r="A100" s="15">
        <f t="shared" si="12"/>
        <v>80</v>
      </c>
      <c r="B100" s="30">
        <f t="shared" si="13"/>
        <v>0</v>
      </c>
      <c r="C100" s="30">
        <f t="shared" si="7"/>
        <v>0</v>
      </c>
      <c r="D100" s="30">
        <f t="shared" si="8"/>
        <v>0</v>
      </c>
      <c r="E100" s="31">
        <f t="shared" si="9"/>
        <v>0</v>
      </c>
      <c r="F100" s="30">
        <f t="shared" si="10"/>
        <v>0</v>
      </c>
      <c r="G100" s="11">
        <f t="shared" si="11"/>
        <v>0</v>
      </c>
    </row>
    <row r="101" spans="1:7" ht="13.5" hidden="1" thickBot="1" x14ac:dyDescent="0.25">
      <c r="A101" s="15">
        <f t="shared" si="12"/>
        <v>81</v>
      </c>
      <c r="B101" s="30">
        <f t="shared" si="13"/>
        <v>0</v>
      </c>
      <c r="C101" s="30">
        <f t="shared" si="7"/>
        <v>0</v>
      </c>
      <c r="D101" s="30">
        <f t="shared" si="8"/>
        <v>0</v>
      </c>
      <c r="E101" s="31">
        <f t="shared" si="9"/>
        <v>0</v>
      </c>
      <c r="F101" s="30">
        <f t="shared" si="10"/>
        <v>0</v>
      </c>
      <c r="G101" s="11">
        <f t="shared" si="11"/>
        <v>0</v>
      </c>
    </row>
    <row r="102" spans="1:7" ht="13.5" hidden="1" thickBot="1" x14ac:dyDescent="0.25">
      <c r="A102" s="15">
        <f t="shared" si="12"/>
        <v>82</v>
      </c>
      <c r="B102" s="30">
        <f t="shared" si="13"/>
        <v>0</v>
      </c>
      <c r="C102" s="30">
        <f t="shared" si="7"/>
        <v>0</v>
      </c>
      <c r="D102" s="30">
        <f t="shared" si="8"/>
        <v>0</v>
      </c>
      <c r="E102" s="31">
        <f t="shared" si="9"/>
        <v>0</v>
      </c>
      <c r="F102" s="30">
        <f t="shared" si="10"/>
        <v>0</v>
      </c>
      <c r="G102" s="11">
        <f t="shared" si="11"/>
        <v>0</v>
      </c>
    </row>
    <row r="103" spans="1:7" ht="13.5" hidden="1" thickBot="1" x14ac:dyDescent="0.25">
      <c r="A103" s="15">
        <f t="shared" si="12"/>
        <v>83</v>
      </c>
      <c r="B103" s="30">
        <f t="shared" si="13"/>
        <v>0</v>
      </c>
      <c r="C103" s="30">
        <f t="shared" si="7"/>
        <v>0</v>
      </c>
      <c r="D103" s="30">
        <f t="shared" si="8"/>
        <v>0</v>
      </c>
      <c r="E103" s="31">
        <f t="shared" si="9"/>
        <v>0</v>
      </c>
      <c r="F103" s="30">
        <f t="shared" si="10"/>
        <v>0</v>
      </c>
      <c r="G103" s="11">
        <f t="shared" si="11"/>
        <v>0</v>
      </c>
    </row>
    <row r="104" spans="1:7" ht="13.5" hidden="1" thickBot="1" x14ac:dyDescent="0.25">
      <c r="A104" s="15">
        <f t="shared" si="12"/>
        <v>84</v>
      </c>
      <c r="B104" s="30">
        <f t="shared" si="13"/>
        <v>0</v>
      </c>
      <c r="C104" s="30">
        <f t="shared" si="7"/>
        <v>0</v>
      </c>
      <c r="D104" s="30">
        <f t="shared" si="8"/>
        <v>0</v>
      </c>
      <c r="E104" s="31">
        <f t="shared" si="9"/>
        <v>0</v>
      </c>
      <c r="F104" s="30">
        <f t="shared" si="10"/>
        <v>0</v>
      </c>
      <c r="G104" s="11">
        <f t="shared" si="11"/>
        <v>0</v>
      </c>
    </row>
    <row r="105" spans="1:7" ht="13.5" hidden="1" thickBot="1" x14ac:dyDescent="0.25">
      <c r="A105" s="15">
        <f t="shared" si="12"/>
        <v>85</v>
      </c>
      <c r="B105" s="30">
        <f t="shared" si="13"/>
        <v>0</v>
      </c>
      <c r="C105" s="30">
        <f t="shared" si="7"/>
        <v>0</v>
      </c>
      <c r="D105" s="30">
        <f t="shared" si="8"/>
        <v>0</v>
      </c>
      <c r="E105" s="31">
        <f t="shared" si="9"/>
        <v>0</v>
      </c>
      <c r="F105" s="30">
        <f t="shared" si="10"/>
        <v>0</v>
      </c>
      <c r="G105" s="11">
        <f t="shared" si="11"/>
        <v>0</v>
      </c>
    </row>
    <row r="106" spans="1:7" ht="13.5" hidden="1" thickBot="1" x14ac:dyDescent="0.25">
      <c r="A106" s="15">
        <f t="shared" si="12"/>
        <v>86</v>
      </c>
      <c r="B106" s="30">
        <f t="shared" si="13"/>
        <v>0</v>
      </c>
      <c r="C106" s="30">
        <f t="shared" si="7"/>
        <v>0</v>
      </c>
      <c r="D106" s="30">
        <f t="shared" si="8"/>
        <v>0</v>
      </c>
      <c r="E106" s="31">
        <f t="shared" si="9"/>
        <v>0</v>
      </c>
      <c r="F106" s="30">
        <f t="shared" si="10"/>
        <v>0</v>
      </c>
      <c r="G106" s="11">
        <f t="shared" si="11"/>
        <v>0</v>
      </c>
    </row>
    <row r="107" spans="1:7" ht="13.5" hidden="1" thickBot="1" x14ac:dyDescent="0.25">
      <c r="A107" s="15">
        <f t="shared" si="12"/>
        <v>87</v>
      </c>
      <c r="B107" s="30">
        <f t="shared" si="13"/>
        <v>0</v>
      </c>
      <c r="C107" s="30">
        <f t="shared" si="7"/>
        <v>0</v>
      </c>
      <c r="D107" s="30">
        <f t="shared" si="8"/>
        <v>0</v>
      </c>
      <c r="E107" s="31">
        <f t="shared" si="9"/>
        <v>0</v>
      </c>
      <c r="F107" s="30">
        <f t="shared" si="10"/>
        <v>0</v>
      </c>
      <c r="G107" s="11">
        <f t="shared" si="11"/>
        <v>0</v>
      </c>
    </row>
    <row r="108" spans="1:7" ht="13.5" hidden="1" thickBot="1" x14ac:dyDescent="0.25">
      <c r="A108" s="15">
        <f t="shared" si="12"/>
        <v>88</v>
      </c>
      <c r="B108" s="30">
        <f t="shared" si="13"/>
        <v>0</v>
      </c>
      <c r="C108" s="30">
        <f t="shared" si="7"/>
        <v>0</v>
      </c>
      <c r="D108" s="30">
        <f t="shared" si="8"/>
        <v>0</v>
      </c>
      <c r="E108" s="31">
        <f t="shared" si="9"/>
        <v>0</v>
      </c>
      <c r="F108" s="30">
        <f t="shared" si="10"/>
        <v>0</v>
      </c>
      <c r="G108" s="11">
        <f t="shared" si="11"/>
        <v>0</v>
      </c>
    </row>
    <row r="109" spans="1:7" ht="13.5" hidden="1" thickBot="1" x14ac:dyDescent="0.25">
      <c r="A109" s="15">
        <f t="shared" si="12"/>
        <v>89</v>
      </c>
      <c r="B109" s="30">
        <f t="shared" si="13"/>
        <v>0</v>
      </c>
      <c r="C109" s="30">
        <f t="shared" si="7"/>
        <v>0</v>
      </c>
      <c r="D109" s="30">
        <f t="shared" si="8"/>
        <v>0</v>
      </c>
      <c r="E109" s="31">
        <f t="shared" si="9"/>
        <v>0</v>
      </c>
      <c r="F109" s="30">
        <f t="shared" si="10"/>
        <v>0</v>
      </c>
      <c r="G109" s="11">
        <f t="shared" si="11"/>
        <v>0</v>
      </c>
    </row>
    <row r="110" spans="1:7" ht="13.5" hidden="1" thickBot="1" x14ac:dyDescent="0.25">
      <c r="A110" s="15">
        <f t="shared" si="12"/>
        <v>90</v>
      </c>
      <c r="B110" s="30">
        <f t="shared" si="13"/>
        <v>0</v>
      </c>
      <c r="C110" s="30">
        <f t="shared" si="7"/>
        <v>0</v>
      </c>
      <c r="D110" s="30">
        <f t="shared" si="8"/>
        <v>0</v>
      </c>
      <c r="E110" s="31">
        <f t="shared" si="9"/>
        <v>0</v>
      </c>
      <c r="F110" s="30">
        <f t="shared" si="10"/>
        <v>0</v>
      </c>
      <c r="G110" s="11">
        <f t="shared" si="11"/>
        <v>0</v>
      </c>
    </row>
    <row r="111" spans="1:7" ht="13.5" hidden="1" thickBot="1" x14ac:dyDescent="0.25">
      <c r="A111" s="15">
        <f t="shared" si="12"/>
        <v>91</v>
      </c>
      <c r="B111" s="30">
        <f t="shared" si="13"/>
        <v>0</v>
      </c>
      <c r="C111" s="30">
        <f t="shared" si="7"/>
        <v>0</v>
      </c>
      <c r="D111" s="30">
        <f t="shared" si="8"/>
        <v>0</v>
      </c>
      <c r="E111" s="31">
        <f t="shared" si="9"/>
        <v>0</v>
      </c>
      <c r="F111" s="30">
        <f t="shared" si="10"/>
        <v>0</v>
      </c>
      <c r="G111" s="11">
        <f t="shared" si="11"/>
        <v>0</v>
      </c>
    </row>
    <row r="112" spans="1:7" ht="13.5" hidden="1" thickBot="1" x14ac:dyDescent="0.25">
      <c r="A112" s="15">
        <f t="shared" si="12"/>
        <v>92</v>
      </c>
      <c r="B112" s="30">
        <f t="shared" si="13"/>
        <v>0</v>
      </c>
      <c r="C112" s="30">
        <f t="shared" si="7"/>
        <v>0</v>
      </c>
      <c r="D112" s="30">
        <f t="shared" si="8"/>
        <v>0</v>
      </c>
      <c r="E112" s="31">
        <f t="shared" si="9"/>
        <v>0</v>
      </c>
      <c r="F112" s="30">
        <f t="shared" si="10"/>
        <v>0</v>
      </c>
      <c r="G112" s="11">
        <f t="shared" si="11"/>
        <v>0</v>
      </c>
    </row>
    <row r="113" spans="1:7" ht="13.5" hidden="1" thickBot="1" x14ac:dyDescent="0.25">
      <c r="A113" s="15">
        <f t="shared" si="12"/>
        <v>93</v>
      </c>
      <c r="B113" s="30">
        <f t="shared" si="13"/>
        <v>0</v>
      </c>
      <c r="C113" s="30">
        <f t="shared" si="7"/>
        <v>0</v>
      </c>
      <c r="D113" s="30">
        <f t="shared" si="8"/>
        <v>0</v>
      </c>
      <c r="E113" s="31">
        <f t="shared" si="9"/>
        <v>0</v>
      </c>
      <c r="F113" s="30">
        <f t="shared" si="10"/>
        <v>0</v>
      </c>
      <c r="G113" s="11">
        <f t="shared" si="11"/>
        <v>0</v>
      </c>
    </row>
    <row r="114" spans="1:7" ht="13.5" hidden="1" thickBot="1" x14ac:dyDescent="0.25">
      <c r="A114" s="15">
        <f t="shared" si="12"/>
        <v>94</v>
      </c>
      <c r="B114" s="30">
        <f t="shared" si="13"/>
        <v>0</v>
      </c>
      <c r="C114" s="30">
        <f t="shared" si="7"/>
        <v>0</v>
      </c>
      <c r="D114" s="30">
        <f t="shared" si="8"/>
        <v>0</v>
      </c>
      <c r="E114" s="31">
        <f t="shared" si="9"/>
        <v>0</v>
      </c>
      <c r="F114" s="30">
        <f t="shared" si="10"/>
        <v>0</v>
      </c>
      <c r="G114" s="11">
        <f t="shared" si="11"/>
        <v>0</v>
      </c>
    </row>
    <row r="115" spans="1:7" ht="13.5" hidden="1" thickBot="1" x14ac:dyDescent="0.25">
      <c r="A115" s="15">
        <f t="shared" si="12"/>
        <v>95</v>
      </c>
      <c r="B115" s="30">
        <f t="shared" si="13"/>
        <v>0</v>
      </c>
      <c r="C115" s="30">
        <f t="shared" si="7"/>
        <v>0</v>
      </c>
      <c r="D115" s="30">
        <f t="shared" si="8"/>
        <v>0</v>
      </c>
      <c r="E115" s="31">
        <f t="shared" si="9"/>
        <v>0</v>
      </c>
      <c r="F115" s="30">
        <f t="shared" si="10"/>
        <v>0</v>
      </c>
      <c r="G115" s="11">
        <f t="shared" si="11"/>
        <v>0</v>
      </c>
    </row>
    <row r="116" spans="1:7" ht="13.5" hidden="1" thickBot="1" x14ac:dyDescent="0.25">
      <c r="A116" s="15">
        <f t="shared" si="12"/>
        <v>96</v>
      </c>
      <c r="B116" s="30">
        <f t="shared" si="13"/>
        <v>0</v>
      </c>
      <c r="C116" s="30">
        <f t="shared" si="7"/>
        <v>0</v>
      </c>
      <c r="D116" s="30">
        <f t="shared" si="8"/>
        <v>0</v>
      </c>
      <c r="E116" s="31">
        <f t="shared" si="9"/>
        <v>0</v>
      </c>
      <c r="F116" s="30">
        <f t="shared" si="10"/>
        <v>0</v>
      </c>
      <c r="G116" s="11">
        <f t="shared" si="11"/>
        <v>0</v>
      </c>
    </row>
    <row r="117" spans="1:7" ht="13.5" hidden="1" thickBot="1" x14ac:dyDescent="0.25">
      <c r="A117" s="15">
        <f t="shared" si="12"/>
        <v>97</v>
      </c>
      <c r="B117" s="30">
        <f t="shared" si="13"/>
        <v>0</v>
      </c>
      <c r="C117" s="30">
        <f t="shared" si="7"/>
        <v>0</v>
      </c>
      <c r="D117" s="30">
        <f t="shared" si="8"/>
        <v>0</v>
      </c>
      <c r="E117" s="31">
        <f t="shared" si="9"/>
        <v>0</v>
      </c>
      <c r="F117" s="30">
        <f t="shared" si="10"/>
        <v>0</v>
      </c>
      <c r="G117" s="11">
        <f t="shared" si="11"/>
        <v>0</v>
      </c>
    </row>
    <row r="118" spans="1:7" ht="13.5" hidden="1" thickBot="1" x14ac:dyDescent="0.25">
      <c r="A118" s="15">
        <f t="shared" si="12"/>
        <v>98</v>
      </c>
      <c r="B118" s="30">
        <f t="shared" si="13"/>
        <v>0</v>
      </c>
      <c r="C118" s="30">
        <f t="shared" si="7"/>
        <v>0</v>
      </c>
      <c r="D118" s="30">
        <f t="shared" si="8"/>
        <v>0</v>
      </c>
      <c r="E118" s="31">
        <f t="shared" si="9"/>
        <v>0</v>
      </c>
      <c r="F118" s="30">
        <f t="shared" si="10"/>
        <v>0</v>
      </c>
      <c r="G118" s="11">
        <f t="shared" si="11"/>
        <v>0</v>
      </c>
    </row>
    <row r="119" spans="1:7" ht="13.5" hidden="1" thickBot="1" x14ac:dyDescent="0.25">
      <c r="A119" s="15">
        <f t="shared" si="12"/>
        <v>99</v>
      </c>
      <c r="B119" s="30">
        <f t="shared" si="13"/>
        <v>0</v>
      </c>
      <c r="C119" s="30">
        <f t="shared" si="7"/>
        <v>0</v>
      </c>
      <c r="D119" s="30">
        <f t="shared" si="8"/>
        <v>0</v>
      </c>
      <c r="E119" s="31">
        <f t="shared" si="9"/>
        <v>0</v>
      </c>
      <c r="F119" s="30">
        <f t="shared" si="10"/>
        <v>0</v>
      </c>
      <c r="G119" s="11">
        <f t="shared" si="11"/>
        <v>0</v>
      </c>
    </row>
    <row r="120" spans="1:7" ht="13.5" hidden="1" thickBot="1" x14ac:dyDescent="0.25">
      <c r="A120" s="15">
        <f t="shared" si="12"/>
        <v>100</v>
      </c>
      <c r="B120" s="30">
        <f t="shared" si="13"/>
        <v>0</v>
      </c>
      <c r="C120" s="30">
        <f t="shared" si="7"/>
        <v>0</v>
      </c>
      <c r="D120" s="30">
        <f t="shared" si="8"/>
        <v>0</v>
      </c>
      <c r="E120" s="31">
        <f t="shared" si="9"/>
        <v>0</v>
      </c>
      <c r="F120" s="30">
        <f t="shared" si="10"/>
        <v>0</v>
      </c>
      <c r="G120" s="11">
        <f t="shared" si="11"/>
        <v>0</v>
      </c>
    </row>
    <row r="121" spans="1:7" ht="13.5" hidden="1" thickBot="1" x14ac:dyDescent="0.25">
      <c r="A121" s="15">
        <f t="shared" si="12"/>
        <v>101</v>
      </c>
      <c r="B121" s="30">
        <f t="shared" si="13"/>
        <v>0</v>
      </c>
      <c r="C121" s="30">
        <f t="shared" si="7"/>
        <v>0</v>
      </c>
      <c r="D121" s="30">
        <f t="shared" si="8"/>
        <v>0</v>
      </c>
      <c r="E121" s="31">
        <f t="shared" si="9"/>
        <v>0</v>
      </c>
      <c r="F121" s="30">
        <f t="shared" si="10"/>
        <v>0</v>
      </c>
      <c r="G121" s="11">
        <f t="shared" si="11"/>
        <v>0</v>
      </c>
    </row>
    <row r="122" spans="1:7" ht="13.5" hidden="1" thickBot="1" x14ac:dyDescent="0.25">
      <c r="A122" s="15">
        <f t="shared" si="12"/>
        <v>102</v>
      </c>
      <c r="B122" s="30">
        <f t="shared" si="13"/>
        <v>0</v>
      </c>
      <c r="C122" s="30">
        <f t="shared" si="7"/>
        <v>0</v>
      </c>
      <c r="D122" s="30">
        <f t="shared" si="8"/>
        <v>0</v>
      </c>
      <c r="E122" s="31">
        <f t="shared" si="9"/>
        <v>0</v>
      </c>
      <c r="F122" s="30">
        <f t="shared" si="10"/>
        <v>0</v>
      </c>
      <c r="G122" s="11">
        <f t="shared" si="11"/>
        <v>0</v>
      </c>
    </row>
    <row r="123" spans="1:7" ht="13.5" hidden="1" thickBot="1" x14ac:dyDescent="0.25">
      <c r="A123" s="15">
        <f t="shared" si="12"/>
        <v>103</v>
      </c>
      <c r="B123" s="30">
        <f t="shared" si="13"/>
        <v>0</v>
      </c>
      <c r="C123" s="30">
        <f t="shared" si="7"/>
        <v>0</v>
      </c>
      <c r="D123" s="30">
        <f t="shared" si="8"/>
        <v>0</v>
      </c>
      <c r="E123" s="31">
        <f t="shared" si="9"/>
        <v>0</v>
      </c>
      <c r="F123" s="30">
        <f t="shared" si="10"/>
        <v>0</v>
      </c>
      <c r="G123" s="11">
        <f t="shared" si="11"/>
        <v>0</v>
      </c>
    </row>
    <row r="124" spans="1:7" ht="13.5" hidden="1" thickBot="1" x14ac:dyDescent="0.25">
      <c r="A124" s="15">
        <f t="shared" si="12"/>
        <v>104</v>
      </c>
      <c r="B124" s="30">
        <f t="shared" si="13"/>
        <v>0</v>
      </c>
      <c r="C124" s="30">
        <f t="shared" si="7"/>
        <v>0</v>
      </c>
      <c r="D124" s="30">
        <f t="shared" si="8"/>
        <v>0</v>
      </c>
      <c r="E124" s="31">
        <f t="shared" si="9"/>
        <v>0</v>
      </c>
      <c r="F124" s="30">
        <f t="shared" si="10"/>
        <v>0</v>
      </c>
      <c r="G124" s="11">
        <f t="shared" si="11"/>
        <v>0</v>
      </c>
    </row>
    <row r="125" spans="1:7" ht="13.5" hidden="1" thickBot="1" x14ac:dyDescent="0.25">
      <c r="A125" s="15">
        <f t="shared" si="12"/>
        <v>105</v>
      </c>
      <c r="B125" s="30">
        <f t="shared" si="13"/>
        <v>0</v>
      </c>
      <c r="C125" s="30">
        <f t="shared" si="7"/>
        <v>0</v>
      </c>
      <c r="D125" s="30">
        <f t="shared" si="8"/>
        <v>0</v>
      </c>
      <c r="E125" s="31">
        <f t="shared" si="9"/>
        <v>0</v>
      </c>
      <c r="F125" s="30">
        <f t="shared" si="10"/>
        <v>0</v>
      </c>
      <c r="G125" s="11">
        <f t="shared" si="11"/>
        <v>0</v>
      </c>
    </row>
    <row r="126" spans="1:7" ht="13.5" hidden="1" thickBot="1" x14ac:dyDescent="0.25">
      <c r="A126" s="15">
        <f t="shared" si="12"/>
        <v>106</v>
      </c>
      <c r="B126" s="30">
        <f t="shared" si="13"/>
        <v>0</v>
      </c>
      <c r="C126" s="30">
        <f t="shared" si="7"/>
        <v>0</v>
      </c>
      <c r="D126" s="30">
        <f t="shared" si="8"/>
        <v>0</v>
      </c>
      <c r="E126" s="31">
        <f t="shared" si="9"/>
        <v>0</v>
      </c>
      <c r="F126" s="30">
        <f t="shared" si="10"/>
        <v>0</v>
      </c>
      <c r="G126" s="11">
        <f t="shared" si="11"/>
        <v>0</v>
      </c>
    </row>
    <row r="127" spans="1:7" ht="13.5" hidden="1" thickBot="1" x14ac:dyDescent="0.25">
      <c r="A127" s="15">
        <f t="shared" si="12"/>
        <v>107</v>
      </c>
      <c r="B127" s="30">
        <f t="shared" si="13"/>
        <v>0</v>
      </c>
      <c r="C127" s="30">
        <f t="shared" si="7"/>
        <v>0</v>
      </c>
      <c r="D127" s="30">
        <f t="shared" si="8"/>
        <v>0</v>
      </c>
      <c r="E127" s="31">
        <f t="shared" si="9"/>
        <v>0</v>
      </c>
      <c r="F127" s="30">
        <f t="shared" si="10"/>
        <v>0</v>
      </c>
      <c r="G127" s="11">
        <f t="shared" si="11"/>
        <v>0</v>
      </c>
    </row>
    <row r="128" spans="1:7" ht="13.5" hidden="1" thickBot="1" x14ac:dyDescent="0.25">
      <c r="A128" s="15">
        <f t="shared" si="12"/>
        <v>108</v>
      </c>
      <c r="B128" s="30">
        <f t="shared" si="13"/>
        <v>0</v>
      </c>
      <c r="C128" s="30">
        <f t="shared" si="7"/>
        <v>0</v>
      </c>
      <c r="D128" s="30">
        <f t="shared" si="8"/>
        <v>0</v>
      </c>
      <c r="E128" s="31">
        <f t="shared" si="9"/>
        <v>0</v>
      </c>
      <c r="F128" s="30">
        <f t="shared" si="10"/>
        <v>0</v>
      </c>
      <c r="G128" s="11">
        <f t="shared" si="11"/>
        <v>0</v>
      </c>
    </row>
    <row r="129" spans="1:7" ht="13.5" hidden="1" thickBot="1" x14ac:dyDescent="0.25">
      <c r="A129" s="15">
        <f t="shared" si="12"/>
        <v>109</v>
      </c>
      <c r="B129" s="30">
        <f t="shared" si="13"/>
        <v>0</v>
      </c>
      <c r="C129" s="30">
        <f t="shared" si="7"/>
        <v>0</v>
      </c>
      <c r="D129" s="30">
        <f t="shared" si="8"/>
        <v>0</v>
      </c>
      <c r="E129" s="31">
        <f t="shared" si="9"/>
        <v>0</v>
      </c>
      <c r="F129" s="30">
        <f t="shared" si="10"/>
        <v>0</v>
      </c>
      <c r="G129" s="11">
        <f t="shared" si="11"/>
        <v>0</v>
      </c>
    </row>
    <row r="130" spans="1:7" ht="13.5" hidden="1" thickBot="1" x14ac:dyDescent="0.25">
      <c r="A130" s="15">
        <f t="shared" si="12"/>
        <v>110</v>
      </c>
      <c r="B130" s="30">
        <f t="shared" si="13"/>
        <v>0</v>
      </c>
      <c r="C130" s="30">
        <f t="shared" si="7"/>
        <v>0</v>
      </c>
      <c r="D130" s="30">
        <f t="shared" si="8"/>
        <v>0</v>
      </c>
      <c r="E130" s="31">
        <f t="shared" si="9"/>
        <v>0</v>
      </c>
      <c r="F130" s="30">
        <f t="shared" si="10"/>
        <v>0</v>
      </c>
      <c r="G130" s="11">
        <f t="shared" si="11"/>
        <v>0</v>
      </c>
    </row>
    <row r="131" spans="1:7" ht="13.5" hidden="1" thickBot="1" x14ac:dyDescent="0.25">
      <c r="A131" s="15">
        <f t="shared" si="12"/>
        <v>111</v>
      </c>
      <c r="B131" s="30">
        <f t="shared" si="13"/>
        <v>0</v>
      </c>
      <c r="C131" s="30">
        <f t="shared" si="7"/>
        <v>0</v>
      </c>
      <c r="D131" s="30">
        <f t="shared" si="8"/>
        <v>0</v>
      </c>
      <c r="E131" s="31">
        <f t="shared" si="9"/>
        <v>0</v>
      </c>
      <c r="F131" s="30">
        <f t="shared" si="10"/>
        <v>0</v>
      </c>
      <c r="G131" s="11">
        <f t="shared" si="11"/>
        <v>0</v>
      </c>
    </row>
    <row r="132" spans="1:7" ht="13.5" hidden="1" thickBot="1" x14ac:dyDescent="0.25">
      <c r="A132" s="15">
        <f t="shared" si="12"/>
        <v>112</v>
      </c>
      <c r="B132" s="30">
        <f t="shared" si="13"/>
        <v>0</v>
      </c>
      <c r="C132" s="30">
        <f t="shared" si="7"/>
        <v>0</v>
      </c>
      <c r="D132" s="30">
        <f t="shared" si="8"/>
        <v>0</v>
      </c>
      <c r="E132" s="31">
        <f t="shared" si="9"/>
        <v>0</v>
      </c>
      <c r="F132" s="30">
        <f t="shared" si="10"/>
        <v>0</v>
      </c>
      <c r="G132" s="11">
        <f t="shared" si="11"/>
        <v>0</v>
      </c>
    </row>
    <row r="133" spans="1:7" ht="13.5" hidden="1" thickBot="1" x14ac:dyDescent="0.25">
      <c r="A133" s="15">
        <f t="shared" si="12"/>
        <v>113</v>
      </c>
      <c r="B133" s="30">
        <f t="shared" si="13"/>
        <v>0</v>
      </c>
      <c r="C133" s="30">
        <f t="shared" si="7"/>
        <v>0</v>
      </c>
      <c r="D133" s="30">
        <f t="shared" si="8"/>
        <v>0</v>
      </c>
      <c r="E133" s="31">
        <f t="shared" si="9"/>
        <v>0</v>
      </c>
      <c r="F133" s="30">
        <f t="shared" si="10"/>
        <v>0</v>
      </c>
      <c r="G133" s="11">
        <f t="shared" si="11"/>
        <v>0</v>
      </c>
    </row>
    <row r="134" spans="1:7" ht="13.5" hidden="1" thickBot="1" x14ac:dyDescent="0.25">
      <c r="A134" s="15">
        <f t="shared" si="12"/>
        <v>114</v>
      </c>
      <c r="B134" s="30">
        <f t="shared" si="13"/>
        <v>0</v>
      </c>
      <c r="C134" s="30">
        <f t="shared" si="7"/>
        <v>0</v>
      </c>
      <c r="D134" s="30">
        <f t="shared" si="8"/>
        <v>0</v>
      </c>
      <c r="E134" s="31">
        <f t="shared" si="9"/>
        <v>0</v>
      </c>
      <c r="F134" s="30">
        <f t="shared" si="10"/>
        <v>0</v>
      </c>
      <c r="G134" s="11">
        <f t="shared" si="11"/>
        <v>0</v>
      </c>
    </row>
    <row r="135" spans="1:7" ht="13.5" hidden="1" thickBot="1" x14ac:dyDescent="0.25">
      <c r="A135" s="15">
        <f t="shared" si="12"/>
        <v>115</v>
      </c>
      <c r="B135" s="30">
        <f t="shared" si="13"/>
        <v>0</v>
      </c>
      <c r="C135" s="30">
        <f t="shared" si="7"/>
        <v>0</v>
      </c>
      <c r="D135" s="30">
        <f t="shared" si="8"/>
        <v>0</v>
      </c>
      <c r="E135" s="31">
        <f t="shared" si="9"/>
        <v>0</v>
      </c>
      <c r="F135" s="30">
        <f t="shared" si="10"/>
        <v>0</v>
      </c>
      <c r="G135" s="11">
        <f t="shared" si="11"/>
        <v>0</v>
      </c>
    </row>
    <row r="136" spans="1:7" ht="13.5" hidden="1" thickBot="1" x14ac:dyDescent="0.25">
      <c r="A136" s="15">
        <f t="shared" si="12"/>
        <v>116</v>
      </c>
      <c r="B136" s="30">
        <f t="shared" si="13"/>
        <v>0</v>
      </c>
      <c r="C136" s="30">
        <f t="shared" si="7"/>
        <v>0</v>
      </c>
      <c r="D136" s="30">
        <f t="shared" si="8"/>
        <v>0</v>
      </c>
      <c r="E136" s="31">
        <f t="shared" si="9"/>
        <v>0</v>
      </c>
      <c r="F136" s="30">
        <f t="shared" si="10"/>
        <v>0</v>
      </c>
      <c r="G136" s="11">
        <f t="shared" si="11"/>
        <v>0</v>
      </c>
    </row>
    <row r="137" spans="1:7" ht="13.5" hidden="1" thickBot="1" x14ac:dyDescent="0.25">
      <c r="A137" s="15">
        <f t="shared" si="12"/>
        <v>117</v>
      </c>
      <c r="B137" s="30">
        <f t="shared" si="13"/>
        <v>0</v>
      </c>
      <c r="C137" s="30">
        <f t="shared" si="7"/>
        <v>0</v>
      </c>
      <c r="D137" s="30">
        <f t="shared" si="8"/>
        <v>0</v>
      </c>
      <c r="E137" s="31">
        <f t="shared" si="9"/>
        <v>0</v>
      </c>
      <c r="F137" s="30">
        <f t="shared" si="10"/>
        <v>0</v>
      </c>
      <c r="G137" s="11">
        <f t="shared" si="11"/>
        <v>0</v>
      </c>
    </row>
    <row r="138" spans="1:7" ht="13.5" hidden="1" thickBot="1" x14ac:dyDescent="0.25">
      <c r="A138" s="15">
        <f t="shared" si="12"/>
        <v>118</v>
      </c>
      <c r="B138" s="30">
        <f t="shared" si="13"/>
        <v>0</v>
      </c>
      <c r="C138" s="30">
        <f t="shared" si="7"/>
        <v>0</v>
      </c>
      <c r="D138" s="30">
        <f t="shared" si="8"/>
        <v>0</v>
      </c>
      <c r="E138" s="31">
        <f t="shared" si="9"/>
        <v>0</v>
      </c>
      <c r="F138" s="30">
        <f t="shared" si="10"/>
        <v>0</v>
      </c>
      <c r="G138" s="11">
        <f t="shared" si="11"/>
        <v>0</v>
      </c>
    </row>
    <row r="139" spans="1:7" ht="13.5" hidden="1" thickBot="1" x14ac:dyDescent="0.25">
      <c r="A139" s="15">
        <f t="shared" si="12"/>
        <v>119</v>
      </c>
      <c r="B139" s="30">
        <f t="shared" si="13"/>
        <v>0</v>
      </c>
      <c r="C139" s="30">
        <f t="shared" si="7"/>
        <v>0</v>
      </c>
      <c r="D139" s="30">
        <f t="shared" si="8"/>
        <v>0</v>
      </c>
      <c r="E139" s="31">
        <f t="shared" si="9"/>
        <v>0</v>
      </c>
      <c r="F139" s="30">
        <f t="shared" si="10"/>
        <v>0</v>
      </c>
      <c r="G139" s="11">
        <f t="shared" si="11"/>
        <v>0</v>
      </c>
    </row>
    <row r="140" spans="1:7" ht="13.5" hidden="1" thickBot="1" x14ac:dyDescent="0.25">
      <c r="A140" s="15">
        <f t="shared" si="12"/>
        <v>120</v>
      </c>
      <c r="B140" s="30">
        <f t="shared" si="13"/>
        <v>0</v>
      </c>
      <c r="C140" s="30">
        <f t="shared" si="7"/>
        <v>0</v>
      </c>
      <c r="D140" s="30">
        <f t="shared" si="8"/>
        <v>0</v>
      </c>
      <c r="E140" s="31">
        <f t="shared" si="9"/>
        <v>0</v>
      </c>
      <c r="F140" s="30">
        <f t="shared" si="10"/>
        <v>0</v>
      </c>
      <c r="G140" s="11">
        <f t="shared" si="11"/>
        <v>0</v>
      </c>
    </row>
    <row r="141" spans="1:7" ht="13.5" hidden="1" thickBot="1" x14ac:dyDescent="0.25">
      <c r="A141" s="15">
        <f t="shared" si="12"/>
        <v>121</v>
      </c>
      <c r="B141" s="30">
        <f t="shared" si="13"/>
        <v>0</v>
      </c>
      <c r="C141" s="30">
        <f t="shared" si="7"/>
        <v>0</v>
      </c>
      <c r="D141" s="30">
        <f t="shared" si="8"/>
        <v>0</v>
      </c>
      <c r="E141" s="31">
        <f t="shared" si="9"/>
        <v>0</v>
      </c>
      <c r="F141" s="30">
        <f t="shared" si="10"/>
        <v>0</v>
      </c>
      <c r="G141" s="11">
        <f t="shared" si="11"/>
        <v>0</v>
      </c>
    </row>
    <row r="142" spans="1:7" ht="13.5" hidden="1" thickBot="1" x14ac:dyDescent="0.25">
      <c r="A142" s="15">
        <f t="shared" si="12"/>
        <v>122</v>
      </c>
      <c r="B142" s="30">
        <f t="shared" si="13"/>
        <v>0</v>
      </c>
      <c r="C142" s="30">
        <f t="shared" si="7"/>
        <v>0</v>
      </c>
      <c r="D142" s="30">
        <f t="shared" si="8"/>
        <v>0</v>
      </c>
      <c r="E142" s="31">
        <f t="shared" si="9"/>
        <v>0</v>
      </c>
      <c r="F142" s="30">
        <f t="shared" si="10"/>
        <v>0</v>
      </c>
      <c r="G142" s="11">
        <f t="shared" si="11"/>
        <v>0</v>
      </c>
    </row>
    <row r="143" spans="1:7" ht="13.5" hidden="1" thickBot="1" x14ac:dyDescent="0.25">
      <c r="A143" s="15">
        <f t="shared" si="12"/>
        <v>123</v>
      </c>
      <c r="B143" s="30">
        <f t="shared" si="13"/>
        <v>0</v>
      </c>
      <c r="C143" s="30">
        <f t="shared" si="7"/>
        <v>0</v>
      </c>
      <c r="D143" s="30">
        <f t="shared" si="8"/>
        <v>0</v>
      </c>
      <c r="E143" s="31">
        <f t="shared" si="9"/>
        <v>0</v>
      </c>
      <c r="F143" s="30">
        <f t="shared" si="10"/>
        <v>0</v>
      </c>
      <c r="G143" s="11">
        <f t="shared" si="11"/>
        <v>0</v>
      </c>
    </row>
    <row r="144" spans="1:7" ht="13.5" hidden="1" thickBot="1" x14ac:dyDescent="0.25">
      <c r="A144" s="15">
        <f t="shared" si="12"/>
        <v>124</v>
      </c>
      <c r="B144" s="30">
        <f t="shared" si="13"/>
        <v>0</v>
      </c>
      <c r="C144" s="30">
        <f t="shared" si="7"/>
        <v>0</v>
      </c>
      <c r="D144" s="30">
        <f t="shared" si="8"/>
        <v>0</v>
      </c>
      <c r="E144" s="31">
        <f t="shared" si="9"/>
        <v>0</v>
      </c>
      <c r="F144" s="30">
        <f t="shared" si="10"/>
        <v>0</v>
      </c>
      <c r="G144" s="11">
        <f t="shared" si="11"/>
        <v>0</v>
      </c>
    </row>
    <row r="145" spans="1:7" ht="13.5" hidden="1" thickBot="1" x14ac:dyDescent="0.25">
      <c r="A145" s="15">
        <f t="shared" si="12"/>
        <v>125</v>
      </c>
      <c r="B145" s="30">
        <f t="shared" si="13"/>
        <v>0</v>
      </c>
      <c r="C145" s="30">
        <f t="shared" si="7"/>
        <v>0</v>
      </c>
      <c r="D145" s="30">
        <f t="shared" si="8"/>
        <v>0</v>
      </c>
      <c r="E145" s="31">
        <f t="shared" si="9"/>
        <v>0</v>
      </c>
      <c r="F145" s="30">
        <f t="shared" si="10"/>
        <v>0</v>
      </c>
      <c r="G145" s="11">
        <f t="shared" si="11"/>
        <v>0</v>
      </c>
    </row>
    <row r="146" spans="1:7" ht="13.5" hidden="1" thickBot="1" x14ac:dyDescent="0.25">
      <c r="A146" s="15">
        <f t="shared" si="12"/>
        <v>126</v>
      </c>
      <c r="B146" s="30">
        <f t="shared" si="13"/>
        <v>0</v>
      </c>
      <c r="C146" s="30">
        <f t="shared" si="7"/>
        <v>0</v>
      </c>
      <c r="D146" s="30">
        <f t="shared" si="8"/>
        <v>0</v>
      </c>
      <c r="E146" s="31">
        <f t="shared" si="9"/>
        <v>0</v>
      </c>
      <c r="F146" s="30">
        <f t="shared" si="10"/>
        <v>0</v>
      </c>
      <c r="G146" s="11">
        <f t="shared" si="11"/>
        <v>0</v>
      </c>
    </row>
    <row r="147" spans="1:7" ht="13.5" hidden="1" thickBot="1" x14ac:dyDescent="0.25">
      <c r="A147" s="15">
        <f t="shared" si="12"/>
        <v>127</v>
      </c>
      <c r="B147" s="30">
        <f t="shared" si="13"/>
        <v>0</v>
      </c>
      <c r="C147" s="30">
        <f t="shared" si="7"/>
        <v>0</v>
      </c>
      <c r="D147" s="30">
        <f t="shared" si="8"/>
        <v>0</v>
      </c>
      <c r="E147" s="31">
        <f t="shared" si="9"/>
        <v>0</v>
      </c>
      <c r="F147" s="30">
        <f t="shared" si="10"/>
        <v>0</v>
      </c>
      <c r="G147" s="11">
        <f t="shared" si="11"/>
        <v>0</v>
      </c>
    </row>
    <row r="148" spans="1:7" ht="13.5" hidden="1" thickBot="1" x14ac:dyDescent="0.25">
      <c r="A148" s="15">
        <f t="shared" si="12"/>
        <v>128</v>
      </c>
      <c r="B148" s="30">
        <f t="shared" si="13"/>
        <v>0</v>
      </c>
      <c r="C148" s="30">
        <f t="shared" si="7"/>
        <v>0</v>
      </c>
      <c r="D148" s="30">
        <f t="shared" si="8"/>
        <v>0</v>
      </c>
      <c r="E148" s="31">
        <f t="shared" si="9"/>
        <v>0</v>
      </c>
      <c r="F148" s="30">
        <f t="shared" si="10"/>
        <v>0</v>
      </c>
      <c r="G148" s="11">
        <f t="shared" si="11"/>
        <v>0</v>
      </c>
    </row>
    <row r="149" spans="1:7" ht="13.5" hidden="1" thickBot="1" x14ac:dyDescent="0.25">
      <c r="A149" s="15">
        <f t="shared" si="12"/>
        <v>129</v>
      </c>
      <c r="B149" s="30">
        <f t="shared" si="13"/>
        <v>0</v>
      </c>
      <c r="C149" s="30">
        <f t="shared" ref="C149:C212" si="14">IF(A149&lt;=$D$9,$D$14*-1,0)</f>
        <v>0</v>
      </c>
      <c r="D149" s="30">
        <f t="shared" ref="D149:D212" si="15">IF(A149&gt;$D$9,0,$D$11*-1)</f>
        <v>0</v>
      </c>
      <c r="E149" s="31">
        <f t="shared" ref="E149:E212" si="16">B149*$D$10</f>
        <v>0</v>
      </c>
      <c r="F149" s="30">
        <f t="shared" ref="F149:F212" si="17">D149-E149</f>
        <v>0</v>
      </c>
      <c r="G149" s="11">
        <f t="shared" ref="G149:G212" si="18">B149-F149</f>
        <v>0</v>
      </c>
    </row>
    <row r="150" spans="1:7" ht="13.5" hidden="1" thickBot="1" x14ac:dyDescent="0.25">
      <c r="A150" s="15">
        <f t="shared" ref="A150:A213" si="19">A149+1</f>
        <v>130</v>
      </c>
      <c r="B150" s="30">
        <f t="shared" ref="B150:B213" si="20">IF(A150&lt;=$D$9,G149,0)</f>
        <v>0</v>
      </c>
      <c r="C150" s="30">
        <f t="shared" si="14"/>
        <v>0</v>
      </c>
      <c r="D150" s="30">
        <f t="shared" si="15"/>
        <v>0</v>
      </c>
      <c r="E150" s="31">
        <f t="shared" si="16"/>
        <v>0</v>
      </c>
      <c r="F150" s="30">
        <f t="shared" si="17"/>
        <v>0</v>
      </c>
      <c r="G150" s="11">
        <f t="shared" si="18"/>
        <v>0</v>
      </c>
    </row>
    <row r="151" spans="1:7" ht="13.5" hidden="1" thickBot="1" x14ac:dyDescent="0.25">
      <c r="A151" s="15">
        <f t="shared" si="19"/>
        <v>131</v>
      </c>
      <c r="B151" s="30">
        <f t="shared" si="20"/>
        <v>0</v>
      </c>
      <c r="C151" s="30">
        <f t="shared" si="14"/>
        <v>0</v>
      </c>
      <c r="D151" s="30">
        <f t="shared" si="15"/>
        <v>0</v>
      </c>
      <c r="E151" s="31">
        <f t="shared" si="16"/>
        <v>0</v>
      </c>
      <c r="F151" s="30">
        <f t="shared" si="17"/>
        <v>0</v>
      </c>
      <c r="G151" s="11">
        <f t="shared" si="18"/>
        <v>0</v>
      </c>
    </row>
    <row r="152" spans="1:7" ht="13.5" hidden="1" thickBot="1" x14ac:dyDescent="0.25">
      <c r="A152" s="15">
        <f t="shared" si="19"/>
        <v>132</v>
      </c>
      <c r="B152" s="30">
        <f t="shared" si="20"/>
        <v>0</v>
      </c>
      <c r="C152" s="30">
        <f t="shared" si="14"/>
        <v>0</v>
      </c>
      <c r="D152" s="30">
        <f t="shared" si="15"/>
        <v>0</v>
      </c>
      <c r="E152" s="31">
        <f t="shared" si="16"/>
        <v>0</v>
      </c>
      <c r="F152" s="30">
        <f t="shared" si="17"/>
        <v>0</v>
      </c>
      <c r="G152" s="11">
        <f t="shared" si="18"/>
        <v>0</v>
      </c>
    </row>
    <row r="153" spans="1:7" ht="13.5" hidden="1" thickBot="1" x14ac:dyDescent="0.25">
      <c r="A153" s="15">
        <f t="shared" si="19"/>
        <v>133</v>
      </c>
      <c r="B153" s="30">
        <f t="shared" si="20"/>
        <v>0</v>
      </c>
      <c r="C153" s="30">
        <f t="shared" si="14"/>
        <v>0</v>
      </c>
      <c r="D153" s="30">
        <f t="shared" si="15"/>
        <v>0</v>
      </c>
      <c r="E153" s="31">
        <f t="shared" si="16"/>
        <v>0</v>
      </c>
      <c r="F153" s="30">
        <f t="shared" si="17"/>
        <v>0</v>
      </c>
      <c r="G153" s="11">
        <f t="shared" si="18"/>
        <v>0</v>
      </c>
    </row>
    <row r="154" spans="1:7" ht="13.5" hidden="1" thickBot="1" x14ac:dyDescent="0.25">
      <c r="A154" s="15">
        <f t="shared" si="19"/>
        <v>134</v>
      </c>
      <c r="B154" s="30">
        <f t="shared" si="20"/>
        <v>0</v>
      </c>
      <c r="C154" s="30">
        <f t="shared" si="14"/>
        <v>0</v>
      </c>
      <c r="D154" s="30">
        <f t="shared" si="15"/>
        <v>0</v>
      </c>
      <c r="E154" s="31">
        <f t="shared" si="16"/>
        <v>0</v>
      </c>
      <c r="F154" s="30">
        <f t="shared" si="17"/>
        <v>0</v>
      </c>
      <c r="G154" s="11">
        <f t="shared" si="18"/>
        <v>0</v>
      </c>
    </row>
    <row r="155" spans="1:7" ht="13.5" hidden="1" thickBot="1" x14ac:dyDescent="0.25">
      <c r="A155" s="15">
        <f t="shared" si="19"/>
        <v>135</v>
      </c>
      <c r="B155" s="30">
        <f t="shared" si="20"/>
        <v>0</v>
      </c>
      <c r="C155" s="30">
        <f t="shared" si="14"/>
        <v>0</v>
      </c>
      <c r="D155" s="30">
        <f t="shared" si="15"/>
        <v>0</v>
      </c>
      <c r="E155" s="31">
        <f t="shared" si="16"/>
        <v>0</v>
      </c>
      <c r="F155" s="30">
        <f t="shared" si="17"/>
        <v>0</v>
      </c>
      <c r="G155" s="11">
        <f t="shared" si="18"/>
        <v>0</v>
      </c>
    </row>
    <row r="156" spans="1:7" ht="13.5" hidden="1" thickBot="1" x14ac:dyDescent="0.25">
      <c r="A156" s="15">
        <f t="shared" si="19"/>
        <v>136</v>
      </c>
      <c r="B156" s="30">
        <f t="shared" si="20"/>
        <v>0</v>
      </c>
      <c r="C156" s="30">
        <f t="shared" si="14"/>
        <v>0</v>
      </c>
      <c r="D156" s="30">
        <f t="shared" si="15"/>
        <v>0</v>
      </c>
      <c r="E156" s="31">
        <f t="shared" si="16"/>
        <v>0</v>
      </c>
      <c r="F156" s="30">
        <f t="shared" si="17"/>
        <v>0</v>
      </c>
      <c r="G156" s="11">
        <f t="shared" si="18"/>
        <v>0</v>
      </c>
    </row>
    <row r="157" spans="1:7" ht="13.5" hidden="1" thickBot="1" x14ac:dyDescent="0.25">
      <c r="A157" s="15">
        <f t="shared" si="19"/>
        <v>137</v>
      </c>
      <c r="B157" s="30">
        <f t="shared" si="20"/>
        <v>0</v>
      </c>
      <c r="C157" s="30">
        <f t="shared" si="14"/>
        <v>0</v>
      </c>
      <c r="D157" s="30">
        <f t="shared" si="15"/>
        <v>0</v>
      </c>
      <c r="E157" s="31">
        <f t="shared" si="16"/>
        <v>0</v>
      </c>
      <c r="F157" s="30">
        <f t="shared" si="17"/>
        <v>0</v>
      </c>
      <c r="G157" s="11">
        <f t="shared" si="18"/>
        <v>0</v>
      </c>
    </row>
    <row r="158" spans="1:7" ht="13.5" hidden="1" thickBot="1" x14ac:dyDescent="0.25">
      <c r="A158" s="15">
        <f t="shared" si="19"/>
        <v>138</v>
      </c>
      <c r="B158" s="30">
        <f t="shared" si="20"/>
        <v>0</v>
      </c>
      <c r="C158" s="30">
        <f t="shared" si="14"/>
        <v>0</v>
      </c>
      <c r="D158" s="30">
        <f t="shared" si="15"/>
        <v>0</v>
      </c>
      <c r="E158" s="31">
        <f t="shared" si="16"/>
        <v>0</v>
      </c>
      <c r="F158" s="30">
        <f t="shared" si="17"/>
        <v>0</v>
      </c>
      <c r="G158" s="11">
        <f t="shared" si="18"/>
        <v>0</v>
      </c>
    </row>
    <row r="159" spans="1:7" ht="13.5" hidden="1" thickBot="1" x14ac:dyDescent="0.25">
      <c r="A159" s="15">
        <f t="shared" si="19"/>
        <v>139</v>
      </c>
      <c r="B159" s="30">
        <f t="shared" si="20"/>
        <v>0</v>
      </c>
      <c r="C159" s="30">
        <f t="shared" si="14"/>
        <v>0</v>
      </c>
      <c r="D159" s="30">
        <f t="shared" si="15"/>
        <v>0</v>
      </c>
      <c r="E159" s="31">
        <f t="shared" si="16"/>
        <v>0</v>
      </c>
      <c r="F159" s="30">
        <f t="shared" si="17"/>
        <v>0</v>
      </c>
      <c r="G159" s="11">
        <f t="shared" si="18"/>
        <v>0</v>
      </c>
    </row>
    <row r="160" spans="1:7" ht="13.5" hidden="1" thickBot="1" x14ac:dyDescent="0.25">
      <c r="A160" s="15">
        <f t="shared" si="19"/>
        <v>140</v>
      </c>
      <c r="B160" s="30">
        <f t="shared" si="20"/>
        <v>0</v>
      </c>
      <c r="C160" s="30">
        <f t="shared" si="14"/>
        <v>0</v>
      </c>
      <c r="D160" s="30">
        <f t="shared" si="15"/>
        <v>0</v>
      </c>
      <c r="E160" s="31">
        <f t="shared" si="16"/>
        <v>0</v>
      </c>
      <c r="F160" s="30">
        <f t="shared" si="17"/>
        <v>0</v>
      </c>
      <c r="G160" s="11">
        <f t="shared" si="18"/>
        <v>0</v>
      </c>
    </row>
    <row r="161" spans="1:7" ht="13.5" hidden="1" thickBot="1" x14ac:dyDescent="0.25">
      <c r="A161" s="15">
        <f t="shared" si="19"/>
        <v>141</v>
      </c>
      <c r="B161" s="30">
        <f t="shared" si="20"/>
        <v>0</v>
      </c>
      <c r="C161" s="30">
        <f t="shared" si="14"/>
        <v>0</v>
      </c>
      <c r="D161" s="30">
        <f t="shared" si="15"/>
        <v>0</v>
      </c>
      <c r="E161" s="31">
        <f t="shared" si="16"/>
        <v>0</v>
      </c>
      <c r="F161" s="30">
        <f t="shared" si="17"/>
        <v>0</v>
      </c>
      <c r="G161" s="11">
        <f t="shared" si="18"/>
        <v>0</v>
      </c>
    </row>
    <row r="162" spans="1:7" ht="13.5" hidden="1" thickBot="1" x14ac:dyDescent="0.25">
      <c r="A162" s="15">
        <f t="shared" si="19"/>
        <v>142</v>
      </c>
      <c r="B162" s="30">
        <f t="shared" si="20"/>
        <v>0</v>
      </c>
      <c r="C162" s="30">
        <f t="shared" si="14"/>
        <v>0</v>
      </c>
      <c r="D162" s="30">
        <f t="shared" si="15"/>
        <v>0</v>
      </c>
      <c r="E162" s="31">
        <f t="shared" si="16"/>
        <v>0</v>
      </c>
      <c r="F162" s="30">
        <f t="shared" si="17"/>
        <v>0</v>
      </c>
      <c r="G162" s="11">
        <f t="shared" si="18"/>
        <v>0</v>
      </c>
    </row>
    <row r="163" spans="1:7" ht="13.5" hidden="1" thickBot="1" x14ac:dyDescent="0.25">
      <c r="A163" s="15">
        <f t="shared" si="19"/>
        <v>143</v>
      </c>
      <c r="B163" s="30">
        <f t="shared" si="20"/>
        <v>0</v>
      </c>
      <c r="C163" s="30">
        <f t="shared" si="14"/>
        <v>0</v>
      </c>
      <c r="D163" s="30">
        <f t="shared" si="15"/>
        <v>0</v>
      </c>
      <c r="E163" s="31">
        <f t="shared" si="16"/>
        <v>0</v>
      </c>
      <c r="F163" s="30">
        <f t="shared" si="17"/>
        <v>0</v>
      </c>
      <c r="G163" s="11">
        <f t="shared" si="18"/>
        <v>0</v>
      </c>
    </row>
    <row r="164" spans="1:7" ht="13.5" hidden="1" thickBot="1" x14ac:dyDescent="0.25">
      <c r="A164" s="15">
        <f t="shared" si="19"/>
        <v>144</v>
      </c>
      <c r="B164" s="30">
        <f t="shared" si="20"/>
        <v>0</v>
      </c>
      <c r="C164" s="30">
        <f t="shared" si="14"/>
        <v>0</v>
      </c>
      <c r="D164" s="30">
        <f t="shared" si="15"/>
        <v>0</v>
      </c>
      <c r="E164" s="31">
        <f t="shared" si="16"/>
        <v>0</v>
      </c>
      <c r="F164" s="30">
        <f t="shared" si="17"/>
        <v>0</v>
      </c>
      <c r="G164" s="11">
        <f t="shared" si="18"/>
        <v>0</v>
      </c>
    </row>
    <row r="165" spans="1:7" ht="13.5" hidden="1" thickBot="1" x14ac:dyDescent="0.25">
      <c r="A165" s="15">
        <f t="shared" si="19"/>
        <v>145</v>
      </c>
      <c r="B165" s="30">
        <f t="shared" si="20"/>
        <v>0</v>
      </c>
      <c r="C165" s="30">
        <f t="shared" si="14"/>
        <v>0</v>
      </c>
      <c r="D165" s="30">
        <f t="shared" si="15"/>
        <v>0</v>
      </c>
      <c r="E165" s="31">
        <f t="shared" si="16"/>
        <v>0</v>
      </c>
      <c r="F165" s="30">
        <f t="shared" si="17"/>
        <v>0</v>
      </c>
      <c r="G165" s="11">
        <f t="shared" si="18"/>
        <v>0</v>
      </c>
    </row>
    <row r="166" spans="1:7" ht="13.5" hidden="1" thickBot="1" x14ac:dyDescent="0.25">
      <c r="A166" s="15">
        <f t="shared" si="19"/>
        <v>146</v>
      </c>
      <c r="B166" s="30">
        <f t="shared" si="20"/>
        <v>0</v>
      </c>
      <c r="C166" s="30">
        <f t="shared" si="14"/>
        <v>0</v>
      </c>
      <c r="D166" s="30">
        <f t="shared" si="15"/>
        <v>0</v>
      </c>
      <c r="E166" s="31">
        <f t="shared" si="16"/>
        <v>0</v>
      </c>
      <c r="F166" s="30">
        <f t="shared" si="17"/>
        <v>0</v>
      </c>
      <c r="G166" s="11">
        <f t="shared" si="18"/>
        <v>0</v>
      </c>
    </row>
    <row r="167" spans="1:7" ht="13.5" hidden="1" thickBot="1" x14ac:dyDescent="0.25">
      <c r="A167" s="15">
        <f t="shared" si="19"/>
        <v>147</v>
      </c>
      <c r="B167" s="30">
        <f t="shared" si="20"/>
        <v>0</v>
      </c>
      <c r="C167" s="30">
        <f t="shared" si="14"/>
        <v>0</v>
      </c>
      <c r="D167" s="30">
        <f t="shared" si="15"/>
        <v>0</v>
      </c>
      <c r="E167" s="31">
        <f t="shared" si="16"/>
        <v>0</v>
      </c>
      <c r="F167" s="30">
        <f t="shared" si="17"/>
        <v>0</v>
      </c>
      <c r="G167" s="11">
        <f t="shared" si="18"/>
        <v>0</v>
      </c>
    </row>
    <row r="168" spans="1:7" ht="13.5" hidden="1" thickBot="1" x14ac:dyDescent="0.25">
      <c r="A168" s="15">
        <f t="shared" si="19"/>
        <v>148</v>
      </c>
      <c r="B168" s="30">
        <f t="shared" si="20"/>
        <v>0</v>
      </c>
      <c r="C168" s="30">
        <f t="shared" si="14"/>
        <v>0</v>
      </c>
      <c r="D168" s="30">
        <f t="shared" si="15"/>
        <v>0</v>
      </c>
      <c r="E168" s="31">
        <f t="shared" si="16"/>
        <v>0</v>
      </c>
      <c r="F168" s="30">
        <f t="shared" si="17"/>
        <v>0</v>
      </c>
      <c r="G168" s="11">
        <f t="shared" si="18"/>
        <v>0</v>
      </c>
    </row>
    <row r="169" spans="1:7" ht="13.5" hidden="1" thickBot="1" x14ac:dyDescent="0.25">
      <c r="A169" s="15">
        <f t="shared" si="19"/>
        <v>149</v>
      </c>
      <c r="B169" s="30">
        <f t="shared" si="20"/>
        <v>0</v>
      </c>
      <c r="C169" s="30">
        <f t="shared" si="14"/>
        <v>0</v>
      </c>
      <c r="D169" s="30">
        <f t="shared" si="15"/>
        <v>0</v>
      </c>
      <c r="E169" s="31">
        <f t="shared" si="16"/>
        <v>0</v>
      </c>
      <c r="F169" s="30">
        <f t="shared" si="17"/>
        <v>0</v>
      </c>
      <c r="G169" s="11">
        <f t="shared" si="18"/>
        <v>0</v>
      </c>
    </row>
    <row r="170" spans="1:7" ht="13.5" hidden="1" thickBot="1" x14ac:dyDescent="0.25">
      <c r="A170" s="15">
        <f t="shared" si="19"/>
        <v>150</v>
      </c>
      <c r="B170" s="30">
        <f t="shared" si="20"/>
        <v>0</v>
      </c>
      <c r="C170" s="30">
        <f t="shared" si="14"/>
        <v>0</v>
      </c>
      <c r="D170" s="30">
        <f t="shared" si="15"/>
        <v>0</v>
      </c>
      <c r="E170" s="31">
        <f t="shared" si="16"/>
        <v>0</v>
      </c>
      <c r="F170" s="30">
        <f t="shared" si="17"/>
        <v>0</v>
      </c>
      <c r="G170" s="11">
        <f t="shared" si="18"/>
        <v>0</v>
      </c>
    </row>
    <row r="171" spans="1:7" ht="13.5" hidden="1" thickBot="1" x14ac:dyDescent="0.25">
      <c r="A171" s="15">
        <f t="shared" si="19"/>
        <v>151</v>
      </c>
      <c r="B171" s="30">
        <f t="shared" si="20"/>
        <v>0</v>
      </c>
      <c r="C171" s="30">
        <f t="shared" si="14"/>
        <v>0</v>
      </c>
      <c r="D171" s="30">
        <f t="shared" si="15"/>
        <v>0</v>
      </c>
      <c r="E171" s="31">
        <f t="shared" si="16"/>
        <v>0</v>
      </c>
      <c r="F171" s="30">
        <f t="shared" si="17"/>
        <v>0</v>
      </c>
      <c r="G171" s="11">
        <f t="shared" si="18"/>
        <v>0</v>
      </c>
    </row>
    <row r="172" spans="1:7" ht="13.5" hidden="1" thickBot="1" x14ac:dyDescent="0.25">
      <c r="A172" s="15">
        <f t="shared" si="19"/>
        <v>152</v>
      </c>
      <c r="B172" s="30">
        <f t="shared" si="20"/>
        <v>0</v>
      </c>
      <c r="C172" s="30">
        <f t="shared" si="14"/>
        <v>0</v>
      </c>
      <c r="D172" s="30">
        <f t="shared" si="15"/>
        <v>0</v>
      </c>
      <c r="E172" s="31">
        <f t="shared" si="16"/>
        <v>0</v>
      </c>
      <c r="F172" s="30">
        <f t="shared" si="17"/>
        <v>0</v>
      </c>
      <c r="G172" s="11">
        <f t="shared" si="18"/>
        <v>0</v>
      </c>
    </row>
    <row r="173" spans="1:7" ht="13.5" hidden="1" thickBot="1" x14ac:dyDescent="0.25">
      <c r="A173" s="15">
        <f t="shared" si="19"/>
        <v>153</v>
      </c>
      <c r="B173" s="30">
        <f t="shared" si="20"/>
        <v>0</v>
      </c>
      <c r="C173" s="30">
        <f t="shared" si="14"/>
        <v>0</v>
      </c>
      <c r="D173" s="30">
        <f t="shared" si="15"/>
        <v>0</v>
      </c>
      <c r="E173" s="31">
        <f t="shared" si="16"/>
        <v>0</v>
      </c>
      <c r="F173" s="30">
        <f t="shared" si="17"/>
        <v>0</v>
      </c>
      <c r="G173" s="11">
        <f t="shared" si="18"/>
        <v>0</v>
      </c>
    </row>
    <row r="174" spans="1:7" ht="13.5" hidden="1" thickBot="1" x14ac:dyDescent="0.25">
      <c r="A174" s="15">
        <f t="shared" si="19"/>
        <v>154</v>
      </c>
      <c r="B174" s="30">
        <f t="shared" si="20"/>
        <v>0</v>
      </c>
      <c r="C174" s="30">
        <f t="shared" si="14"/>
        <v>0</v>
      </c>
      <c r="D174" s="30">
        <f t="shared" si="15"/>
        <v>0</v>
      </c>
      <c r="E174" s="31">
        <f t="shared" si="16"/>
        <v>0</v>
      </c>
      <c r="F174" s="30">
        <f t="shared" si="17"/>
        <v>0</v>
      </c>
      <c r="G174" s="11">
        <f t="shared" si="18"/>
        <v>0</v>
      </c>
    </row>
    <row r="175" spans="1:7" ht="13.5" hidden="1" thickBot="1" x14ac:dyDescent="0.25">
      <c r="A175" s="15">
        <f t="shared" si="19"/>
        <v>155</v>
      </c>
      <c r="B175" s="30">
        <f t="shared" si="20"/>
        <v>0</v>
      </c>
      <c r="C175" s="30">
        <f t="shared" si="14"/>
        <v>0</v>
      </c>
      <c r="D175" s="30">
        <f t="shared" si="15"/>
        <v>0</v>
      </c>
      <c r="E175" s="31">
        <f t="shared" si="16"/>
        <v>0</v>
      </c>
      <c r="F175" s="30">
        <f t="shared" si="17"/>
        <v>0</v>
      </c>
      <c r="G175" s="11">
        <f t="shared" si="18"/>
        <v>0</v>
      </c>
    </row>
    <row r="176" spans="1:7" ht="13.5" hidden="1" thickBot="1" x14ac:dyDescent="0.25">
      <c r="A176" s="15">
        <f t="shared" si="19"/>
        <v>156</v>
      </c>
      <c r="B176" s="30">
        <f t="shared" si="20"/>
        <v>0</v>
      </c>
      <c r="C176" s="30">
        <f t="shared" si="14"/>
        <v>0</v>
      </c>
      <c r="D176" s="30">
        <f t="shared" si="15"/>
        <v>0</v>
      </c>
      <c r="E176" s="31">
        <f t="shared" si="16"/>
        <v>0</v>
      </c>
      <c r="F176" s="30">
        <f t="shared" si="17"/>
        <v>0</v>
      </c>
      <c r="G176" s="11">
        <f t="shared" si="18"/>
        <v>0</v>
      </c>
    </row>
    <row r="177" spans="1:7" ht="13.5" hidden="1" thickBot="1" x14ac:dyDescent="0.25">
      <c r="A177" s="15">
        <f t="shared" si="19"/>
        <v>157</v>
      </c>
      <c r="B177" s="30">
        <f t="shared" si="20"/>
        <v>0</v>
      </c>
      <c r="C177" s="30">
        <f t="shared" si="14"/>
        <v>0</v>
      </c>
      <c r="D177" s="30">
        <f t="shared" si="15"/>
        <v>0</v>
      </c>
      <c r="E177" s="31">
        <f t="shared" si="16"/>
        <v>0</v>
      </c>
      <c r="F177" s="30">
        <f t="shared" si="17"/>
        <v>0</v>
      </c>
      <c r="G177" s="11">
        <f t="shared" si="18"/>
        <v>0</v>
      </c>
    </row>
    <row r="178" spans="1:7" ht="13.5" hidden="1" thickBot="1" x14ac:dyDescent="0.25">
      <c r="A178" s="15">
        <f t="shared" si="19"/>
        <v>158</v>
      </c>
      <c r="B178" s="30">
        <f t="shared" si="20"/>
        <v>0</v>
      </c>
      <c r="C178" s="30">
        <f t="shared" si="14"/>
        <v>0</v>
      </c>
      <c r="D178" s="30">
        <f t="shared" si="15"/>
        <v>0</v>
      </c>
      <c r="E178" s="31">
        <f t="shared" si="16"/>
        <v>0</v>
      </c>
      <c r="F178" s="30">
        <f t="shared" si="17"/>
        <v>0</v>
      </c>
      <c r="G178" s="11">
        <f t="shared" si="18"/>
        <v>0</v>
      </c>
    </row>
    <row r="179" spans="1:7" ht="13.5" hidden="1" thickBot="1" x14ac:dyDescent="0.25">
      <c r="A179" s="15">
        <f t="shared" si="19"/>
        <v>159</v>
      </c>
      <c r="B179" s="30">
        <f t="shared" si="20"/>
        <v>0</v>
      </c>
      <c r="C179" s="30">
        <f t="shared" si="14"/>
        <v>0</v>
      </c>
      <c r="D179" s="30">
        <f t="shared" si="15"/>
        <v>0</v>
      </c>
      <c r="E179" s="31">
        <f t="shared" si="16"/>
        <v>0</v>
      </c>
      <c r="F179" s="30">
        <f t="shared" si="17"/>
        <v>0</v>
      </c>
      <c r="G179" s="11">
        <f t="shared" si="18"/>
        <v>0</v>
      </c>
    </row>
    <row r="180" spans="1:7" ht="13.5" hidden="1" thickBot="1" x14ac:dyDescent="0.25">
      <c r="A180" s="15">
        <f t="shared" si="19"/>
        <v>160</v>
      </c>
      <c r="B180" s="30">
        <f t="shared" si="20"/>
        <v>0</v>
      </c>
      <c r="C180" s="30">
        <f t="shared" si="14"/>
        <v>0</v>
      </c>
      <c r="D180" s="30">
        <f t="shared" si="15"/>
        <v>0</v>
      </c>
      <c r="E180" s="31">
        <f t="shared" si="16"/>
        <v>0</v>
      </c>
      <c r="F180" s="30">
        <f t="shared" si="17"/>
        <v>0</v>
      </c>
      <c r="G180" s="11">
        <f t="shared" si="18"/>
        <v>0</v>
      </c>
    </row>
    <row r="181" spans="1:7" ht="13.5" hidden="1" thickBot="1" x14ac:dyDescent="0.25">
      <c r="A181" s="15">
        <f t="shared" si="19"/>
        <v>161</v>
      </c>
      <c r="B181" s="30">
        <f t="shared" si="20"/>
        <v>0</v>
      </c>
      <c r="C181" s="30">
        <f t="shared" si="14"/>
        <v>0</v>
      </c>
      <c r="D181" s="30">
        <f t="shared" si="15"/>
        <v>0</v>
      </c>
      <c r="E181" s="31">
        <f t="shared" si="16"/>
        <v>0</v>
      </c>
      <c r="F181" s="30">
        <f t="shared" si="17"/>
        <v>0</v>
      </c>
      <c r="G181" s="11">
        <f t="shared" si="18"/>
        <v>0</v>
      </c>
    </row>
    <row r="182" spans="1:7" ht="13.5" hidden="1" thickBot="1" x14ac:dyDescent="0.25">
      <c r="A182" s="15">
        <f t="shared" si="19"/>
        <v>162</v>
      </c>
      <c r="B182" s="30">
        <f t="shared" si="20"/>
        <v>0</v>
      </c>
      <c r="C182" s="30">
        <f t="shared" si="14"/>
        <v>0</v>
      </c>
      <c r="D182" s="30">
        <f t="shared" si="15"/>
        <v>0</v>
      </c>
      <c r="E182" s="31">
        <f t="shared" si="16"/>
        <v>0</v>
      </c>
      <c r="F182" s="30">
        <f t="shared" si="17"/>
        <v>0</v>
      </c>
      <c r="G182" s="11">
        <f t="shared" si="18"/>
        <v>0</v>
      </c>
    </row>
    <row r="183" spans="1:7" ht="13.5" hidden="1" thickBot="1" x14ac:dyDescent="0.25">
      <c r="A183" s="15">
        <f t="shared" si="19"/>
        <v>163</v>
      </c>
      <c r="B183" s="30">
        <f t="shared" si="20"/>
        <v>0</v>
      </c>
      <c r="C183" s="30">
        <f t="shared" si="14"/>
        <v>0</v>
      </c>
      <c r="D183" s="30">
        <f t="shared" si="15"/>
        <v>0</v>
      </c>
      <c r="E183" s="31">
        <f t="shared" si="16"/>
        <v>0</v>
      </c>
      <c r="F183" s="30">
        <f t="shared" si="17"/>
        <v>0</v>
      </c>
      <c r="G183" s="11">
        <f t="shared" si="18"/>
        <v>0</v>
      </c>
    </row>
    <row r="184" spans="1:7" ht="13.5" hidden="1" thickBot="1" x14ac:dyDescent="0.25">
      <c r="A184" s="15">
        <f t="shared" si="19"/>
        <v>164</v>
      </c>
      <c r="B184" s="30">
        <f t="shared" si="20"/>
        <v>0</v>
      </c>
      <c r="C184" s="30">
        <f t="shared" si="14"/>
        <v>0</v>
      </c>
      <c r="D184" s="30">
        <f t="shared" si="15"/>
        <v>0</v>
      </c>
      <c r="E184" s="31">
        <f t="shared" si="16"/>
        <v>0</v>
      </c>
      <c r="F184" s="30">
        <f t="shared" si="17"/>
        <v>0</v>
      </c>
      <c r="G184" s="11">
        <f t="shared" si="18"/>
        <v>0</v>
      </c>
    </row>
    <row r="185" spans="1:7" ht="13.5" hidden="1" thickBot="1" x14ac:dyDescent="0.25">
      <c r="A185" s="15">
        <f t="shared" si="19"/>
        <v>165</v>
      </c>
      <c r="B185" s="30">
        <f t="shared" si="20"/>
        <v>0</v>
      </c>
      <c r="C185" s="30">
        <f t="shared" si="14"/>
        <v>0</v>
      </c>
      <c r="D185" s="30">
        <f t="shared" si="15"/>
        <v>0</v>
      </c>
      <c r="E185" s="31">
        <f t="shared" si="16"/>
        <v>0</v>
      </c>
      <c r="F185" s="30">
        <f t="shared" si="17"/>
        <v>0</v>
      </c>
      <c r="G185" s="11">
        <f t="shared" si="18"/>
        <v>0</v>
      </c>
    </row>
    <row r="186" spans="1:7" ht="13.5" hidden="1" thickBot="1" x14ac:dyDescent="0.25">
      <c r="A186" s="15">
        <f t="shared" si="19"/>
        <v>166</v>
      </c>
      <c r="B186" s="30">
        <f t="shared" si="20"/>
        <v>0</v>
      </c>
      <c r="C186" s="30">
        <f t="shared" si="14"/>
        <v>0</v>
      </c>
      <c r="D186" s="30">
        <f t="shared" si="15"/>
        <v>0</v>
      </c>
      <c r="E186" s="31">
        <f t="shared" si="16"/>
        <v>0</v>
      </c>
      <c r="F186" s="30">
        <f t="shared" si="17"/>
        <v>0</v>
      </c>
      <c r="G186" s="11">
        <f t="shared" si="18"/>
        <v>0</v>
      </c>
    </row>
    <row r="187" spans="1:7" ht="13.5" hidden="1" thickBot="1" x14ac:dyDescent="0.25">
      <c r="A187" s="15">
        <f t="shared" si="19"/>
        <v>167</v>
      </c>
      <c r="B187" s="30">
        <f t="shared" si="20"/>
        <v>0</v>
      </c>
      <c r="C187" s="30">
        <f t="shared" si="14"/>
        <v>0</v>
      </c>
      <c r="D187" s="30">
        <f t="shared" si="15"/>
        <v>0</v>
      </c>
      <c r="E187" s="31">
        <f t="shared" si="16"/>
        <v>0</v>
      </c>
      <c r="F187" s="30">
        <f t="shared" si="17"/>
        <v>0</v>
      </c>
      <c r="G187" s="11">
        <f t="shared" si="18"/>
        <v>0</v>
      </c>
    </row>
    <row r="188" spans="1:7" ht="13.5" hidden="1" thickBot="1" x14ac:dyDescent="0.25">
      <c r="A188" s="15">
        <f t="shared" si="19"/>
        <v>168</v>
      </c>
      <c r="B188" s="30">
        <f t="shared" si="20"/>
        <v>0</v>
      </c>
      <c r="C188" s="30">
        <f t="shared" si="14"/>
        <v>0</v>
      </c>
      <c r="D188" s="30">
        <f t="shared" si="15"/>
        <v>0</v>
      </c>
      <c r="E188" s="31">
        <f t="shared" si="16"/>
        <v>0</v>
      </c>
      <c r="F188" s="30">
        <f t="shared" si="17"/>
        <v>0</v>
      </c>
      <c r="G188" s="11">
        <f t="shared" si="18"/>
        <v>0</v>
      </c>
    </row>
    <row r="189" spans="1:7" ht="13.5" hidden="1" thickBot="1" x14ac:dyDescent="0.25">
      <c r="A189" s="15">
        <f t="shared" si="19"/>
        <v>169</v>
      </c>
      <c r="B189" s="30">
        <f t="shared" si="20"/>
        <v>0</v>
      </c>
      <c r="C189" s="30">
        <f t="shared" si="14"/>
        <v>0</v>
      </c>
      <c r="D189" s="30">
        <f t="shared" si="15"/>
        <v>0</v>
      </c>
      <c r="E189" s="31">
        <f t="shared" si="16"/>
        <v>0</v>
      </c>
      <c r="F189" s="30">
        <f t="shared" si="17"/>
        <v>0</v>
      </c>
      <c r="G189" s="11">
        <f t="shared" si="18"/>
        <v>0</v>
      </c>
    </row>
    <row r="190" spans="1:7" ht="13.5" hidden="1" thickBot="1" x14ac:dyDescent="0.25">
      <c r="A190" s="15">
        <f t="shared" si="19"/>
        <v>170</v>
      </c>
      <c r="B190" s="30">
        <f t="shared" si="20"/>
        <v>0</v>
      </c>
      <c r="C190" s="30">
        <f t="shared" si="14"/>
        <v>0</v>
      </c>
      <c r="D190" s="30">
        <f t="shared" si="15"/>
        <v>0</v>
      </c>
      <c r="E190" s="31">
        <f t="shared" si="16"/>
        <v>0</v>
      </c>
      <c r="F190" s="30">
        <f t="shared" si="17"/>
        <v>0</v>
      </c>
      <c r="G190" s="11">
        <f t="shared" si="18"/>
        <v>0</v>
      </c>
    </row>
    <row r="191" spans="1:7" ht="13.5" hidden="1" thickBot="1" x14ac:dyDescent="0.25">
      <c r="A191" s="15">
        <f t="shared" si="19"/>
        <v>171</v>
      </c>
      <c r="B191" s="30">
        <f t="shared" si="20"/>
        <v>0</v>
      </c>
      <c r="C191" s="30">
        <f t="shared" si="14"/>
        <v>0</v>
      </c>
      <c r="D191" s="30">
        <f t="shared" si="15"/>
        <v>0</v>
      </c>
      <c r="E191" s="31">
        <f t="shared" si="16"/>
        <v>0</v>
      </c>
      <c r="F191" s="30">
        <f t="shared" si="17"/>
        <v>0</v>
      </c>
      <c r="G191" s="11">
        <f t="shared" si="18"/>
        <v>0</v>
      </c>
    </row>
    <row r="192" spans="1:7" ht="13.5" hidden="1" thickBot="1" x14ac:dyDescent="0.25">
      <c r="A192" s="15">
        <f t="shared" si="19"/>
        <v>172</v>
      </c>
      <c r="B192" s="30">
        <f t="shared" si="20"/>
        <v>0</v>
      </c>
      <c r="C192" s="30">
        <f t="shared" si="14"/>
        <v>0</v>
      </c>
      <c r="D192" s="30">
        <f t="shared" si="15"/>
        <v>0</v>
      </c>
      <c r="E192" s="31">
        <f t="shared" si="16"/>
        <v>0</v>
      </c>
      <c r="F192" s="30">
        <f t="shared" si="17"/>
        <v>0</v>
      </c>
      <c r="G192" s="11">
        <f t="shared" si="18"/>
        <v>0</v>
      </c>
    </row>
    <row r="193" spans="1:7" ht="13.5" hidden="1" thickBot="1" x14ac:dyDescent="0.25">
      <c r="A193" s="15">
        <f t="shared" si="19"/>
        <v>173</v>
      </c>
      <c r="B193" s="30">
        <f t="shared" si="20"/>
        <v>0</v>
      </c>
      <c r="C193" s="30">
        <f t="shared" si="14"/>
        <v>0</v>
      </c>
      <c r="D193" s="30">
        <f t="shared" si="15"/>
        <v>0</v>
      </c>
      <c r="E193" s="31">
        <f t="shared" si="16"/>
        <v>0</v>
      </c>
      <c r="F193" s="30">
        <f t="shared" si="17"/>
        <v>0</v>
      </c>
      <c r="G193" s="11">
        <f t="shared" si="18"/>
        <v>0</v>
      </c>
    </row>
    <row r="194" spans="1:7" ht="13.5" hidden="1" thickBot="1" x14ac:dyDescent="0.25">
      <c r="A194" s="15">
        <f t="shared" si="19"/>
        <v>174</v>
      </c>
      <c r="B194" s="30">
        <f t="shared" si="20"/>
        <v>0</v>
      </c>
      <c r="C194" s="30">
        <f t="shared" si="14"/>
        <v>0</v>
      </c>
      <c r="D194" s="30">
        <f t="shared" si="15"/>
        <v>0</v>
      </c>
      <c r="E194" s="31">
        <f t="shared" si="16"/>
        <v>0</v>
      </c>
      <c r="F194" s="30">
        <f t="shared" si="17"/>
        <v>0</v>
      </c>
      <c r="G194" s="11">
        <f t="shared" si="18"/>
        <v>0</v>
      </c>
    </row>
    <row r="195" spans="1:7" ht="13.5" hidden="1" thickBot="1" x14ac:dyDescent="0.25">
      <c r="A195" s="15">
        <f t="shared" si="19"/>
        <v>175</v>
      </c>
      <c r="B195" s="30">
        <f t="shared" si="20"/>
        <v>0</v>
      </c>
      <c r="C195" s="30">
        <f t="shared" si="14"/>
        <v>0</v>
      </c>
      <c r="D195" s="30">
        <f t="shared" si="15"/>
        <v>0</v>
      </c>
      <c r="E195" s="31">
        <f t="shared" si="16"/>
        <v>0</v>
      </c>
      <c r="F195" s="30">
        <f t="shared" si="17"/>
        <v>0</v>
      </c>
      <c r="G195" s="11">
        <f t="shared" si="18"/>
        <v>0</v>
      </c>
    </row>
    <row r="196" spans="1:7" ht="13.5" hidden="1" thickBot="1" x14ac:dyDescent="0.25">
      <c r="A196" s="15">
        <f t="shared" si="19"/>
        <v>176</v>
      </c>
      <c r="B196" s="30">
        <f t="shared" si="20"/>
        <v>0</v>
      </c>
      <c r="C196" s="30">
        <f t="shared" si="14"/>
        <v>0</v>
      </c>
      <c r="D196" s="30">
        <f t="shared" si="15"/>
        <v>0</v>
      </c>
      <c r="E196" s="31">
        <f t="shared" si="16"/>
        <v>0</v>
      </c>
      <c r="F196" s="30">
        <f t="shared" si="17"/>
        <v>0</v>
      </c>
      <c r="G196" s="11">
        <f t="shared" si="18"/>
        <v>0</v>
      </c>
    </row>
    <row r="197" spans="1:7" ht="13.5" hidden="1" thickBot="1" x14ac:dyDescent="0.25">
      <c r="A197" s="15">
        <f t="shared" si="19"/>
        <v>177</v>
      </c>
      <c r="B197" s="30">
        <f t="shared" si="20"/>
        <v>0</v>
      </c>
      <c r="C197" s="30">
        <f t="shared" si="14"/>
        <v>0</v>
      </c>
      <c r="D197" s="30">
        <f t="shared" si="15"/>
        <v>0</v>
      </c>
      <c r="E197" s="31">
        <f t="shared" si="16"/>
        <v>0</v>
      </c>
      <c r="F197" s="30">
        <f t="shared" si="17"/>
        <v>0</v>
      </c>
      <c r="G197" s="11">
        <f t="shared" si="18"/>
        <v>0</v>
      </c>
    </row>
    <row r="198" spans="1:7" ht="13.5" hidden="1" thickBot="1" x14ac:dyDescent="0.25">
      <c r="A198" s="15">
        <f t="shared" si="19"/>
        <v>178</v>
      </c>
      <c r="B198" s="30">
        <f t="shared" si="20"/>
        <v>0</v>
      </c>
      <c r="C198" s="30">
        <f t="shared" si="14"/>
        <v>0</v>
      </c>
      <c r="D198" s="30">
        <f t="shared" si="15"/>
        <v>0</v>
      </c>
      <c r="E198" s="31">
        <f t="shared" si="16"/>
        <v>0</v>
      </c>
      <c r="F198" s="30">
        <f t="shared" si="17"/>
        <v>0</v>
      </c>
      <c r="G198" s="11">
        <f t="shared" si="18"/>
        <v>0</v>
      </c>
    </row>
    <row r="199" spans="1:7" ht="13.5" hidden="1" thickBot="1" x14ac:dyDescent="0.25">
      <c r="A199" s="15">
        <f t="shared" si="19"/>
        <v>179</v>
      </c>
      <c r="B199" s="30">
        <f t="shared" si="20"/>
        <v>0</v>
      </c>
      <c r="C199" s="30">
        <f t="shared" si="14"/>
        <v>0</v>
      </c>
      <c r="D199" s="30">
        <f t="shared" si="15"/>
        <v>0</v>
      </c>
      <c r="E199" s="31">
        <f t="shared" si="16"/>
        <v>0</v>
      </c>
      <c r="F199" s="30">
        <f t="shared" si="17"/>
        <v>0</v>
      </c>
      <c r="G199" s="11">
        <f t="shared" si="18"/>
        <v>0</v>
      </c>
    </row>
    <row r="200" spans="1:7" ht="13.5" hidden="1" thickBot="1" x14ac:dyDescent="0.25">
      <c r="A200" s="15">
        <f t="shared" si="19"/>
        <v>180</v>
      </c>
      <c r="B200" s="30">
        <f t="shared" si="20"/>
        <v>0</v>
      </c>
      <c r="C200" s="30">
        <f t="shared" si="14"/>
        <v>0</v>
      </c>
      <c r="D200" s="30">
        <f t="shared" si="15"/>
        <v>0</v>
      </c>
      <c r="E200" s="31">
        <f t="shared" si="16"/>
        <v>0</v>
      </c>
      <c r="F200" s="30">
        <f t="shared" si="17"/>
        <v>0</v>
      </c>
      <c r="G200" s="11">
        <f t="shared" si="18"/>
        <v>0</v>
      </c>
    </row>
    <row r="201" spans="1:7" ht="13.5" hidden="1" thickBot="1" x14ac:dyDescent="0.25">
      <c r="A201" s="15">
        <f t="shared" si="19"/>
        <v>181</v>
      </c>
      <c r="B201" s="30">
        <f t="shared" si="20"/>
        <v>0</v>
      </c>
      <c r="C201" s="30">
        <f t="shared" si="14"/>
        <v>0</v>
      </c>
      <c r="D201" s="30">
        <f t="shared" si="15"/>
        <v>0</v>
      </c>
      <c r="E201" s="31">
        <f t="shared" si="16"/>
        <v>0</v>
      </c>
      <c r="F201" s="30">
        <f t="shared" si="17"/>
        <v>0</v>
      </c>
      <c r="G201" s="11">
        <f t="shared" si="18"/>
        <v>0</v>
      </c>
    </row>
    <row r="202" spans="1:7" ht="13.5" hidden="1" thickBot="1" x14ac:dyDescent="0.25">
      <c r="A202" s="15">
        <f t="shared" si="19"/>
        <v>182</v>
      </c>
      <c r="B202" s="30">
        <f t="shared" si="20"/>
        <v>0</v>
      </c>
      <c r="C202" s="30">
        <f t="shared" si="14"/>
        <v>0</v>
      </c>
      <c r="D202" s="30">
        <f t="shared" si="15"/>
        <v>0</v>
      </c>
      <c r="E202" s="31">
        <f t="shared" si="16"/>
        <v>0</v>
      </c>
      <c r="F202" s="30">
        <f t="shared" si="17"/>
        <v>0</v>
      </c>
      <c r="G202" s="11">
        <f t="shared" si="18"/>
        <v>0</v>
      </c>
    </row>
    <row r="203" spans="1:7" ht="13.5" hidden="1" thickBot="1" x14ac:dyDescent="0.25">
      <c r="A203" s="15">
        <f t="shared" si="19"/>
        <v>183</v>
      </c>
      <c r="B203" s="30">
        <f t="shared" si="20"/>
        <v>0</v>
      </c>
      <c r="C203" s="30">
        <f t="shared" si="14"/>
        <v>0</v>
      </c>
      <c r="D203" s="30">
        <f t="shared" si="15"/>
        <v>0</v>
      </c>
      <c r="E203" s="31">
        <f t="shared" si="16"/>
        <v>0</v>
      </c>
      <c r="F203" s="30">
        <f t="shared" si="17"/>
        <v>0</v>
      </c>
      <c r="G203" s="11">
        <f t="shared" si="18"/>
        <v>0</v>
      </c>
    </row>
    <row r="204" spans="1:7" ht="13.5" hidden="1" thickBot="1" x14ac:dyDescent="0.25">
      <c r="A204" s="15">
        <f t="shared" si="19"/>
        <v>184</v>
      </c>
      <c r="B204" s="30">
        <f t="shared" si="20"/>
        <v>0</v>
      </c>
      <c r="C204" s="30">
        <f t="shared" si="14"/>
        <v>0</v>
      </c>
      <c r="D204" s="30">
        <f t="shared" si="15"/>
        <v>0</v>
      </c>
      <c r="E204" s="31">
        <f t="shared" si="16"/>
        <v>0</v>
      </c>
      <c r="F204" s="30">
        <f t="shared" si="17"/>
        <v>0</v>
      </c>
      <c r="G204" s="11">
        <f t="shared" si="18"/>
        <v>0</v>
      </c>
    </row>
    <row r="205" spans="1:7" ht="13.5" hidden="1" thickBot="1" x14ac:dyDescent="0.25">
      <c r="A205" s="15">
        <f t="shared" si="19"/>
        <v>185</v>
      </c>
      <c r="B205" s="30">
        <f t="shared" si="20"/>
        <v>0</v>
      </c>
      <c r="C205" s="30">
        <f t="shared" si="14"/>
        <v>0</v>
      </c>
      <c r="D205" s="30">
        <f t="shared" si="15"/>
        <v>0</v>
      </c>
      <c r="E205" s="31">
        <f t="shared" si="16"/>
        <v>0</v>
      </c>
      <c r="F205" s="30">
        <f t="shared" si="17"/>
        <v>0</v>
      </c>
      <c r="G205" s="11">
        <f t="shared" si="18"/>
        <v>0</v>
      </c>
    </row>
    <row r="206" spans="1:7" ht="13.5" hidden="1" thickBot="1" x14ac:dyDescent="0.25">
      <c r="A206" s="15">
        <f t="shared" si="19"/>
        <v>186</v>
      </c>
      <c r="B206" s="30">
        <f t="shared" si="20"/>
        <v>0</v>
      </c>
      <c r="C206" s="30">
        <f t="shared" si="14"/>
        <v>0</v>
      </c>
      <c r="D206" s="30">
        <f t="shared" si="15"/>
        <v>0</v>
      </c>
      <c r="E206" s="31">
        <f t="shared" si="16"/>
        <v>0</v>
      </c>
      <c r="F206" s="30">
        <f t="shared" si="17"/>
        <v>0</v>
      </c>
      <c r="G206" s="11">
        <f t="shared" si="18"/>
        <v>0</v>
      </c>
    </row>
    <row r="207" spans="1:7" ht="13.5" hidden="1" thickBot="1" x14ac:dyDescent="0.25">
      <c r="A207" s="15">
        <f t="shared" si="19"/>
        <v>187</v>
      </c>
      <c r="B207" s="30">
        <f t="shared" si="20"/>
        <v>0</v>
      </c>
      <c r="C207" s="30">
        <f t="shared" si="14"/>
        <v>0</v>
      </c>
      <c r="D207" s="30">
        <f t="shared" si="15"/>
        <v>0</v>
      </c>
      <c r="E207" s="31">
        <f t="shared" si="16"/>
        <v>0</v>
      </c>
      <c r="F207" s="30">
        <f t="shared" si="17"/>
        <v>0</v>
      </c>
      <c r="G207" s="11">
        <f t="shared" si="18"/>
        <v>0</v>
      </c>
    </row>
    <row r="208" spans="1:7" ht="13.5" hidden="1" thickBot="1" x14ac:dyDescent="0.25">
      <c r="A208" s="15">
        <f t="shared" si="19"/>
        <v>188</v>
      </c>
      <c r="B208" s="30">
        <f t="shared" si="20"/>
        <v>0</v>
      </c>
      <c r="C208" s="30">
        <f t="shared" si="14"/>
        <v>0</v>
      </c>
      <c r="D208" s="30">
        <f t="shared" si="15"/>
        <v>0</v>
      </c>
      <c r="E208" s="31">
        <f t="shared" si="16"/>
        <v>0</v>
      </c>
      <c r="F208" s="30">
        <f t="shared" si="17"/>
        <v>0</v>
      </c>
      <c r="G208" s="11">
        <f t="shared" si="18"/>
        <v>0</v>
      </c>
    </row>
    <row r="209" spans="1:7" ht="13.5" hidden="1" thickBot="1" x14ac:dyDescent="0.25">
      <c r="A209" s="15">
        <f t="shared" si="19"/>
        <v>189</v>
      </c>
      <c r="B209" s="30">
        <f t="shared" si="20"/>
        <v>0</v>
      </c>
      <c r="C209" s="30">
        <f t="shared" si="14"/>
        <v>0</v>
      </c>
      <c r="D209" s="30">
        <f t="shared" si="15"/>
        <v>0</v>
      </c>
      <c r="E209" s="31">
        <f t="shared" si="16"/>
        <v>0</v>
      </c>
      <c r="F209" s="30">
        <f t="shared" si="17"/>
        <v>0</v>
      </c>
      <c r="G209" s="11">
        <f t="shared" si="18"/>
        <v>0</v>
      </c>
    </row>
    <row r="210" spans="1:7" ht="13.5" hidden="1" thickBot="1" x14ac:dyDescent="0.25">
      <c r="A210" s="15">
        <f t="shared" si="19"/>
        <v>190</v>
      </c>
      <c r="B210" s="30">
        <f t="shared" si="20"/>
        <v>0</v>
      </c>
      <c r="C210" s="30">
        <f t="shared" si="14"/>
        <v>0</v>
      </c>
      <c r="D210" s="30">
        <f t="shared" si="15"/>
        <v>0</v>
      </c>
      <c r="E210" s="31">
        <f t="shared" si="16"/>
        <v>0</v>
      </c>
      <c r="F210" s="30">
        <f t="shared" si="17"/>
        <v>0</v>
      </c>
      <c r="G210" s="11">
        <f t="shared" si="18"/>
        <v>0</v>
      </c>
    </row>
    <row r="211" spans="1:7" ht="13.5" hidden="1" thickBot="1" x14ac:dyDescent="0.25">
      <c r="A211" s="15">
        <f t="shared" si="19"/>
        <v>191</v>
      </c>
      <c r="B211" s="30">
        <f t="shared" si="20"/>
        <v>0</v>
      </c>
      <c r="C211" s="30">
        <f t="shared" si="14"/>
        <v>0</v>
      </c>
      <c r="D211" s="30">
        <f t="shared" si="15"/>
        <v>0</v>
      </c>
      <c r="E211" s="31">
        <f t="shared" si="16"/>
        <v>0</v>
      </c>
      <c r="F211" s="30">
        <f t="shared" si="17"/>
        <v>0</v>
      </c>
      <c r="G211" s="11">
        <f t="shared" si="18"/>
        <v>0</v>
      </c>
    </row>
    <row r="212" spans="1:7" ht="13.5" hidden="1" thickBot="1" x14ac:dyDescent="0.25">
      <c r="A212" s="15">
        <f t="shared" si="19"/>
        <v>192</v>
      </c>
      <c r="B212" s="30">
        <f t="shared" si="20"/>
        <v>0</v>
      </c>
      <c r="C212" s="30">
        <f t="shared" si="14"/>
        <v>0</v>
      </c>
      <c r="D212" s="30">
        <f t="shared" si="15"/>
        <v>0</v>
      </c>
      <c r="E212" s="31">
        <f t="shared" si="16"/>
        <v>0</v>
      </c>
      <c r="F212" s="30">
        <f t="shared" si="17"/>
        <v>0</v>
      </c>
      <c r="G212" s="11">
        <f t="shared" si="18"/>
        <v>0</v>
      </c>
    </row>
    <row r="213" spans="1:7" ht="13.5" hidden="1" thickBot="1" x14ac:dyDescent="0.25">
      <c r="A213" s="15">
        <f t="shared" si="19"/>
        <v>193</v>
      </c>
      <c r="B213" s="30">
        <f t="shared" si="20"/>
        <v>0</v>
      </c>
      <c r="C213" s="30">
        <f t="shared" ref="C213:C276" si="21">IF(A213&lt;=$D$9,$D$14*-1,0)</f>
        <v>0</v>
      </c>
      <c r="D213" s="30">
        <f t="shared" ref="D213:D276" si="22">IF(A213&gt;$D$9,0,$D$11*-1)</f>
        <v>0</v>
      </c>
      <c r="E213" s="31">
        <f t="shared" ref="E213:E276" si="23">B213*$D$10</f>
        <v>0</v>
      </c>
      <c r="F213" s="30">
        <f t="shared" ref="F213:F276" si="24">D213-E213</f>
        <v>0</v>
      </c>
      <c r="G213" s="11">
        <f t="shared" ref="G213:G276" si="25">B213-F213</f>
        <v>0</v>
      </c>
    </row>
    <row r="214" spans="1:7" ht="13.5" hidden="1" thickBot="1" x14ac:dyDescent="0.25">
      <c r="A214" s="15">
        <f t="shared" ref="A214:A277" si="26">A213+1</f>
        <v>194</v>
      </c>
      <c r="B214" s="30">
        <f t="shared" ref="B214:B277" si="27">IF(A214&lt;=$D$9,G213,0)</f>
        <v>0</v>
      </c>
      <c r="C214" s="30">
        <f t="shared" si="21"/>
        <v>0</v>
      </c>
      <c r="D214" s="30">
        <f t="shared" si="22"/>
        <v>0</v>
      </c>
      <c r="E214" s="31">
        <f t="shared" si="23"/>
        <v>0</v>
      </c>
      <c r="F214" s="30">
        <f t="shared" si="24"/>
        <v>0</v>
      </c>
      <c r="G214" s="11">
        <f t="shared" si="25"/>
        <v>0</v>
      </c>
    </row>
    <row r="215" spans="1:7" ht="13.5" hidden="1" thickBot="1" x14ac:dyDescent="0.25">
      <c r="A215" s="15">
        <f t="shared" si="26"/>
        <v>195</v>
      </c>
      <c r="B215" s="30">
        <f t="shared" si="27"/>
        <v>0</v>
      </c>
      <c r="C215" s="30">
        <f t="shared" si="21"/>
        <v>0</v>
      </c>
      <c r="D215" s="30">
        <f t="shared" si="22"/>
        <v>0</v>
      </c>
      <c r="E215" s="31">
        <f t="shared" si="23"/>
        <v>0</v>
      </c>
      <c r="F215" s="30">
        <f t="shared" si="24"/>
        <v>0</v>
      </c>
      <c r="G215" s="11">
        <f t="shared" si="25"/>
        <v>0</v>
      </c>
    </row>
    <row r="216" spans="1:7" ht="13.5" hidden="1" thickBot="1" x14ac:dyDescent="0.25">
      <c r="A216" s="15">
        <f t="shared" si="26"/>
        <v>196</v>
      </c>
      <c r="B216" s="30">
        <f t="shared" si="27"/>
        <v>0</v>
      </c>
      <c r="C216" s="30">
        <f t="shared" si="21"/>
        <v>0</v>
      </c>
      <c r="D216" s="30">
        <f t="shared" si="22"/>
        <v>0</v>
      </c>
      <c r="E216" s="31">
        <f t="shared" si="23"/>
        <v>0</v>
      </c>
      <c r="F216" s="30">
        <f t="shared" si="24"/>
        <v>0</v>
      </c>
      <c r="G216" s="11">
        <f t="shared" si="25"/>
        <v>0</v>
      </c>
    </row>
    <row r="217" spans="1:7" ht="13.5" hidden="1" thickBot="1" x14ac:dyDescent="0.25">
      <c r="A217" s="15">
        <f t="shared" si="26"/>
        <v>197</v>
      </c>
      <c r="B217" s="30">
        <f t="shared" si="27"/>
        <v>0</v>
      </c>
      <c r="C217" s="30">
        <f t="shared" si="21"/>
        <v>0</v>
      </c>
      <c r="D217" s="30">
        <f t="shared" si="22"/>
        <v>0</v>
      </c>
      <c r="E217" s="31">
        <f t="shared" si="23"/>
        <v>0</v>
      </c>
      <c r="F217" s="30">
        <f t="shared" si="24"/>
        <v>0</v>
      </c>
      <c r="G217" s="11">
        <f t="shared" si="25"/>
        <v>0</v>
      </c>
    </row>
    <row r="218" spans="1:7" ht="13.5" hidden="1" thickBot="1" x14ac:dyDescent="0.25">
      <c r="A218" s="15">
        <f t="shared" si="26"/>
        <v>198</v>
      </c>
      <c r="B218" s="30">
        <f t="shared" si="27"/>
        <v>0</v>
      </c>
      <c r="C218" s="30">
        <f t="shared" si="21"/>
        <v>0</v>
      </c>
      <c r="D218" s="30">
        <f t="shared" si="22"/>
        <v>0</v>
      </c>
      <c r="E218" s="31">
        <f t="shared" si="23"/>
        <v>0</v>
      </c>
      <c r="F218" s="30">
        <f t="shared" si="24"/>
        <v>0</v>
      </c>
      <c r="G218" s="11">
        <f t="shared" si="25"/>
        <v>0</v>
      </c>
    </row>
    <row r="219" spans="1:7" ht="13.5" hidden="1" thickBot="1" x14ac:dyDescent="0.25">
      <c r="A219" s="15">
        <f t="shared" si="26"/>
        <v>199</v>
      </c>
      <c r="B219" s="30">
        <f t="shared" si="27"/>
        <v>0</v>
      </c>
      <c r="C219" s="30">
        <f t="shared" si="21"/>
        <v>0</v>
      </c>
      <c r="D219" s="30">
        <f t="shared" si="22"/>
        <v>0</v>
      </c>
      <c r="E219" s="31">
        <f t="shared" si="23"/>
        <v>0</v>
      </c>
      <c r="F219" s="30">
        <f t="shared" si="24"/>
        <v>0</v>
      </c>
      <c r="G219" s="11">
        <f t="shared" si="25"/>
        <v>0</v>
      </c>
    </row>
    <row r="220" spans="1:7" ht="13.5" hidden="1" thickBot="1" x14ac:dyDescent="0.25">
      <c r="A220" s="15">
        <f t="shared" si="26"/>
        <v>200</v>
      </c>
      <c r="B220" s="30">
        <f t="shared" si="27"/>
        <v>0</v>
      </c>
      <c r="C220" s="30">
        <f t="shared" si="21"/>
        <v>0</v>
      </c>
      <c r="D220" s="30">
        <f t="shared" si="22"/>
        <v>0</v>
      </c>
      <c r="E220" s="31">
        <f t="shared" si="23"/>
        <v>0</v>
      </c>
      <c r="F220" s="30">
        <f t="shared" si="24"/>
        <v>0</v>
      </c>
      <c r="G220" s="11">
        <f t="shared" si="25"/>
        <v>0</v>
      </c>
    </row>
    <row r="221" spans="1:7" ht="13.5" hidden="1" thickBot="1" x14ac:dyDescent="0.25">
      <c r="A221" s="15">
        <f t="shared" si="26"/>
        <v>201</v>
      </c>
      <c r="B221" s="30">
        <f t="shared" si="27"/>
        <v>0</v>
      </c>
      <c r="C221" s="30">
        <f t="shared" si="21"/>
        <v>0</v>
      </c>
      <c r="D221" s="30">
        <f t="shared" si="22"/>
        <v>0</v>
      </c>
      <c r="E221" s="31">
        <f t="shared" si="23"/>
        <v>0</v>
      </c>
      <c r="F221" s="30">
        <f t="shared" si="24"/>
        <v>0</v>
      </c>
      <c r="G221" s="11">
        <f t="shared" si="25"/>
        <v>0</v>
      </c>
    </row>
    <row r="222" spans="1:7" ht="13.5" hidden="1" thickBot="1" x14ac:dyDescent="0.25">
      <c r="A222" s="15">
        <f t="shared" si="26"/>
        <v>202</v>
      </c>
      <c r="B222" s="30">
        <f t="shared" si="27"/>
        <v>0</v>
      </c>
      <c r="C222" s="30">
        <f t="shared" si="21"/>
        <v>0</v>
      </c>
      <c r="D222" s="30">
        <f t="shared" si="22"/>
        <v>0</v>
      </c>
      <c r="E222" s="31">
        <f t="shared" si="23"/>
        <v>0</v>
      </c>
      <c r="F222" s="30">
        <f t="shared" si="24"/>
        <v>0</v>
      </c>
      <c r="G222" s="11">
        <f t="shared" si="25"/>
        <v>0</v>
      </c>
    </row>
    <row r="223" spans="1:7" ht="13.5" hidden="1" thickBot="1" x14ac:dyDescent="0.25">
      <c r="A223" s="15">
        <f t="shared" si="26"/>
        <v>203</v>
      </c>
      <c r="B223" s="30">
        <f t="shared" si="27"/>
        <v>0</v>
      </c>
      <c r="C223" s="30">
        <f t="shared" si="21"/>
        <v>0</v>
      </c>
      <c r="D223" s="30">
        <f t="shared" si="22"/>
        <v>0</v>
      </c>
      <c r="E223" s="31">
        <f t="shared" si="23"/>
        <v>0</v>
      </c>
      <c r="F223" s="30">
        <f t="shared" si="24"/>
        <v>0</v>
      </c>
      <c r="G223" s="11">
        <f t="shared" si="25"/>
        <v>0</v>
      </c>
    </row>
    <row r="224" spans="1:7" ht="13.5" hidden="1" thickBot="1" x14ac:dyDescent="0.25">
      <c r="A224" s="15">
        <f t="shared" si="26"/>
        <v>204</v>
      </c>
      <c r="B224" s="30">
        <f t="shared" si="27"/>
        <v>0</v>
      </c>
      <c r="C224" s="30">
        <f t="shared" si="21"/>
        <v>0</v>
      </c>
      <c r="D224" s="30">
        <f t="shared" si="22"/>
        <v>0</v>
      </c>
      <c r="E224" s="31">
        <f t="shared" si="23"/>
        <v>0</v>
      </c>
      <c r="F224" s="30">
        <f t="shared" si="24"/>
        <v>0</v>
      </c>
      <c r="G224" s="11">
        <f t="shared" si="25"/>
        <v>0</v>
      </c>
    </row>
    <row r="225" spans="1:7" ht="13.5" hidden="1" thickBot="1" x14ac:dyDescent="0.25">
      <c r="A225" s="15">
        <f t="shared" si="26"/>
        <v>205</v>
      </c>
      <c r="B225" s="30">
        <f t="shared" si="27"/>
        <v>0</v>
      </c>
      <c r="C225" s="30">
        <f t="shared" si="21"/>
        <v>0</v>
      </c>
      <c r="D225" s="30">
        <f t="shared" si="22"/>
        <v>0</v>
      </c>
      <c r="E225" s="31">
        <f t="shared" si="23"/>
        <v>0</v>
      </c>
      <c r="F225" s="30">
        <f t="shared" si="24"/>
        <v>0</v>
      </c>
      <c r="G225" s="11">
        <f t="shared" si="25"/>
        <v>0</v>
      </c>
    </row>
    <row r="226" spans="1:7" ht="13.5" hidden="1" thickBot="1" x14ac:dyDescent="0.25">
      <c r="A226" s="15">
        <f t="shared" si="26"/>
        <v>206</v>
      </c>
      <c r="B226" s="30">
        <f t="shared" si="27"/>
        <v>0</v>
      </c>
      <c r="C226" s="30">
        <f t="shared" si="21"/>
        <v>0</v>
      </c>
      <c r="D226" s="30">
        <f t="shared" si="22"/>
        <v>0</v>
      </c>
      <c r="E226" s="31">
        <f t="shared" si="23"/>
        <v>0</v>
      </c>
      <c r="F226" s="30">
        <f t="shared" si="24"/>
        <v>0</v>
      </c>
      <c r="G226" s="11">
        <f t="shared" si="25"/>
        <v>0</v>
      </c>
    </row>
    <row r="227" spans="1:7" ht="13.5" hidden="1" thickBot="1" x14ac:dyDescent="0.25">
      <c r="A227" s="15">
        <f t="shared" si="26"/>
        <v>207</v>
      </c>
      <c r="B227" s="30">
        <f t="shared" si="27"/>
        <v>0</v>
      </c>
      <c r="C227" s="30">
        <f t="shared" si="21"/>
        <v>0</v>
      </c>
      <c r="D227" s="30">
        <f t="shared" si="22"/>
        <v>0</v>
      </c>
      <c r="E227" s="31">
        <f t="shared" si="23"/>
        <v>0</v>
      </c>
      <c r="F227" s="30">
        <f t="shared" si="24"/>
        <v>0</v>
      </c>
      <c r="G227" s="11">
        <f t="shared" si="25"/>
        <v>0</v>
      </c>
    </row>
    <row r="228" spans="1:7" ht="13.5" hidden="1" thickBot="1" x14ac:dyDescent="0.25">
      <c r="A228" s="15">
        <f t="shared" si="26"/>
        <v>208</v>
      </c>
      <c r="B228" s="30">
        <f t="shared" si="27"/>
        <v>0</v>
      </c>
      <c r="C228" s="30">
        <f t="shared" si="21"/>
        <v>0</v>
      </c>
      <c r="D228" s="30">
        <f t="shared" si="22"/>
        <v>0</v>
      </c>
      <c r="E228" s="31">
        <f t="shared" si="23"/>
        <v>0</v>
      </c>
      <c r="F228" s="30">
        <f t="shared" si="24"/>
        <v>0</v>
      </c>
      <c r="G228" s="11">
        <f t="shared" si="25"/>
        <v>0</v>
      </c>
    </row>
    <row r="229" spans="1:7" ht="13.5" hidden="1" thickBot="1" x14ac:dyDescent="0.25">
      <c r="A229" s="15">
        <f t="shared" si="26"/>
        <v>209</v>
      </c>
      <c r="B229" s="30">
        <f t="shared" si="27"/>
        <v>0</v>
      </c>
      <c r="C229" s="30">
        <f t="shared" si="21"/>
        <v>0</v>
      </c>
      <c r="D229" s="30">
        <f t="shared" si="22"/>
        <v>0</v>
      </c>
      <c r="E229" s="31">
        <f t="shared" si="23"/>
        <v>0</v>
      </c>
      <c r="F229" s="30">
        <f t="shared" si="24"/>
        <v>0</v>
      </c>
      <c r="G229" s="11">
        <f t="shared" si="25"/>
        <v>0</v>
      </c>
    </row>
    <row r="230" spans="1:7" ht="13.5" hidden="1" thickBot="1" x14ac:dyDescent="0.25">
      <c r="A230" s="15">
        <f t="shared" si="26"/>
        <v>210</v>
      </c>
      <c r="B230" s="30">
        <f t="shared" si="27"/>
        <v>0</v>
      </c>
      <c r="C230" s="30">
        <f t="shared" si="21"/>
        <v>0</v>
      </c>
      <c r="D230" s="30">
        <f t="shared" si="22"/>
        <v>0</v>
      </c>
      <c r="E230" s="31">
        <f t="shared" si="23"/>
        <v>0</v>
      </c>
      <c r="F230" s="30">
        <f t="shared" si="24"/>
        <v>0</v>
      </c>
      <c r="G230" s="11">
        <f t="shared" si="25"/>
        <v>0</v>
      </c>
    </row>
    <row r="231" spans="1:7" ht="13.5" hidden="1" thickBot="1" x14ac:dyDescent="0.25">
      <c r="A231" s="15">
        <f t="shared" si="26"/>
        <v>211</v>
      </c>
      <c r="B231" s="30">
        <f t="shared" si="27"/>
        <v>0</v>
      </c>
      <c r="C231" s="30">
        <f t="shared" si="21"/>
        <v>0</v>
      </c>
      <c r="D231" s="30">
        <f t="shared" si="22"/>
        <v>0</v>
      </c>
      <c r="E231" s="31">
        <f t="shared" si="23"/>
        <v>0</v>
      </c>
      <c r="F231" s="30">
        <f t="shared" si="24"/>
        <v>0</v>
      </c>
      <c r="G231" s="11">
        <f t="shared" si="25"/>
        <v>0</v>
      </c>
    </row>
    <row r="232" spans="1:7" ht="13.5" hidden="1" thickBot="1" x14ac:dyDescent="0.25">
      <c r="A232" s="15">
        <f t="shared" si="26"/>
        <v>212</v>
      </c>
      <c r="B232" s="30">
        <f t="shared" si="27"/>
        <v>0</v>
      </c>
      <c r="C232" s="30">
        <f t="shared" si="21"/>
        <v>0</v>
      </c>
      <c r="D232" s="30">
        <f t="shared" si="22"/>
        <v>0</v>
      </c>
      <c r="E232" s="31">
        <f t="shared" si="23"/>
        <v>0</v>
      </c>
      <c r="F232" s="30">
        <f t="shared" si="24"/>
        <v>0</v>
      </c>
      <c r="G232" s="11">
        <f t="shared" si="25"/>
        <v>0</v>
      </c>
    </row>
    <row r="233" spans="1:7" ht="13.5" hidden="1" thickBot="1" x14ac:dyDescent="0.25">
      <c r="A233" s="15">
        <f t="shared" si="26"/>
        <v>213</v>
      </c>
      <c r="B233" s="30">
        <f t="shared" si="27"/>
        <v>0</v>
      </c>
      <c r="C233" s="30">
        <f t="shared" si="21"/>
        <v>0</v>
      </c>
      <c r="D233" s="30">
        <f t="shared" si="22"/>
        <v>0</v>
      </c>
      <c r="E233" s="31">
        <f t="shared" si="23"/>
        <v>0</v>
      </c>
      <c r="F233" s="30">
        <f t="shared" si="24"/>
        <v>0</v>
      </c>
      <c r="G233" s="11">
        <f t="shared" si="25"/>
        <v>0</v>
      </c>
    </row>
    <row r="234" spans="1:7" ht="13.5" hidden="1" thickBot="1" x14ac:dyDescent="0.25">
      <c r="A234" s="15">
        <f t="shared" si="26"/>
        <v>214</v>
      </c>
      <c r="B234" s="30">
        <f t="shared" si="27"/>
        <v>0</v>
      </c>
      <c r="C234" s="30">
        <f t="shared" si="21"/>
        <v>0</v>
      </c>
      <c r="D234" s="30">
        <f t="shared" si="22"/>
        <v>0</v>
      </c>
      <c r="E234" s="31">
        <f t="shared" si="23"/>
        <v>0</v>
      </c>
      <c r="F234" s="30">
        <f t="shared" si="24"/>
        <v>0</v>
      </c>
      <c r="G234" s="11">
        <f t="shared" si="25"/>
        <v>0</v>
      </c>
    </row>
    <row r="235" spans="1:7" ht="13.5" hidden="1" thickBot="1" x14ac:dyDescent="0.25">
      <c r="A235" s="15">
        <f t="shared" si="26"/>
        <v>215</v>
      </c>
      <c r="B235" s="30">
        <f t="shared" si="27"/>
        <v>0</v>
      </c>
      <c r="C235" s="30">
        <f t="shared" si="21"/>
        <v>0</v>
      </c>
      <c r="D235" s="30">
        <f t="shared" si="22"/>
        <v>0</v>
      </c>
      <c r="E235" s="31">
        <f t="shared" si="23"/>
        <v>0</v>
      </c>
      <c r="F235" s="30">
        <f t="shared" si="24"/>
        <v>0</v>
      </c>
      <c r="G235" s="11">
        <f t="shared" si="25"/>
        <v>0</v>
      </c>
    </row>
    <row r="236" spans="1:7" ht="13.5" hidden="1" thickBot="1" x14ac:dyDescent="0.25">
      <c r="A236" s="15">
        <f t="shared" si="26"/>
        <v>216</v>
      </c>
      <c r="B236" s="30">
        <f t="shared" si="27"/>
        <v>0</v>
      </c>
      <c r="C236" s="30">
        <f t="shared" si="21"/>
        <v>0</v>
      </c>
      <c r="D236" s="30">
        <f t="shared" si="22"/>
        <v>0</v>
      </c>
      <c r="E236" s="31">
        <f t="shared" si="23"/>
        <v>0</v>
      </c>
      <c r="F236" s="30">
        <f t="shared" si="24"/>
        <v>0</v>
      </c>
      <c r="G236" s="11">
        <f t="shared" si="25"/>
        <v>0</v>
      </c>
    </row>
    <row r="237" spans="1:7" ht="13.5" hidden="1" thickBot="1" x14ac:dyDescent="0.25">
      <c r="A237" s="15">
        <f t="shared" si="26"/>
        <v>217</v>
      </c>
      <c r="B237" s="30">
        <f t="shared" si="27"/>
        <v>0</v>
      </c>
      <c r="C237" s="30">
        <f t="shared" si="21"/>
        <v>0</v>
      </c>
      <c r="D237" s="30">
        <f t="shared" si="22"/>
        <v>0</v>
      </c>
      <c r="E237" s="31">
        <f t="shared" si="23"/>
        <v>0</v>
      </c>
      <c r="F237" s="30">
        <f t="shared" si="24"/>
        <v>0</v>
      </c>
      <c r="G237" s="11">
        <f t="shared" si="25"/>
        <v>0</v>
      </c>
    </row>
    <row r="238" spans="1:7" ht="13.5" hidden="1" thickBot="1" x14ac:dyDescent="0.25">
      <c r="A238" s="15">
        <f t="shared" si="26"/>
        <v>218</v>
      </c>
      <c r="B238" s="30">
        <f t="shared" si="27"/>
        <v>0</v>
      </c>
      <c r="C238" s="30">
        <f t="shared" si="21"/>
        <v>0</v>
      </c>
      <c r="D238" s="30">
        <f t="shared" si="22"/>
        <v>0</v>
      </c>
      <c r="E238" s="31">
        <f t="shared" si="23"/>
        <v>0</v>
      </c>
      <c r="F238" s="30">
        <f t="shared" si="24"/>
        <v>0</v>
      </c>
      <c r="G238" s="11">
        <f t="shared" si="25"/>
        <v>0</v>
      </c>
    </row>
    <row r="239" spans="1:7" ht="13.5" hidden="1" thickBot="1" x14ac:dyDescent="0.25">
      <c r="A239" s="15">
        <f t="shared" si="26"/>
        <v>219</v>
      </c>
      <c r="B239" s="30">
        <f t="shared" si="27"/>
        <v>0</v>
      </c>
      <c r="C239" s="30">
        <f t="shared" si="21"/>
        <v>0</v>
      </c>
      <c r="D239" s="30">
        <f t="shared" si="22"/>
        <v>0</v>
      </c>
      <c r="E239" s="31">
        <f t="shared" si="23"/>
        <v>0</v>
      </c>
      <c r="F239" s="30">
        <f t="shared" si="24"/>
        <v>0</v>
      </c>
      <c r="G239" s="11">
        <f t="shared" si="25"/>
        <v>0</v>
      </c>
    </row>
    <row r="240" spans="1:7" ht="13.5" hidden="1" thickBot="1" x14ac:dyDescent="0.25">
      <c r="A240" s="15">
        <f t="shared" si="26"/>
        <v>220</v>
      </c>
      <c r="B240" s="30">
        <f t="shared" si="27"/>
        <v>0</v>
      </c>
      <c r="C240" s="30">
        <f t="shared" si="21"/>
        <v>0</v>
      </c>
      <c r="D240" s="30">
        <f t="shared" si="22"/>
        <v>0</v>
      </c>
      <c r="E240" s="31">
        <f t="shared" si="23"/>
        <v>0</v>
      </c>
      <c r="F240" s="30">
        <f t="shared" si="24"/>
        <v>0</v>
      </c>
      <c r="G240" s="11">
        <f t="shared" si="25"/>
        <v>0</v>
      </c>
    </row>
    <row r="241" spans="1:7" ht="13.5" hidden="1" thickBot="1" x14ac:dyDescent="0.25">
      <c r="A241" s="15">
        <f t="shared" si="26"/>
        <v>221</v>
      </c>
      <c r="B241" s="30">
        <f t="shared" si="27"/>
        <v>0</v>
      </c>
      <c r="C241" s="30">
        <f t="shared" si="21"/>
        <v>0</v>
      </c>
      <c r="D241" s="30">
        <f t="shared" si="22"/>
        <v>0</v>
      </c>
      <c r="E241" s="31">
        <f t="shared" si="23"/>
        <v>0</v>
      </c>
      <c r="F241" s="30">
        <f t="shared" si="24"/>
        <v>0</v>
      </c>
      <c r="G241" s="11">
        <f t="shared" si="25"/>
        <v>0</v>
      </c>
    </row>
    <row r="242" spans="1:7" ht="13.5" hidden="1" thickBot="1" x14ac:dyDescent="0.25">
      <c r="A242" s="15">
        <f t="shared" si="26"/>
        <v>222</v>
      </c>
      <c r="B242" s="30">
        <f t="shared" si="27"/>
        <v>0</v>
      </c>
      <c r="C242" s="30">
        <f t="shared" si="21"/>
        <v>0</v>
      </c>
      <c r="D242" s="30">
        <f t="shared" si="22"/>
        <v>0</v>
      </c>
      <c r="E242" s="31">
        <f t="shared" si="23"/>
        <v>0</v>
      </c>
      <c r="F242" s="30">
        <f t="shared" si="24"/>
        <v>0</v>
      </c>
      <c r="G242" s="11">
        <f t="shared" si="25"/>
        <v>0</v>
      </c>
    </row>
    <row r="243" spans="1:7" ht="13.5" hidden="1" thickBot="1" x14ac:dyDescent="0.25">
      <c r="A243" s="15">
        <f t="shared" si="26"/>
        <v>223</v>
      </c>
      <c r="B243" s="30">
        <f t="shared" si="27"/>
        <v>0</v>
      </c>
      <c r="C243" s="30">
        <f t="shared" si="21"/>
        <v>0</v>
      </c>
      <c r="D243" s="30">
        <f t="shared" si="22"/>
        <v>0</v>
      </c>
      <c r="E243" s="31">
        <f t="shared" si="23"/>
        <v>0</v>
      </c>
      <c r="F243" s="30">
        <f t="shared" si="24"/>
        <v>0</v>
      </c>
      <c r="G243" s="11">
        <f t="shared" si="25"/>
        <v>0</v>
      </c>
    </row>
    <row r="244" spans="1:7" ht="13.5" hidden="1" thickBot="1" x14ac:dyDescent="0.25">
      <c r="A244" s="15">
        <f t="shared" si="26"/>
        <v>224</v>
      </c>
      <c r="B244" s="30">
        <f t="shared" si="27"/>
        <v>0</v>
      </c>
      <c r="C244" s="30">
        <f t="shared" si="21"/>
        <v>0</v>
      </c>
      <c r="D244" s="30">
        <f t="shared" si="22"/>
        <v>0</v>
      </c>
      <c r="E244" s="31">
        <f t="shared" si="23"/>
        <v>0</v>
      </c>
      <c r="F244" s="30">
        <f t="shared" si="24"/>
        <v>0</v>
      </c>
      <c r="G244" s="11">
        <f t="shared" si="25"/>
        <v>0</v>
      </c>
    </row>
    <row r="245" spans="1:7" ht="13.5" hidden="1" thickBot="1" x14ac:dyDescent="0.25">
      <c r="A245" s="15">
        <f t="shared" si="26"/>
        <v>225</v>
      </c>
      <c r="B245" s="30">
        <f t="shared" si="27"/>
        <v>0</v>
      </c>
      <c r="C245" s="30">
        <f t="shared" si="21"/>
        <v>0</v>
      </c>
      <c r="D245" s="30">
        <f t="shared" si="22"/>
        <v>0</v>
      </c>
      <c r="E245" s="31">
        <f t="shared" si="23"/>
        <v>0</v>
      </c>
      <c r="F245" s="30">
        <f t="shared" si="24"/>
        <v>0</v>
      </c>
      <c r="G245" s="11">
        <f t="shared" si="25"/>
        <v>0</v>
      </c>
    </row>
    <row r="246" spans="1:7" ht="13.5" hidden="1" thickBot="1" x14ac:dyDescent="0.25">
      <c r="A246" s="15">
        <f t="shared" si="26"/>
        <v>226</v>
      </c>
      <c r="B246" s="30">
        <f t="shared" si="27"/>
        <v>0</v>
      </c>
      <c r="C246" s="30">
        <f t="shared" si="21"/>
        <v>0</v>
      </c>
      <c r="D246" s="30">
        <f t="shared" si="22"/>
        <v>0</v>
      </c>
      <c r="E246" s="31">
        <f t="shared" si="23"/>
        <v>0</v>
      </c>
      <c r="F246" s="30">
        <f t="shared" si="24"/>
        <v>0</v>
      </c>
      <c r="G246" s="11">
        <f t="shared" si="25"/>
        <v>0</v>
      </c>
    </row>
    <row r="247" spans="1:7" ht="13.5" hidden="1" thickBot="1" x14ac:dyDescent="0.25">
      <c r="A247" s="15">
        <f t="shared" si="26"/>
        <v>227</v>
      </c>
      <c r="B247" s="30">
        <f t="shared" si="27"/>
        <v>0</v>
      </c>
      <c r="C247" s="30">
        <f t="shared" si="21"/>
        <v>0</v>
      </c>
      <c r="D247" s="30">
        <f t="shared" si="22"/>
        <v>0</v>
      </c>
      <c r="E247" s="31">
        <f t="shared" si="23"/>
        <v>0</v>
      </c>
      <c r="F247" s="30">
        <f t="shared" si="24"/>
        <v>0</v>
      </c>
      <c r="G247" s="11">
        <f t="shared" si="25"/>
        <v>0</v>
      </c>
    </row>
    <row r="248" spans="1:7" ht="13.5" hidden="1" thickBot="1" x14ac:dyDescent="0.25">
      <c r="A248" s="15">
        <f t="shared" si="26"/>
        <v>228</v>
      </c>
      <c r="B248" s="30">
        <f t="shared" si="27"/>
        <v>0</v>
      </c>
      <c r="C248" s="30">
        <f t="shared" si="21"/>
        <v>0</v>
      </c>
      <c r="D248" s="30">
        <f t="shared" si="22"/>
        <v>0</v>
      </c>
      <c r="E248" s="31">
        <f t="shared" si="23"/>
        <v>0</v>
      </c>
      <c r="F248" s="30">
        <f t="shared" si="24"/>
        <v>0</v>
      </c>
      <c r="G248" s="11">
        <f t="shared" si="25"/>
        <v>0</v>
      </c>
    </row>
    <row r="249" spans="1:7" ht="13.5" hidden="1" thickBot="1" x14ac:dyDescent="0.25">
      <c r="A249" s="15">
        <f t="shared" si="26"/>
        <v>229</v>
      </c>
      <c r="B249" s="30">
        <f t="shared" si="27"/>
        <v>0</v>
      </c>
      <c r="C249" s="30">
        <f t="shared" si="21"/>
        <v>0</v>
      </c>
      <c r="D249" s="30">
        <f t="shared" si="22"/>
        <v>0</v>
      </c>
      <c r="E249" s="31">
        <f t="shared" si="23"/>
        <v>0</v>
      </c>
      <c r="F249" s="30">
        <f t="shared" si="24"/>
        <v>0</v>
      </c>
      <c r="G249" s="11">
        <f t="shared" si="25"/>
        <v>0</v>
      </c>
    </row>
    <row r="250" spans="1:7" ht="13.5" hidden="1" thickBot="1" x14ac:dyDescent="0.25">
      <c r="A250" s="15">
        <f t="shared" si="26"/>
        <v>230</v>
      </c>
      <c r="B250" s="30">
        <f t="shared" si="27"/>
        <v>0</v>
      </c>
      <c r="C250" s="30">
        <f t="shared" si="21"/>
        <v>0</v>
      </c>
      <c r="D250" s="30">
        <f t="shared" si="22"/>
        <v>0</v>
      </c>
      <c r="E250" s="31">
        <f t="shared" si="23"/>
        <v>0</v>
      </c>
      <c r="F250" s="30">
        <f t="shared" si="24"/>
        <v>0</v>
      </c>
      <c r="G250" s="11">
        <f t="shared" si="25"/>
        <v>0</v>
      </c>
    </row>
    <row r="251" spans="1:7" ht="13.5" hidden="1" thickBot="1" x14ac:dyDescent="0.25">
      <c r="A251" s="15">
        <f t="shared" si="26"/>
        <v>231</v>
      </c>
      <c r="B251" s="30">
        <f t="shared" si="27"/>
        <v>0</v>
      </c>
      <c r="C251" s="30">
        <f t="shared" si="21"/>
        <v>0</v>
      </c>
      <c r="D251" s="30">
        <f t="shared" si="22"/>
        <v>0</v>
      </c>
      <c r="E251" s="31">
        <f t="shared" si="23"/>
        <v>0</v>
      </c>
      <c r="F251" s="30">
        <f t="shared" si="24"/>
        <v>0</v>
      </c>
      <c r="G251" s="11">
        <f t="shared" si="25"/>
        <v>0</v>
      </c>
    </row>
    <row r="252" spans="1:7" ht="13.5" hidden="1" thickBot="1" x14ac:dyDescent="0.25">
      <c r="A252" s="15">
        <f t="shared" si="26"/>
        <v>232</v>
      </c>
      <c r="B252" s="30">
        <f t="shared" si="27"/>
        <v>0</v>
      </c>
      <c r="C252" s="30">
        <f t="shared" si="21"/>
        <v>0</v>
      </c>
      <c r="D252" s="30">
        <f t="shared" si="22"/>
        <v>0</v>
      </c>
      <c r="E252" s="31">
        <f t="shared" si="23"/>
        <v>0</v>
      </c>
      <c r="F252" s="30">
        <f t="shared" si="24"/>
        <v>0</v>
      </c>
      <c r="G252" s="11">
        <f t="shared" si="25"/>
        <v>0</v>
      </c>
    </row>
    <row r="253" spans="1:7" ht="13.5" hidden="1" thickBot="1" x14ac:dyDescent="0.25">
      <c r="A253" s="15">
        <f t="shared" si="26"/>
        <v>233</v>
      </c>
      <c r="B253" s="30">
        <f t="shared" si="27"/>
        <v>0</v>
      </c>
      <c r="C253" s="30">
        <f t="shared" si="21"/>
        <v>0</v>
      </c>
      <c r="D253" s="30">
        <f t="shared" si="22"/>
        <v>0</v>
      </c>
      <c r="E253" s="31">
        <f t="shared" si="23"/>
        <v>0</v>
      </c>
      <c r="F253" s="30">
        <f t="shared" si="24"/>
        <v>0</v>
      </c>
      <c r="G253" s="11">
        <f t="shared" si="25"/>
        <v>0</v>
      </c>
    </row>
    <row r="254" spans="1:7" ht="13.5" hidden="1" thickBot="1" x14ac:dyDescent="0.25">
      <c r="A254" s="15">
        <f t="shared" si="26"/>
        <v>234</v>
      </c>
      <c r="B254" s="30">
        <f t="shared" si="27"/>
        <v>0</v>
      </c>
      <c r="C254" s="30">
        <f t="shared" si="21"/>
        <v>0</v>
      </c>
      <c r="D254" s="30">
        <f t="shared" si="22"/>
        <v>0</v>
      </c>
      <c r="E254" s="31">
        <f t="shared" si="23"/>
        <v>0</v>
      </c>
      <c r="F254" s="30">
        <f t="shared" si="24"/>
        <v>0</v>
      </c>
      <c r="G254" s="11">
        <f t="shared" si="25"/>
        <v>0</v>
      </c>
    </row>
    <row r="255" spans="1:7" ht="13.5" hidden="1" thickBot="1" x14ac:dyDescent="0.25">
      <c r="A255" s="15">
        <f t="shared" si="26"/>
        <v>235</v>
      </c>
      <c r="B255" s="30">
        <f t="shared" si="27"/>
        <v>0</v>
      </c>
      <c r="C255" s="30">
        <f t="shared" si="21"/>
        <v>0</v>
      </c>
      <c r="D255" s="30">
        <f t="shared" si="22"/>
        <v>0</v>
      </c>
      <c r="E255" s="31">
        <f t="shared" si="23"/>
        <v>0</v>
      </c>
      <c r="F255" s="30">
        <f t="shared" si="24"/>
        <v>0</v>
      </c>
      <c r="G255" s="11">
        <f t="shared" si="25"/>
        <v>0</v>
      </c>
    </row>
    <row r="256" spans="1:7" ht="13.5" hidden="1" thickBot="1" x14ac:dyDescent="0.25">
      <c r="A256" s="15">
        <f t="shared" si="26"/>
        <v>236</v>
      </c>
      <c r="B256" s="30">
        <f t="shared" si="27"/>
        <v>0</v>
      </c>
      <c r="C256" s="30">
        <f t="shared" si="21"/>
        <v>0</v>
      </c>
      <c r="D256" s="30">
        <f t="shared" si="22"/>
        <v>0</v>
      </c>
      <c r="E256" s="31">
        <f t="shared" si="23"/>
        <v>0</v>
      </c>
      <c r="F256" s="30">
        <f t="shared" si="24"/>
        <v>0</v>
      </c>
      <c r="G256" s="11">
        <f t="shared" si="25"/>
        <v>0</v>
      </c>
    </row>
    <row r="257" spans="1:7" ht="13.5" hidden="1" thickBot="1" x14ac:dyDescent="0.25">
      <c r="A257" s="15">
        <f t="shared" si="26"/>
        <v>237</v>
      </c>
      <c r="B257" s="30">
        <f t="shared" si="27"/>
        <v>0</v>
      </c>
      <c r="C257" s="30">
        <f t="shared" si="21"/>
        <v>0</v>
      </c>
      <c r="D257" s="30">
        <f t="shared" si="22"/>
        <v>0</v>
      </c>
      <c r="E257" s="31">
        <f t="shared" si="23"/>
        <v>0</v>
      </c>
      <c r="F257" s="30">
        <f t="shared" si="24"/>
        <v>0</v>
      </c>
      <c r="G257" s="11">
        <f t="shared" si="25"/>
        <v>0</v>
      </c>
    </row>
    <row r="258" spans="1:7" ht="13.5" hidden="1" thickBot="1" x14ac:dyDescent="0.25">
      <c r="A258" s="15">
        <f t="shared" si="26"/>
        <v>238</v>
      </c>
      <c r="B258" s="30">
        <f t="shared" si="27"/>
        <v>0</v>
      </c>
      <c r="C258" s="30">
        <f t="shared" si="21"/>
        <v>0</v>
      </c>
      <c r="D258" s="30">
        <f t="shared" si="22"/>
        <v>0</v>
      </c>
      <c r="E258" s="31">
        <f t="shared" si="23"/>
        <v>0</v>
      </c>
      <c r="F258" s="30">
        <f t="shared" si="24"/>
        <v>0</v>
      </c>
      <c r="G258" s="11">
        <f t="shared" si="25"/>
        <v>0</v>
      </c>
    </row>
    <row r="259" spans="1:7" ht="13.5" hidden="1" thickBot="1" x14ac:dyDescent="0.25">
      <c r="A259" s="15">
        <f t="shared" si="26"/>
        <v>239</v>
      </c>
      <c r="B259" s="30">
        <f t="shared" si="27"/>
        <v>0</v>
      </c>
      <c r="C259" s="30">
        <f t="shared" si="21"/>
        <v>0</v>
      </c>
      <c r="D259" s="30">
        <f t="shared" si="22"/>
        <v>0</v>
      </c>
      <c r="E259" s="31">
        <f t="shared" si="23"/>
        <v>0</v>
      </c>
      <c r="F259" s="30">
        <f t="shared" si="24"/>
        <v>0</v>
      </c>
      <c r="G259" s="11">
        <f t="shared" si="25"/>
        <v>0</v>
      </c>
    </row>
    <row r="260" spans="1:7" ht="13.5" hidden="1" thickBot="1" x14ac:dyDescent="0.25">
      <c r="A260" s="15">
        <f t="shared" si="26"/>
        <v>240</v>
      </c>
      <c r="B260" s="30">
        <f t="shared" si="27"/>
        <v>0</v>
      </c>
      <c r="C260" s="30">
        <f t="shared" si="21"/>
        <v>0</v>
      </c>
      <c r="D260" s="30">
        <f t="shared" si="22"/>
        <v>0</v>
      </c>
      <c r="E260" s="31">
        <f t="shared" si="23"/>
        <v>0</v>
      </c>
      <c r="F260" s="30">
        <f t="shared" si="24"/>
        <v>0</v>
      </c>
      <c r="G260" s="11">
        <f t="shared" si="25"/>
        <v>0</v>
      </c>
    </row>
    <row r="261" spans="1:7" ht="13.5" hidden="1" thickBot="1" x14ac:dyDescent="0.25">
      <c r="A261" s="15">
        <f t="shared" si="26"/>
        <v>241</v>
      </c>
      <c r="B261" s="30">
        <f t="shared" si="27"/>
        <v>0</v>
      </c>
      <c r="C261" s="30">
        <f t="shared" si="21"/>
        <v>0</v>
      </c>
      <c r="D261" s="30">
        <f t="shared" si="22"/>
        <v>0</v>
      </c>
      <c r="E261" s="31">
        <f t="shared" si="23"/>
        <v>0</v>
      </c>
      <c r="F261" s="30">
        <f t="shared" si="24"/>
        <v>0</v>
      </c>
      <c r="G261" s="11">
        <f t="shared" si="25"/>
        <v>0</v>
      </c>
    </row>
    <row r="262" spans="1:7" ht="13.5" hidden="1" thickBot="1" x14ac:dyDescent="0.25">
      <c r="A262" s="15">
        <f t="shared" si="26"/>
        <v>242</v>
      </c>
      <c r="B262" s="30">
        <f t="shared" si="27"/>
        <v>0</v>
      </c>
      <c r="C262" s="30">
        <f t="shared" si="21"/>
        <v>0</v>
      </c>
      <c r="D262" s="30">
        <f t="shared" si="22"/>
        <v>0</v>
      </c>
      <c r="E262" s="31">
        <f t="shared" si="23"/>
        <v>0</v>
      </c>
      <c r="F262" s="30">
        <f t="shared" si="24"/>
        <v>0</v>
      </c>
      <c r="G262" s="11">
        <f t="shared" si="25"/>
        <v>0</v>
      </c>
    </row>
    <row r="263" spans="1:7" ht="13.5" hidden="1" thickBot="1" x14ac:dyDescent="0.25">
      <c r="A263" s="15">
        <f t="shared" si="26"/>
        <v>243</v>
      </c>
      <c r="B263" s="30">
        <f t="shared" si="27"/>
        <v>0</v>
      </c>
      <c r="C263" s="30">
        <f t="shared" si="21"/>
        <v>0</v>
      </c>
      <c r="D263" s="30">
        <f t="shared" si="22"/>
        <v>0</v>
      </c>
      <c r="E263" s="31">
        <f t="shared" si="23"/>
        <v>0</v>
      </c>
      <c r="F263" s="30">
        <f t="shared" si="24"/>
        <v>0</v>
      </c>
      <c r="G263" s="11">
        <f t="shared" si="25"/>
        <v>0</v>
      </c>
    </row>
    <row r="264" spans="1:7" ht="13.5" hidden="1" thickBot="1" x14ac:dyDescent="0.25">
      <c r="A264" s="15">
        <f t="shared" si="26"/>
        <v>244</v>
      </c>
      <c r="B264" s="30">
        <f t="shared" si="27"/>
        <v>0</v>
      </c>
      <c r="C264" s="30">
        <f t="shared" si="21"/>
        <v>0</v>
      </c>
      <c r="D264" s="30">
        <f t="shared" si="22"/>
        <v>0</v>
      </c>
      <c r="E264" s="31">
        <f t="shared" si="23"/>
        <v>0</v>
      </c>
      <c r="F264" s="30">
        <f t="shared" si="24"/>
        <v>0</v>
      </c>
      <c r="G264" s="11">
        <f t="shared" si="25"/>
        <v>0</v>
      </c>
    </row>
    <row r="265" spans="1:7" ht="13.5" hidden="1" thickBot="1" x14ac:dyDescent="0.25">
      <c r="A265" s="15">
        <f t="shared" si="26"/>
        <v>245</v>
      </c>
      <c r="B265" s="30">
        <f t="shared" si="27"/>
        <v>0</v>
      </c>
      <c r="C265" s="30">
        <f t="shared" si="21"/>
        <v>0</v>
      </c>
      <c r="D265" s="30">
        <f t="shared" si="22"/>
        <v>0</v>
      </c>
      <c r="E265" s="31">
        <f t="shared" si="23"/>
        <v>0</v>
      </c>
      <c r="F265" s="30">
        <f t="shared" si="24"/>
        <v>0</v>
      </c>
      <c r="G265" s="11">
        <f t="shared" si="25"/>
        <v>0</v>
      </c>
    </row>
    <row r="266" spans="1:7" ht="13.5" hidden="1" thickBot="1" x14ac:dyDescent="0.25">
      <c r="A266" s="15">
        <f t="shared" si="26"/>
        <v>246</v>
      </c>
      <c r="B266" s="30">
        <f t="shared" si="27"/>
        <v>0</v>
      </c>
      <c r="C266" s="30">
        <f t="shared" si="21"/>
        <v>0</v>
      </c>
      <c r="D266" s="30">
        <f t="shared" si="22"/>
        <v>0</v>
      </c>
      <c r="E266" s="31">
        <f t="shared" si="23"/>
        <v>0</v>
      </c>
      <c r="F266" s="30">
        <f t="shared" si="24"/>
        <v>0</v>
      </c>
      <c r="G266" s="11">
        <f t="shared" si="25"/>
        <v>0</v>
      </c>
    </row>
    <row r="267" spans="1:7" ht="13.5" hidden="1" thickBot="1" x14ac:dyDescent="0.25">
      <c r="A267" s="15">
        <f t="shared" si="26"/>
        <v>247</v>
      </c>
      <c r="B267" s="30">
        <f t="shared" si="27"/>
        <v>0</v>
      </c>
      <c r="C267" s="30">
        <f t="shared" si="21"/>
        <v>0</v>
      </c>
      <c r="D267" s="30">
        <f t="shared" si="22"/>
        <v>0</v>
      </c>
      <c r="E267" s="31">
        <f t="shared" si="23"/>
        <v>0</v>
      </c>
      <c r="F267" s="30">
        <f t="shared" si="24"/>
        <v>0</v>
      </c>
      <c r="G267" s="11">
        <f t="shared" si="25"/>
        <v>0</v>
      </c>
    </row>
    <row r="268" spans="1:7" ht="13.5" hidden="1" thickBot="1" x14ac:dyDescent="0.25">
      <c r="A268" s="15">
        <f t="shared" si="26"/>
        <v>248</v>
      </c>
      <c r="B268" s="30">
        <f t="shared" si="27"/>
        <v>0</v>
      </c>
      <c r="C268" s="30">
        <f t="shared" si="21"/>
        <v>0</v>
      </c>
      <c r="D268" s="30">
        <f t="shared" si="22"/>
        <v>0</v>
      </c>
      <c r="E268" s="31">
        <f t="shared" si="23"/>
        <v>0</v>
      </c>
      <c r="F268" s="30">
        <f t="shared" si="24"/>
        <v>0</v>
      </c>
      <c r="G268" s="11">
        <f t="shared" si="25"/>
        <v>0</v>
      </c>
    </row>
    <row r="269" spans="1:7" ht="13.5" hidden="1" thickBot="1" x14ac:dyDescent="0.25">
      <c r="A269" s="15">
        <f t="shared" si="26"/>
        <v>249</v>
      </c>
      <c r="B269" s="30">
        <f t="shared" si="27"/>
        <v>0</v>
      </c>
      <c r="C269" s="30">
        <f t="shared" si="21"/>
        <v>0</v>
      </c>
      <c r="D269" s="30">
        <f t="shared" si="22"/>
        <v>0</v>
      </c>
      <c r="E269" s="31">
        <f t="shared" si="23"/>
        <v>0</v>
      </c>
      <c r="F269" s="30">
        <f t="shared" si="24"/>
        <v>0</v>
      </c>
      <c r="G269" s="11">
        <f t="shared" si="25"/>
        <v>0</v>
      </c>
    </row>
    <row r="270" spans="1:7" ht="13.5" hidden="1" thickBot="1" x14ac:dyDescent="0.25">
      <c r="A270" s="15">
        <f t="shared" si="26"/>
        <v>250</v>
      </c>
      <c r="B270" s="30">
        <f t="shared" si="27"/>
        <v>0</v>
      </c>
      <c r="C270" s="30">
        <f t="shared" si="21"/>
        <v>0</v>
      </c>
      <c r="D270" s="30">
        <f t="shared" si="22"/>
        <v>0</v>
      </c>
      <c r="E270" s="31">
        <f t="shared" si="23"/>
        <v>0</v>
      </c>
      <c r="F270" s="30">
        <f t="shared" si="24"/>
        <v>0</v>
      </c>
      <c r="G270" s="11">
        <f t="shared" si="25"/>
        <v>0</v>
      </c>
    </row>
    <row r="271" spans="1:7" ht="13.5" hidden="1" thickBot="1" x14ac:dyDescent="0.25">
      <c r="A271" s="15">
        <f t="shared" si="26"/>
        <v>251</v>
      </c>
      <c r="B271" s="30">
        <f t="shared" si="27"/>
        <v>0</v>
      </c>
      <c r="C271" s="30">
        <f t="shared" si="21"/>
        <v>0</v>
      </c>
      <c r="D271" s="30">
        <f t="shared" si="22"/>
        <v>0</v>
      </c>
      <c r="E271" s="31">
        <f t="shared" si="23"/>
        <v>0</v>
      </c>
      <c r="F271" s="30">
        <f t="shared" si="24"/>
        <v>0</v>
      </c>
      <c r="G271" s="11">
        <f t="shared" si="25"/>
        <v>0</v>
      </c>
    </row>
    <row r="272" spans="1:7" ht="13.5" hidden="1" thickBot="1" x14ac:dyDescent="0.25">
      <c r="A272" s="15">
        <f t="shared" si="26"/>
        <v>252</v>
      </c>
      <c r="B272" s="30">
        <f t="shared" si="27"/>
        <v>0</v>
      </c>
      <c r="C272" s="30">
        <f t="shared" si="21"/>
        <v>0</v>
      </c>
      <c r="D272" s="30">
        <f t="shared" si="22"/>
        <v>0</v>
      </c>
      <c r="E272" s="31">
        <f t="shared" si="23"/>
        <v>0</v>
      </c>
      <c r="F272" s="30">
        <f t="shared" si="24"/>
        <v>0</v>
      </c>
      <c r="G272" s="11">
        <f t="shared" si="25"/>
        <v>0</v>
      </c>
    </row>
    <row r="273" spans="1:7" ht="13.5" hidden="1" thickBot="1" x14ac:dyDescent="0.25">
      <c r="A273" s="15">
        <f t="shared" si="26"/>
        <v>253</v>
      </c>
      <c r="B273" s="30">
        <f t="shared" si="27"/>
        <v>0</v>
      </c>
      <c r="C273" s="30">
        <f t="shared" si="21"/>
        <v>0</v>
      </c>
      <c r="D273" s="30">
        <f t="shared" si="22"/>
        <v>0</v>
      </c>
      <c r="E273" s="31">
        <f t="shared" si="23"/>
        <v>0</v>
      </c>
      <c r="F273" s="30">
        <f t="shared" si="24"/>
        <v>0</v>
      </c>
      <c r="G273" s="11">
        <f t="shared" si="25"/>
        <v>0</v>
      </c>
    </row>
    <row r="274" spans="1:7" ht="13.5" hidden="1" thickBot="1" x14ac:dyDescent="0.25">
      <c r="A274" s="15">
        <f t="shared" si="26"/>
        <v>254</v>
      </c>
      <c r="B274" s="30">
        <f t="shared" si="27"/>
        <v>0</v>
      </c>
      <c r="C274" s="30">
        <f t="shared" si="21"/>
        <v>0</v>
      </c>
      <c r="D274" s="30">
        <f t="shared" si="22"/>
        <v>0</v>
      </c>
      <c r="E274" s="31">
        <f t="shared" si="23"/>
        <v>0</v>
      </c>
      <c r="F274" s="30">
        <f t="shared" si="24"/>
        <v>0</v>
      </c>
      <c r="G274" s="11">
        <f t="shared" si="25"/>
        <v>0</v>
      </c>
    </row>
    <row r="275" spans="1:7" ht="13.5" hidden="1" thickBot="1" x14ac:dyDescent="0.25">
      <c r="A275" s="15">
        <f t="shared" si="26"/>
        <v>255</v>
      </c>
      <c r="B275" s="30">
        <f t="shared" si="27"/>
        <v>0</v>
      </c>
      <c r="C275" s="30">
        <f t="shared" si="21"/>
        <v>0</v>
      </c>
      <c r="D275" s="30">
        <f t="shared" si="22"/>
        <v>0</v>
      </c>
      <c r="E275" s="31">
        <f t="shared" si="23"/>
        <v>0</v>
      </c>
      <c r="F275" s="30">
        <f t="shared" si="24"/>
        <v>0</v>
      </c>
      <c r="G275" s="11">
        <f t="shared" si="25"/>
        <v>0</v>
      </c>
    </row>
    <row r="276" spans="1:7" ht="13.5" hidden="1" thickBot="1" x14ac:dyDescent="0.25">
      <c r="A276" s="15">
        <f t="shared" si="26"/>
        <v>256</v>
      </c>
      <c r="B276" s="30">
        <f t="shared" si="27"/>
        <v>0</v>
      </c>
      <c r="C276" s="30">
        <f t="shared" si="21"/>
        <v>0</v>
      </c>
      <c r="D276" s="30">
        <f t="shared" si="22"/>
        <v>0</v>
      </c>
      <c r="E276" s="31">
        <f t="shared" si="23"/>
        <v>0</v>
      </c>
      <c r="F276" s="30">
        <f t="shared" si="24"/>
        <v>0</v>
      </c>
      <c r="G276" s="11">
        <f t="shared" si="25"/>
        <v>0</v>
      </c>
    </row>
    <row r="277" spans="1:7" ht="13.5" hidden="1" thickBot="1" x14ac:dyDescent="0.25">
      <c r="A277" s="15">
        <f t="shared" si="26"/>
        <v>257</v>
      </c>
      <c r="B277" s="30">
        <f t="shared" si="27"/>
        <v>0</v>
      </c>
      <c r="C277" s="30">
        <f t="shared" ref="C277:C340" si="28">IF(A277&lt;=$D$9,$D$14*-1,0)</f>
        <v>0</v>
      </c>
      <c r="D277" s="30">
        <f t="shared" ref="D277:D340" si="29">IF(A277&gt;$D$9,0,$D$11*-1)</f>
        <v>0</v>
      </c>
      <c r="E277" s="31">
        <f t="shared" ref="E277:E340" si="30">B277*$D$10</f>
        <v>0</v>
      </c>
      <c r="F277" s="30">
        <f t="shared" ref="F277:F340" si="31">D277-E277</f>
        <v>0</v>
      </c>
      <c r="G277" s="11">
        <f t="shared" ref="G277:G340" si="32">B277-F277</f>
        <v>0</v>
      </c>
    </row>
    <row r="278" spans="1:7" ht="13.5" hidden="1" thickBot="1" x14ac:dyDescent="0.25">
      <c r="A278" s="15">
        <f t="shared" ref="A278:A341" si="33">A277+1</f>
        <v>258</v>
      </c>
      <c r="B278" s="30">
        <f t="shared" ref="B278:B341" si="34">IF(A278&lt;=$D$9,G277,0)</f>
        <v>0</v>
      </c>
      <c r="C278" s="30">
        <f t="shared" si="28"/>
        <v>0</v>
      </c>
      <c r="D278" s="30">
        <f t="shared" si="29"/>
        <v>0</v>
      </c>
      <c r="E278" s="31">
        <f t="shared" si="30"/>
        <v>0</v>
      </c>
      <c r="F278" s="30">
        <f t="shared" si="31"/>
        <v>0</v>
      </c>
      <c r="G278" s="11">
        <f t="shared" si="32"/>
        <v>0</v>
      </c>
    </row>
    <row r="279" spans="1:7" ht="13.5" hidden="1" thickBot="1" x14ac:dyDescent="0.25">
      <c r="A279" s="15">
        <f t="shared" si="33"/>
        <v>259</v>
      </c>
      <c r="B279" s="30">
        <f t="shared" si="34"/>
        <v>0</v>
      </c>
      <c r="C279" s="30">
        <f t="shared" si="28"/>
        <v>0</v>
      </c>
      <c r="D279" s="30">
        <f t="shared" si="29"/>
        <v>0</v>
      </c>
      <c r="E279" s="31">
        <f t="shared" si="30"/>
        <v>0</v>
      </c>
      <c r="F279" s="30">
        <f t="shared" si="31"/>
        <v>0</v>
      </c>
      <c r="G279" s="11">
        <f t="shared" si="32"/>
        <v>0</v>
      </c>
    </row>
    <row r="280" spans="1:7" ht="13.5" hidden="1" thickBot="1" x14ac:dyDescent="0.25">
      <c r="A280" s="15">
        <f t="shared" si="33"/>
        <v>260</v>
      </c>
      <c r="B280" s="30">
        <f t="shared" si="34"/>
        <v>0</v>
      </c>
      <c r="C280" s="30">
        <f t="shared" si="28"/>
        <v>0</v>
      </c>
      <c r="D280" s="30">
        <f t="shared" si="29"/>
        <v>0</v>
      </c>
      <c r="E280" s="31">
        <f t="shared" si="30"/>
        <v>0</v>
      </c>
      <c r="F280" s="30">
        <f t="shared" si="31"/>
        <v>0</v>
      </c>
      <c r="G280" s="11">
        <f t="shared" si="32"/>
        <v>0</v>
      </c>
    </row>
    <row r="281" spans="1:7" ht="13.5" hidden="1" thickBot="1" x14ac:dyDescent="0.25">
      <c r="A281" s="15">
        <f t="shared" si="33"/>
        <v>261</v>
      </c>
      <c r="B281" s="30">
        <f t="shared" si="34"/>
        <v>0</v>
      </c>
      <c r="C281" s="30">
        <f t="shared" si="28"/>
        <v>0</v>
      </c>
      <c r="D281" s="30">
        <f t="shared" si="29"/>
        <v>0</v>
      </c>
      <c r="E281" s="31">
        <f t="shared" si="30"/>
        <v>0</v>
      </c>
      <c r="F281" s="30">
        <f t="shared" si="31"/>
        <v>0</v>
      </c>
      <c r="G281" s="11">
        <f t="shared" si="32"/>
        <v>0</v>
      </c>
    </row>
    <row r="282" spans="1:7" ht="13.5" hidden="1" thickBot="1" x14ac:dyDescent="0.25">
      <c r="A282" s="15">
        <f t="shared" si="33"/>
        <v>262</v>
      </c>
      <c r="B282" s="30">
        <f t="shared" si="34"/>
        <v>0</v>
      </c>
      <c r="C282" s="30">
        <f t="shared" si="28"/>
        <v>0</v>
      </c>
      <c r="D282" s="30">
        <f t="shared" si="29"/>
        <v>0</v>
      </c>
      <c r="E282" s="31">
        <f t="shared" si="30"/>
        <v>0</v>
      </c>
      <c r="F282" s="30">
        <f t="shared" si="31"/>
        <v>0</v>
      </c>
      <c r="G282" s="11">
        <f t="shared" si="32"/>
        <v>0</v>
      </c>
    </row>
    <row r="283" spans="1:7" ht="13.5" hidden="1" thickBot="1" x14ac:dyDescent="0.25">
      <c r="A283" s="15">
        <f t="shared" si="33"/>
        <v>263</v>
      </c>
      <c r="B283" s="30">
        <f t="shared" si="34"/>
        <v>0</v>
      </c>
      <c r="C283" s="30">
        <f t="shared" si="28"/>
        <v>0</v>
      </c>
      <c r="D283" s="30">
        <f t="shared" si="29"/>
        <v>0</v>
      </c>
      <c r="E283" s="31">
        <f t="shared" si="30"/>
        <v>0</v>
      </c>
      <c r="F283" s="30">
        <f t="shared" si="31"/>
        <v>0</v>
      </c>
      <c r="G283" s="11">
        <f t="shared" si="32"/>
        <v>0</v>
      </c>
    </row>
    <row r="284" spans="1:7" ht="13.5" hidden="1" thickBot="1" x14ac:dyDescent="0.25">
      <c r="A284" s="15">
        <f t="shared" si="33"/>
        <v>264</v>
      </c>
      <c r="B284" s="30">
        <f t="shared" si="34"/>
        <v>0</v>
      </c>
      <c r="C284" s="30">
        <f t="shared" si="28"/>
        <v>0</v>
      </c>
      <c r="D284" s="30">
        <f t="shared" si="29"/>
        <v>0</v>
      </c>
      <c r="E284" s="31">
        <f t="shared" si="30"/>
        <v>0</v>
      </c>
      <c r="F284" s="30">
        <f t="shared" si="31"/>
        <v>0</v>
      </c>
      <c r="G284" s="11">
        <f t="shared" si="32"/>
        <v>0</v>
      </c>
    </row>
    <row r="285" spans="1:7" ht="13.5" hidden="1" thickBot="1" x14ac:dyDescent="0.25">
      <c r="A285" s="15">
        <f t="shared" si="33"/>
        <v>265</v>
      </c>
      <c r="B285" s="30">
        <f t="shared" si="34"/>
        <v>0</v>
      </c>
      <c r="C285" s="30">
        <f t="shared" si="28"/>
        <v>0</v>
      </c>
      <c r="D285" s="30">
        <f t="shared" si="29"/>
        <v>0</v>
      </c>
      <c r="E285" s="31">
        <f t="shared" si="30"/>
        <v>0</v>
      </c>
      <c r="F285" s="30">
        <f t="shared" si="31"/>
        <v>0</v>
      </c>
      <c r="G285" s="11">
        <f t="shared" si="32"/>
        <v>0</v>
      </c>
    </row>
    <row r="286" spans="1:7" ht="13.5" hidden="1" thickBot="1" x14ac:dyDescent="0.25">
      <c r="A286" s="15">
        <f t="shared" si="33"/>
        <v>266</v>
      </c>
      <c r="B286" s="30">
        <f t="shared" si="34"/>
        <v>0</v>
      </c>
      <c r="C286" s="30">
        <f t="shared" si="28"/>
        <v>0</v>
      </c>
      <c r="D286" s="30">
        <f t="shared" si="29"/>
        <v>0</v>
      </c>
      <c r="E286" s="31">
        <f t="shared" si="30"/>
        <v>0</v>
      </c>
      <c r="F286" s="30">
        <f t="shared" si="31"/>
        <v>0</v>
      </c>
      <c r="G286" s="11">
        <f t="shared" si="32"/>
        <v>0</v>
      </c>
    </row>
    <row r="287" spans="1:7" ht="13.5" hidden="1" thickBot="1" x14ac:dyDescent="0.25">
      <c r="A287" s="15">
        <f t="shared" si="33"/>
        <v>267</v>
      </c>
      <c r="B287" s="30">
        <f t="shared" si="34"/>
        <v>0</v>
      </c>
      <c r="C287" s="30">
        <f t="shared" si="28"/>
        <v>0</v>
      </c>
      <c r="D287" s="30">
        <f t="shared" si="29"/>
        <v>0</v>
      </c>
      <c r="E287" s="31">
        <f t="shared" si="30"/>
        <v>0</v>
      </c>
      <c r="F287" s="30">
        <f t="shared" si="31"/>
        <v>0</v>
      </c>
      <c r="G287" s="11">
        <f t="shared" si="32"/>
        <v>0</v>
      </c>
    </row>
    <row r="288" spans="1:7" ht="13.5" hidden="1" thickBot="1" x14ac:dyDescent="0.25">
      <c r="A288" s="15">
        <f t="shared" si="33"/>
        <v>268</v>
      </c>
      <c r="B288" s="30">
        <f t="shared" si="34"/>
        <v>0</v>
      </c>
      <c r="C288" s="30">
        <f t="shared" si="28"/>
        <v>0</v>
      </c>
      <c r="D288" s="30">
        <f t="shared" si="29"/>
        <v>0</v>
      </c>
      <c r="E288" s="31">
        <f t="shared" si="30"/>
        <v>0</v>
      </c>
      <c r="F288" s="30">
        <f t="shared" si="31"/>
        <v>0</v>
      </c>
      <c r="G288" s="11">
        <f t="shared" si="32"/>
        <v>0</v>
      </c>
    </row>
    <row r="289" spans="1:7" ht="13.5" hidden="1" thickBot="1" x14ac:dyDescent="0.25">
      <c r="A289" s="15">
        <f t="shared" si="33"/>
        <v>269</v>
      </c>
      <c r="B289" s="30">
        <f t="shared" si="34"/>
        <v>0</v>
      </c>
      <c r="C289" s="30">
        <f t="shared" si="28"/>
        <v>0</v>
      </c>
      <c r="D289" s="30">
        <f t="shared" si="29"/>
        <v>0</v>
      </c>
      <c r="E289" s="31">
        <f t="shared" si="30"/>
        <v>0</v>
      </c>
      <c r="F289" s="30">
        <f t="shared" si="31"/>
        <v>0</v>
      </c>
      <c r="G289" s="11">
        <f t="shared" si="32"/>
        <v>0</v>
      </c>
    </row>
    <row r="290" spans="1:7" ht="13.5" hidden="1" thickBot="1" x14ac:dyDescent="0.25">
      <c r="A290" s="15">
        <f t="shared" si="33"/>
        <v>270</v>
      </c>
      <c r="B290" s="30">
        <f t="shared" si="34"/>
        <v>0</v>
      </c>
      <c r="C290" s="30">
        <f t="shared" si="28"/>
        <v>0</v>
      </c>
      <c r="D290" s="30">
        <f t="shared" si="29"/>
        <v>0</v>
      </c>
      <c r="E290" s="31">
        <f t="shared" si="30"/>
        <v>0</v>
      </c>
      <c r="F290" s="30">
        <f t="shared" si="31"/>
        <v>0</v>
      </c>
      <c r="G290" s="11">
        <f t="shared" si="32"/>
        <v>0</v>
      </c>
    </row>
    <row r="291" spans="1:7" ht="13.5" hidden="1" thickBot="1" x14ac:dyDescent="0.25">
      <c r="A291" s="15">
        <f t="shared" si="33"/>
        <v>271</v>
      </c>
      <c r="B291" s="30">
        <f t="shared" si="34"/>
        <v>0</v>
      </c>
      <c r="C291" s="30">
        <f t="shared" si="28"/>
        <v>0</v>
      </c>
      <c r="D291" s="30">
        <f t="shared" si="29"/>
        <v>0</v>
      </c>
      <c r="E291" s="31">
        <f t="shared" si="30"/>
        <v>0</v>
      </c>
      <c r="F291" s="30">
        <f t="shared" si="31"/>
        <v>0</v>
      </c>
      <c r="G291" s="11">
        <f t="shared" si="32"/>
        <v>0</v>
      </c>
    </row>
    <row r="292" spans="1:7" ht="13.5" hidden="1" thickBot="1" x14ac:dyDescent="0.25">
      <c r="A292" s="15">
        <f t="shared" si="33"/>
        <v>272</v>
      </c>
      <c r="B292" s="30">
        <f t="shared" si="34"/>
        <v>0</v>
      </c>
      <c r="C292" s="30">
        <f t="shared" si="28"/>
        <v>0</v>
      </c>
      <c r="D292" s="30">
        <f t="shared" si="29"/>
        <v>0</v>
      </c>
      <c r="E292" s="31">
        <f t="shared" si="30"/>
        <v>0</v>
      </c>
      <c r="F292" s="30">
        <f t="shared" si="31"/>
        <v>0</v>
      </c>
      <c r="G292" s="11">
        <f t="shared" si="32"/>
        <v>0</v>
      </c>
    </row>
    <row r="293" spans="1:7" ht="13.5" hidden="1" thickBot="1" x14ac:dyDescent="0.25">
      <c r="A293" s="15">
        <f t="shared" si="33"/>
        <v>273</v>
      </c>
      <c r="B293" s="30">
        <f t="shared" si="34"/>
        <v>0</v>
      </c>
      <c r="C293" s="30">
        <f t="shared" si="28"/>
        <v>0</v>
      </c>
      <c r="D293" s="30">
        <f t="shared" si="29"/>
        <v>0</v>
      </c>
      <c r="E293" s="31">
        <f t="shared" si="30"/>
        <v>0</v>
      </c>
      <c r="F293" s="30">
        <f t="shared" si="31"/>
        <v>0</v>
      </c>
      <c r="G293" s="11">
        <f t="shared" si="32"/>
        <v>0</v>
      </c>
    </row>
    <row r="294" spans="1:7" ht="13.5" hidden="1" thickBot="1" x14ac:dyDescent="0.25">
      <c r="A294" s="15">
        <f t="shared" si="33"/>
        <v>274</v>
      </c>
      <c r="B294" s="30">
        <f t="shared" si="34"/>
        <v>0</v>
      </c>
      <c r="C294" s="30">
        <f t="shared" si="28"/>
        <v>0</v>
      </c>
      <c r="D294" s="30">
        <f t="shared" si="29"/>
        <v>0</v>
      </c>
      <c r="E294" s="31">
        <f t="shared" si="30"/>
        <v>0</v>
      </c>
      <c r="F294" s="30">
        <f t="shared" si="31"/>
        <v>0</v>
      </c>
      <c r="G294" s="11">
        <f t="shared" si="32"/>
        <v>0</v>
      </c>
    </row>
    <row r="295" spans="1:7" ht="13.5" hidden="1" thickBot="1" x14ac:dyDescent="0.25">
      <c r="A295" s="15">
        <f t="shared" si="33"/>
        <v>275</v>
      </c>
      <c r="B295" s="30">
        <f t="shared" si="34"/>
        <v>0</v>
      </c>
      <c r="C295" s="30">
        <f t="shared" si="28"/>
        <v>0</v>
      </c>
      <c r="D295" s="30">
        <f t="shared" si="29"/>
        <v>0</v>
      </c>
      <c r="E295" s="31">
        <f t="shared" si="30"/>
        <v>0</v>
      </c>
      <c r="F295" s="30">
        <f t="shared" si="31"/>
        <v>0</v>
      </c>
      <c r="G295" s="11">
        <f t="shared" si="32"/>
        <v>0</v>
      </c>
    </row>
    <row r="296" spans="1:7" ht="13.5" hidden="1" thickBot="1" x14ac:dyDescent="0.25">
      <c r="A296" s="15">
        <f t="shared" si="33"/>
        <v>276</v>
      </c>
      <c r="B296" s="30">
        <f t="shared" si="34"/>
        <v>0</v>
      </c>
      <c r="C296" s="30">
        <f t="shared" si="28"/>
        <v>0</v>
      </c>
      <c r="D296" s="30">
        <f t="shared" si="29"/>
        <v>0</v>
      </c>
      <c r="E296" s="31">
        <f t="shared" si="30"/>
        <v>0</v>
      </c>
      <c r="F296" s="30">
        <f t="shared" si="31"/>
        <v>0</v>
      </c>
      <c r="G296" s="11">
        <f t="shared" si="32"/>
        <v>0</v>
      </c>
    </row>
    <row r="297" spans="1:7" ht="13.5" hidden="1" thickBot="1" x14ac:dyDescent="0.25">
      <c r="A297" s="15">
        <f t="shared" si="33"/>
        <v>277</v>
      </c>
      <c r="B297" s="30">
        <f t="shared" si="34"/>
        <v>0</v>
      </c>
      <c r="C297" s="30">
        <f t="shared" si="28"/>
        <v>0</v>
      </c>
      <c r="D297" s="30">
        <f t="shared" si="29"/>
        <v>0</v>
      </c>
      <c r="E297" s="31">
        <f t="shared" si="30"/>
        <v>0</v>
      </c>
      <c r="F297" s="30">
        <f t="shared" si="31"/>
        <v>0</v>
      </c>
      <c r="G297" s="11">
        <f t="shared" si="32"/>
        <v>0</v>
      </c>
    </row>
    <row r="298" spans="1:7" ht="13.5" hidden="1" thickBot="1" x14ac:dyDescent="0.25">
      <c r="A298" s="15">
        <f t="shared" si="33"/>
        <v>278</v>
      </c>
      <c r="B298" s="30">
        <f t="shared" si="34"/>
        <v>0</v>
      </c>
      <c r="C298" s="30">
        <f t="shared" si="28"/>
        <v>0</v>
      </c>
      <c r="D298" s="30">
        <f t="shared" si="29"/>
        <v>0</v>
      </c>
      <c r="E298" s="31">
        <f t="shared" si="30"/>
        <v>0</v>
      </c>
      <c r="F298" s="30">
        <f t="shared" si="31"/>
        <v>0</v>
      </c>
      <c r="G298" s="11">
        <f t="shared" si="32"/>
        <v>0</v>
      </c>
    </row>
    <row r="299" spans="1:7" ht="13.5" hidden="1" thickBot="1" x14ac:dyDescent="0.25">
      <c r="A299" s="15">
        <f t="shared" si="33"/>
        <v>279</v>
      </c>
      <c r="B299" s="30">
        <f t="shared" si="34"/>
        <v>0</v>
      </c>
      <c r="C299" s="30">
        <f t="shared" si="28"/>
        <v>0</v>
      </c>
      <c r="D299" s="30">
        <f t="shared" si="29"/>
        <v>0</v>
      </c>
      <c r="E299" s="31">
        <f t="shared" si="30"/>
        <v>0</v>
      </c>
      <c r="F299" s="30">
        <f t="shared" si="31"/>
        <v>0</v>
      </c>
      <c r="G299" s="11">
        <f t="shared" si="32"/>
        <v>0</v>
      </c>
    </row>
    <row r="300" spans="1:7" ht="13.5" hidden="1" thickBot="1" x14ac:dyDescent="0.25">
      <c r="A300" s="15">
        <f t="shared" si="33"/>
        <v>280</v>
      </c>
      <c r="B300" s="30">
        <f t="shared" si="34"/>
        <v>0</v>
      </c>
      <c r="C300" s="30">
        <f t="shared" si="28"/>
        <v>0</v>
      </c>
      <c r="D300" s="30">
        <f t="shared" si="29"/>
        <v>0</v>
      </c>
      <c r="E300" s="31">
        <f t="shared" si="30"/>
        <v>0</v>
      </c>
      <c r="F300" s="30">
        <f t="shared" si="31"/>
        <v>0</v>
      </c>
      <c r="G300" s="11">
        <f t="shared" si="32"/>
        <v>0</v>
      </c>
    </row>
    <row r="301" spans="1:7" ht="13.5" hidden="1" thickBot="1" x14ac:dyDescent="0.25">
      <c r="A301" s="15">
        <f t="shared" si="33"/>
        <v>281</v>
      </c>
      <c r="B301" s="30">
        <f t="shared" si="34"/>
        <v>0</v>
      </c>
      <c r="C301" s="30">
        <f t="shared" si="28"/>
        <v>0</v>
      </c>
      <c r="D301" s="30">
        <f t="shared" si="29"/>
        <v>0</v>
      </c>
      <c r="E301" s="31">
        <f t="shared" si="30"/>
        <v>0</v>
      </c>
      <c r="F301" s="30">
        <f t="shared" si="31"/>
        <v>0</v>
      </c>
      <c r="G301" s="11">
        <f t="shared" si="32"/>
        <v>0</v>
      </c>
    </row>
    <row r="302" spans="1:7" ht="13.5" hidden="1" thickBot="1" x14ac:dyDescent="0.25">
      <c r="A302" s="15">
        <f t="shared" si="33"/>
        <v>282</v>
      </c>
      <c r="B302" s="30">
        <f t="shared" si="34"/>
        <v>0</v>
      </c>
      <c r="C302" s="30">
        <f t="shared" si="28"/>
        <v>0</v>
      </c>
      <c r="D302" s="30">
        <f t="shared" si="29"/>
        <v>0</v>
      </c>
      <c r="E302" s="31">
        <f t="shared" si="30"/>
        <v>0</v>
      </c>
      <c r="F302" s="30">
        <f t="shared" si="31"/>
        <v>0</v>
      </c>
      <c r="G302" s="11">
        <f t="shared" si="32"/>
        <v>0</v>
      </c>
    </row>
    <row r="303" spans="1:7" ht="13.5" hidden="1" thickBot="1" x14ac:dyDescent="0.25">
      <c r="A303" s="15">
        <f t="shared" si="33"/>
        <v>283</v>
      </c>
      <c r="B303" s="30">
        <f t="shared" si="34"/>
        <v>0</v>
      </c>
      <c r="C303" s="30">
        <f t="shared" si="28"/>
        <v>0</v>
      </c>
      <c r="D303" s="30">
        <f t="shared" si="29"/>
        <v>0</v>
      </c>
      <c r="E303" s="31">
        <f t="shared" si="30"/>
        <v>0</v>
      </c>
      <c r="F303" s="30">
        <f t="shared" si="31"/>
        <v>0</v>
      </c>
      <c r="G303" s="11">
        <f t="shared" si="32"/>
        <v>0</v>
      </c>
    </row>
    <row r="304" spans="1:7" ht="13.5" hidden="1" thickBot="1" x14ac:dyDescent="0.25">
      <c r="A304" s="15">
        <f t="shared" si="33"/>
        <v>284</v>
      </c>
      <c r="B304" s="30">
        <f t="shared" si="34"/>
        <v>0</v>
      </c>
      <c r="C304" s="30">
        <f t="shared" si="28"/>
        <v>0</v>
      </c>
      <c r="D304" s="30">
        <f t="shared" si="29"/>
        <v>0</v>
      </c>
      <c r="E304" s="31">
        <f t="shared" si="30"/>
        <v>0</v>
      </c>
      <c r="F304" s="30">
        <f t="shared" si="31"/>
        <v>0</v>
      </c>
      <c r="G304" s="11">
        <f t="shared" si="32"/>
        <v>0</v>
      </c>
    </row>
    <row r="305" spans="1:7" ht="13.5" hidden="1" thickBot="1" x14ac:dyDescent="0.25">
      <c r="A305" s="15">
        <f t="shared" si="33"/>
        <v>285</v>
      </c>
      <c r="B305" s="30">
        <f t="shared" si="34"/>
        <v>0</v>
      </c>
      <c r="C305" s="30">
        <f t="shared" si="28"/>
        <v>0</v>
      </c>
      <c r="D305" s="30">
        <f t="shared" si="29"/>
        <v>0</v>
      </c>
      <c r="E305" s="31">
        <f t="shared" si="30"/>
        <v>0</v>
      </c>
      <c r="F305" s="30">
        <f t="shared" si="31"/>
        <v>0</v>
      </c>
      <c r="G305" s="11">
        <f t="shared" si="32"/>
        <v>0</v>
      </c>
    </row>
    <row r="306" spans="1:7" ht="13.5" hidden="1" thickBot="1" x14ac:dyDescent="0.25">
      <c r="A306" s="15">
        <f t="shared" si="33"/>
        <v>286</v>
      </c>
      <c r="B306" s="30">
        <f t="shared" si="34"/>
        <v>0</v>
      </c>
      <c r="C306" s="30">
        <f t="shared" si="28"/>
        <v>0</v>
      </c>
      <c r="D306" s="30">
        <f t="shared" si="29"/>
        <v>0</v>
      </c>
      <c r="E306" s="31">
        <f t="shared" si="30"/>
        <v>0</v>
      </c>
      <c r="F306" s="30">
        <f t="shared" si="31"/>
        <v>0</v>
      </c>
      <c r="G306" s="11">
        <f t="shared" si="32"/>
        <v>0</v>
      </c>
    </row>
    <row r="307" spans="1:7" ht="13.5" hidden="1" thickBot="1" x14ac:dyDescent="0.25">
      <c r="A307" s="15">
        <f t="shared" si="33"/>
        <v>287</v>
      </c>
      <c r="B307" s="30">
        <f t="shared" si="34"/>
        <v>0</v>
      </c>
      <c r="C307" s="30">
        <f t="shared" si="28"/>
        <v>0</v>
      </c>
      <c r="D307" s="30">
        <f t="shared" si="29"/>
        <v>0</v>
      </c>
      <c r="E307" s="31">
        <f t="shared" si="30"/>
        <v>0</v>
      </c>
      <c r="F307" s="30">
        <f t="shared" si="31"/>
        <v>0</v>
      </c>
      <c r="G307" s="11">
        <f t="shared" si="32"/>
        <v>0</v>
      </c>
    </row>
    <row r="308" spans="1:7" ht="13.5" hidden="1" thickBot="1" x14ac:dyDescent="0.25">
      <c r="A308" s="15">
        <f t="shared" si="33"/>
        <v>288</v>
      </c>
      <c r="B308" s="30">
        <f t="shared" si="34"/>
        <v>0</v>
      </c>
      <c r="C308" s="30">
        <f t="shared" si="28"/>
        <v>0</v>
      </c>
      <c r="D308" s="30">
        <f t="shared" si="29"/>
        <v>0</v>
      </c>
      <c r="E308" s="31">
        <f t="shared" si="30"/>
        <v>0</v>
      </c>
      <c r="F308" s="30">
        <f t="shared" si="31"/>
        <v>0</v>
      </c>
      <c r="G308" s="11">
        <f t="shared" si="32"/>
        <v>0</v>
      </c>
    </row>
    <row r="309" spans="1:7" ht="13.5" hidden="1" thickBot="1" x14ac:dyDescent="0.25">
      <c r="A309" s="15">
        <f t="shared" si="33"/>
        <v>289</v>
      </c>
      <c r="B309" s="30">
        <f t="shared" si="34"/>
        <v>0</v>
      </c>
      <c r="C309" s="30">
        <f t="shared" si="28"/>
        <v>0</v>
      </c>
      <c r="D309" s="30">
        <f t="shared" si="29"/>
        <v>0</v>
      </c>
      <c r="E309" s="31">
        <f t="shared" si="30"/>
        <v>0</v>
      </c>
      <c r="F309" s="30">
        <f t="shared" si="31"/>
        <v>0</v>
      </c>
      <c r="G309" s="11">
        <f t="shared" si="32"/>
        <v>0</v>
      </c>
    </row>
    <row r="310" spans="1:7" ht="13.5" hidden="1" thickBot="1" x14ac:dyDescent="0.25">
      <c r="A310" s="15">
        <f t="shared" si="33"/>
        <v>290</v>
      </c>
      <c r="B310" s="30">
        <f t="shared" si="34"/>
        <v>0</v>
      </c>
      <c r="C310" s="30">
        <f t="shared" si="28"/>
        <v>0</v>
      </c>
      <c r="D310" s="30">
        <f t="shared" si="29"/>
        <v>0</v>
      </c>
      <c r="E310" s="31">
        <f t="shared" si="30"/>
        <v>0</v>
      </c>
      <c r="F310" s="30">
        <f t="shared" si="31"/>
        <v>0</v>
      </c>
      <c r="G310" s="11">
        <f t="shared" si="32"/>
        <v>0</v>
      </c>
    </row>
    <row r="311" spans="1:7" ht="13.5" hidden="1" thickBot="1" x14ac:dyDescent="0.25">
      <c r="A311" s="15">
        <f t="shared" si="33"/>
        <v>291</v>
      </c>
      <c r="B311" s="30">
        <f t="shared" si="34"/>
        <v>0</v>
      </c>
      <c r="C311" s="30">
        <f t="shared" si="28"/>
        <v>0</v>
      </c>
      <c r="D311" s="30">
        <f t="shared" si="29"/>
        <v>0</v>
      </c>
      <c r="E311" s="31">
        <f t="shared" si="30"/>
        <v>0</v>
      </c>
      <c r="F311" s="30">
        <f t="shared" si="31"/>
        <v>0</v>
      </c>
      <c r="G311" s="11">
        <f t="shared" si="32"/>
        <v>0</v>
      </c>
    </row>
    <row r="312" spans="1:7" ht="13.5" hidden="1" thickBot="1" x14ac:dyDescent="0.25">
      <c r="A312" s="15">
        <f t="shared" si="33"/>
        <v>292</v>
      </c>
      <c r="B312" s="30">
        <f t="shared" si="34"/>
        <v>0</v>
      </c>
      <c r="C312" s="30">
        <f t="shared" si="28"/>
        <v>0</v>
      </c>
      <c r="D312" s="30">
        <f t="shared" si="29"/>
        <v>0</v>
      </c>
      <c r="E312" s="31">
        <f t="shared" si="30"/>
        <v>0</v>
      </c>
      <c r="F312" s="30">
        <f t="shared" si="31"/>
        <v>0</v>
      </c>
      <c r="G312" s="11">
        <f t="shared" si="32"/>
        <v>0</v>
      </c>
    </row>
    <row r="313" spans="1:7" ht="13.5" hidden="1" thickBot="1" x14ac:dyDescent="0.25">
      <c r="A313" s="15">
        <f t="shared" si="33"/>
        <v>293</v>
      </c>
      <c r="B313" s="30">
        <f t="shared" si="34"/>
        <v>0</v>
      </c>
      <c r="C313" s="30">
        <f t="shared" si="28"/>
        <v>0</v>
      </c>
      <c r="D313" s="30">
        <f t="shared" si="29"/>
        <v>0</v>
      </c>
      <c r="E313" s="31">
        <f t="shared" si="30"/>
        <v>0</v>
      </c>
      <c r="F313" s="30">
        <f t="shared" si="31"/>
        <v>0</v>
      </c>
      <c r="G313" s="11">
        <f t="shared" si="32"/>
        <v>0</v>
      </c>
    </row>
    <row r="314" spans="1:7" ht="13.5" hidden="1" thickBot="1" x14ac:dyDescent="0.25">
      <c r="A314" s="15">
        <f t="shared" si="33"/>
        <v>294</v>
      </c>
      <c r="B314" s="30">
        <f t="shared" si="34"/>
        <v>0</v>
      </c>
      <c r="C314" s="30">
        <f t="shared" si="28"/>
        <v>0</v>
      </c>
      <c r="D314" s="30">
        <f t="shared" si="29"/>
        <v>0</v>
      </c>
      <c r="E314" s="31">
        <f t="shared" si="30"/>
        <v>0</v>
      </c>
      <c r="F314" s="30">
        <f t="shared" si="31"/>
        <v>0</v>
      </c>
      <c r="G314" s="11">
        <f t="shared" si="32"/>
        <v>0</v>
      </c>
    </row>
    <row r="315" spans="1:7" ht="13.5" hidden="1" thickBot="1" x14ac:dyDescent="0.25">
      <c r="A315" s="15">
        <f t="shared" si="33"/>
        <v>295</v>
      </c>
      <c r="B315" s="30">
        <f t="shared" si="34"/>
        <v>0</v>
      </c>
      <c r="C315" s="30">
        <f t="shared" si="28"/>
        <v>0</v>
      </c>
      <c r="D315" s="30">
        <f t="shared" si="29"/>
        <v>0</v>
      </c>
      <c r="E315" s="31">
        <f t="shared" si="30"/>
        <v>0</v>
      </c>
      <c r="F315" s="30">
        <f t="shared" si="31"/>
        <v>0</v>
      </c>
      <c r="G315" s="11">
        <f t="shared" si="32"/>
        <v>0</v>
      </c>
    </row>
    <row r="316" spans="1:7" ht="13.5" hidden="1" thickBot="1" x14ac:dyDescent="0.25">
      <c r="A316" s="15">
        <f t="shared" si="33"/>
        <v>296</v>
      </c>
      <c r="B316" s="30">
        <f t="shared" si="34"/>
        <v>0</v>
      </c>
      <c r="C316" s="30">
        <f t="shared" si="28"/>
        <v>0</v>
      </c>
      <c r="D316" s="30">
        <f t="shared" si="29"/>
        <v>0</v>
      </c>
      <c r="E316" s="31">
        <f t="shared" si="30"/>
        <v>0</v>
      </c>
      <c r="F316" s="30">
        <f t="shared" si="31"/>
        <v>0</v>
      </c>
      <c r="G316" s="11">
        <f t="shared" si="32"/>
        <v>0</v>
      </c>
    </row>
    <row r="317" spans="1:7" ht="13.5" hidden="1" thickBot="1" x14ac:dyDescent="0.25">
      <c r="A317" s="15">
        <f t="shared" si="33"/>
        <v>297</v>
      </c>
      <c r="B317" s="30">
        <f t="shared" si="34"/>
        <v>0</v>
      </c>
      <c r="C317" s="30">
        <f t="shared" si="28"/>
        <v>0</v>
      </c>
      <c r="D317" s="30">
        <f t="shared" si="29"/>
        <v>0</v>
      </c>
      <c r="E317" s="31">
        <f t="shared" si="30"/>
        <v>0</v>
      </c>
      <c r="F317" s="30">
        <f t="shared" si="31"/>
        <v>0</v>
      </c>
      <c r="G317" s="11">
        <f t="shared" si="32"/>
        <v>0</v>
      </c>
    </row>
    <row r="318" spans="1:7" ht="13.5" hidden="1" thickBot="1" x14ac:dyDescent="0.25">
      <c r="A318" s="15">
        <f t="shared" si="33"/>
        <v>298</v>
      </c>
      <c r="B318" s="30">
        <f t="shared" si="34"/>
        <v>0</v>
      </c>
      <c r="C318" s="30">
        <f t="shared" si="28"/>
        <v>0</v>
      </c>
      <c r="D318" s="30">
        <f t="shared" si="29"/>
        <v>0</v>
      </c>
      <c r="E318" s="31">
        <f t="shared" si="30"/>
        <v>0</v>
      </c>
      <c r="F318" s="30">
        <f t="shared" si="31"/>
        <v>0</v>
      </c>
      <c r="G318" s="11">
        <f t="shared" si="32"/>
        <v>0</v>
      </c>
    </row>
    <row r="319" spans="1:7" ht="13.5" hidden="1" thickBot="1" x14ac:dyDescent="0.25">
      <c r="A319" s="15">
        <f t="shared" si="33"/>
        <v>299</v>
      </c>
      <c r="B319" s="30">
        <f t="shared" si="34"/>
        <v>0</v>
      </c>
      <c r="C319" s="30">
        <f t="shared" si="28"/>
        <v>0</v>
      </c>
      <c r="D319" s="30">
        <f t="shared" si="29"/>
        <v>0</v>
      </c>
      <c r="E319" s="31">
        <f t="shared" si="30"/>
        <v>0</v>
      </c>
      <c r="F319" s="30">
        <f t="shared" si="31"/>
        <v>0</v>
      </c>
      <c r="G319" s="11">
        <f t="shared" si="32"/>
        <v>0</v>
      </c>
    </row>
    <row r="320" spans="1:7" ht="13.5" hidden="1" thickBot="1" x14ac:dyDescent="0.25">
      <c r="A320" s="15">
        <f t="shared" si="33"/>
        <v>300</v>
      </c>
      <c r="B320" s="30">
        <f t="shared" si="34"/>
        <v>0</v>
      </c>
      <c r="C320" s="30">
        <f t="shared" si="28"/>
        <v>0</v>
      </c>
      <c r="D320" s="30">
        <f t="shared" si="29"/>
        <v>0</v>
      </c>
      <c r="E320" s="31">
        <f t="shared" si="30"/>
        <v>0</v>
      </c>
      <c r="F320" s="30">
        <f t="shared" si="31"/>
        <v>0</v>
      </c>
      <c r="G320" s="11">
        <f t="shared" si="32"/>
        <v>0</v>
      </c>
    </row>
    <row r="321" spans="1:7" ht="13.5" hidden="1" thickBot="1" x14ac:dyDescent="0.25">
      <c r="A321" s="15">
        <f t="shared" si="33"/>
        <v>301</v>
      </c>
      <c r="B321" s="30">
        <f t="shared" si="34"/>
        <v>0</v>
      </c>
      <c r="C321" s="30">
        <f t="shared" si="28"/>
        <v>0</v>
      </c>
      <c r="D321" s="30">
        <f t="shared" si="29"/>
        <v>0</v>
      </c>
      <c r="E321" s="31">
        <f t="shared" si="30"/>
        <v>0</v>
      </c>
      <c r="F321" s="30">
        <f t="shared" si="31"/>
        <v>0</v>
      </c>
      <c r="G321" s="11">
        <f t="shared" si="32"/>
        <v>0</v>
      </c>
    </row>
    <row r="322" spans="1:7" ht="13.5" hidden="1" thickBot="1" x14ac:dyDescent="0.25">
      <c r="A322" s="15">
        <f t="shared" si="33"/>
        <v>302</v>
      </c>
      <c r="B322" s="30">
        <f t="shared" si="34"/>
        <v>0</v>
      </c>
      <c r="C322" s="30">
        <f t="shared" si="28"/>
        <v>0</v>
      </c>
      <c r="D322" s="30">
        <f t="shared" si="29"/>
        <v>0</v>
      </c>
      <c r="E322" s="31">
        <f t="shared" si="30"/>
        <v>0</v>
      </c>
      <c r="F322" s="30">
        <f t="shared" si="31"/>
        <v>0</v>
      </c>
      <c r="G322" s="11">
        <f t="shared" si="32"/>
        <v>0</v>
      </c>
    </row>
    <row r="323" spans="1:7" ht="13.5" hidden="1" thickBot="1" x14ac:dyDescent="0.25">
      <c r="A323" s="15">
        <f t="shared" si="33"/>
        <v>303</v>
      </c>
      <c r="B323" s="30">
        <f t="shared" si="34"/>
        <v>0</v>
      </c>
      <c r="C323" s="30">
        <f t="shared" si="28"/>
        <v>0</v>
      </c>
      <c r="D323" s="30">
        <f t="shared" si="29"/>
        <v>0</v>
      </c>
      <c r="E323" s="31">
        <f t="shared" si="30"/>
        <v>0</v>
      </c>
      <c r="F323" s="30">
        <f t="shared" si="31"/>
        <v>0</v>
      </c>
      <c r="G323" s="11">
        <f t="shared" si="32"/>
        <v>0</v>
      </c>
    </row>
    <row r="324" spans="1:7" ht="13.5" hidden="1" thickBot="1" x14ac:dyDescent="0.25">
      <c r="A324" s="15">
        <f t="shared" si="33"/>
        <v>304</v>
      </c>
      <c r="B324" s="30">
        <f t="shared" si="34"/>
        <v>0</v>
      </c>
      <c r="C324" s="30">
        <f t="shared" si="28"/>
        <v>0</v>
      </c>
      <c r="D324" s="30">
        <f t="shared" si="29"/>
        <v>0</v>
      </c>
      <c r="E324" s="31">
        <f t="shared" si="30"/>
        <v>0</v>
      </c>
      <c r="F324" s="30">
        <f t="shared" si="31"/>
        <v>0</v>
      </c>
      <c r="G324" s="11">
        <f t="shared" si="32"/>
        <v>0</v>
      </c>
    </row>
    <row r="325" spans="1:7" ht="13.5" hidden="1" thickBot="1" x14ac:dyDescent="0.25">
      <c r="A325" s="15">
        <f t="shared" si="33"/>
        <v>305</v>
      </c>
      <c r="B325" s="30">
        <f t="shared" si="34"/>
        <v>0</v>
      </c>
      <c r="C325" s="30">
        <f t="shared" si="28"/>
        <v>0</v>
      </c>
      <c r="D325" s="30">
        <f t="shared" si="29"/>
        <v>0</v>
      </c>
      <c r="E325" s="31">
        <f t="shared" si="30"/>
        <v>0</v>
      </c>
      <c r="F325" s="30">
        <f t="shared" si="31"/>
        <v>0</v>
      </c>
      <c r="G325" s="11">
        <f t="shared" si="32"/>
        <v>0</v>
      </c>
    </row>
    <row r="326" spans="1:7" ht="13.5" hidden="1" thickBot="1" x14ac:dyDescent="0.25">
      <c r="A326" s="15">
        <f t="shared" si="33"/>
        <v>306</v>
      </c>
      <c r="B326" s="30">
        <f t="shared" si="34"/>
        <v>0</v>
      </c>
      <c r="C326" s="30">
        <f t="shared" si="28"/>
        <v>0</v>
      </c>
      <c r="D326" s="30">
        <f t="shared" si="29"/>
        <v>0</v>
      </c>
      <c r="E326" s="31">
        <f t="shared" si="30"/>
        <v>0</v>
      </c>
      <c r="F326" s="30">
        <f t="shared" si="31"/>
        <v>0</v>
      </c>
      <c r="G326" s="11">
        <f t="shared" si="32"/>
        <v>0</v>
      </c>
    </row>
    <row r="327" spans="1:7" ht="13.5" hidden="1" thickBot="1" x14ac:dyDescent="0.25">
      <c r="A327" s="15">
        <f t="shared" si="33"/>
        <v>307</v>
      </c>
      <c r="B327" s="30">
        <f t="shared" si="34"/>
        <v>0</v>
      </c>
      <c r="C327" s="30">
        <f t="shared" si="28"/>
        <v>0</v>
      </c>
      <c r="D327" s="30">
        <f t="shared" si="29"/>
        <v>0</v>
      </c>
      <c r="E327" s="31">
        <f t="shared" si="30"/>
        <v>0</v>
      </c>
      <c r="F327" s="30">
        <f t="shared" si="31"/>
        <v>0</v>
      </c>
      <c r="G327" s="11">
        <f t="shared" si="32"/>
        <v>0</v>
      </c>
    </row>
    <row r="328" spans="1:7" ht="13.5" hidden="1" thickBot="1" x14ac:dyDescent="0.25">
      <c r="A328" s="15">
        <f t="shared" si="33"/>
        <v>308</v>
      </c>
      <c r="B328" s="30">
        <f t="shared" si="34"/>
        <v>0</v>
      </c>
      <c r="C328" s="30">
        <f t="shared" si="28"/>
        <v>0</v>
      </c>
      <c r="D328" s="30">
        <f t="shared" si="29"/>
        <v>0</v>
      </c>
      <c r="E328" s="31">
        <f t="shared" si="30"/>
        <v>0</v>
      </c>
      <c r="F328" s="30">
        <f t="shared" si="31"/>
        <v>0</v>
      </c>
      <c r="G328" s="11">
        <f t="shared" si="32"/>
        <v>0</v>
      </c>
    </row>
    <row r="329" spans="1:7" ht="13.5" hidden="1" thickBot="1" x14ac:dyDescent="0.25">
      <c r="A329" s="15">
        <f t="shared" si="33"/>
        <v>309</v>
      </c>
      <c r="B329" s="30">
        <f t="shared" si="34"/>
        <v>0</v>
      </c>
      <c r="C329" s="30">
        <f t="shared" si="28"/>
        <v>0</v>
      </c>
      <c r="D329" s="30">
        <f t="shared" si="29"/>
        <v>0</v>
      </c>
      <c r="E329" s="31">
        <f t="shared" si="30"/>
        <v>0</v>
      </c>
      <c r="F329" s="30">
        <f t="shared" si="31"/>
        <v>0</v>
      </c>
      <c r="G329" s="11">
        <f t="shared" si="32"/>
        <v>0</v>
      </c>
    </row>
    <row r="330" spans="1:7" ht="13.5" hidden="1" thickBot="1" x14ac:dyDescent="0.25">
      <c r="A330" s="15">
        <f t="shared" si="33"/>
        <v>310</v>
      </c>
      <c r="B330" s="30">
        <f t="shared" si="34"/>
        <v>0</v>
      </c>
      <c r="C330" s="30">
        <f t="shared" si="28"/>
        <v>0</v>
      </c>
      <c r="D330" s="30">
        <f t="shared" si="29"/>
        <v>0</v>
      </c>
      <c r="E330" s="31">
        <f t="shared" si="30"/>
        <v>0</v>
      </c>
      <c r="F330" s="30">
        <f t="shared" si="31"/>
        <v>0</v>
      </c>
      <c r="G330" s="11">
        <f t="shared" si="32"/>
        <v>0</v>
      </c>
    </row>
    <row r="331" spans="1:7" ht="13.5" hidden="1" thickBot="1" x14ac:dyDescent="0.25">
      <c r="A331" s="15">
        <f t="shared" si="33"/>
        <v>311</v>
      </c>
      <c r="B331" s="30">
        <f t="shared" si="34"/>
        <v>0</v>
      </c>
      <c r="C331" s="30">
        <f t="shared" si="28"/>
        <v>0</v>
      </c>
      <c r="D331" s="30">
        <f t="shared" si="29"/>
        <v>0</v>
      </c>
      <c r="E331" s="31">
        <f t="shared" si="30"/>
        <v>0</v>
      </c>
      <c r="F331" s="30">
        <f t="shared" si="31"/>
        <v>0</v>
      </c>
      <c r="G331" s="11">
        <f t="shared" si="32"/>
        <v>0</v>
      </c>
    </row>
    <row r="332" spans="1:7" ht="13.5" hidden="1" thickBot="1" x14ac:dyDescent="0.25">
      <c r="A332" s="15">
        <f t="shared" si="33"/>
        <v>312</v>
      </c>
      <c r="B332" s="30">
        <f t="shared" si="34"/>
        <v>0</v>
      </c>
      <c r="C332" s="30">
        <f t="shared" si="28"/>
        <v>0</v>
      </c>
      <c r="D332" s="30">
        <f t="shared" si="29"/>
        <v>0</v>
      </c>
      <c r="E332" s="31">
        <f t="shared" si="30"/>
        <v>0</v>
      </c>
      <c r="F332" s="30">
        <f t="shared" si="31"/>
        <v>0</v>
      </c>
      <c r="G332" s="11">
        <f t="shared" si="32"/>
        <v>0</v>
      </c>
    </row>
    <row r="333" spans="1:7" ht="13.5" hidden="1" thickBot="1" x14ac:dyDescent="0.25">
      <c r="A333" s="15">
        <f t="shared" si="33"/>
        <v>313</v>
      </c>
      <c r="B333" s="30">
        <f t="shared" si="34"/>
        <v>0</v>
      </c>
      <c r="C333" s="30">
        <f t="shared" si="28"/>
        <v>0</v>
      </c>
      <c r="D333" s="30">
        <f t="shared" si="29"/>
        <v>0</v>
      </c>
      <c r="E333" s="31">
        <f t="shared" si="30"/>
        <v>0</v>
      </c>
      <c r="F333" s="30">
        <f t="shared" si="31"/>
        <v>0</v>
      </c>
      <c r="G333" s="11">
        <f t="shared" si="32"/>
        <v>0</v>
      </c>
    </row>
    <row r="334" spans="1:7" ht="13.5" hidden="1" thickBot="1" x14ac:dyDescent="0.25">
      <c r="A334" s="15">
        <f t="shared" si="33"/>
        <v>314</v>
      </c>
      <c r="B334" s="30">
        <f t="shared" si="34"/>
        <v>0</v>
      </c>
      <c r="C334" s="30">
        <f t="shared" si="28"/>
        <v>0</v>
      </c>
      <c r="D334" s="30">
        <f t="shared" si="29"/>
        <v>0</v>
      </c>
      <c r="E334" s="31">
        <f t="shared" si="30"/>
        <v>0</v>
      </c>
      <c r="F334" s="30">
        <f t="shared" si="31"/>
        <v>0</v>
      </c>
      <c r="G334" s="11">
        <f t="shared" si="32"/>
        <v>0</v>
      </c>
    </row>
    <row r="335" spans="1:7" ht="13.5" hidden="1" thickBot="1" x14ac:dyDescent="0.25">
      <c r="A335" s="15">
        <f t="shared" si="33"/>
        <v>315</v>
      </c>
      <c r="B335" s="30">
        <f t="shared" si="34"/>
        <v>0</v>
      </c>
      <c r="C335" s="30">
        <f t="shared" si="28"/>
        <v>0</v>
      </c>
      <c r="D335" s="30">
        <f t="shared" si="29"/>
        <v>0</v>
      </c>
      <c r="E335" s="31">
        <f t="shared" si="30"/>
        <v>0</v>
      </c>
      <c r="F335" s="30">
        <f t="shared" si="31"/>
        <v>0</v>
      </c>
      <c r="G335" s="11">
        <f t="shared" si="32"/>
        <v>0</v>
      </c>
    </row>
    <row r="336" spans="1:7" ht="13.5" hidden="1" thickBot="1" x14ac:dyDescent="0.25">
      <c r="A336" s="15">
        <f t="shared" si="33"/>
        <v>316</v>
      </c>
      <c r="B336" s="30">
        <f t="shared" si="34"/>
        <v>0</v>
      </c>
      <c r="C336" s="30">
        <f t="shared" si="28"/>
        <v>0</v>
      </c>
      <c r="D336" s="30">
        <f t="shared" si="29"/>
        <v>0</v>
      </c>
      <c r="E336" s="31">
        <f t="shared" si="30"/>
        <v>0</v>
      </c>
      <c r="F336" s="30">
        <f t="shared" si="31"/>
        <v>0</v>
      </c>
      <c r="G336" s="11">
        <f t="shared" si="32"/>
        <v>0</v>
      </c>
    </row>
    <row r="337" spans="1:7" ht="13.5" hidden="1" thickBot="1" x14ac:dyDescent="0.25">
      <c r="A337" s="15">
        <f t="shared" si="33"/>
        <v>317</v>
      </c>
      <c r="B337" s="30">
        <f t="shared" si="34"/>
        <v>0</v>
      </c>
      <c r="C337" s="30">
        <f t="shared" si="28"/>
        <v>0</v>
      </c>
      <c r="D337" s="30">
        <f t="shared" si="29"/>
        <v>0</v>
      </c>
      <c r="E337" s="31">
        <f t="shared" si="30"/>
        <v>0</v>
      </c>
      <c r="F337" s="30">
        <f t="shared" si="31"/>
        <v>0</v>
      </c>
      <c r="G337" s="11">
        <f t="shared" si="32"/>
        <v>0</v>
      </c>
    </row>
    <row r="338" spans="1:7" ht="13.5" hidden="1" thickBot="1" x14ac:dyDescent="0.25">
      <c r="A338" s="15">
        <f t="shared" si="33"/>
        <v>318</v>
      </c>
      <c r="B338" s="30">
        <f t="shared" si="34"/>
        <v>0</v>
      </c>
      <c r="C338" s="30">
        <f t="shared" si="28"/>
        <v>0</v>
      </c>
      <c r="D338" s="30">
        <f t="shared" si="29"/>
        <v>0</v>
      </c>
      <c r="E338" s="31">
        <f t="shared" si="30"/>
        <v>0</v>
      </c>
      <c r="F338" s="30">
        <f t="shared" si="31"/>
        <v>0</v>
      </c>
      <c r="G338" s="11">
        <f t="shared" si="32"/>
        <v>0</v>
      </c>
    </row>
    <row r="339" spans="1:7" ht="13.5" hidden="1" thickBot="1" x14ac:dyDescent="0.25">
      <c r="A339" s="15">
        <f t="shared" si="33"/>
        <v>319</v>
      </c>
      <c r="B339" s="30">
        <f t="shared" si="34"/>
        <v>0</v>
      </c>
      <c r="C339" s="30">
        <f t="shared" si="28"/>
        <v>0</v>
      </c>
      <c r="D339" s="30">
        <f t="shared" si="29"/>
        <v>0</v>
      </c>
      <c r="E339" s="31">
        <f t="shared" si="30"/>
        <v>0</v>
      </c>
      <c r="F339" s="30">
        <f t="shared" si="31"/>
        <v>0</v>
      </c>
      <c r="G339" s="11">
        <f t="shared" si="32"/>
        <v>0</v>
      </c>
    </row>
    <row r="340" spans="1:7" ht="13.5" hidden="1" thickBot="1" x14ac:dyDescent="0.25">
      <c r="A340" s="15">
        <f t="shared" si="33"/>
        <v>320</v>
      </c>
      <c r="B340" s="30">
        <f t="shared" si="34"/>
        <v>0</v>
      </c>
      <c r="C340" s="30">
        <f t="shared" si="28"/>
        <v>0</v>
      </c>
      <c r="D340" s="30">
        <f t="shared" si="29"/>
        <v>0</v>
      </c>
      <c r="E340" s="31">
        <f t="shared" si="30"/>
        <v>0</v>
      </c>
      <c r="F340" s="30">
        <f t="shared" si="31"/>
        <v>0</v>
      </c>
      <c r="G340" s="11">
        <f t="shared" si="32"/>
        <v>0</v>
      </c>
    </row>
    <row r="341" spans="1:7" ht="13.5" hidden="1" thickBot="1" x14ac:dyDescent="0.25">
      <c r="A341" s="15">
        <f t="shared" si="33"/>
        <v>321</v>
      </c>
      <c r="B341" s="30">
        <f t="shared" si="34"/>
        <v>0</v>
      </c>
      <c r="C341" s="30">
        <f t="shared" ref="C341:C380" si="35">IF(A341&lt;=$D$9,$D$14*-1,0)</f>
        <v>0</v>
      </c>
      <c r="D341" s="30">
        <f t="shared" ref="D341:D380" si="36">IF(A341&gt;$D$9,0,$D$11*-1)</f>
        <v>0</v>
      </c>
      <c r="E341" s="31">
        <f t="shared" ref="E341:E380" si="37">B341*$D$10</f>
        <v>0</v>
      </c>
      <c r="F341" s="30">
        <f t="shared" ref="F341:F380" si="38">D341-E341</f>
        <v>0</v>
      </c>
      <c r="G341" s="11">
        <f t="shared" ref="G341:G380" si="39">B341-F341</f>
        <v>0</v>
      </c>
    </row>
    <row r="342" spans="1:7" ht="13.5" hidden="1" thickBot="1" x14ac:dyDescent="0.25">
      <c r="A342" s="15">
        <f t="shared" ref="A342:A380" si="40">A341+1</f>
        <v>322</v>
      </c>
      <c r="B342" s="30">
        <f t="shared" ref="B342:B380" si="41">IF(A342&lt;=$D$9,G341,0)</f>
        <v>0</v>
      </c>
      <c r="C342" s="30">
        <f t="shared" si="35"/>
        <v>0</v>
      </c>
      <c r="D342" s="30">
        <f t="shared" si="36"/>
        <v>0</v>
      </c>
      <c r="E342" s="31">
        <f t="shared" si="37"/>
        <v>0</v>
      </c>
      <c r="F342" s="30">
        <f t="shared" si="38"/>
        <v>0</v>
      </c>
      <c r="G342" s="11">
        <f t="shared" si="39"/>
        <v>0</v>
      </c>
    </row>
    <row r="343" spans="1:7" ht="13.5" hidden="1" thickBot="1" x14ac:dyDescent="0.25">
      <c r="A343" s="15">
        <f t="shared" si="40"/>
        <v>323</v>
      </c>
      <c r="B343" s="30">
        <f t="shared" si="41"/>
        <v>0</v>
      </c>
      <c r="C343" s="30">
        <f t="shared" si="35"/>
        <v>0</v>
      </c>
      <c r="D343" s="30">
        <f t="shared" si="36"/>
        <v>0</v>
      </c>
      <c r="E343" s="31">
        <f t="shared" si="37"/>
        <v>0</v>
      </c>
      <c r="F343" s="30">
        <f t="shared" si="38"/>
        <v>0</v>
      </c>
      <c r="G343" s="11">
        <f t="shared" si="39"/>
        <v>0</v>
      </c>
    </row>
    <row r="344" spans="1:7" ht="13.5" hidden="1" thickBot="1" x14ac:dyDescent="0.25">
      <c r="A344" s="15">
        <f t="shared" si="40"/>
        <v>324</v>
      </c>
      <c r="B344" s="30">
        <f t="shared" si="41"/>
        <v>0</v>
      </c>
      <c r="C344" s="30">
        <f t="shared" si="35"/>
        <v>0</v>
      </c>
      <c r="D344" s="30">
        <f t="shared" si="36"/>
        <v>0</v>
      </c>
      <c r="E344" s="31">
        <f t="shared" si="37"/>
        <v>0</v>
      </c>
      <c r="F344" s="30">
        <f t="shared" si="38"/>
        <v>0</v>
      </c>
      <c r="G344" s="11">
        <f t="shared" si="39"/>
        <v>0</v>
      </c>
    </row>
    <row r="345" spans="1:7" ht="13.5" hidden="1" thickBot="1" x14ac:dyDescent="0.25">
      <c r="A345" s="15">
        <f t="shared" si="40"/>
        <v>325</v>
      </c>
      <c r="B345" s="30">
        <f t="shared" si="41"/>
        <v>0</v>
      </c>
      <c r="C345" s="30">
        <f t="shared" si="35"/>
        <v>0</v>
      </c>
      <c r="D345" s="30">
        <f t="shared" si="36"/>
        <v>0</v>
      </c>
      <c r="E345" s="31">
        <f t="shared" si="37"/>
        <v>0</v>
      </c>
      <c r="F345" s="30">
        <f t="shared" si="38"/>
        <v>0</v>
      </c>
      <c r="G345" s="11">
        <f t="shared" si="39"/>
        <v>0</v>
      </c>
    </row>
    <row r="346" spans="1:7" ht="13.5" hidden="1" thickBot="1" x14ac:dyDescent="0.25">
      <c r="A346" s="15">
        <f t="shared" si="40"/>
        <v>326</v>
      </c>
      <c r="B346" s="30">
        <f t="shared" si="41"/>
        <v>0</v>
      </c>
      <c r="C346" s="30">
        <f t="shared" si="35"/>
        <v>0</v>
      </c>
      <c r="D346" s="30">
        <f t="shared" si="36"/>
        <v>0</v>
      </c>
      <c r="E346" s="31">
        <f t="shared" si="37"/>
        <v>0</v>
      </c>
      <c r="F346" s="30">
        <f t="shared" si="38"/>
        <v>0</v>
      </c>
      <c r="G346" s="11">
        <f t="shared" si="39"/>
        <v>0</v>
      </c>
    </row>
    <row r="347" spans="1:7" ht="13.5" hidden="1" thickBot="1" x14ac:dyDescent="0.25">
      <c r="A347" s="15">
        <f t="shared" si="40"/>
        <v>327</v>
      </c>
      <c r="B347" s="30">
        <f t="shared" si="41"/>
        <v>0</v>
      </c>
      <c r="C347" s="30">
        <f t="shared" si="35"/>
        <v>0</v>
      </c>
      <c r="D347" s="30">
        <f t="shared" si="36"/>
        <v>0</v>
      </c>
      <c r="E347" s="31">
        <f t="shared" si="37"/>
        <v>0</v>
      </c>
      <c r="F347" s="30">
        <f t="shared" si="38"/>
        <v>0</v>
      </c>
      <c r="G347" s="11">
        <f t="shared" si="39"/>
        <v>0</v>
      </c>
    </row>
    <row r="348" spans="1:7" ht="13.5" hidden="1" thickBot="1" x14ac:dyDescent="0.25">
      <c r="A348" s="15">
        <f t="shared" si="40"/>
        <v>328</v>
      </c>
      <c r="B348" s="30">
        <f t="shared" si="41"/>
        <v>0</v>
      </c>
      <c r="C348" s="30">
        <f t="shared" si="35"/>
        <v>0</v>
      </c>
      <c r="D348" s="30">
        <f t="shared" si="36"/>
        <v>0</v>
      </c>
      <c r="E348" s="31">
        <f t="shared" si="37"/>
        <v>0</v>
      </c>
      <c r="F348" s="30">
        <f t="shared" si="38"/>
        <v>0</v>
      </c>
      <c r="G348" s="11">
        <f t="shared" si="39"/>
        <v>0</v>
      </c>
    </row>
    <row r="349" spans="1:7" ht="13.5" hidden="1" thickBot="1" x14ac:dyDescent="0.25">
      <c r="A349" s="15">
        <f t="shared" si="40"/>
        <v>329</v>
      </c>
      <c r="B349" s="30">
        <f t="shared" si="41"/>
        <v>0</v>
      </c>
      <c r="C349" s="30">
        <f t="shared" si="35"/>
        <v>0</v>
      </c>
      <c r="D349" s="30">
        <f t="shared" si="36"/>
        <v>0</v>
      </c>
      <c r="E349" s="31">
        <f t="shared" si="37"/>
        <v>0</v>
      </c>
      <c r="F349" s="30">
        <f t="shared" si="38"/>
        <v>0</v>
      </c>
      <c r="G349" s="11">
        <f t="shared" si="39"/>
        <v>0</v>
      </c>
    </row>
    <row r="350" spans="1:7" ht="13.5" hidden="1" thickBot="1" x14ac:dyDescent="0.25">
      <c r="A350" s="15">
        <f t="shared" si="40"/>
        <v>330</v>
      </c>
      <c r="B350" s="30">
        <f t="shared" si="41"/>
        <v>0</v>
      </c>
      <c r="C350" s="30">
        <f t="shared" si="35"/>
        <v>0</v>
      </c>
      <c r="D350" s="30">
        <f t="shared" si="36"/>
        <v>0</v>
      </c>
      <c r="E350" s="31">
        <f t="shared" si="37"/>
        <v>0</v>
      </c>
      <c r="F350" s="30">
        <f t="shared" si="38"/>
        <v>0</v>
      </c>
      <c r="G350" s="11">
        <f t="shared" si="39"/>
        <v>0</v>
      </c>
    </row>
    <row r="351" spans="1:7" ht="13.5" hidden="1" thickBot="1" x14ac:dyDescent="0.25">
      <c r="A351" s="15">
        <f t="shared" si="40"/>
        <v>331</v>
      </c>
      <c r="B351" s="30">
        <f t="shared" si="41"/>
        <v>0</v>
      </c>
      <c r="C351" s="30">
        <f t="shared" si="35"/>
        <v>0</v>
      </c>
      <c r="D351" s="30">
        <f t="shared" si="36"/>
        <v>0</v>
      </c>
      <c r="E351" s="31">
        <f t="shared" si="37"/>
        <v>0</v>
      </c>
      <c r="F351" s="30">
        <f t="shared" si="38"/>
        <v>0</v>
      </c>
      <c r="G351" s="11">
        <f t="shared" si="39"/>
        <v>0</v>
      </c>
    </row>
    <row r="352" spans="1:7" ht="13.5" hidden="1" thickBot="1" x14ac:dyDescent="0.25">
      <c r="A352" s="15">
        <f t="shared" si="40"/>
        <v>332</v>
      </c>
      <c r="B352" s="30">
        <f t="shared" si="41"/>
        <v>0</v>
      </c>
      <c r="C352" s="30">
        <f t="shared" si="35"/>
        <v>0</v>
      </c>
      <c r="D352" s="30">
        <f t="shared" si="36"/>
        <v>0</v>
      </c>
      <c r="E352" s="31">
        <f t="shared" si="37"/>
        <v>0</v>
      </c>
      <c r="F352" s="30">
        <f t="shared" si="38"/>
        <v>0</v>
      </c>
      <c r="G352" s="11">
        <f t="shared" si="39"/>
        <v>0</v>
      </c>
    </row>
    <row r="353" spans="1:7" ht="13.5" hidden="1" thickBot="1" x14ac:dyDescent="0.25">
      <c r="A353" s="15">
        <f t="shared" si="40"/>
        <v>333</v>
      </c>
      <c r="B353" s="30">
        <f t="shared" si="41"/>
        <v>0</v>
      </c>
      <c r="C353" s="30">
        <f t="shared" si="35"/>
        <v>0</v>
      </c>
      <c r="D353" s="30">
        <f t="shared" si="36"/>
        <v>0</v>
      </c>
      <c r="E353" s="31">
        <f t="shared" si="37"/>
        <v>0</v>
      </c>
      <c r="F353" s="30">
        <f t="shared" si="38"/>
        <v>0</v>
      </c>
      <c r="G353" s="11">
        <f t="shared" si="39"/>
        <v>0</v>
      </c>
    </row>
    <row r="354" spans="1:7" ht="13.5" hidden="1" thickBot="1" x14ac:dyDescent="0.25">
      <c r="A354" s="15">
        <f t="shared" si="40"/>
        <v>334</v>
      </c>
      <c r="B354" s="30">
        <f t="shared" si="41"/>
        <v>0</v>
      </c>
      <c r="C354" s="30">
        <f t="shared" si="35"/>
        <v>0</v>
      </c>
      <c r="D354" s="30">
        <f t="shared" si="36"/>
        <v>0</v>
      </c>
      <c r="E354" s="31">
        <f t="shared" si="37"/>
        <v>0</v>
      </c>
      <c r="F354" s="30">
        <f t="shared" si="38"/>
        <v>0</v>
      </c>
      <c r="G354" s="11">
        <f t="shared" si="39"/>
        <v>0</v>
      </c>
    </row>
    <row r="355" spans="1:7" ht="13.5" hidden="1" thickBot="1" x14ac:dyDescent="0.25">
      <c r="A355" s="15">
        <f t="shared" si="40"/>
        <v>335</v>
      </c>
      <c r="B355" s="30">
        <f t="shared" si="41"/>
        <v>0</v>
      </c>
      <c r="C355" s="30">
        <f t="shared" si="35"/>
        <v>0</v>
      </c>
      <c r="D355" s="30">
        <f t="shared" si="36"/>
        <v>0</v>
      </c>
      <c r="E355" s="31">
        <f t="shared" si="37"/>
        <v>0</v>
      </c>
      <c r="F355" s="30">
        <f t="shared" si="38"/>
        <v>0</v>
      </c>
      <c r="G355" s="11">
        <f t="shared" si="39"/>
        <v>0</v>
      </c>
    </row>
    <row r="356" spans="1:7" ht="13.5" hidden="1" thickBot="1" x14ac:dyDescent="0.25">
      <c r="A356" s="15">
        <f t="shared" si="40"/>
        <v>336</v>
      </c>
      <c r="B356" s="30">
        <f t="shared" si="41"/>
        <v>0</v>
      </c>
      <c r="C356" s="30">
        <f t="shared" si="35"/>
        <v>0</v>
      </c>
      <c r="D356" s="30">
        <f t="shared" si="36"/>
        <v>0</v>
      </c>
      <c r="E356" s="31">
        <f t="shared" si="37"/>
        <v>0</v>
      </c>
      <c r="F356" s="30">
        <f t="shared" si="38"/>
        <v>0</v>
      </c>
      <c r="G356" s="11">
        <f t="shared" si="39"/>
        <v>0</v>
      </c>
    </row>
    <row r="357" spans="1:7" ht="13.5" hidden="1" thickBot="1" x14ac:dyDescent="0.25">
      <c r="A357" s="15">
        <f t="shared" si="40"/>
        <v>337</v>
      </c>
      <c r="B357" s="30">
        <f t="shared" si="41"/>
        <v>0</v>
      </c>
      <c r="C357" s="30">
        <f t="shared" si="35"/>
        <v>0</v>
      </c>
      <c r="D357" s="30">
        <f t="shared" si="36"/>
        <v>0</v>
      </c>
      <c r="E357" s="31">
        <f t="shared" si="37"/>
        <v>0</v>
      </c>
      <c r="F357" s="30">
        <f t="shared" si="38"/>
        <v>0</v>
      </c>
      <c r="G357" s="11">
        <f t="shared" si="39"/>
        <v>0</v>
      </c>
    </row>
    <row r="358" spans="1:7" ht="13.5" hidden="1" thickBot="1" x14ac:dyDescent="0.25">
      <c r="A358" s="15">
        <f t="shared" si="40"/>
        <v>338</v>
      </c>
      <c r="B358" s="30">
        <f t="shared" si="41"/>
        <v>0</v>
      </c>
      <c r="C358" s="30">
        <f t="shared" si="35"/>
        <v>0</v>
      </c>
      <c r="D358" s="30">
        <f t="shared" si="36"/>
        <v>0</v>
      </c>
      <c r="E358" s="31">
        <f t="shared" si="37"/>
        <v>0</v>
      </c>
      <c r="F358" s="30">
        <f t="shared" si="38"/>
        <v>0</v>
      </c>
      <c r="G358" s="11">
        <f t="shared" si="39"/>
        <v>0</v>
      </c>
    </row>
    <row r="359" spans="1:7" ht="13.5" hidden="1" thickBot="1" x14ac:dyDescent="0.25">
      <c r="A359" s="15">
        <f t="shared" si="40"/>
        <v>339</v>
      </c>
      <c r="B359" s="30">
        <f t="shared" si="41"/>
        <v>0</v>
      </c>
      <c r="C359" s="30">
        <f t="shared" si="35"/>
        <v>0</v>
      </c>
      <c r="D359" s="30">
        <f t="shared" si="36"/>
        <v>0</v>
      </c>
      <c r="E359" s="31">
        <f t="shared" si="37"/>
        <v>0</v>
      </c>
      <c r="F359" s="30">
        <f t="shared" si="38"/>
        <v>0</v>
      </c>
      <c r="G359" s="11">
        <f t="shared" si="39"/>
        <v>0</v>
      </c>
    </row>
    <row r="360" spans="1:7" ht="13.5" hidden="1" thickBot="1" x14ac:dyDescent="0.25">
      <c r="A360" s="15">
        <f t="shared" si="40"/>
        <v>340</v>
      </c>
      <c r="B360" s="30">
        <f t="shared" si="41"/>
        <v>0</v>
      </c>
      <c r="C360" s="30">
        <f t="shared" si="35"/>
        <v>0</v>
      </c>
      <c r="D360" s="30">
        <f t="shared" si="36"/>
        <v>0</v>
      </c>
      <c r="E360" s="31">
        <f t="shared" si="37"/>
        <v>0</v>
      </c>
      <c r="F360" s="30">
        <f t="shared" si="38"/>
        <v>0</v>
      </c>
      <c r="G360" s="11">
        <f t="shared" si="39"/>
        <v>0</v>
      </c>
    </row>
    <row r="361" spans="1:7" ht="13.5" hidden="1" thickBot="1" x14ac:dyDescent="0.25">
      <c r="A361" s="15">
        <f t="shared" si="40"/>
        <v>341</v>
      </c>
      <c r="B361" s="30">
        <f t="shared" si="41"/>
        <v>0</v>
      </c>
      <c r="C361" s="30">
        <f t="shared" si="35"/>
        <v>0</v>
      </c>
      <c r="D361" s="30">
        <f t="shared" si="36"/>
        <v>0</v>
      </c>
      <c r="E361" s="31">
        <f t="shared" si="37"/>
        <v>0</v>
      </c>
      <c r="F361" s="30">
        <f t="shared" si="38"/>
        <v>0</v>
      </c>
      <c r="G361" s="11">
        <f t="shared" si="39"/>
        <v>0</v>
      </c>
    </row>
    <row r="362" spans="1:7" ht="13.5" hidden="1" thickBot="1" x14ac:dyDescent="0.25">
      <c r="A362" s="15">
        <f t="shared" si="40"/>
        <v>342</v>
      </c>
      <c r="B362" s="30">
        <f t="shared" si="41"/>
        <v>0</v>
      </c>
      <c r="C362" s="30">
        <f t="shared" si="35"/>
        <v>0</v>
      </c>
      <c r="D362" s="30">
        <f t="shared" si="36"/>
        <v>0</v>
      </c>
      <c r="E362" s="31">
        <f t="shared" si="37"/>
        <v>0</v>
      </c>
      <c r="F362" s="30">
        <f t="shared" si="38"/>
        <v>0</v>
      </c>
      <c r="G362" s="11">
        <f t="shared" si="39"/>
        <v>0</v>
      </c>
    </row>
    <row r="363" spans="1:7" ht="13.5" hidden="1" thickBot="1" x14ac:dyDescent="0.25">
      <c r="A363" s="15">
        <f t="shared" si="40"/>
        <v>343</v>
      </c>
      <c r="B363" s="30">
        <f t="shared" si="41"/>
        <v>0</v>
      </c>
      <c r="C363" s="30">
        <f t="shared" si="35"/>
        <v>0</v>
      </c>
      <c r="D363" s="30">
        <f t="shared" si="36"/>
        <v>0</v>
      </c>
      <c r="E363" s="31">
        <f t="shared" si="37"/>
        <v>0</v>
      </c>
      <c r="F363" s="30">
        <f t="shared" si="38"/>
        <v>0</v>
      </c>
      <c r="G363" s="11">
        <f t="shared" si="39"/>
        <v>0</v>
      </c>
    </row>
    <row r="364" spans="1:7" ht="13.5" hidden="1" thickBot="1" x14ac:dyDescent="0.25">
      <c r="A364" s="15">
        <f t="shared" si="40"/>
        <v>344</v>
      </c>
      <c r="B364" s="30">
        <f t="shared" si="41"/>
        <v>0</v>
      </c>
      <c r="C364" s="30">
        <f t="shared" si="35"/>
        <v>0</v>
      </c>
      <c r="D364" s="30">
        <f t="shared" si="36"/>
        <v>0</v>
      </c>
      <c r="E364" s="31">
        <f t="shared" si="37"/>
        <v>0</v>
      </c>
      <c r="F364" s="30">
        <f t="shared" si="38"/>
        <v>0</v>
      </c>
      <c r="G364" s="11">
        <f t="shared" si="39"/>
        <v>0</v>
      </c>
    </row>
    <row r="365" spans="1:7" ht="13.5" hidden="1" thickBot="1" x14ac:dyDescent="0.25">
      <c r="A365" s="15">
        <f t="shared" si="40"/>
        <v>345</v>
      </c>
      <c r="B365" s="30">
        <f t="shared" si="41"/>
        <v>0</v>
      </c>
      <c r="C365" s="30">
        <f t="shared" si="35"/>
        <v>0</v>
      </c>
      <c r="D365" s="30">
        <f t="shared" si="36"/>
        <v>0</v>
      </c>
      <c r="E365" s="31">
        <f t="shared" si="37"/>
        <v>0</v>
      </c>
      <c r="F365" s="30">
        <f t="shared" si="38"/>
        <v>0</v>
      </c>
      <c r="G365" s="11">
        <f t="shared" si="39"/>
        <v>0</v>
      </c>
    </row>
    <row r="366" spans="1:7" ht="13.5" hidden="1" thickBot="1" x14ac:dyDescent="0.25">
      <c r="A366" s="15">
        <f t="shared" si="40"/>
        <v>346</v>
      </c>
      <c r="B366" s="30">
        <f t="shared" si="41"/>
        <v>0</v>
      </c>
      <c r="C366" s="30">
        <f t="shared" si="35"/>
        <v>0</v>
      </c>
      <c r="D366" s="30">
        <f t="shared" si="36"/>
        <v>0</v>
      </c>
      <c r="E366" s="31">
        <f t="shared" si="37"/>
        <v>0</v>
      </c>
      <c r="F366" s="30">
        <f t="shared" si="38"/>
        <v>0</v>
      </c>
      <c r="G366" s="11">
        <f t="shared" si="39"/>
        <v>0</v>
      </c>
    </row>
    <row r="367" spans="1:7" ht="13.5" hidden="1" thickBot="1" x14ac:dyDescent="0.25">
      <c r="A367" s="15">
        <f t="shared" si="40"/>
        <v>347</v>
      </c>
      <c r="B367" s="30">
        <f t="shared" si="41"/>
        <v>0</v>
      </c>
      <c r="C367" s="30">
        <f t="shared" si="35"/>
        <v>0</v>
      </c>
      <c r="D367" s="30">
        <f t="shared" si="36"/>
        <v>0</v>
      </c>
      <c r="E367" s="31">
        <f t="shared" si="37"/>
        <v>0</v>
      </c>
      <c r="F367" s="30">
        <f t="shared" si="38"/>
        <v>0</v>
      </c>
      <c r="G367" s="11">
        <f t="shared" si="39"/>
        <v>0</v>
      </c>
    </row>
    <row r="368" spans="1:7" ht="13.5" hidden="1" thickBot="1" x14ac:dyDescent="0.25">
      <c r="A368" s="15">
        <f t="shared" si="40"/>
        <v>348</v>
      </c>
      <c r="B368" s="30">
        <f t="shared" si="41"/>
        <v>0</v>
      </c>
      <c r="C368" s="30">
        <f t="shared" si="35"/>
        <v>0</v>
      </c>
      <c r="D368" s="30">
        <f t="shared" si="36"/>
        <v>0</v>
      </c>
      <c r="E368" s="31">
        <f t="shared" si="37"/>
        <v>0</v>
      </c>
      <c r="F368" s="30">
        <f t="shared" si="38"/>
        <v>0</v>
      </c>
      <c r="G368" s="11">
        <f t="shared" si="39"/>
        <v>0</v>
      </c>
    </row>
    <row r="369" spans="1:7" ht="13.5" hidden="1" thickBot="1" x14ac:dyDescent="0.25">
      <c r="A369" s="15">
        <f t="shared" si="40"/>
        <v>349</v>
      </c>
      <c r="B369" s="30">
        <f t="shared" si="41"/>
        <v>0</v>
      </c>
      <c r="C369" s="30">
        <f t="shared" si="35"/>
        <v>0</v>
      </c>
      <c r="D369" s="30">
        <f t="shared" si="36"/>
        <v>0</v>
      </c>
      <c r="E369" s="31">
        <f t="shared" si="37"/>
        <v>0</v>
      </c>
      <c r="F369" s="30">
        <f t="shared" si="38"/>
        <v>0</v>
      </c>
      <c r="G369" s="11">
        <f t="shared" si="39"/>
        <v>0</v>
      </c>
    </row>
    <row r="370" spans="1:7" ht="13.5" hidden="1" thickBot="1" x14ac:dyDescent="0.25">
      <c r="A370" s="15">
        <f t="shared" si="40"/>
        <v>350</v>
      </c>
      <c r="B370" s="30">
        <f t="shared" si="41"/>
        <v>0</v>
      </c>
      <c r="C370" s="30">
        <f t="shared" si="35"/>
        <v>0</v>
      </c>
      <c r="D370" s="30">
        <f t="shared" si="36"/>
        <v>0</v>
      </c>
      <c r="E370" s="31">
        <f t="shared" si="37"/>
        <v>0</v>
      </c>
      <c r="F370" s="30">
        <f t="shared" si="38"/>
        <v>0</v>
      </c>
      <c r="G370" s="11">
        <f t="shared" si="39"/>
        <v>0</v>
      </c>
    </row>
    <row r="371" spans="1:7" ht="13.5" hidden="1" thickBot="1" x14ac:dyDescent="0.25">
      <c r="A371" s="15">
        <f t="shared" si="40"/>
        <v>351</v>
      </c>
      <c r="B371" s="30">
        <f t="shared" si="41"/>
        <v>0</v>
      </c>
      <c r="C371" s="30">
        <f t="shared" si="35"/>
        <v>0</v>
      </c>
      <c r="D371" s="30">
        <f t="shared" si="36"/>
        <v>0</v>
      </c>
      <c r="E371" s="31">
        <f t="shared" si="37"/>
        <v>0</v>
      </c>
      <c r="F371" s="30">
        <f t="shared" si="38"/>
        <v>0</v>
      </c>
      <c r="G371" s="11">
        <f t="shared" si="39"/>
        <v>0</v>
      </c>
    </row>
    <row r="372" spans="1:7" ht="13.5" hidden="1" thickBot="1" x14ac:dyDescent="0.25">
      <c r="A372" s="15">
        <f t="shared" si="40"/>
        <v>352</v>
      </c>
      <c r="B372" s="30">
        <f t="shared" si="41"/>
        <v>0</v>
      </c>
      <c r="C372" s="30">
        <f t="shared" si="35"/>
        <v>0</v>
      </c>
      <c r="D372" s="30">
        <f t="shared" si="36"/>
        <v>0</v>
      </c>
      <c r="E372" s="31">
        <f t="shared" si="37"/>
        <v>0</v>
      </c>
      <c r="F372" s="30">
        <f t="shared" si="38"/>
        <v>0</v>
      </c>
      <c r="G372" s="11">
        <f t="shared" si="39"/>
        <v>0</v>
      </c>
    </row>
    <row r="373" spans="1:7" ht="13.5" hidden="1" thickBot="1" x14ac:dyDescent="0.25">
      <c r="A373" s="15">
        <f t="shared" si="40"/>
        <v>353</v>
      </c>
      <c r="B373" s="30">
        <f t="shared" si="41"/>
        <v>0</v>
      </c>
      <c r="C373" s="30">
        <f t="shared" si="35"/>
        <v>0</v>
      </c>
      <c r="D373" s="30">
        <f t="shared" si="36"/>
        <v>0</v>
      </c>
      <c r="E373" s="31">
        <f t="shared" si="37"/>
        <v>0</v>
      </c>
      <c r="F373" s="30">
        <f t="shared" si="38"/>
        <v>0</v>
      </c>
      <c r="G373" s="11">
        <f t="shared" si="39"/>
        <v>0</v>
      </c>
    </row>
    <row r="374" spans="1:7" ht="13.5" hidden="1" thickBot="1" x14ac:dyDescent="0.25">
      <c r="A374" s="15">
        <f t="shared" si="40"/>
        <v>354</v>
      </c>
      <c r="B374" s="30">
        <f t="shared" si="41"/>
        <v>0</v>
      </c>
      <c r="C374" s="30">
        <f t="shared" si="35"/>
        <v>0</v>
      </c>
      <c r="D374" s="30">
        <f t="shared" si="36"/>
        <v>0</v>
      </c>
      <c r="E374" s="31">
        <f t="shared" si="37"/>
        <v>0</v>
      </c>
      <c r="F374" s="30">
        <f t="shared" si="38"/>
        <v>0</v>
      </c>
      <c r="G374" s="11">
        <f t="shared" si="39"/>
        <v>0</v>
      </c>
    </row>
    <row r="375" spans="1:7" ht="13.5" hidden="1" thickBot="1" x14ac:dyDescent="0.25">
      <c r="A375" s="15">
        <f t="shared" si="40"/>
        <v>355</v>
      </c>
      <c r="B375" s="30">
        <f t="shared" si="41"/>
        <v>0</v>
      </c>
      <c r="C375" s="30">
        <f t="shared" si="35"/>
        <v>0</v>
      </c>
      <c r="D375" s="30">
        <f t="shared" si="36"/>
        <v>0</v>
      </c>
      <c r="E375" s="31">
        <f t="shared" si="37"/>
        <v>0</v>
      </c>
      <c r="F375" s="30">
        <f t="shared" si="38"/>
        <v>0</v>
      </c>
      <c r="G375" s="11">
        <f t="shared" si="39"/>
        <v>0</v>
      </c>
    </row>
    <row r="376" spans="1:7" ht="13.5" hidden="1" thickBot="1" x14ac:dyDescent="0.25">
      <c r="A376" s="15">
        <f t="shared" si="40"/>
        <v>356</v>
      </c>
      <c r="B376" s="30">
        <f t="shared" si="41"/>
        <v>0</v>
      </c>
      <c r="C376" s="30">
        <f t="shared" si="35"/>
        <v>0</v>
      </c>
      <c r="D376" s="30">
        <f t="shared" si="36"/>
        <v>0</v>
      </c>
      <c r="E376" s="31">
        <f t="shared" si="37"/>
        <v>0</v>
      </c>
      <c r="F376" s="30">
        <f t="shared" si="38"/>
        <v>0</v>
      </c>
      <c r="G376" s="11">
        <f t="shared" si="39"/>
        <v>0</v>
      </c>
    </row>
    <row r="377" spans="1:7" ht="13.5" hidden="1" thickBot="1" x14ac:dyDescent="0.25">
      <c r="A377" s="15">
        <f t="shared" si="40"/>
        <v>357</v>
      </c>
      <c r="B377" s="30">
        <f t="shared" si="41"/>
        <v>0</v>
      </c>
      <c r="C377" s="30">
        <f t="shared" si="35"/>
        <v>0</v>
      </c>
      <c r="D377" s="30">
        <f t="shared" si="36"/>
        <v>0</v>
      </c>
      <c r="E377" s="31">
        <f t="shared" si="37"/>
        <v>0</v>
      </c>
      <c r="F377" s="30">
        <f t="shared" si="38"/>
        <v>0</v>
      </c>
      <c r="G377" s="11">
        <f t="shared" si="39"/>
        <v>0</v>
      </c>
    </row>
    <row r="378" spans="1:7" ht="13.5" hidden="1" thickBot="1" x14ac:dyDescent="0.25">
      <c r="A378" s="15">
        <f t="shared" si="40"/>
        <v>358</v>
      </c>
      <c r="B378" s="30">
        <f t="shared" si="41"/>
        <v>0</v>
      </c>
      <c r="C378" s="30">
        <f t="shared" si="35"/>
        <v>0</v>
      </c>
      <c r="D378" s="30">
        <f t="shared" si="36"/>
        <v>0</v>
      </c>
      <c r="E378" s="31">
        <f t="shared" si="37"/>
        <v>0</v>
      </c>
      <c r="F378" s="30">
        <f t="shared" si="38"/>
        <v>0</v>
      </c>
      <c r="G378" s="11">
        <f t="shared" si="39"/>
        <v>0</v>
      </c>
    </row>
    <row r="379" spans="1:7" ht="13.5" hidden="1" thickBot="1" x14ac:dyDescent="0.25">
      <c r="A379" s="15">
        <f t="shared" si="40"/>
        <v>359</v>
      </c>
      <c r="B379" s="30">
        <f t="shared" si="41"/>
        <v>0</v>
      </c>
      <c r="C379" s="30">
        <f t="shared" si="35"/>
        <v>0</v>
      </c>
      <c r="D379" s="30">
        <f t="shared" si="36"/>
        <v>0</v>
      </c>
      <c r="E379" s="31">
        <f t="shared" si="37"/>
        <v>0</v>
      </c>
      <c r="F379" s="30">
        <f t="shared" si="38"/>
        <v>0</v>
      </c>
      <c r="G379" s="11">
        <f t="shared" si="39"/>
        <v>0</v>
      </c>
    </row>
    <row r="380" spans="1:7" ht="13.5" hidden="1" thickBot="1" x14ac:dyDescent="0.25">
      <c r="A380" s="15">
        <f t="shared" si="40"/>
        <v>360</v>
      </c>
      <c r="B380" s="30">
        <f t="shared" si="41"/>
        <v>0</v>
      </c>
      <c r="C380" s="30">
        <f t="shared" si="35"/>
        <v>0</v>
      </c>
      <c r="D380" s="30">
        <f t="shared" si="36"/>
        <v>0</v>
      </c>
      <c r="E380" s="31">
        <f t="shared" si="37"/>
        <v>0</v>
      </c>
      <c r="F380" s="30">
        <f t="shared" si="38"/>
        <v>0</v>
      </c>
      <c r="G380" s="11">
        <f t="shared" si="39"/>
        <v>0</v>
      </c>
    </row>
    <row r="381" spans="1:7" ht="13.5" thickBot="1" x14ac:dyDescent="0.25">
      <c r="A381" s="32" t="s">
        <v>21</v>
      </c>
      <c r="B381" s="33"/>
      <c r="C381" s="33">
        <f>SUM(C21:C380)</f>
        <v>6549846.0934814792</v>
      </c>
      <c r="D381" s="33">
        <f>SUM(D21:D380)</f>
        <v>6549846.0934814792</v>
      </c>
      <c r="E381" s="33">
        <f>SUM(E21:E380)</f>
        <v>549846.09348147584</v>
      </c>
      <c r="F381" s="33">
        <f>SUM(F21:F380)</f>
        <v>6000000.0000000009</v>
      </c>
      <c r="G381" s="34"/>
    </row>
    <row r="382" spans="1:7" x14ac:dyDescent="0.2">
      <c r="A382" s="2"/>
      <c r="B382" s="30"/>
      <c r="C382" s="30"/>
      <c r="D382" s="30"/>
      <c r="E382" s="31"/>
      <c r="F382" s="30"/>
      <c r="G382" s="30"/>
    </row>
    <row r="383" spans="1:7" x14ac:dyDescent="0.2">
      <c r="A383" s="2"/>
    </row>
    <row r="384" spans="1:7" x14ac:dyDescent="0.2">
      <c r="A384" s="2"/>
    </row>
    <row r="385" spans="1:1" x14ac:dyDescent="0.2">
      <c r="A385" s="2"/>
    </row>
    <row r="386" spans="1:1" x14ac:dyDescent="0.2">
      <c r="A386" s="2"/>
    </row>
    <row r="387" spans="1:1" x14ac:dyDescent="0.2">
      <c r="A387" s="2"/>
    </row>
  </sheetData>
  <mergeCells count="16">
    <mergeCell ref="A6:C6"/>
    <mergeCell ref="A1:G1"/>
    <mergeCell ref="A2:C2"/>
    <mergeCell ref="A3:C3"/>
    <mergeCell ref="A4:C4"/>
    <mergeCell ref="A5:C5"/>
    <mergeCell ref="A13:D13"/>
    <mergeCell ref="A16:C16"/>
    <mergeCell ref="E16:G16"/>
    <mergeCell ref="A17:D17"/>
    <mergeCell ref="A7:C7"/>
    <mergeCell ref="A8:C8"/>
    <mergeCell ref="A9:C9"/>
    <mergeCell ref="A10:C10"/>
    <mergeCell ref="A11:C11"/>
    <mergeCell ref="A12:C12"/>
  </mergeCells>
  <pageMargins left="0.59055118110236227" right="0.39370078740157483" top="0.39370078740157483" bottom="0.39370078740157483" header="0.51181102362204722" footer="0.51181102362204722"/>
  <pageSetup paperSize="9" scale="98" orientation="portrait" horizontalDpi="360" verticalDpi="2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367F-4542-4D74-BE7F-2B8EB46C8149}">
  <sheetPr>
    <pageSetUpPr fitToPage="1"/>
  </sheetPr>
  <dimension ref="A1:H30"/>
  <sheetViews>
    <sheetView zoomScale="140" workbookViewId="0">
      <selection activeCell="C4" sqref="C4"/>
    </sheetView>
  </sheetViews>
  <sheetFormatPr defaultRowHeight="12.75" x14ac:dyDescent="0.2"/>
  <cols>
    <col min="1" max="1" width="21.7109375" customWidth="1"/>
    <col min="2" max="2" width="5.28515625" customWidth="1"/>
    <col min="3" max="3" width="3.28515625" customWidth="1"/>
    <col min="4" max="4" width="19.7109375" customWidth="1"/>
    <col min="5" max="5" width="9.7109375" customWidth="1"/>
    <col min="6" max="6" width="4.28515625" customWidth="1"/>
    <col min="7" max="7" width="22" customWidth="1"/>
  </cols>
  <sheetData>
    <row r="1" spans="1:8" ht="50.25" customHeight="1" x14ac:dyDescent="0.2">
      <c r="A1" s="361" t="s">
        <v>22</v>
      </c>
      <c r="B1" s="362"/>
      <c r="C1" s="362"/>
      <c r="D1" s="362"/>
      <c r="E1" s="362"/>
      <c r="F1" s="362"/>
      <c r="G1" s="362"/>
    </row>
    <row r="2" spans="1:8" ht="54.75" customHeight="1" x14ac:dyDescent="0.2">
      <c r="A2" s="362" t="s">
        <v>23</v>
      </c>
      <c r="B2" s="362"/>
      <c r="C2" s="362"/>
      <c r="D2" s="362"/>
      <c r="E2" s="362"/>
      <c r="F2" s="362"/>
      <c r="G2" s="362"/>
    </row>
    <row r="3" spans="1:8" ht="20.25" customHeight="1" x14ac:dyDescent="0.2">
      <c r="A3" s="361" t="s">
        <v>24</v>
      </c>
      <c r="B3" s="361"/>
      <c r="C3" s="361"/>
      <c r="D3" s="361"/>
      <c r="E3" s="361"/>
      <c r="F3" s="361"/>
      <c r="G3" s="361"/>
    </row>
    <row r="4" spans="1:8" ht="42" customHeight="1" thickBot="1" x14ac:dyDescent="0.35">
      <c r="A4" s="363" t="s">
        <v>25</v>
      </c>
      <c r="B4" s="350" t="s">
        <v>26</v>
      </c>
      <c r="C4" s="35"/>
      <c r="D4" s="36" t="s">
        <v>27</v>
      </c>
      <c r="E4" s="37" t="s">
        <v>28</v>
      </c>
      <c r="F4" s="358" t="s">
        <v>29</v>
      </c>
      <c r="G4" s="359" t="s">
        <v>30</v>
      </c>
    </row>
    <row r="5" spans="1:8" ht="27.75" customHeight="1" x14ac:dyDescent="0.35">
      <c r="A5" s="364"/>
      <c r="B5" s="350"/>
      <c r="C5" s="35"/>
      <c r="D5" s="354" t="s">
        <v>31</v>
      </c>
      <c r="E5" s="354"/>
      <c r="F5" s="358"/>
      <c r="G5" s="359"/>
    </row>
    <row r="6" spans="1:8" ht="39" customHeight="1" thickBot="1" x14ac:dyDescent="0.35">
      <c r="A6" s="365">
        <f>'Effektiv rente annuitetslån'!D2</f>
        <v>6000000</v>
      </c>
      <c r="B6" s="350" t="s">
        <v>26</v>
      </c>
      <c r="C6" s="35"/>
      <c r="D6" s="36" t="str">
        <f>CONCATENATE("1-(1+",D7,")")</f>
        <v>1-(1+0,0085)</v>
      </c>
      <c r="E6" s="38">
        <f>-'Effektiv rente annuitetslån'!D9</f>
        <v>-20</v>
      </c>
      <c r="F6" s="358" t="s">
        <v>29</v>
      </c>
      <c r="G6" s="359" t="s">
        <v>30</v>
      </c>
    </row>
    <row r="7" spans="1:8" ht="20.25" customHeight="1" x14ac:dyDescent="0.25">
      <c r="A7" s="357"/>
      <c r="B7" s="350"/>
      <c r="C7" s="35"/>
      <c r="D7" s="366">
        <f>'Effektiv rente annuitetslån'!D10</f>
        <v>8.5000000000000006E-3</v>
      </c>
      <c r="E7" s="366"/>
      <c r="F7" s="358"/>
      <c r="G7" s="359"/>
    </row>
    <row r="8" spans="1:8" ht="30" customHeight="1" x14ac:dyDescent="0.2">
      <c r="A8" s="39">
        <f>A6</f>
        <v>6000000</v>
      </c>
      <c r="B8" s="35" t="s">
        <v>26</v>
      </c>
      <c r="C8" s="35"/>
      <c r="D8" s="360">
        <f>ROUNDUP(A6/'Effektiv rente annuitetslån'!D11*-1,6)</f>
        <v>18.321042000000002</v>
      </c>
      <c r="E8" s="360"/>
      <c r="F8" s="40" t="s">
        <v>29</v>
      </c>
      <c r="G8" s="41" t="s">
        <v>30</v>
      </c>
    </row>
    <row r="9" spans="1:8" ht="33.75" customHeight="1" x14ac:dyDescent="0.2">
      <c r="A9" s="42" t="s">
        <v>30</v>
      </c>
      <c r="B9" s="35" t="s">
        <v>26</v>
      </c>
      <c r="C9" s="35"/>
      <c r="D9" s="43">
        <f>'Effektiv rente annuitetslån'!D11*-1</f>
        <v>327492.30467407382</v>
      </c>
      <c r="E9" s="43"/>
      <c r="F9" s="43"/>
      <c r="G9" s="43"/>
    </row>
    <row r="10" spans="1:8" ht="23.25" customHeight="1" x14ac:dyDescent="0.2">
      <c r="A10" s="355" t="s">
        <v>32</v>
      </c>
      <c r="B10" s="355"/>
      <c r="C10" s="355"/>
      <c r="D10" s="355"/>
      <c r="E10" s="355"/>
      <c r="F10" s="355"/>
      <c r="G10" s="355"/>
    </row>
    <row r="11" spans="1:8" ht="42" customHeight="1" thickBot="1" x14ac:dyDescent="0.35">
      <c r="A11" s="356" t="s">
        <v>33</v>
      </c>
      <c r="B11" s="350" t="s">
        <v>26</v>
      </c>
      <c r="C11" s="35"/>
      <c r="D11" s="36" t="s">
        <v>27</v>
      </c>
      <c r="E11" s="37" t="s">
        <v>28</v>
      </c>
      <c r="F11" s="358" t="s">
        <v>29</v>
      </c>
      <c r="G11" s="359" t="str">
        <f>IF('Effektiv rente annuitetslån'!D12=0,"b","b+gebyr")</f>
        <v>b</v>
      </c>
      <c r="H11" s="44"/>
    </row>
    <row r="12" spans="1:8" ht="21.6" customHeight="1" x14ac:dyDescent="0.35">
      <c r="A12" s="357"/>
      <c r="B12" s="350"/>
      <c r="C12" s="35"/>
      <c r="D12" s="354" t="s">
        <v>31</v>
      </c>
      <c r="E12" s="354"/>
      <c r="F12" s="358"/>
      <c r="G12" s="359"/>
      <c r="H12" s="44"/>
    </row>
    <row r="13" spans="1:8" ht="21.6" customHeight="1" x14ac:dyDescent="0.2">
      <c r="A13" s="348" t="s">
        <v>34</v>
      </c>
      <c r="B13" s="348"/>
      <c r="C13" s="348"/>
      <c r="D13" s="348"/>
      <c r="E13" s="348"/>
      <c r="F13" s="348"/>
      <c r="G13" s="348"/>
    </row>
    <row r="14" spans="1:8" ht="27.75" thickBot="1" x14ac:dyDescent="0.35">
      <c r="A14" s="349">
        <f>'Effektiv rente annuitetslån'!D5</f>
        <v>5900000</v>
      </c>
      <c r="B14" s="350" t="s">
        <v>26</v>
      </c>
      <c r="C14" s="35"/>
      <c r="D14" s="36" t="str">
        <f>D11</f>
        <v>1-(1+ r)</v>
      </c>
      <c r="E14" s="45">
        <f>-'Effektiv rente annuitetslån'!D9</f>
        <v>-20</v>
      </c>
      <c r="F14" s="351" t="str">
        <f>F11</f>
        <v>*</v>
      </c>
      <c r="G14" s="353">
        <f>('Effektiv rente annuitetslån'!D11-'Effektiv rente annuitetslån'!D12)*-1</f>
        <v>327492.30467407382</v>
      </c>
    </row>
    <row r="15" spans="1:8" ht="27" x14ac:dyDescent="0.35">
      <c r="A15" s="349"/>
      <c r="B15" s="350"/>
      <c r="C15" s="35"/>
      <c r="D15" s="354" t="str">
        <f>D12</f>
        <v>r</v>
      </c>
      <c r="E15" s="354"/>
      <c r="F15" s="352"/>
      <c r="G15" s="353"/>
    </row>
    <row r="16" spans="1:8" ht="15.75" x14ac:dyDescent="0.25">
      <c r="A16" s="342" t="s">
        <v>35</v>
      </c>
      <c r="B16" s="342"/>
      <c r="C16" s="342"/>
      <c r="D16" s="342"/>
      <c r="E16" s="342"/>
      <c r="F16" s="342"/>
      <c r="G16" s="342"/>
    </row>
    <row r="17" spans="1:7" ht="38.450000000000003" customHeight="1" thickBot="1" x14ac:dyDescent="0.35">
      <c r="A17" s="343">
        <f>A14/G14</f>
        <v>18.015690493466053</v>
      </c>
      <c r="B17" s="344" t="str">
        <f>B14</f>
        <v>=</v>
      </c>
      <c r="C17" s="46"/>
      <c r="D17" s="36" t="str">
        <f>D14</f>
        <v>1-(1+ r)</v>
      </c>
      <c r="E17" s="45">
        <f>E14</f>
        <v>-20</v>
      </c>
    </row>
    <row r="18" spans="1:7" ht="31.9" customHeight="1" x14ac:dyDescent="0.35">
      <c r="A18" s="343"/>
      <c r="B18" s="344"/>
      <c r="C18" s="46"/>
      <c r="D18" s="345" t="str">
        <f>D15</f>
        <v>r</v>
      </c>
      <c r="E18" s="345"/>
    </row>
    <row r="19" spans="1:7" ht="15.75" x14ac:dyDescent="0.25">
      <c r="A19" s="342" t="s">
        <v>36</v>
      </c>
      <c r="B19" s="342"/>
      <c r="C19" s="342"/>
      <c r="D19" s="342"/>
      <c r="E19" s="342"/>
      <c r="F19" s="342"/>
      <c r="G19" s="342"/>
    </row>
    <row r="20" spans="1:7" ht="27" x14ac:dyDescent="0.35">
      <c r="A20" s="47" t="str">
        <f>D18</f>
        <v>r</v>
      </c>
      <c r="B20" s="48" t="str">
        <f>B17</f>
        <v>=</v>
      </c>
      <c r="C20" s="48"/>
      <c r="D20" s="49">
        <f>RATE('Effektiv rente annuitetslån'!D9,'Effektiv rente annuitetslån'!D14,'Effektiv rente annuitetslån'!D5)</f>
        <v>1.0164548262106516E-2</v>
      </c>
    </row>
    <row r="21" spans="1:7" ht="15.75" x14ac:dyDescent="0.25">
      <c r="A21" s="342" t="s">
        <v>37</v>
      </c>
      <c r="B21" s="342"/>
      <c r="C21" s="342"/>
      <c r="D21" s="342"/>
      <c r="E21" s="342"/>
      <c r="F21" s="342"/>
      <c r="G21" s="342"/>
    </row>
    <row r="22" spans="1:7" ht="28.5" thickBot="1" x14ac:dyDescent="0.45">
      <c r="A22" s="50" t="str">
        <f>A20</f>
        <v>r</v>
      </c>
      <c r="B22" s="51" t="str">
        <f>B20</f>
        <v>=</v>
      </c>
      <c r="C22" s="51"/>
      <c r="D22" s="52">
        <f>D20</f>
        <v>1.0164548262106516E-2</v>
      </c>
      <c r="E22" s="316" t="str">
        <f>IF('Effektiv rente annuitetslån'!D8=1,"Årlig rente"," ")</f>
        <v xml:space="preserve"> </v>
      </c>
      <c r="F22" s="316"/>
      <c r="G22" s="316"/>
    </row>
    <row r="23" spans="1:7" ht="13.5" thickTop="1" x14ac:dyDescent="0.2"/>
    <row r="24" spans="1:7" ht="18.600000000000001" customHeight="1" x14ac:dyDescent="0.25">
      <c r="A24" s="342" t="str">
        <f>IF('Effektiv rente annuitetslån'!D8=1," ",CONCATENATE("Da terminerne på lånet er ",'Effektiv rente annuitetslån'!D8," gange pr. år skal følgende beregning foretages:"))</f>
        <v>Da terminerne på lånet er 4 gange pr. år skal følgende beregning foretages:</v>
      </c>
      <c r="B24" s="342"/>
      <c r="C24" s="342"/>
      <c r="D24" s="342"/>
      <c r="E24" s="342"/>
      <c r="F24" s="342"/>
      <c r="G24" s="342"/>
    </row>
    <row r="25" spans="1:7" ht="21" x14ac:dyDescent="0.25">
      <c r="A25" s="53" t="str">
        <f>IF('Effektiv rente annuitetslån'!$D$8=1,"","(1+r)")</f>
        <v>(1+r)</v>
      </c>
      <c r="B25" s="54">
        <f>IF('Effektiv rente annuitetslån'!D8=1,"",'Effektiv rente annuitetslån'!D8)</f>
        <v>4</v>
      </c>
      <c r="C25" s="53" t="str">
        <f>IF('Effektiv rente annuitetslån'!$D$8=1,"","-1")</f>
        <v>-1</v>
      </c>
      <c r="D25" s="55" t="str">
        <f>IF('Effektiv rente annuitetslån'!$D$8=1,"",CONCATENATE("="," Årlig rente"))</f>
        <v>= Årlig rente</v>
      </c>
      <c r="E25" s="55"/>
      <c r="F25" s="55"/>
      <c r="G25" s="55"/>
    </row>
    <row r="26" spans="1:7" ht="22.15" customHeight="1" x14ac:dyDescent="0.25">
      <c r="A26" s="346" t="str">
        <f>IF('Effektiv rente annuitetslån'!$D$8=1,"","Ved at indsætte fås:")</f>
        <v>Ved at indsætte fås:</v>
      </c>
      <c r="B26" s="346"/>
      <c r="C26" s="346"/>
      <c r="D26" s="346"/>
      <c r="E26" s="346"/>
      <c r="F26" s="346"/>
      <c r="G26" s="346"/>
    </row>
    <row r="27" spans="1:7" ht="33" customHeight="1" x14ac:dyDescent="0.25">
      <c r="A27" s="56" t="str">
        <f>IF('Effektiv rente annuitetslån'!D8=1,"",CONCATENATE("(1+",ROUND(D20,4),")"))</f>
        <v>(1+0,0102)</v>
      </c>
      <c r="B27" s="57">
        <f>B25</f>
        <v>4</v>
      </c>
      <c r="C27" s="53" t="str">
        <f>IF('Effektiv rente annuitetslån'!$D$8=1,"","-1")</f>
        <v>-1</v>
      </c>
      <c r="D27" s="55" t="str">
        <f>D25</f>
        <v>= Årlig rente</v>
      </c>
      <c r="E27" s="55"/>
      <c r="F27" s="55"/>
      <c r="G27" s="55"/>
    </row>
    <row r="28" spans="1:7" ht="33.6" customHeight="1" x14ac:dyDescent="0.25">
      <c r="A28" s="322">
        <f>IF('Effektiv rente annuitetslån'!D8=1,"",'Effektiv rente annuitetslån'!D16)</f>
        <v>4.1282312696151235E-2</v>
      </c>
      <c r="B28" s="322"/>
      <c r="C28" s="322"/>
      <c r="D28" s="55" t="str">
        <f>D27</f>
        <v>= Årlig rente</v>
      </c>
      <c r="E28" s="58"/>
      <c r="G28" s="59"/>
    </row>
    <row r="29" spans="1:7" ht="15.75" x14ac:dyDescent="0.25">
      <c r="A29" s="347" t="str">
        <f>IF('Effektiv rente annuitetslån'!D8=1,"","Eller udtrykt i procent:")</f>
        <v>Eller udtrykt i procent:</v>
      </c>
      <c r="B29" s="347"/>
      <c r="C29" s="347"/>
      <c r="D29" s="347"/>
      <c r="E29" s="347"/>
      <c r="F29" s="347"/>
      <c r="G29" s="347"/>
    </row>
    <row r="30" spans="1:7" ht="21" customHeight="1" x14ac:dyDescent="0.25">
      <c r="A30" s="312" t="str">
        <f>IF('Effektiv rente annuitetslån'!$D$8=1,"",CONCATENATE("Årlig rente = ",ROUND('Effektiv rente annuitetslån'!D16*100,2),"%"))</f>
        <v>Årlig rente = 4,13%</v>
      </c>
      <c r="B30" s="312"/>
      <c r="C30" s="312"/>
      <c r="D30" s="312"/>
    </row>
  </sheetData>
  <mergeCells count="38">
    <mergeCell ref="D8:E8"/>
    <mergeCell ref="A1:G1"/>
    <mergeCell ref="A2:G2"/>
    <mergeCell ref="A3:G3"/>
    <mergeCell ref="A4:A5"/>
    <mergeCell ref="B4:B5"/>
    <mergeCell ref="F4:F5"/>
    <mergeCell ref="G4:G5"/>
    <mergeCell ref="D5:E5"/>
    <mergeCell ref="A6:A7"/>
    <mergeCell ref="B6:B7"/>
    <mergeCell ref="F6:F7"/>
    <mergeCell ref="G6:G7"/>
    <mergeCell ref="D7:E7"/>
    <mergeCell ref="A10:G10"/>
    <mergeCell ref="A11:A12"/>
    <mergeCell ref="B11:B12"/>
    <mergeCell ref="F11:F12"/>
    <mergeCell ref="G11:G12"/>
    <mergeCell ref="D12:E12"/>
    <mergeCell ref="A13:G13"/>
    <mergeCell ref="A14:A15"/>
    <mergeCell ref="B14:B15"/>
    <mergeCell ref="F14:F15"/>
    <mergeCell ref="G14:G15"/>
    <mergeCell ref="D15:E15"/>
    <mergeCell ref="A30:D30"/>
    <mergeCell ref="A16:G16"/>
    <mergeCell ref="A17:A18"/>
    <mergeCell ref="B17:B18"/>
    <mergeCell ref="D18:E18"/>
    <mergeCell ref="A19:G19"/>
    <mergeCell ref="A21:G21"/>
    <mergeCell ref="E22:G22"/>
    <mergeCell ref="A24:G24"/>
    <mergeCell ref="A26:G26"/>
    <mergeCell ref="A28:C28"/>
    <mergeCell ref="A29:G29"/>
  </mergeCells>
  <pageMargins left="0.74803149606299213" right="0.74803149606299213" top="0.98425196850393704" bottom="0.98425196850393704" header="0" footer="0"/>
  <pageSetup paperSize="9" scale="86"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F222-BDA4-480D-A67F-B5237F3DF784}">
  <sheetPr>
    <pageSetUpPr fitToPage="1"/>
  </sheetPr>
  <dimension ref="A1:C18"/>
  <sheetViews>
    <sheetView workbookViewId="0">
      <selection activeCell="C4" sqref="C4"/>
    </sheetView>
  </sheetViews>
  <sheetFormatPr defaultRowHeight="12.75" x14ac:dyDescent="0.2"/>
  <cols>
    <col min="1" max="1" width="34.28515625" bestFit="1" customWidth="1"/>
    <col min="2" max="2" width="30.28515625" customWidth="1"/>
    <col min="3" max="3" width="34.5703125" customWidth="1"/>
  </cols>
  <sheetData>
    <row r="1" spans="1:3" ht="25.5" x14ac:dyDescent="0.35">
      <c r="A1" s="367" t="s">
        <v>52</v>
      </c>
      <c r="B1" s="367"/>
      <c r="C1" s="367"/>
    </row>
    <row r="2" spans="1:3" ht="23.25" x14ac:dyDescent="0.35">
      <c r="A2" s="104" t="s">
        <v>53</v>
      </c>
      <c r="B2" s="55" t="s">
        <v>54</v>
      </c>
      <c r="C2" s="55" t="s">
        <v>55</v>
      </c>
    </row>
    <row r="3" spans="1:3" ht="18" x14ac:dyDescent="0.25">
      <c r="A3" s="55" t="s">
        <v>56</v>
      </c>
      <c r="B3" s="105">
        <f>'Effektiv rente annuitetslån'!D16</f>
        <v>4.1282312696151235E-2</v>
      </c>
      <c r="C3" s="105">
        <f>'opg 2 Effektivrente serielån'!D15</f>
        <v>4.3812680993611686E-2</v>
      </c>
    </row>
    <row r="4" spans="1:3" ht="18" x14ac:dyDescent="0.25">
      <c r="A4" s="55" t="s">
        <v>57</v>
      </c>
      <c r="B4" s="106">
        <f>'Effektiv rente annuitetslån'!D5</f>
        <v>5900000</v>
      </c>
      <c r="C4" s="106">
        <f>'opg 2 Effektivrente serielån'!D6</f>
        <v>5930000</v>
      </c>
    </row>
    <row r="5" spans="1:3" ht="18" x14ac:dyDescent="0.25">
      <c r="A5" s="55" t="s">
        <v>58</v>
      </c>
      <c r="B5" s="106">
        <f>'Effektiv rente annuitetslån'!C21*'Effektiv rente annuitetslån'!D8</f>
        <v>1309969.2186962953</v>
      </c>
      <c r="C5" s="106">
        <f>'opg 2 Effektivrente serielån'!C21*'opg 2 Effektivrente serielån'!D9</f>
        <v>840000</v>
      </c>
    </row>
    <row r="6" spans="1:3" ht="18" x14ac:dyDescent="0.25">
      <c r="A6" s="55" t="s">
        <v>59</v>
      </c>
      <c r="B6" s="107" t="str">
        <f>CONCATENATE('Effektiv rente annuitetslån'!D7," år")</f>
        <v>5 år</v>
      </c>
      <c r="C6" s="107" t="str">
        <f>CONCATENATE('opg 2 Effektivrente serielån'!D8," år")</f>
        <v>5 år</v>
      </c>
    </row>
    <row r="7" spans="1:3" ht="18" hidden="1" x14ac:dyDescent="0.25">
      <c r="A7" s="55" t="s">
        <v>60</v>
      </c>
      <c r="B7" s="108"/>
      <c r="C7" s="108"/>
    </row>
    <row r="8" spans="1:3" ht="18" hidden="1" x14ac:dyDescent="0.25">
      <c r="A8" s="55" t="s">
        <v>61</v>
      </c>
      <c r="B8" s="108"/>
      <c r="C8" s="108"/>
    </row>
    <row r="9" spans="1:3" ht="18" hidden="1" x14ac:dyDescent="0.25">
      <c r="A9" s="55" t="s">
        <v>62</v>
      </c>
      <c r="B9" s="108"/>
      <c r="C9" s="108"/>
    </row>
    <row r="10" spans="1:3" ht="18" hidden="1" x14ac:dyDescent="0.25">
      <c r="A10" s="55" t="s">
        <v>63</v>
      </c>
      <c r="B10" s="108"/>
      <c r="C10" s="108"/>
    </row>
    <row r="11" spans="1:3" ht="18" hidden="1" x14ac:dyDescent="0.25">
      <c r="A11" s="55" t="s">
        <v>64</v>
      </c>
      <c r="B11" s="108"/>
      <c r="C11" s="108"/>
    </row>
    <row r="12" spans="1:3" ht="18" x14ac:dyDescent="0.25">
      <c r="A12" s="55" t="s">
        <v>65</v>
      </c>
      <c r="B12" s="55"/>
      <c r="C12" s="55"/>
    </row>
    <row r="13" spans="1:3" x14ac:dyDescent="0.2">
      <c r="A13" s="368" t="s">
        <v>66</v>
      </c>
      <c r="B13" s="369"/>
      <c r="C13" s="369"/>
    </row>
    <row r="14" spans="1:3" x14ac:dyDescent="0.2">
      <c r="A14" s="369"/>
      <c r="B14" s="369"/>
      <c r="C14" s="369"/>
    </row>
    <row r="15" spans="1:3" x14ac:dyDescent="0.2">
      <c r="A15" s="369"/>
      <c r="B15" s="369"/>
      <c r="C15" s="369"/>
    </row>
    <row r="16" spans="1:3" x14ac:dyDescent="0.2">
      <c r="A16" s="369"/>
      <c r="B16" s="369"/>
      <c r="C16" s="369"/>
    </row>
    <row r="17" spans="1:3" x14ac:dyDescent="0.2">
      <c r="A17" s="369"/>
      <c r="B17" s="369"/>
      <c r="C17" s="369"/>
    </row>
    <row r="18" spans="1:3" ht="37.5" customHeight="1" x14ac:dyDescent="0.2">
      <c r="A18" s="369"/>
      <c r="B18" s="369"/>
      <c r="C18" s="369"/>
    </row>
  </sheetData>
  <mergeCells count="2">
    <mergeCell ref="A1:C1"/>
    <mergeCell ref="A13:C18"/>
  </mergeCell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A9DAC-33EC-4347-B46F-7537F0315431}">
  <sheetPr>
    <pageSetUpPr fitToPage="1"/>
  </sheetPr>
  <dimension ref="A1:I24"/>
  <sheetViews>
    <sheetView topLeftCell="A6" workbookViewId="0">
      <selection activeCell="J31" sqref="J31"/>
    </sheetView>
  </sheetViews>
  <sheetFormatPr defaultRowHeight="12.75" x14ac:dyDescent="0.2"/>
  <cols>
    <col min="1" max="1" width="9.28515625" bestFit="1" customWidth="1"/>
    <col min="2" max="2" width="11.28515625" bestFit="1" customWidth="1"/>
    <col min="3" max="3" width="14.28515625" bestFit="1" customWidth="1"/>
    <col min="4" max="4" width="9.28515625" bestFit="1" customWidth="1"/>
    <col min="5" max="5" width="12.85546875" bestFit="1" customWidth="1"/>
    <col min="6" max="6" width="10.28515625" bestFit="1" customWidth="1"/>
    <col min="7" max="8" width="12.85546875" bestFit="1" customWidth="1"/>
    <col min="9" max="9" width="12.7109375" customWidth="1"/>
  </cols>
  <sheetData>
    <row r="1" spans="1:9" x14ac:dyDescent="0.2">
      <c r="A1" t="s">
        <v>199</v>
      </c>
    </row>
    <row r="2" spans="1:9" ht="15" x14ac:dyDescent="0.2">
      <c r="A2" s="617" t="s">
        <v>261</v>
      </c>
      <c r="B2" s="617"/>
      <c r="C2" s="617"/>
      <c r="D2" s="617"/>
      <c r="E2" s="617"/>
      <c r="F2" s="617"/>
      <c r="G2" s="617"/>
      <c r="H2" s="617"/>
      <c r="I2" s="617"/>
    </row>
    <row r="3" spans="1:9" x14ac:dyDescent="0.2">
      <c r="A3" s="286" t="s">
        <v>192</v>
      </c>
      <c r="B3" s="286" t="s">
        <v>193</v>
      </c>
      <c r="C3" s="286" t="s">
        <v>194</v>
      </c>
      <c r="D3" s="286" t="s">
        <v>195</v>
      </c>
      <c r="E3" s="286" t="s">
        <v>107</v>
      </c>
      <c r="F3" s="286" t="s">
        <v>196</v>
      </c>
      <c r="G3" s="286" t="s">
        <v>197</v>
      </c>
      <c r="H3" s="286" t="s">
        <v>198</v>
      </c>
      <c r="I3" s="287" t="s">
        <v>200</v>
      </c>
    </row>
    <row r="4" spans="1:9" x14ac:dyDescent="0.2">
      <c r="A4" s="185">
        <v>190</v>
      </c>
      <c r="B4" s="185">
        <v>5000</v>
      </c>
      <c r="C4" s="185">
        <v>0</v>
      </c>
      <c r="D4" s="624">
        <v>125</v>
      </c>
      <c r="E4" s="185">
        <f>(A4*B4)+(C4*A4)</f>
        <v>950000</v>
      </c>
      <c r="F4" s="185">
        <f>B4+C4</f>
        <v>5000</v>
      </c>
      <c r="G4" s="185">
        <f>F4*D4</f>
        <v>625000</v>
      </c>
      <c r="H4" s="185">
        <f>E4-G4</f>
        <v>325000</v>
      </c>
      <c r="I4" s="288">
        <f>H4/F4</f>
        <v>65</v>
      </c>
    </row>
    <row r="5" spans="1:9" x14ac:dyDescent="0.2">
      <c r="A5" s="185">
        <v>185</v>
      </c>
      <c r="B5" s="185">
        <v>7000</v>
      </c>
      <c r="C5" s="185">
        <v>6000</v>
      </c>
      <c r="D5" s="624">
        <v>125</v>
      </c>
      <c r="E5" s="185">
        <f t="shared" ref="E5:E9" si="0">(A5*B5)+(C5*A5)</f>
        <v>2405000</v>
      </c>
      <c r="F5" s="185">
        <f t="shared" ref="F5:F9" si="1">B5+C5</f>
        <v>13000</v>
      </c>
      <c r="G5" s="185">
        <f t="shared" ref="G5:G9" si="2">F5*D5</f>
        <v>1625000</v>
      </c>
      <c r="H5" s="185">
        <f t="shared" ref="H5:H9" si="3">E5-G5</f>
        <v>780000</v>
      </c>
      <c r="I5" s="288">
        <f>(H5-H4)/(F5-F4)</f>
        <v>56.875</v>
      </c>
    </row>
    <row r="6" spans="1:9" x14ac:dyDescent="0.2">
      <c r="A6" s="618">
        <v>180</v>
      </c>
      <c r="B6" s="618">
        <v>9000</v>
      </c>
      <c r="C6" s="618">
        <v>9000</v>
      </c>
      <c r="D6" s="626">
        <v>125</v>
      </c>
      <c r="E6" s="618">
        <f t="shared" si="0"/>
        <v>3240000</v>
      </c>
      <c r="F6" s="618">
        <f t="shared" si="1"/>
        <v>18000</v>
      </c>
      <c r="G6" s="618">
        <f t="shared" si="2"/>
        <v>2250000</v>
      </c>
      <c r="H6" s="618">
        <f t="shared" si="3"/>
        <v>990000</v>
      </c>
      <c r="I6" s="288">
        <f t="shared" ref="I6:I9" si="4">(H6-H5)/(F6-F5)</f>
        <v>42</v>
      </c>
    </row>
    <row r="7" spans="1:9" x14ac:dyDescent="0.2">
      <c r="A7" s="185">
        <v>175</v>
      </c>
      <c r="B7" s="185">
        <v>12000</v>
      </c>
      <c r="C7" s="185">
        <v>12000</v>
      </c>
      <c r="D7" s="624">
        <v>125</v>
      </c>
      <c r="E7" s="185">
        <f t="shared" si="0"/>
        <v>4200000</v>
      </c>
      <c r="F7" s="185">
        <f t="shared" si="1"/>
        <v>24000</v>
      </c>
      <c r="G7" s="185">
        <f t="shared" si="2"/>
        <v>3000000</v>
      </c>
      <c r="H7" s="185">
        <f t="shared" si="3"/>
        <v>1200000</v>
      </c>
      <c r="I7" s="288">
        <f t="shared" si="4"/>
        <v>35</v>
      </c>
    </row>
    <row r="8" spans="1:9" x14ac:dyDescent="0.2">
      <c r="A8" s="185">
        <v>170</v>
      </c>
      <c r="B8" s="185">
        <v>14000</v>
      </c>
      <c r="C8" s="185">
        <v>15000</v>
      </c>
      <c r="D8" s="624">
        <v>125</v>
      </c>
      <c r="E8" s="185">
        <f t="shared" si="0"/>
        <v>4930000</v>
      </c>
      <c r="F8" s="185">
        <f t="shared" si="1"/>
        <v>29000</v>
      </c>
      <c r="G8" s="185">
        <f t="shared" si="2"/>
        <v>3625000</v>
      </c>
      <c r="H8" s="185">
        <f t="shared" si="3"/>
        <v>1305000</v>
      </c>
      <c r="I8" s="288">
        <f t="shared" si="4"/>
        <v>21</v>
      </c>
    </row>
    <row r="9" spans="1:9" x14ac:dyDescent="0.2">
      <c r="A9" s="185">
        <v>165</v>
      </c>
      <c r="B9" s="185">
        <v>16000</v>
      </c>
      <c r="C9" s="185">
        <v>17000</v>
      </c>
      <c r="D9" s="624">
        <v>125</v>
      </c>
      <c r="E9" s="185">
        <f t="shared" si="0"/>
        <v>5445000</v>
      </c>
      <c r="F9" s="185">
        <f t="shared" si="1"/>
        <v>33000</v>
      </c>
      <c r="G9" s="185">
        <f t="shared" si="2"/>
        <v>4125000</v>
      </c>
      <c r="H9" s="185">
        <f t="shared" si="3"/>
        <v>1320000</v>
      </c>
      <c r="I9" s="288">
        <f t="shared" si="4"/>
        <v>3.75</v>
      </c>
    </row>
    <row r="10" spans="1:9" x14ac:dyDescent="0.2">
      <c r="A10" s="185" t="s">
        <v>202</v>
      </c>
      <c r="B10" s="619">
        <v>18000</v>
      </c>
      <c r="C10" s="185" t="s">
        <v>203</v>
      </c>
      <c r="D10" s="185"/>
      <c r="E10" s="185"/>
      <c r="F10" s="185"/>
      <c r="G10" s="185"/>
      <c r="H10" s="185"/>
      <c r="I10" s="286"/>
    </row>
    <row r="11" spans="1:9" x14ac:dyDescent="0.2">
      <c r="A11" s="621" t="s">
        <v>262</v>
      </c>
      <c r="B11" s="620"/>
      <c r="C11" s="254"/>
      <c r="D11" s="254"/>
      <c r="E11" s="254"/>
      <c r="F11" s="254"/>
      <c r="G11" s="254"/>
      <c r="H11" s="254"/>
      <c r="I11" s="2"/>
    </row>
    <row r="12" spans="1:9" x14ac:dyDescent="0.2">
      <c r="A12" s="254"/>
      <c r="B12" s="620"/>
      <c r="C12" s="254"/>
      <c r="D12" s="254"/>
      <c r="E12" s="254"/>
      <c r="F12" s="254"/>
      <c r="G12" s="254"/>
      <c r="H12" s="254"/>
      <c r="I12" s="2"/>
    </row>
    <row r="13" spans="1:9" x14ac:dyDescent="0.2">
      <c r="A13" s="89"/>
      <c r="B13" s="89"/>
      <c r="C13" s="89"/>
      <c r="D13" s="89"/>
      <c r="E13" s="89"/>
      <c r="F13" s="89"/>
      <c r="G13" s="89"/>
      <c r="H13" s="89"/>
    </row>
    <row r="14" spans="1:9" x14ac:dyDescent="0.2">
      <c r="A14" s="89" t="s">
        <v>201</v>
      </c>
      <c r="B14" s="89"/>
      <c r="C14" s="89"/>
      <c r="D14" s="89"/>
      <c r="E14" s="89"/>
      <c r="F14" s="89"/>
      <c r="G14" s="89"/>
      <c r="H14" s="89"/>
    </row>
    <row r="15" spans="1:9" x14ac:dyDescent="0.2">
      <c r="A15" s="623" t="s">
        <v>264</v>
      </c>
      <c r="B15" s="622"/>
      <c r="C15" s="622"/>
      <c r="D15" s="622"/>
      <c r="E15" s="622"/>
      <c r="F15" s="622"/>
      <c r="G15" s="622"/>
      <c r="H15" s="622"/>
      <c r="I15" s="622"/>
    </row>
    <row r="16" spans="1:9" x14ac:dyDescent="0.2">
      <c r="A16" s="185" t="s">
        <v>192</v>
      </c>
      <c r="B16" s="185" t="s">
        <v>193</v>
      </c>
      <c r="C16" s="185" t="s">
        <v>194</v>
      </c>
      <c r="D16" s="185" t="s">
        <v>195</v>
      </c>
      <c r="E16" s="185" t="s">
        <v>107</v>
      </c>
      <c r="F16" s="185" t="s">
        <v>196</v>
      </c>
      <c r="G16" s="185" t="s">
        <v>197</v>
      </c>
      <c r="H16" s="185" t="s">
        <v>198</v>
      </c>
      <c r="I16" s="287" t="s">
        <v>200</v>
      </c>
    </row>
    <row r="17" spans="1:9" x14ac:dyDescent="0.2">
      <c r="A17" s="185">
        <v>190</v>
      </c>
      <c r="B17" s="185">
        <v>5000</v>
      </c>
      <c r="C17" s="185">
        <v>0</v>
      </c>
      <c r="D17" s="624">
        <v>125</v>
      </c>
      <c r="E17" s="185">
        <f>(A17*B17)+(C17*A17)</f>
        <v>950000</v>
      </c>
      <c r="F17" s="185">
        <f>B17+C17</f>
        <v>5000</v>
      </c>
      <c r="G17" s="185">
        <f>F17*D17</f>
        <v>625000</v>
      </c>
      <c r="H17" s="185">
        <f>E17-G17</f>
        <v>325000</v>
      </c>
      <c r="I17" s="288">
        <f>H17/F17</f>
        <v>65</v>
      </c>
    </row>
    <row r="18" spans="1:9" x14ac:dyDescent="0.2">
      <c r="A18" s="185">
        <v>185</v>
      </c>
      <c r="B18" s="185">
        <v>7000</v>
      </c>
      <c r="C18" s="185">
        <v>6000</v>
      </c>
      <c r="D18" s="624">
        <v>125</v>
      </c>
      <c r="E18" s="185">
        <f t="shared" ref="E18:E22" si="5">(A18*B18)+(C18*A18)</f>
        <v>2405000</v>
      </c>
      <c r="F18" s="185">
        <f t="shared" ref="F18:F22" si="6">B18+C18</f>
        <v>13000</v>
      </c>
      <c r="G18" s="185">
        <f t="shared" ref="G18:G19" si="7">F18*D18</f>
        <v>1625000</v>
      </c>
      <c r="H18" s="185">
        <f t="shared" ref="H18:H22" si="8">E18-G18</f>
        <v>780000</v>
      </c>
      <c r="I18" s="288">
        <f>(H18-H17)/(F18-F17)</f>
        <v>56.875</v>
      </c>
    </row>
    <row r="19" spans="1:9" x14ac:dyDescent="0.2">
      <c r="A19" s="619">
        <v>180</v>
      </c>
      <c r="B19" s="619">
        <v>9000</v>
      </c>
      <c r="C19" s="619">
        <v>9000</v>
      </c>
      <c r="D19" s="625">
        <v>125</v>
      </c>
      <c r="E19" s="619">
        <f t="shared" si="5"/>
        <v>3240000</v>
      </c>
      <c r="F19" s="619">
        <f t="shared" si="6"/>
        <v>18000</v>
      </c>
      <c r="G19" s="619">
        <f t="shared" si="7"/>
        <v>2250000</v>
      </c>
      <c r="H19" s="619">
        <f t="shared" si="8"/>
        <v>990000</v>
      </c>
      <c r="I19" s="288">
        <f t="shared" ref="I19:I22" si="9">(H19-H18)/(F19-F18)</f>
        <v>42</v>
      </c>
    </row>
    <row r="20" spans="1:9" x14ac:dyDescent="0.2">
      <c r="A20" s="618">
        <v>175</v>
      </c>
      <c r="B20" s="618">
        <v>12000</v>
      </c>
      <c r="C20" s="618">
        <v>12000</v>
      </c>
      <c r="D20" s="626">
        <f>125*1.18</f>
        <v>147.5</v>
      </c>
      <c r="E20" s="618">
        <f t="shared" si="5"/>
        <v>4200000</v>
      </c>
      <c r="F20" s="618">
        <f t="shared" si="6"/>
        <v>24000</v>
      </c>
      <c r="G20" s="618">
        <f>G19+(D20*(F20-F19))</f>
        <v>3135000</v>
      </c>
      <c r="H20" s="618">
        <f t="shared" si="8"/>
        <v>1065000</v>
      </c>
      <c r="I20" s="289">
        <f t="shared" si="9"/>
        <v>12.5</v>
      </c>
    </row>
    <row r="21" spans="1:9" x14ac:dyDescent="0.2">
      <c r="A21" s="185">
        <v>170</v>
      </c>
      <c r="B21" s="185">
        <v>14000</v>
      </c>
      <c r="C21" s="185">
        <v>15000</v>
      </c>
      <c r="D21" s="624">
        <f t="shared" ref="D21:D22" si="10">125*1.18</f>
        <v>147.5</v>
      </c>
      <c r="E21" s="185">
        <f t="shared" si="5"/>
        <v>4930000</v>
      </c>
      <c r="F21" s="185">
        <f t="shared" si="6"/>
        <v>29000</v>
      </c>
      <c r="G21" s="185">
        <f>G20+(D21*(F21-F20))</f>
        <v>3872500</v>
      </c>
      <c r="H21" s="185">
        <f t="shared" si="8"/>
        <v>1057500</v>
      </c>
      <c r="I21" s="288">
        <f t="shared" si="9"/>
        <v>-1.5</v>
      </c>
    </row>
    <row r="22" spans="1:9" x14ac:dyDescent="0.2">
      <c r="A22" s="185">
        <v>165</v>
      </c>
      <c r="B22" s="185">
        <v>16000</v>
      </c>
      <c r="C22" s="185">
        <v>17000</v>
      </c>
      <c r="D22" s="624">
        <f t="shared" si="10"/>
        <v>147.5</v>
      </c>
      <c r="E22" s="185">
        <f t="shared" si="5"/>
        <v>5445000</v>
      </c>
      <c r="F22" s="185">
        <f t="shared" si="6"/>
        <v>33000</v>
      </c>
      <c r="G22" s="185">
        <f>G21+(D22*(F22-F21))</f>
        <v>4462500</v>
      </c>
      <c r="H22" s="185">
        <f t="shared" si="8"/>
        <v>982500</v>
      </c>
      <c r="I22" s="288">
        <f t="shared" si="9"/>
        <v>-18.75</v>
      </c>
    </row>
    <row r="23" spans="1:9" x14ac:dyDescent="0.2">
      <c r="A23" t="s">
        <v>202</v>
      </c>
      <c r="B23" s="89">
        <f>12000+18000</f>
        <v>30000</v>
      </c>
      <c r="C23" t="s">
        <v>204</v>
      </c>
    </row>
    <row r="24" spans="1:9" x14ac:dyDescent="0.2">
      <c r="A24" s="621" t="s">
        <v>263</v>
      </c>
      <c r="B24" s="620"/>
      <c r="C24" s="254"/>
      <c r="D24" s="254"/>
      <c r="E24" s="254"/>
      <c r="F24" s="254"/>
      <c r="G24" s="254"/>
      <c r="H24" s="254"/>
    </row>
  </sheetData>
  <mergeCells count="2">
    <mergeCell ref="A2:I2"/>
    <mergeCell ref="A15:I15"/>
  </mergeCells>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Diagrammer</vt:lpstr>
      </vt:variant>
      <vt:variant>
        <vt:i4>1</vt:i4>
      </vt:variant>
    </vt:vector>
  </HeadingPairs>
  <TitlesOfParts>
    <vt:vector size="17" baseType="lpstr">
      <vt:lpstr>opg 1 investering</vt:lpstr>
      <vt:lpstr>Test opg 1.2</vt:lpstr>
      <vt:lpstr>opg 1.3</vt:lpstr>
      <vt:lpstr>opg 2 Effektivrente serielån</vt:lpstr>
      <vt:lpstr>note serielån</vt:lpstr>
      <vt:lpstr>Effektiv rente annuitetslån</vt:lpstr>
      <vt:lpstr>note annuitetslån</vt:lpstr>
      <vt:lpstr>Sammenligning</vt:lpstr>
      <vt:lpstr>3.1 og 3.2</vt:lpstr>
      <vt:lpstr>3.3</vt:lpstr>
      <vt:lpstr>3.4</vt:lpstr>
      <vt:lpstr>3.1 MR=MC knæk i MC</vt:lpstr>
      <vt:lpstr>Data til graf MR=MC</vt:lpstr>
      <vt:lpstr>opg 4 Resultatbudget</vt:lpstr>
      <vt:lpstr>Balance</vt:lpstr>
      <vt:lpstr>Likviditetsbudget</vt:lpstr>
      <vt:lpstr>Graf MR=MC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dc:creator>
  <cp:lastModifiedBy>Gustav</cp:lastModifiedBy>
  <cp:lastPrinted>2018-12-05T14:48:07Z</cp:lastPrinted>
  <dcterms:created xsi:type="dcterms:W3CDTF">2018-12-04T17:51:32Z</dcterms:created>
  <dcterms:modified xsi:type="dcterms:W3CDTF">2018-12-05T14:51:15Z</dcterms:modified>
</cp:coreProperties>
</file>