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rbejde\Roskilde Handelsskole\Filer\"/>
    </mc:Choice>
  </mc:AlternateContent>
  <bookViews>
    <workbookView xWindow="0" yWindow="0" windowWidth="19200" windowHeight="8100"/>
  </bookViews>
  <sheets>
    <sheet name="Resultatbudget" sheetId="8" r:id="rId1"/>
    <sheet name="Balance" sheetId="9" r:id="rId2"/>
    <sheet name="Likviditetsbudget" sheetId="7" r:id="rId3"/>
    <sheet name="Ind og udbetalingsmodellen" sheetId="10" r:id="rId4"/>
  </sheets>
  <calcPr calcId="162913"/>
</workbook>
</file>

<file path=xl/calcChain.xml><?xml version="1.0" encoding="utf-8"?>
<calcChain xmlns="http://schemas.openxmlformats.org/spreadsheetml/2006/main">
  <c r="A1" i="7" l="1"/>
  <c r="E8" i="9"/>
  <c r="I9" i="9"/>
  <c r="G9" i="9"/>
  <c r="D18" i="7"/>
  <c r="A18" i="7"/>
  <c r="F31" i="7"/>
  <c r="I23" i="9"/>
  <c r="E18" i="7" s="1"/>
  <c r="F18" i="7" s="1"/>
  <c r="F21" i="7" s="1"/>
  <c r="I8" i="9"/>
  <c r="G8" i="9"/>
  <c r="C37" i="10" l="1"/>
  <c r="C36" i="10"/>
  <c r="C39" i="10"/>
  <c r="C38" i="10"/>
  <c r="O30" i="10"/>
  <c r="N30" i="10"/>
  <c r="M30" i="10"/>
  <c r="L30" i="10"/>
  <c r="K30" i="10"/>
  <c r="J30" i="10"/>
  <c r="I30" i="10"/>
  <c r="H30" i="10"/>
  <c r="G30" i="10"/>
  <c r="F30" i="10"/>
  <c r="E30" i="10"/>
  <c r="D30" i="10"/>
  <c r="A30" i="10"/>
  <c r="C29" i="10"/>
  <c r="C28" i="10"/>
  <c r="C27" i="10"/>
  <c r="C26" i="10"/>
  <c r="C25" i="10"/>
  <c r="C24" i="10"/>
  <c r="C30" i="10" s="1"/>
  <c r="O21" i="10"/>
  <c r="N21" i="10"/>
  <c r="M21" i="10"/>
  <c r="L21" i="10"/>
  <c r="K21" i="10"/>
  <c r="J21" i="10"/>
  <c r="I21" i="10"/>
  <c r="H21" i="10"/>
  <c r="G21" i="10"/>
  <c r="F21" i="10"/>
  <c r="E21" i="10"/>
  <c r="D21" i="10"/>
  <c r="A21" i="10"/>
  <c r="C20" i="10"/>
  <c r="C19" i="10"/>
  <c r="C18" i="10"/>
  <c r="C17" i="10"/>
  <c r="C16" i="10"/>
  <c r="C15" i="10"/>
  <c r="C14" i="10"/>
  <c r="C13" i="10"/>
  <c r="C21" i="10" s="1"/>
  <c r="C34" i="10" s="1"/>
  <c r="C12" i="10"/>
  <c r="C11" i="10"/>
  <c r="O9" i="10"/>
  <c r="O22" i="10" s="1"/>
  <c r="O31" i="10" s="1"/>
  <c r="N9" i="10"/>
  <c r="N22" i="10" s="1"/>
  <c r="N31" i="10" s="1"/>
  <c r="M9" i="10"/>
  <c r="M22" i="10" s="1"/>
  <c r="M31" i="10" s="1"/>
  <c r="L9" i="10"/>
  <c r="L22" i="10" s="1"/>
  <c r="L31" i="10" s="1"/>
  <c r="K9" i="10"/>
  <c r="K22" i="10" s="1"/>
  <c r="K31" i="10" s="1"/>
  <c r="J9" i="10"/>
  <c r="J22" i="10" s="1"/>
  <c r="J31" i="10" s="1"/>
  <c r="I9" i="10"/>
  <c r="I22" i="10" s="1"/>
  <c r="I31" i="10" s="1"/>
  <c r="H9" i="10"/>
  <c r="H22" i="10" s="1"/>
  <c r="H31" i="10" s="1"/>
  <c r="G9" i="10"/>
  <c r="G22" i="10" s="1"/>
  <c r="G31" i="10" s="1"/>
  <c r="F9" i="10"/>
  <c r="F22" i="10" s="1"/>
  <c r="F31" i="10" s="1"/>
  <c r="E9" i="10"/>
  <c r="E22" i="10" s="1"/>
  <c r="E31" i="10" s="1"/>
  <c r="D9" i="10"/>
  <c r="D22" i="10" s="1"/>
  <c r="D31" i="10" s="1"/>
  <c r="E32" i="10" s="1"/>
  <c r="F32" i="10" s="1"/>
  <c r="A9" i="10"/>
  <c r="C8" i="10"/>
  <c r="C7" i="10"/>
  <c r="C6" i="10"/>
  <c r="C5" i="10"/>
  <c r="C9" i="10" s="1"/>
  <c r="C4" i="10"/>
  <c r="C3" i="10"/>
  <c r="C33" i="10" l="1"/>
  <c r="C22" i="10"/>
  <c r="G32" i="10"/>
  <c r="H32" i="10" s="1"/>
  <c r="I32" i="10" s="1"/>
  <c r="J32" i="10" s="1"/>
  <c r="K32" i="10" s="1"/>
  <c r="L32" i="10" s="1"/>
  <c r="M32" i="10" s="1"/>
  <c r="N32" i="10" s="1"/>
  <c r="O32" i="10" s="1"/>
  <c r="C35" i="10" l="1"/>
  <c r="C31" i="10"/>
  <c r="I5" i="9" l="1"/>
  <c r="E29" i="8" l="1"/>
  <c r="D5" i="8" l="1"/>
  <c r="B29" i="8" l="1"/>
  <c r="A31" i="7"/>
  <c r="A33" i="7"/>
  <c r="E5" i="9"/>
  <c r="E6" i="9"/>
  <c r="E7" i="9"/>
  <c r="E9" i="9"/>
  <c r="E10" i="9"/>
  <c r="E11" i="9"/>
  <c r="E12" i="9"/>
  <c r="E13" i="9"/>
  <c r="E14" i="9"/>
  <c r="E14" i="8"/>
  <c r="H7" i="9"/>
  <c r="A17" i="9"/>
  <c r="C46" i="9" s="1"/>
  <c r="A18" i="9"/>
  <c r="A5" i="7" s="1"/>
  <c r="A19" i="9"/>
  <c r="A36" i="9" s="1"/>
  <c r="A40" i="9"/>
  <c r="A43" i="9"/>
  <c r="A47" i="9"/>
  <c r="A48" i="9"/>
  <c r="F30" i="7"/>
  <c r="B30" i="8"/>
  <c r="C39" i="7"/>
  <c r="D39" i="7"/>
  <c r="C38" i="7"/>
  <c r="D38" i="7"/>
  <c r="A39" i="7"/>
  <c r="A1" i="8"/>
  <c r="E33" i="9"/>
  <c r="E37" i="9"/>
  <c r="F37" i="9"/>
  <c r="E38" i="9"/>
  <c r="H38" i="9"/>
  <c r="E34" i="9"/>
  <c r="F33" i="9" s="1"/>
  <c r="B47" i="9"/>
  <c r="E47" i="9" s="1"/>
  <c r="E43" i="9" s="1"/>
  <c r="B36" i="8"/>
  <c r="B43" i="9"/>
  <c r="E44" i="9"/>
  <c r="E41" i="9"/>
  <c r="E29" i="9"/>
  <c r="F29" i="9" s="1"/>
  <c r="H30" i="9"/>
  <c r="E30" i="9"/>
  <c r="C15" i="9"/>
  <c r="F23" i="7" s="1"/>
  <c r="I22" i="9"/>
  <c r="E17" i="7" s="1"/>
  <c r="I21" i="9"/>
  <c r="D4" i="8"/>
  <c r="E4" i="8"/>
  <c r="A5" i="8"/>
  <c r="B33" i="9" s="1"/>
  <c r="E5" i="8"/>
  <c r="H34" i="9"/>
  <c r="I32" i="9"/>
  <c r="E18" i="9" s="1"/>
  <c r="E5" i="7" s="1"/>
  <c r="I36" i="9"/>
  <c r="E19" i="9"/>
  <c r="E6" i="7" s="1"/>
  <c r="E3" i="8"/>
  <c r="E2" i="9"/>
  <c r="I2" i="9"/>
  <c r="I18" i="9"/>
  <c r="E13" i="7"/>
  <c r="B25" i="9"/>
  <c r="G25" i="9"/>
  <c r="D48" i="9"/>
  <c r="D47" i="9"/>
  <c r="F47" i="9"/>
  <c r="C47" i="9"/>
  <c r="H4" i="9"/>
  <c r="I12" i="9"/>
  <c r="I10" i="9"/>
  <c r="I15" i="9"/>
  <c r="I11" i="9"/>
  <c r="I13" i="9"/>
  <c r="I14" i="9"/>
  <c r="I16" i="9"/>
  <c r="I19" i="9"/>
  <c r="I20" i="9"/>
  <c r="E15" i="7" s="1"/>
  <c r="E22" i="9"/>
  <c r="E9" i="7"/>
  <c r="E23" i="9"/>
  <c r="E21" i="9"/>
  <c r="E8" i="7"/>
  <c r="H15" i="9"/>
  <c r="G15" i="9"/>
  <c r="H36" i="9"/>
  <c r="E36" i="9"/>
  <c r="F36" i="9"/>
  <c r="B38" i="9"/>
  <c r="B36" i="9"/>
  <c r="B46" i="9"/>
  <c r="B44" i="9"/>
  <c r="B41" i="9"/>
  <c r="F32" i="9"/>
  <c r="E32" i="9"/>
  <c r="E28" i="9"/>
  <c r="H28" i="9" s="1"/>
  <c r="B29" i="9"/>
  <c r="B15" i="9"/>
  <c r="B26" i="9" s="1"/>
  <c r="B2" i="9"/>
  <c r="G2" i="9" s="1"/>
  <c r="B32" i="9"/>
  <c r="H32" i="9"/>
  <c r="E17" i="8"/>
  <c r="D4" i="9"/>
  <c r="E4" i="9" s="1"/>
  <c r="E7" i="8"/>
  <c r="E9" i="8"/>
  <c r="E11" i="8"/>
  <c r="E12" i="8"/>
  <c r="E13" i="8"/>
  <c r="E15" i="8"/>
  <c r="D4" i="7"/>
  <c r="D5" i="7"/>
  <c r="D6" i="7"/>
  <c r="D7" i="7"/>
  <c r="D8" i="7"/>
  <c r="D9" i="7"/>
  <c r="F9" i="7" s="1"/>
  <c r="D10" i="7"/>
  <c r="E10" i="7"/>
  <c r="D12" i="7"/>
  <c r="D13" i="7"/>
  <c r="F13" i="7" s="1"/>
  <c r="E14" i="7"/>
  <c r="D14" i="7"/>
  <c r="D15" i="7"/>
  <c r="E16" i="7"/>
  <c r="D16" i="7"/>
  <c r="D17" i="7"/>
  <c r="E19" i="8"/>
  <c r="F19" i="7"/>
  <c r="E20" i="8"/>
  <c r="F20" i="7"/>
  <c r="F25" i="7"/>
  <c r="F26" i="7"/>
  <c r="F28" i="7"/>
  <c r="F29" i="7"/>
  <c r="E22" i="8"/>
  <c r="F33" i="7"/>
  <c r="F40" i="7"/>
  <c r="E34" i="8"/>
  <c r="A26" i="7"/>
  <c r="A29" i="7"/>
  <c r="A28" i="7"/>
  <c r="A25" i="7"/>
  <c r="A32" i="7"/>
  <c r="A16" i="7"/>
  <c r="A17" i="7"/>
  <c r="A20" i="7"/>
  <c r="A19" i="7"/>
  <c r="A13" i="7"/>
  <c r="A14" i="7"/>
  <c r="A15" i="7"/>
  <c r="A12" i="7"/>
  <c r="A8" i="7"/>
  <c r="A9" i="7"/>
  <c r="A10" i="7"/>
  <c r="A7" i="7"/>
  <c r="B6" i="8"/>
  <c r="B8" i="8"/>
  <c r="B10" i="8"/>
  <c r="B16" i="8"/>
  <c r="B18" i="8"/>
  <c r="B21" i="8"/>
  <c r="B23" i="8"/>
  <c r="B25" i="8"/>
  <c r="B33" i="8"/>
  <c r="E33" i="8" s="1"/>
  <c r="E2" i="8"/>
  <c r="H40" i="9"/>
  <c r="B40" i="9"/>
  <c r="E40" i="9"/>
  <c r="H41" i="9" s="1"/>
  <c r="I40" i="9" s="1"/>
  <c r="E20" i="9" s="1"/>
  <c r="E7" i="7" s="1"/>
  <c r="F7" i="7" s="1"/>
  <c r="F40" i="9"/>
  <c r="F16" i="7"/>
  <c r="F10" i="7"/>
  <c r="D15" i="9"/>
  <c r="H33" i="9"/>
  <c r="I33" i="9" s="1"/>
  <c r="B48" i="9"/>
  <c r="E48" i="9" s="1"/>
  <c r="H43" i="9" s="1"/>
  <c r="H29" i="9"/>
  <c r="I29" i="9"/>
  <c r="E17" i="9"/>
  <c r="C48" i="9" s="1"/>
  <c r="H37" i="9"/>
  <c r="I37" i="9" s="1"/>
  <c r="F8" i="7"/>
  <c r="E6" i="8"/>
  <c r="E8" i="8"/>
  <c r="E10" i="8"/>
  <c r="E16" i="8"/>
  <c r="F2" i="7" s="1"/>
  <c r="A33" i="9"/>
  <c r="E4" i="7"/>
  <c r="F14" i="7" l="1"/>
  <c r="F4" i="7"/>
  <c r="F39" i="7"/>
  <c r="F43" i="9"/>
  <c r="H44" i="9"/>
  <c r="I43" i="9" s="1"/>
  <c r="I17" i="9" s="1"/>
  <c r="E12" i="7" s="1"/>
  <c r="F12" i="7" s="1"/>
  <c r="F6" i="7"/>
  <c r="F15" i="7"/>
  <c r="F5" i="7"/>
  <c r="F17" i="7"/>
  <c r="A30" i="9"/>
  <c r="B30" i="9" s="1"/>
  <c r="A32" i="9"/>
  <c r="A37" i="9"/>
  <c r="A4" i="7"/>
  <c r="B37" i="9"/>
  <c r="B34" i="9"/>
  <c r="A6" i="7"/>
  <c r="E18" i="8"/>
  <c r="E21" i="8" s="1"/>
  <c r="E23" i="8" s="1"/>
  <c r="E15" i="9"/>
  <c r="G26" i="9"/>
  <c r="I4" i="9"/>
  <c r="A30" i="7"/>
  <c r="E24" i="8" l="1"/>
  <c r="F32" i="7" s="1"/>
  <c r="F34" i="7" l="1"/>
  <c r="F41" i="7" s="1"/>
  <c r="F44" i="7" s="1"/>
  <c r="I24" i="9" s="1"/>
  <c r="I25" i="9" s="1"/>
  <c r="E25" i="8"/>
  <c r="E24" i="9" l="1"/>
  <c r="E25" i="9" s="1"/>
  <c r="E26" i="9" s="1"/>
  <c r="H24" i="9"/>
  <c r="H25" i="9" s="1"/>
  <c r="E30" i="8"/>
  <c r="H6" i="9"/>
  <c r="I6" i="9" l="1"/>
  <c r="H9" i="9"/>
  <c r="I26" i="9"/>
</calcChain>
</file>

<file path=xl/comments1.xml><?xml version="1.0" encoding="utf-8"?>
<comments xmlns="http://schemas.openxmlformats.org/spreadsheetml/2006/main">
  <authors>
    <author>IT Afdelingen</author>
    <author>Roskilde Handelsskole</author>
    <author>IT afdelingen</author>
  </authors>
  <commentList>
    <comment ref="B2" authorId="0" shapeId="0">
      <text>
        <r>
          <rPr>
            <b/>
            <sz val="8"/>
            <color indexed="81"/>
            <rFont val="Tahoma"/>
            <family val="2"/>
          </rPr>
          <t>Her indtastes årstal for regnskabsåret, de andre årstal justeres i forhold til dette</t>
        </r>
      </text>
    </comment>
    <comment ref="A4" authorId="1" shapeId="0">
      <text>
        <r>
          <rPr>
            <b/>
            <sz val="14"/>
            <color indexed="81"/>
            <rFont val="Tahoma"/>
            <family val="2"/>
          </rPr>
          <t xml:space="preserve">Her skal du bestemme om det er en produktions eller en handelsvirksomhed.
Hvis det er en produktionsvirksomhed skriver du </t>
        </r>
        <r>
          <rPr>
            <b/>
            <i/>
            <sz val="16"/>
            <color indexed="81"/>
            <rFont val="Tahoma"/>
            <family val="2"/>
          </rPr>
          <t>Råvarer</t>
        </r>
        <r>
          <rPr>
            <b/>
            <sz val="14"/>
            <color indexed="81"/>
            <rFont val="Tahoma"/>
            <family val="2"/>
          </rPr>
          <t xml:space="preserve">.
Hvis det er en handelsvirksomhed skriver du </t>
        </r>
        <r>
          <rPr>
            <b/>
            <i/>
            <sz val="16"/>
            <color indexed="81"/>
            <rFont val="Tahoma"/>
            <family val="2"/>
          </rPr>
          <t>Vareforbrug</t>
        </r>
      </text>
    </comment>
    <comment ref="B34" authorId="2" shapeId="0">
      <text>
        <r>
          <rPr>
            <b/>
            <sz val="8"/>
            <color indexed="81"/>
            <rFont val="Tahoma"/>
            <family val="2"/>
          </rPr>
          <t>Hvis der er en kassekredit i opgaven skal der angives et max. Hvis der ikke er angivet et max. i opgaven kan max sættes til primo saldoen.</t>
        </r>
        <r>
          <rPr>
            <sz val="8"/>
            <color indexed="81"/>
            <rFont val="Tahoma"/>
            <family val="2"/>
          </rPr>
          <t xml:space="preserve">
</t>
        </r>
      </text>
    </comment>
    <comment ref="C36" authorId="2" shapeId="0">
      <text>
        <r>
          <rPr>
            <b/>
            <sz val="12"/>
            <color indexed="81"/>
            <rFont val="Tahoma"/>
            <family val="2"/>
          </rPr>
          <t>Her skal du bestemme om opgaven skal udarbejdes exclusiv eller inclklusiv moms.
Hvis du vil lave opgaven exclusiv moms tastes: 0</t>
        </r>
        <r>
          <rPr>
            <b/>
            <sz val="12"/>
            <color indexed="81"/>
            <rFont val="Tahoma"/>
            <family val="2"/>
          </rPr>
          <t xml:space="preserve">
Hvis du vil lave opgaven inclusiv moms tastes en momsprocent. I Danmark 25%,
tast: 25</t>
        </r>
        <r>
          <rPr>
            <sz val="12"/>
            <color indexed="81"/>
            <rFont val="Tahoma"/>
            <family val="2"/>
          </rPr>
          <t xml:space="preserve">
</t>
        </r>
      </text>
    </comment>
  </commentList>
</comments>
</file>

<file path=xl/comments2.xml><?xml version="1.0" encoding="utf-8"?>
<comments xmlns="http://schemas.openxmlformats.org/spreadsheetml/2006/main">
  <authors>
    <author>Jesper Brygger</author>
    <author>Per</author>
    <author>IT afdelingen</author>
    <author>Brygger</author>
    <author>Roskilde Handelsskole</author>
  </authors>
  <commentList>
    <comment ref="C4" authorId="0" shapeId="0">
      <text>
        <r>
          <rPr>
            <sz val="14"/>
            <color indexed="81"/>
            <rFont val="Tahoma"/>
            <family val="2"/>
          </rPr>
          <t>Hvis der foretages investeringer skal beløbet indtastes her som et "Positivt" tal. Hvis virksomheden sælger investeringsgoder skal det indtastes som et "negativt" tal. Bør udspecificeres på det enkelte aktiv hvis det er muligt.</t>
        </r>
        <r>
          <rPr>
            <sz val="9"/>
            <color indexed="81"/>
            <rFont val="Tahoma"/>
            <family val="2"/>
          </rPr>
          <t xml:space="preserve">
</t>
        </r>
      </text>
    </comment>
    <comment ref="D4" authorId="0" shapeId="0">
      <text>
        <r>
          <rPr>
            <b/>
            <sz val="9"/>
            <color indexed="81"/>
            <rFont val="Tahoma"/>
            <family val="2"/>
          </rPr>
          <t>Afskrivningerne kommer fra resultatbudgettet. Du kan slette dem og fordele dem ud på de enkelte aktiver hvis opgaven giver oplysninger om afskrivninger på de enkelte aktiver</t>
        </r>
      </text>
    </comment>
    <comment ref="F7" authorId="0" shapeId="0">
      <text>
        <r>
          <rPr>
            <b/>
            <sz val="14"/>
            <color indexed="81"/>
            <rFont val="Tahoma"/>
            <family val="2"/>
          </rPr>
          <t>Hvis det ikke er et aktieselskab eller anpartselskab, kan der stå privatforbrug her. Privatforbrug bruges ved enkeltmandsfirma og interessentskaber</t>
        </r>
      </text>
    </comment>
    <comment ref="G7" authorId="0" shapeId="0">
      <text>
        <r>
          <rPr>
            <b/>
            <sz val="9"/>
            <color indexed="81"/>
            <rFont val="Tahoma"/>
            <family val="2"/>
          </rPr>
          <t>Her må kun tastes hvis det er en virksomhed med privatforbrug</t>
        </r>
      </text>
    </comment>
    <comment ref="I7" authorId="1" shapeId="0">
      <text>
        <r>
          <rPr>
            <b/>
            <sz val="8"/>
            <color indexed="81"/>
            <rFont val="Tahoma"/>
            <family val="2"/>
          </rPr>
          <t>Der skal ikke tastes minus foran privatforbruget</t>
        </r>
        <r>
          <rPr>
            <sz val="8"/>
            <color indexed="81"/>
            <rFont val="Tahoma"/>
            <family val="2"/>
          </rPr>
          <t xml:space="preserve">
</t>
        </r>
      </text>
    </comment>
    <comment ref="H13" authorId="2" shapeId="0">
      <text>
        <r>
          <rPr>
            <b/>
            <sz val="14"/>
            <color indexed="81"/>
            <rFont val="Tahoma"/>
            <family val="2"/>
          </rPr>
          <t>Når der afdrages på gælden skal der tastes minus foran tallet.</t>
        </r>
      </text>
    </comment>
    <comment ref="A17" authorId="3" shapeId="0">
      <text>
        <r>
          <rPr>
            <b/>
            <sz val="8"/>
            <color indexed="81"/>
            <rFont val="Tahoma"/>
            <family val="2"/>
          </rPr>
          <t>Varelageret må ikke laves om da det danner grundlag for omsætningshastigheden på varelageret</t>
        </r>
      </text>
    </comment>
    <comment ref="F17" authorId="3" shapeId="0">
      <text>
        <r>
          <rPr>
            <b/>
            <sz val="8"/>
            <color indexed="81"/>
            <rFont val="Tahoma"/>
            <family val="2"/>
          </rPr>
          <t>Varekreditorerne må ikke laves om da det danner grundlag for omsætningshastigheden på varekreditorer og kreditdage</t>
        </r>
        <r>
          <rPr>
            <sz val="8"/>
            <color indexed="81"/>
            <rFont val="Tahoma"/>
            <family val="2"/>
          </rPr>
          <t xml:space="preserve">
</t>
        </r>
      </text>
    </comment>
    <comment ref="A18" authorId="2" shapeId="0">
      <text>
        <r>
          <rPr>
            <b/>
            <sz val="8"/>
            <color indexed="81"/>
            <rFont val="Tahoma"/>
            <family val="2"/>
          </rPr>
          <t>Tast ikke her, det er en celle til produktionen(VUF) i en produktionsvirksomhed</t>
        </r>
      </text>
    </comment>
    <comment ref="A19" authorId="2" shapeId="0">
      <text>
        <r>
          <rPr>
            <b/>
            <sz val="8"/>
            <color indexed="81"/>
            <rFont val="Tahoma"/>
            <family val="2"/>
          </rPr>
          <t xml:space="preserve">Tast ikke her, 
det er en celle til færdigvarerlageret i en produktionsvirksomhed
</t>
        </r>
      </text>
    </comment>
    <comment ref="A20" authorId="3" shapeId="0">
      <text>
        <r>
          <rPr>
            <b/>
            <sz val="8"/>
            <color indexed="81"/>
            <rFont val="Tahoma"/>
            <family val="2"/>
          </rPr>
          <t xml:space="preserve">Varedebitorerne må ikke laves om da det danner grundlag for omsætningshastigheden på varedebitorer
</t>
        </r>
        <r>
          <rPr>
            <sz val="8"/>
            <color indexed="81"/>
            <rFont val="Tahoma"/>
            <family val="2"/>
          </rPr>
          <t xml:space="preserve">
</t>
        </r>
      </text>
    </comment>
    <comment ref="G24" authorId="2" shapeId="0">
      <text>
        <r>
          <rPr>
            <b/>
            <sz val="16"/>
            <color indexed="81"/>
            <rFont val="Tahoma"/>
            <family val="2"/>
          </rPr>
          <t xml:space="preserve">Hvis der indtastes en kassekredit skal der også indtastes et max. Hvis intet max. er oplyst kan det sættes til saldoen på kassekreditten primo
</t>
        </r>
        <r>
          <rPr>
            <sz val="8"/>
            <color indexed="81"/>
            <rFont val="Tahoma"/>
            <family val="2"/>
          </rPr>
          <t xml:space="preserve">
</t>
        </r>
      </text>
    </comment>
    <comment ref="B26" authorId="4" shapeId="0">
      <text>
        <r>
          <rPr>
            <b/>
            <sz val="8"/>
            <color indexed="8"/>
            <rFont val="Tahoma"/>
            <family val="2"/>
          </rPr>
          <t>Indtast ikke i felter markeret med fed</t>
        </r>
      </text>
    </comment>
  </commentList>
</comments>
</file>

<file path=xl/comments3.xml><?xml version="1.0" encoding="utf-8"?>
<comments xmlns="http://schemas.openxmlformats.org/spreadsheetml/2006/main">
  <authors>
    <author>Jesper Brygger</author>
  </authors>
  <commentList>
    <comment ref="F43" authorId="0" shapeId="0">
      <text>
        <r>
          <rPr>
            <b/>
            <sz val="9"/>
            <color indexed="81"/>
            <rFont val="Tahoma"/>
            <family val="2"/>
          </rPr>
          <t xml:space="preserve">Her skal du selv taste de penge/likvider  du vil have overført til kassebeholdningen, resten indsættes på kassekreditten.
 </t>
        </r>
      </text>
    </comment>
  </commentList>
</comments>
</file>

<file path=xl/comments4.xml><?xml version="1.0" encoding="utf-8"?>
<comments xmlns="http://schemas.openxmlformats.org/spreadsheetml/2006/main">
  <authors>
    <author>Jesper Brygger</author>
  </authors>
  <commentList>
    <comment ref="A33" authorId="0" shapeId="0">
      <text>
        <r>
          <rPr>
            <b/>
            <sz val="9"/>
            <color indexed="81"/>
            <rFont val="Tahoma"/>
            <family val="2"/>
          </rPr>
          <t>Gennemsnitlige indbetalinger</t>
        </r>
      </text>
    </comment>
  </commentList>
</comments>
</file>

<file path=xl/sharedStrings.xml><?xml version="1.0" encoding="utf-8"?>
<sst xmlns="http://schemas.openxmlformats.org/spreadsheetml/2006/main" count="150" uniqueCount="142">
  <si>
    <t>Primo</t>
  </si>
  <si>
    <t>Ultimo</t>
  </si>
  <si>
    <t>Varedebitorer</t>
  </si>
  <si>
    <t>Varekreditorer</t>
  </si>
  <si>
    <t>Driftens likviditetsvirkning</t>
  </si>
  <si>
    <t>Finansielle indbetalinger:</t>
  </si>
  <si>
    <t>Renteindtægter</t>
  </si>
  <si>
    <t>Finansielle udbetalinger:</t>
  </si>
  <si>
    <t>Renteomkostninger</t>
  </si>
  <si>
    <t>Skat</t>
  </si>
  <si>
    <t>Periodens Likviditetsforskydning</t>
  </si>
  <si>
    <t>Likvide beholdninger Ultimo</t>
  </si>
  <si>
    <t>Likvide beholdninger Primo:</t>
  </si>
  <si>
    <t>Kassekredit max.</t>
  </si>
  <si>
    <t>Ændringer i omsætningsaktiver:</t>
  </si>
  <si>
    <t>Anlægsinvesteringer:</t>
  </si>
  <si>
    <t>Køb af anlægsaktiver</t>
  </si>
  <si>
    <t>Indtjeningsbidrag</t>
  </si>
  <si>
    <t>Ændringer i kortfristet gæld:</t>
  </si>
  <si>
    <t>Anden gæld</t>
  </si>
  <si>
    <t>Træk på kassekredit</t>
  </si>
  <si>
    <t>Ændring</t>
  </si>
  <si>
    <t>likvide beholdninger</t>
  </si>
  <si>
    <t>Omsætning</t>
  </si>
  <si>
    <t>Bruttofortjeneste</t>
  </si>
  <si>
    <t>Salgsprovision</t>
  </si>
  <si>
    <t>Dækningsbidrag</t>
  </si>
  <si>
    <t>Salgsfremmende omk.</t>
  </si>
  <si>
    <t>Kontantekapacitets omk.</t>
  </si>
  <si>
    <t>Lokale omk.</t>
  </si>
  <si>
    <t>Gager</t>
  </si>
  <si>
    <t>Øvrige omk.</t>
  </si>
  <si>
    <t>Markedsføringsbidrag</t>
  </si>
  <si>
    <t>Afskrivninger</t>
  </si>
  <si>
    <t>Resultat før renter</t>
  </si>
  <si>
    <t>Resultat før skat</t>
  </si>
  <si>
    <t>Ekstraordinære omk.</t>
  </si>
  <si>
    <t>Resultat</t>
  </si>
  <si>
    <t>Ændring pris</t>
  </si>
  <si>
    <t>Ændring mængde</t>
  </si>
  <si>
    <t>Resultat før eks. omk.</t>
  </si>
  <si>
    <t>Aktiver:</t>
  </si>
  <si>
    <t>Afskrivning</t>
  </si>
  <si>
    <t>Passiver:</t>
  </si>
  <si>
    <t>Grunde &amp; bygninger</t>
  </si>
  <si>
    <t>Tekniske anlæg</t>
  </si>
  <si>
    <t>Biler</t>
  </si>
  <si>
    <t>Anlægsaktiver i alt</t>
  </si>
  <si>
    <t xml:space="preserve">Omsætningsaktiver: </t>
  </si>
  <si>
    <t>Periodeafg.</t>
  </si>
  <si>
    <t>Værdipapirer</t>
  </si>
  <si>
    <t xml:space="preserve">Omsætningsaktiver i alt </t>
  </si>
  <si>
    <t>Aktiver i alt</t>
  </si>
  <si>
    <t>Hensættelser</t>
  </si>
  <si>
    <t>Langfristet gæld:</t>
  </si>
  <si>
    <t>Realkreditinstitutter</t>
  </si>
  <si>
    <t>Langfristet gæld i alt</t>
  </si>
  <si>
    <t>Kortfristet gæld:</t>
  </si>
  <si>
    <t>Forudbetalinger</t>
  </si>
  <si>
    <t>Udbytte</t>
  </si>
  <si>
    <t>Kortfristet gæld i alt</t>
  </si>
  <si>
    <t>Passiver i alt</t>
  </si>
  <si>
    <t>Likvide midler</t>
  </si>
  <si>
    <t>Anlægsaktiver:</t>
  </si>
  <si>
    <t>Egenkapital:</t>
  </si>
  <si>
    <t>Egenkapital ultimo</t>
  </si>
  <si>
    <t>Reserver</t>
  </si>
  <si>
    <t>Aktie emmision</t>
  </si>
  <si>
    <t>Omsætningshastigheder:</t>
  </si>
  <si>
    <t>Formel:</t>
  </si>
  <si>
    <t>*Varekøb  =</t>
  </si>
  <si>
    <t>Vareforbrug</t>
  </si>
  <si>
    <t>Øvrig kortfristet gæld</t>
  </si>
  <si>
    <t>Nyt lån til investeringer</t>
  </si>
  <si>
    <t>Andre debitorer</t>
  </si>
  <si>
    <t>Budgetteret Balance</t>
  </si>
  <si>
    <t xml:space="preserve">Beregningerne er foretaget </t>
  </si>
  <si>
    <t>Resultat fordeling:</t>
  </si>
  <si>
    <t>Køb/Salg</t>
  </si>
  <si>
    <t>Goodwill</t>
  </si>
  <si>
    <t>Andre kreditorer</t>
  </si>
  <si>
    <t>Fordeles således:</t>
  </si>
  <si>
    <t>Årets resultat</t>
  </si>
  <si>
    <t>Kassekredit</t>
  </si>
  <si>
    <t>Aktiekapital</t>
  </si>
  <si>
    <t>Indsættes på kassekredit</t>
  </si>
  <si>
    <t>Likvid beholdning</t>
  </si>
  <si>
    <t>Banklån</t>
  </si>
  <si>
    <t>Privatforbrug</t>
  </si>
  <si>
    <t>Indbetalinger</t>
  </si>
  <si>
    <t>Kommentar</t>
  </si>
  <si>
    <t>i alt</t>
  </si>
  <si>
    <t>januar</t>
  </si>
  <si>
    <t>februar</t>
  </si>
  <si>
    <t>marts</t>
  </si>
  <si>
    <t>april</t>
  </si>
  <si>
    <t>maj</t>
  </si>
  <si>
    <t>juni</t>
  </si>
  <si>
    <t>juli</t>
  </si>
  <si>
    <t>august</t>
  </si>
  <si>
    <t>september</t>
  </si>
  <si>
    <t>oktober</t>
  </si>
  <si>
    <t>november</t>
  </si>
  <si>
    <t>december</t>
  </si>
  <si>
    <t>Løn, Sofie</t>
  </si>
  <si>
    <t>Løn, Lasse</t>
  </si>
  <si>
    <t>Feriepenge</t>
  </si>
  <si>
    <t>Airbnb</t>
  </si>
  <si>
    <t>Lejeindtægt sommerhus</t>
  </si>
  <si>
    <t>Instruktør yoga</t>
  </si>
  <si>
    <t>Husleje</t>
  </si>
  <si>
    <t>Varme</t>
  </si>
  <si>
    <t>Vand</t>
  </si>
  <si>
    <t>El</t>
  </si>
  <si>
    <t>Leasing af Ford</t>
  </si>
  <si>
    <t>Ejendomsskat sommerhus</t>
  </si>
  <si>
    <t>Ydelse realkredit DK sommerhus</t>
  </si>
  <si>
    <t>Grundejerforeningen, Lykkevig</t>
  </si>
  <si>
    <t>Telefoner</t>
  </si>
  <si>
    <t>Fitness</t>
  </si>
  <si>
    <t>Rådighedsbeløb</t>
  </si>
  <si>
    <t>tøj</t>
  </si>
  <si>
    <t>rejser</t>
  </si>
  <si>
    <t>Mad</t>
  </si>
  <si>
    <t>Frisør</t>
  </si>
  <si>
    <t>Restaurant</t>
  </si>
  <si>
    <t>Gaver</t>
  </si>
  <si>
    <t>Netto, cash flow</t>
  </si>
  <si>
    <t>Saldo, budgetkontoen</t>
  </si>
  <si>
    <t>Beregning af rådighedsbeløb:</t>
  </si>
  <si>
    <t>http://www.laaneberegner.nu/raadighedsbeloeb.asp</t>
  </si>
  <si>
    <t>Forbrugskvote</t>
  </si>
  <si>
    <t>Opsparingskvote</t>
  </si>
  <si>
    <t>Indbetalinger pr. mdr.</t>
  </si>
  <si>
    <t>Faste udbetalinger</t>
  </si>
  <si>
    <t>Variable udbetalinger</t>
  </si>
  <si>
    <t>Rådighedsbeløb pr. mdr.</t>
  </si>
  <si>
    <t>Faste udbetalinger pr. mdr.</t>
  </si>
  <si>
    <t>Variable udbetalinger pr. mdr.</t>
  </si>
  <si>
    <t>Opsparing pr. mdr.</t>
  </si>
  <si>
    <t>Momsgæld</t>
  </si>
  <si>
    <t xml:space="preserve"> Budget for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</si>
</sst>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0.0%"/>
  </numFmts>
  <fonts count="21" x14ac:knownFonts="1">
    <font>
      <sz val="10"/>
      <name val="Arial"/>
    </font>
    <font>
      <sz val="10"/>
      <name val="Arial"/>
      <family val="2"/>
    </font>
    <font>
      <b/>
      <sz val="14"/>
      <name val="Arial"/>
      <family val="2"/>
    </font>
    <font>
      <sz val="14"/>
      <name val="Arial"/>
      <family val="2"/>
    </font>
    <font>
      <b/>
      <sz val="10"/>
      <name val="Arial"/>
      <family val="2"/>
    </font>
    <font>
      <b/>
      <sz val="8"/>
      <color indexed="81"/>
      <name val="Tahoma"/>
      <family val="2"/>
    </font>
    <font>
      <sz val="18"/>
      <name val="Arial"/>
      <family val="2"/>
    </font>
    <font>
      <sz val="8"/>
      <color indexed="81"/>
      <name val="Tahoma"/>
      <family val="2"/>
    </font>
    <font>
      <b/>
      <sz val="8"/>
      <color indexed="8"/>
      <name val="Tahoma"/>
      <family val="2"/>
    </font>
    <font>
      <sz val="10"/>
      <name val="Arial"/>
      <family val="2"/>
    </font>
    <font>
      <b/>
      <sz val="14"/>
      <color indexed="81"/>
      <name val="Tahoma"/>
      <family val="2"/>
    </font>
    <font>
      <b/>
      <i/>
      <sz val="16"/>
      <color indexed="81"/>
      <name val="Tahoma"/>
      <family val="2"/>
    </font>
    <font>
      <b/>
      <sz val="18"/>
      <name val="Arial"/>
      <family val="2"/>
    </font>
    <font>
      <b/>
      <sz val="16"/>
      <color indexed="81"/>
      <name val="Tahoma"/>
      <family val="2"/>
    </font>
    <font>
      <b/>
      <sz val="12"/>
      <color indexed="81"/>
      <name val="Tahoma"/>
      <family val="2"/>
    </font>
    <font>
      <sz val="12"/>
      <color indexed="81"/>
      <name val="Tahoma"/>
      <family val="2"/>
    </font>
    <font>
      <b/>
      <sz val="9"/>
      <color indexed="81"/>
      <name val="Tahoma"/>
      <family val="2"/>
    </font>
    <font>
      <sz val="9"/>
      <color indexed="81"/>
      <name val="Tahoma"/>
      <family val="2"/>
    </font>
    <font>
      <sz val="14"/>
      <color indexed="81"/>
      <name val="Tahoma"/>
      <family val="2"/>
    </font>
    <font>
      <sz val="16"/>
      <name val="Arial"/>
      <family val="2"/>
    </font>
    <font>
      <u/>
      <sz val="10"/>
      <color theme="10"/>
      <name val="Arial"/>
      <family val="2"/>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99FF9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61">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20" fillId="0" borderId="0" applyNumberFormat="0" applyFill="0" applyBorder="0" applyAlignment="0" applyProtection="0"/>
  </cellStyleXfs>
  <cellXfs count="213">
    <xf numFmtId="0" fontId="0" fillId="0" borderId="0" xfId="0"/>
    <xf numFmtId="0" fontId="2" fillId="0" borderId="0" xfId="0" applyFont="1"/>
    <xf numFmtId="3" fontId="2" fillId="0" borderId="0" xfId="1" applyNumberFormat="1" applyFont="1"/>
    <xf numFmtId="0" fontId="3" fillId="0" borderId="0" xfId="0" applyFont="1"/>
    <xf numFmtId="3" fontId="3" fillId="0" borderId="0" xfId="1" applyNumberFormat="1" applyFont="1"/>
    <xf numFmtId="49" fontId="3" fillId="0" borderId="0" xfId="0" applyNumberFormat="1" applyFont="1"/>
    <xf numFmtId="0" fontId="3" fillId="0" borderId="0" xfId="0" applyFont="1" applyAlignment="1">
      <alignment horizontal="right"/>
    </xf>
    <xf numFmtId="3" fontId="2" fillId="0" borderId="1" xfId="1" applyNumberFormat="1" applyFont="1" applyBorder="1"/>
    <xf numFmtId="3" fontId="2" fillId="0" borderId="1" xfId="0" applyNumberFormat="1" applyFont="1" applyBorder="1"/>
    <xf numFmtId="3" fontId="2" fillId="0" borderId="2" xfId="0" applyNumberFormat="1" applyFont="1" applyBorder="1"/>
    <xf numFmtId="0" fontId="4" fillId="0" borderId="0" xfId="0" applyFont="1"/>
    <xf numFmtId="0" fontId="0" fillId="0" borderId="3" xfId="0" applyFill="1" applyBorder="1"/>
    <xf numFmtId="0" fontId="4" fillId="0" borderId="4" xfId="0" applyFont="1" applyFill="1" applyBorder="1"/>
    <xf numFmtId="0" fontId="4" fillId="0" borderId="5" xfId="0" applyFont="1" applyFill="1" applyBorder="1"/>
    <xf numFmtId="0" fontId="4" fillId="0" borderId="6" xfId="0" applyFont="1" applyFill="1" applyBorder="1"/>
    <xf numFmtId="0" fontId="4" fillId="0" borderId="3" xfId="0" applyFont="1" applyFill="1" applyBorder="1"/>
    <xf numFmtId="0" fontId="9" fillId="0" borderId="3" xfId="0" applyFont="1" applyFill="1" applyBorder="1"/>
    <xf numFmtId="165" fontId="0" fillId="2" borderId="7" xfId="1" applyNumberFormat="1" applyFont="1" applyFill="1" applyBorder="1"/>
    <xf numFmtId="165" fontId="0" fillId="0" borderId="8" xfId="1" applyNumberFormat="1" applyFont="1" applyBorder="1"/>
    <xf numFmtId="0" fontId="0" fillId="0" borderId="3" xfId="0" applyBorder="1"/>
    <xf numFmtId="0" fontId="0" fillId="0" borderId="6" xfId="0" applyBorder="1"/>
    <xf numFmtId="0" fontId="0" fillId="0" borderId="9" xfId="0" applyBorder="1"/>
    <xf numFmtId="0" fontId="0" fillId="0" borderId="10" xfId="0" applyBorder="1"/>
    <xf numFmtId="0" fontId="0" fillId="0" borderId="11" xfId="0" applyBorder="1"/>
    <xf numFmtId="165" fontId="0" fillId="0" borderId="0" xfId="1" applyNumberFormat="1" applyFont="1" applyBorder="1"/>
    <xf numFmtId="2" fontId="0" fillId="0" borderId="2" xfId="0" applyNumberFormat="1" applyBorder="1"/>
    <xf numFmtId="0" fontId="4" fillId="0" borderId="4" xfId="0" applyFont="1" applyBorder="1"/>
    <xf numFmtId="0" fontId="4" fillId="0" borderId="5" xfId="0" applyFont="1" applyBorder="1"/>
    <xf numFmtId="165" fontId="4" fillId="0" borderId="8" xfId="1" applyNumberFormat="1" applyFont="1" applyBorder="1"/>
    <xf numFmtId="2" fontId="0" fillId="2" borderId="7" xfId="0" applyNumberFormat="1" applyFill="1" applyBorder="1"/>
    <xf numFmtId="2" fontId="4" fillId="0" borderId="8" xfId="0" applyNumberFormat="1" applyFont="1" applyBorder="1"/>
    <xf numFmtId="2" fontId="0" fillId="0" borderId="7" xfId="0" applyNumberFormat="1" applyBorder="1"/>
    <xf numFmtId="2" fontId="0" fillId="0" borderId="8" xfId="0" applyNumberFormat="1" applyBorder="1"/>
    <xf numFmtId="9" fontId="0" fillId="2" borderId="12" xfId="2" applyFont="1" applyFill="1" applyBorder="1"/>
    <xf numFmtId="2" fontId="0" fillId="0" borderId="13" xfId="0" applyNumberFormat="1" applyBorder="1"/>
    <xf numFmtId="165" fontId="0" fillId="2" borderId="8" xfId="1" applyNumberFormat="1" applyFont="1" applyFill="1" applyBorder="1"/>
    <xf numFmtId="0" fontId="0" fillId="0" borderId="14" xfId="0" applyBorder="1"/>
    <xf numFmtId="0" fontId="0" fillId="2" borderId="10" xfId="0" applyFill="1" applyBorder="1"/>
    <xf numFmtId="49" fontId="0" fillId="0" borderId="10" xfId="0" applyNumberFormat="1" applyBorder="1" applyAlignment="1">
      <alignment wrapText="1"/>
    </xf>
    <xf numFmtId="0" fontId="0" fillId="0" borderId="10" xfId="0" applyBorder="1" applyAlignment="1">
      <alignment wrapText="1"/>
    </xf>
    <xf numFmtId="165" fontId="0" fillId="0" borderId="15" xfId="1" applyNumberFormat="1" applyFont="1" applyBorder="1"/>
    <xf numFmtId="165" fontId="4" fillId="0" borderId="16" xfId="1" applyNumberFormat="1" applyFont="1" applyBorder="1"/>
    <xf numFmtId="165" fontId="0" fillId="0" borderId="16" xfId="1" applyNumberFormat="1" applyFont="1" applyBorder="1"/>
    <xf numFmtId="165" fontId="0" fillId="0" borderId="17" xfId="1" applyNumberFormat="1" applyFont="1" applyBorder="1"/>
    <xf numFmtId="165" fontId="0" fillId="0" borderId="18" xfId="1" applyNumberFormat="1" applyFont="1" applyBorder="1"/>
    <xf numFmtId="49" fontId="0" fillId="0" borderId="4" xfId="0" applyNumberFormat="1" applyBorder="1"/>
    <xf numFmtId="0" fontId="0" fillId="0" borderId="19" xfId="0" applyBorder="1"/>
    <xf numFmtId="165" fontId="0" fillId="0" borderId="9" xfId="1" applyNumberFormat="1" applyFont="1" applyBorder="1"/>
    <xf numFmtId="165" fontId="0" fillId="0" borderId="20" xfId="1" applyNumberFormat="1" applyFont="1" applyBorder="1"/>
    <xf numFmtId="49" fontId="0" fillId="0" borderId="3" xfId="0" applyNumberFormat="1" applyBorder="1"/>
    <xf numFmtId="0" fontId="4" fillId="0" borderId="21" xfId="0" applyFont="1" applyFill="1" applyBorder="1"/>
    <xf numFmtId="2" fontId="0" fillId="0" borderId="7" xfId="0" applyNumberFormat="1" applyFill="1" applyBorder="1"/>
    <xf numFmtId="165" fontId="0" fillId="0" borderId="0" xfId="0" applyNumberFormat="1"/>
    <xf numFmtId="4" fontId="0" fillId="0" borderId="0" xfId="1" applyNumberFormat="1" applyFont="1" applyBorder="1" applyAlignment="1">
      <alignment horizontal="left"/>
    </xf>
    <xf numFmtId="164" fontId="0" fillId="0" borderId="0" xfId="0" applyNumberFormat="1"/>
    <xf numFmtId="0" fontId="0" fillId="0" borderId="22" xfId="0" applyBorder="1"/>
    <xf numFmtId="0" fontId="0" fillId="0" borderId="0" xfId="0" applyAlignment="1">
      <alignment horizontal="center"/>
    </xf>
    <xf numFmtId="0" fontId="3" fillId="0" borderId="0" xfId="0" applyFont="1" applyAlignment="1"/>
    <xf numFmtId="1" fontId="3" fillId="0" borderId="0" xfId="0" applyNumberFormat="1" applyFont="1"/>
    <xf numFmtId="0" fontId="0" fillId="0" borderId="0" xfId="0" applyFill="1" applyBorder="1"/>
    <xf numFmtId="164" fontId="0" fillId="0" borderId="0" xfId="1" applyFont="1"/>
    <xf numFmtId="165" fontId="0" fillId="0" borderId="0" xfId="1" applyNumberFormat="1" applyFont="1"/>
    <xf numFmtId="0" fontId="3" fillId="0" borderId="0" xfId="0" applyFont="1" applyFill="1"/>
    <xf numFmtId="0" fontId="0" fillId="0" borderId="23" xfId="0" applyFill="1" applyBorder="1"/>
    <xf numFmtId="0" fontId="0" fillId="0" borderId="24" xfId="0" applyFill="1" applyBorder="1"/>
    <xf numFmtId="0" fontId="0" fillId="0" borderId="0" xfId="0" applyBorder="1"/>
    <xf numFmtId="165" fontId="0" fillId="0" borderId="22" xfId="0" applyNumberFormat="1" applyBorder="1"/>
    <xf numFmtId="0" fontId="4" fillId="0" borderId="0" xfId="0" applyFont="1" applyAlignment="1">
      <alignment horizontal="center"/>
    </xf>
    <xf numFmtId="0" fontId="3" fillId="0" borderId="0" xfId="0" applyFont="1" applyBorder="1"/>
    <xf numFmtId="49" fontId="3" fillId="0" borderId="0" xfId="0" applyNumberFormat="1" applyFont="1" applyBorder="1"/>
    <xf numFmtId="165" fontId="3" fillId="0" borderId="0" xfId="1" applyNumberFormat="1" applyFont="1" applyBorder="1"/>
    <xf numFmtId="0" fontId="4" fillId="0" borderId="25" xfId="0" applyFont="1" applyFill="1" applyBorder="1"/>
    <xf numFmtId="0" fontId="4" fillId="0" borderId="0" xfId="0" applyFont="1" applyAlignment="1"/>
    <xf numFmtId="0" fontId="4" fillId="0" borderId="0" xfId="0" applyFont="1" applyFill="1" applyAlignment="1"/>
    <xf numFmtId="0" fontId="4" fillId="0" borderId="0" xfId="0" applyFont="1" applyFill="1" applyBorder="1"/>
    <xf numFmtId="165" fontId="4" fillId="0" borderId="0" xfId="1" applyNumberFormat="1" applyFont="1" applyFill="1" applyBorder="1"/>
    <xf numFmtId="165" fontId="0" fillId="0" borderId="0" xfId="1" applyNumberFormat="1" applyFont="1" applyBorder="1" applyAlignment="1">
      <alignment horizontal="center"/>
    </xf>
    <xf numFmtId="165" fontId="4" fillId="0" borderId="0" xfId="1" applyNumberFormat="1" applyFont="1" applyBorder="1"/>
    <xf numFmtId="0" fontId="9" fillId="0" borderId="10" xfId="0" applyFont="1" applyBorder="1"/>
    <xf numFmtId="3" fontId="0" fillId="2" borderId="26" xfId="1" applyNumberFormat="1" applyFont="1" applyFill="1" applyBorder="1"/>
    <xf numFmtId="3" fontId="0" fillId="0" borderId="26" xfId="1" applyNumberFormat="1" applyFont="1" applyBorder="1"/>
    <xf numFmtId="3" fontId="0" fillId="0" borderId="27" xfId="1" applyNumberFormat="1" applyFont="1" applyBorder="1"/>
    <xf numFmtId="3" fontId="0" fillId="2" borderId="0" xfId="1" applyNumberFormat="1" applyFont="1" applyFill="1" applyBorder="1"/>
    <xf numFmtId="3" fontId="0" fillId="0" borderId="0" xfId="1" applyNumberFormat="1" applyFont="1" applyBorder="1"/>
    <xf numFmtId="3" fontId="0" fillId="0" borderId="28" xfId="1" applyNumberFormat="1" applyFont="1" applyBorder="1"/>
    <xf numFmtId="3" fontId="0" fillId="2" borderId="28" xfId="1" applyNumberFormat="1" applyFont="1" applyFill="1" applyBorder="1"/>
    <xf numFmtId="3" fontId="0" fillId="0" borderId="1" xfId="1" applyNumberFormat="1" applyFont="1" applyBorder="1"/>
    <xf numFmtId="3" fontId="0" fillId="0" borderId="29" xfId="1" applyNumberFormat="1" applyFont="1" applyBorder="1"/>
    <xf numFmtId="3" fontId="0" fillId="0" borderId="0" xfId="1" applyNumberFormat="1" applyFont="1" applyFill="1" applyBorder="1"/>
    <xf numFmtId="3" fontId="0" fillId="0" borderId="30" xfId="1" applyNumberFormat="1" applyFont="1" applyBorder="1"/>
    <xf numFmtId="3" fontId="0" fillId="0" borderId="31" xfId="1" applyNumberFormat="1" applyFont="1" applyBorder="1"/>
    <xf numFmtId="3" fontId="4" fillId="0" borderId="2" xfId="1" applyNumberFormat="1" applyFont="1" applyBorder="1"/>
    <xf numFmtId="3" fontId="0" fillId="0" borderId="2" xfId="1" applyNumberFormat="1" applyFont="1" applyBorder="1"/>
    <xf numFmtId="3" fontId="4" fillId="0" borderId="32" xfId="1" applyNumberFormat="1" applyFont="1" applyBorder="1"/>
    <xf numFmtId="3" fontId="0" fillId="2" borderId="7" xfId="1" applyNumberFormat="1" applyFont="1" applyFill="1" applyBorder="1"/>
    <xf numFmtId="3" fontId="0" fillId="0" borderId="7" xfId="1" applyNumberFormat="1" applyFont="1" applyBorder="1"/>
    <xf numFmtId="3" fontId="4" fillId="0" borderId="8" xfId="1" applyNumberFormat="1" applyFont="1" applyFill="1" applyBorder="1"/>
    <xf numFmtId="3" fontId="0" fillId="0" borderId="8" xfId="1" applyNumberFormat="1" applyFont="1" applyBorder="1"/>
    <xf numFmtId="3" fontId="0" fillId="0" borderId="33" xfId="1" applyNumberFormat="1" applyFont="1" applyFill="1" applyBorder="1"/>
    <xf numFmtId="3" fontId="0" fillId="2" borderId="7" xfId="0" applyNumberFormat="1" applyFill="1" applyBorder="1"/>
    <xf numFmtId="3" fontId="4" fillId="0" borderId="23" xfId="1" applyNumberFormat="1" applyFont="1" applyFill="1" applyBorder="1"/>
    <xf numFmtId="3" fontId="4" fillId="0" borderId="26" xfId="1" applyNumberFormat="1" applyFont="1" applyFill="1" applyBorder="1"/>
    <xf numFmtId="3" fontId="4" fillId="0" borderId="34" xfId="1" applyNumberFormat="1" applyFont="1" applyFill="1" applyBorder="1"/>
    <xf numFmtId="3" fontId="4" fillId="0" borderId="2" xfId="1" applyNumberFormat="1" applyFont="1" applyFill="1" applyBorder="1"/>
    <xf numFmtId="0" fontId="9" fillId="2" borderId="3" xfId="0" applyFont="1" applyFill="1" applyBorder="1"/>
    <xf numFmtId="0" fontId="9" fillId="0" borderId="3" xfId="0" applyFont="1" applyBorder="1"/>
    <xf numFmtId="165" fontId="0" fillId="2" borderId="1" xfId="1" applyNumberFormat="1" applyFont="1" applyFill="1" applyBorder="1" applyAlignment="1"/>
    <xf numFmtId="165" fontId="0" fillId="0" borderId="1" xfId="1" applyNumberFormat="1" applyFont="1" applyBorder="1"/>
    <xf numFmtId="3" fontId="9" fillId="0" borderId="0" xfId="1" applyNumberFormat="1" applyFont="1" applyBorder="1"/>
    <xf numFmtId="3" fontId="2" fillId="0" borderId="0" xfId="0" applyNumberFormat="1" applyFont="1" applyBorder="1"/>
    <xf numFmtId="3" fontId="3" fillId="0" borderId="0" xfId="0" applyNumberFormat="1" applyFont="1"/>
    <xf numFmtId="0" fontId="9" fillId="0" borderId="3" xfId="0" applyNumberFormat="1" applyFont="1" applyBorder="1"/>
    <xf numFmtId="3" fontId="0" fillId="0" borderId="0" xfId="0" applyNumberFormat="1"/>
    <xf numFmtId="3" fontId="3" fillId="3" borderId="0" xfId="0" applyNumberFormat="1" applyFont="1" applyFill="1"/>
    <xf numFmtId="165" fontId="0" fillId="2" borderId="0" xfId="1" applyNumberFormat="1" applyFont="1" applyFill="1"/>
    <xf numFmtId="165" fontId="0" fillId="0" borderId="0" xfId="1" applyNumberFormat="1" applyFont="1" applyFill="1"/>
    <xf numFmtId="0" fontId="1" fillId="0" borderId="0" xfId="3"/>
    <xf numFmtId="0" fontId="2" fillId="0" borderId="14" xfId="3" applyFont="1" applyBorder="1"/>
    <xf numFmtId="0" fontId="1" fillId="0" borderId="10" xfId="3" applyBorder="1"/>
    <xf numFmtId="0" fontId="1" fillId="0" borderId="11" xfId="3" applyBorder="1"/>
    <xf numFmtId="0" fontId="1" fillId="4" borderId="38" xfId="3" applyFill="1" applyBorder="1"/>
    <xf numFmtId="3" fontId="1" fillId="4" borderId="8" xfId="3" applyNumberFormat="1" applyFill="1" applyBorder="1"/>
    <xf numFmtId="3" fontId="1" fillId="4" borderId="16" xfId="3" applyNumberFormat="1" applyFill="1" applyBorder="1"/>
    <xf numFmtId="0" fontId="1" fillId="4" borderId="39" xfId="3" applyFill="1" applyBorder="1"/>
    <xf numFmtId="3" fontId="1" fillId="0" borderId="40" xfId="3" applyNumberFormat="1" applyBorder="1"/>
    <xf numFmtId="3" fontId="1" fillId="4" borderId="40" xfId="3" applyNumberFormat="1" applyFill="1" applyBorder="1"/>
    <xf numFmtId="3" fontId="1" fillId="4" borderId="41" xfId="3" applyNumberFormat="1" applyFill="1" applyBorder="1"/>
    <xf numFmtId="0" fontId="3" fillId="0" borderId="42" xfId="3" applyFont="1" applyBorder="1"/>
    <xf numFmtId="3" fontId="0" fillId="0" borderId="43" xfId="1" applyNumberFormat="1" applyFont="1" applyBorder="1"/>
    <xf numFmtId="3" fontId="0" fillId="0" borderId="44" xfId="1" applyNumberFormat="1" applyFont="1" applyBorder="1"/>
    <xf numFmtId="0" fontId="3" fillId="0" borderId="38" xfId="3" applyFont="1" applyBorder="1"/>
    <xf numFmtId="3" fontId="0" fillId="0" borderId="16" xfId="1" applyNumberFormat="1" applyFont="1" applyBorder="1"/>
    <xf numFmtId="0" fontId="1" fillId="5" borderId="38" xfId="3" applyFill="1" applyBorder="1"/>
    <xf numFmtId="3" fontId="0" fillId="5" borderId="8" xfId="1" applyNumberFormat="1" applyFont="1" applyFill="1" applyBorder="1"/>
    <xf numFmtId="3" fontId="0" fillId="5" borderId="16" xfId="1" applyNumberFormat="1" applyFont="1" applyFill="1" applyBorder="1"/>
    <xf numFmtId="0" fontId="3" fillId="0" borderId="45" xfId="3" applyFont="1" applyBorder="1"/>
    <xf numFmtId="3" fontId="1" fillId="0" borderId="46" xfId="3" applyNumberFormat="1" applyBorder="1"/>
    <xf numFmtId="3" fontId="1" fillId="0" borderId="47" xfId="3" applyNumberFormat="1" applyBorder="1"/>
    <xf numFmtId="0" fontId="3" fillId="0" borderId="48" xfId="3" applyFont="1" applyBorder="1"/>
    <xf numFmtId="3" fontId="1" fillId="0" borderId="7" xfId="3" applyNumberFormat="1" applyBorder="1"/>
    <xf numFmtId="3" fontId="1" fillId="0" borderId="15" xfId="3" applyNumberFormat="1" applyBorder="1"/>
    <xf numFmtId="0" fontId="3" fillId="0" borderId="14" xfId="3" applyFont="1" applyBorder="1"/>
    <xf numFmtId="3" fontId="1" fillId="0" borderId="10" xfId="3" applyNumberFormat="1" applyFill="1" applyBorder="1"/>
    <xf numFmtId="3" fontId="1" fillId="0" borderId="11" xfId="3" applyNumberFormat="1" applyFill="1" applyBorder="1"/>
    <xf numFmtId="0" fontId="3" fillId="6" borderId="38" xfId="3" applyFont="1" applyFill="1" applyBorder="1"/>
    <xf numFmtId="3" fontId="1" fillId="6" borderId="8" xfId="3" applyNumberFormat="1" applyFill="1" applyBorder="1"/>
    <xf numFmtId="3" fontId="1" fillId="6" borderId="16" xfId="3" applyNumberFormat="1" applyFill="1" applyBorder="1"/>
    <xf numFmtId="0" fontId="3" fillId="0" borderId="39" xfId="3" applyFont="1" applyBorder="1"/>
    <xf numFmtId="3" fontId="0" fillId="0" borderId="15" xfId="1" applyNumberFormat="1" applyFont="1" applyBorder="1"/>
    <xf numFmtId="0" fontId="3" fillId="0" borderId="49" xfId="3" applyFont="1" applyBorder="1"/>
    <xf numFmtId="3" fontId="0" fillId="0" borderId="50" xfId="1" applyNumberFormat="1" applyFont="1" applyBorder="1"/>
    <xf numFmtId="3" fontId="0" fillId="7" borderId="50" xfId="1" applyNumberFormat="1" applyFont="1" applyFill="1" applyBorder="1"/>
    <xf numFmtId="3" fontId="0" fillId="0" borderId="51" xfId="1" applyNumberFormat="1" applyFont="1" applyBorder="1"/>
    <xf numFmtId="0" fontId="3" fillId="0" borderId="52" xfId="3" applyFont="1" applyBorder="1"/>
    <xf numFmtId="0" fontId="1" fillId="0" borderId="22" xfId="3" applyBorder="1"/>
    <xf numFmtId="165" fontId="1" fillId="0" borderId="0" xfId="3" applyNumberFormat="1"/>
    <xf numFmtId="0" fontId="20" fillId="0" borderId="0" xfId="4"/>
    <xf numFmtId="0" fontId="3" fillId="0" borderId="53" xfId="3" applyFont="1" applyFill="1" applyBorder="1" applyAlignment="1">
      <alignment horizontal="left"/>
    </xf>
    <xf numFmtId="0" fontId="3" fillId="0" borderId="54" xfId="3" applyFont="1" applyFill="1" applyBorder="1" applyAlignment="1">
      <alignment horizontal="left"/>
    </xf>
    <xf numFmtId="0" fontId="3" fillId="0" borderId="53" xfId="3" applyFont="1" applyBorder="1"/>
    <xf numFmtId="0" fontId="1" fillId="0" borderId="54" xfId="3" applyBorder="1"/>
    <xf numFmtId="165" fontId="0" fillId="0" borderId="55" xfId="1" applyNumberFormat="1" applyFont="1" applyBorder="1"/>
    <xf numFmtId="166" fontId="0" fillId="0" borderId="55" xfId="2" applyNumberFormat="1" applyFont="1" applyBorder="1"/>
    <xf numFmtId="166" fontId="1" fillId="0" borderId="55" xfId="3" applyNumberFormat="1" applyBorder="1"/>
    <xf numFmtId="0" fontId="1" fillId="0" borderId="19" xfId="3" applyBorder="1"/>
    <xf numFmtId="0" fontId="1" fillId="4" borderId="56" xfId="3" applyFill="1" applyBorder="1"/>
    <xf numFmtId="0" fontId="1" fillId="4" borderId="57" xfId="3" applyFill="1" applyBorder="1"/>
    <xf numFmtId="0" fontId="1" fillId="0" borderId="58" xfId="3" applyBorder="1"/>
    <xf numFmtId="0" fontId="1" fillId="0" borderId="56" xfId="3" applyBorder="1"/>
    <xf numFmtId="0" fontId="1" fillId="5" borderId="56" xfId="3" applyFill="1" applyBorder="1"/>
    <xf numFmtId="0" fontId="1" fillId="0" borderId="59" xfId="3" applyBorder="1"/>
    <xf numFmtId="0" fontId="1" fillId="0" borderId="24" xfId="3" applyBorder="1"/>
    <xf numFmtId="0" fontId="1" fillId="6" borderId="56" xfId="3" applyFill="1" applyBorder="1"/>
    <xf numFmtId="0" fontId="1" fillId="0" borderId="57" xfId="3" applyBorder="1"/>
    <xf numFmtId="0" fontId="1" fillId="0" borderId="60" xfId="3" applyBorder="1"/>
    <xf numFmtId="0" fontId="1" fillId="0" borderId="14" xfId="3" applyBorder="1"/>
    <xf numFmtId="3" fontId="1" fillId="0" borderId="38" xfId="3" applyNumberFormat="1" applyBorder="1"/>
    <xf numFmtId="3" fontId="1" fillId="0" borderId="39" xfId="3" applyNumberFormat="1" applyBorder="1"/>
    <xf numFmtId="3" fontId="1" fillId="0" borderId="42" xfId="3" applyNumberFormat="1" applyBorder="1"/>
    <xf numFmtId="3" fontId="1" fillId="0" borderId="45" xfId="3" applyNumberFormat="1" applyBorder="1"/>
    <xf numFmtId="3" fontId="1" fillId="0" borderId="48" xfId="3" applyNumberFormat="1" applyBorder="1"/>
    <xf numFmtId="3" fontId="1" fillId="0" borderId="14" xfId="3" applyNumberFormat="1" applyBorder="1"/>
    <xf numFmtId="3" fontId="1" fillId="0" borderId="38" xfId="3" applyNumberFormat="1" applyFill="1" applyBorder="1"/>
    <xf numFmtId="3" fontId="1" fillId="0" borderId="41" xfId="3" applyNumberFormat="1" applyBorder="1"/>
    <xf numFmtId="3" fontId="0" fillId="0" borderId="48" xfId="1" applyNumberFormat="1" applyFont="1" applyBorder="1"/>
    <xf numFmtId="3" fontId="0" fillId="0" borderId="49" xfId="1" applyNumberFormat="1" applyFont="1" applyBorder="1"/>
    <xf numFmtId="0" fontId="6" fillId="0" borderId="22" xfId="0" applyFont="1" applyBorder="1" applyAlignment="1">
      <alignment horizontal="center"/>
    </xf>
    <xf numFmtId="0" fontId="0" fillId="0" borderId="22" xfId="0" applyBorder="1" applyAlignment="1">
      <alignment horizontal="center"/>
    </xf>
    <xf numFmtId="165" fontId="0" fillId="2" borderId="0" xfId="1" applyNumberFormat="1" applyFont="1" applyFill="1" applyAlignment="1"/>
    <xf numFmtId="0" fontId="0" fillId="0" borderId="0" xfId="0" applyAlignment="1">
      <alignment horizontal="center"/>
    </xf>
    <xf numFmtId="165" fontId="0" fillId="2" borderId="1" xfId="1" applyNumberFormat="1" applyFont="1" applyFill="1" applyBorder="1" applyAlignment="1">
      <alignment horizontal="center"/>
    </xf>
    <xf numFmtId="9" fontId="4" fillId="2" borderId="0" xfId="0" applyNumberFormat="1" applyFont="1" applyFill="1" applyAlignment="1"/>
    <xf numFmtId="0" fontId="0" fillId="0" borderId="0" xfId="0" applyAlignment="1"/>
    <xf numFmtId="0" fontId="0" fillId="0" borderId="22" xfId="0" applyBorder="1" applyAlignment="1"/>
    <xf numFmtId="0" fontId="12" fillId="0" borderId="0" xfId="0" applyFont="1" applyAlignment="1">
      <alignment horizontal="center"/>
    </xf>
    <xf numFmtId="3" fontId="0" fillId="0" borderId="23" xfId="1" applyNumberFormat="1" applyFont="1" applyBorder="1" applyAlignment="1">
      <alignment horizontal="center"/>
    </xf>
    <xf numFmtId="3" fontId="0" fillId="0" borderId="36" xfId="1" applyNumberFormat="1" applyFont="1" applyBorder="1" applyAlignment="1">
      <alignment horizontal="center"/>
    </xf>
    <xf numFmtId="3" fontId="0" fillId="0" borderId="24" xfId="1" applyNumberFormat="1" applyFont="1" applyBorder="1" applyAlignment="1">
      <alignment horizontal="center"/>
    </xf>
    <xf numFmtId="3" fontId="0" fillId="0" borderId="35" xfId="1" applyNumberFormat="1" applyFont="1" applyBorder="1" applyAlignment="1">
      <alignment horizontal="center"/>
    </xf>
    <xf numFmtId="3" fontId="0" fillId="2" borderId="24" xfId="1" applyNumberFormat="1" applyFont="1" applyFill="1" applyBorder="1" applyAlignment="1">
      <alignment horizontal="center"/>
    </xf>
    <xf numFmtId="3" fontId="0" fillId="2" borderId="35" xfId="1" applyNumberFormat="1" applyFont="1" applyFill="1" applyBorder="1" applyAlignment="1">
      <alignment horizontal="center"/>
    </xf>
    <xf numFmtId="3" fontId="0" fillId="0" borderId="34" xfId="1" applyNumberFormat="1" applyFont="1" applyBorder="1" applyAlignment="1">
      <alignment horizontal="center"/>
    </xf>
    <xf numFmtId="3" fontId="0" fillId="0" borderId="37" xfId="1" applyNumberFormat="1" applyFont="1" applyBorder="1" applyAlignment="1">
      <alignment horizontal="center"/>
    </xf>
    <xf numFmtId="0" fontId="4" fillId="0" borderId="0" xfId="0" applyFont="1" applyAlignment="1"/>
    <xf numFmtId="0" fontId="6" fillId="0" borderId="0" xfId="0" applyFont="1" applyAlignment="1">
      <alignment horizontal="center"/>
    </xf>
    <xf numFmtId="0" fontId="3" fillId="0" borderId="0" xfId="0" applyFont="1" applyAlignment="1"/>
    <xf numFmtId="0" fontId="19" fillId="0" borderId="22" xfId="3" applyFont="1" applyBorder="1" applyAlignment="1">
      <alignment horizontal="center"/>
    </xf>
    <xf numFmtId="0" fontId="3" fillId="0" borderId="53" xfId="3" applyFont="1" applyFill="1" applyBorder="1" applyAlignment="1">
      <alignment horizontal="left"/>
    </xf>
    <xf numFmtId="0" fontId="3" fillId="0" borderId="54" xfId="3" applyFont="1" applyFill="1" applyBorder="1" applyAlignment="1">
      <alignment horizontal="left"/>
    </xf>
    <xf numFmtId="0" fontId="1" fillId="0" borderId="3" xfId="0" applyNumberFormat="1" applyFont="1" applyBorder="1"/>
    <xf numFmtId="3" fontId="0" fillId="0" borderId="28" xfId="1" applyNumberFormat="1" applyFont="1" applyFill="1" applyBorder="1"/>
    <xf numFmtId="0" fontId="1" fillId="0" borderId="3" xfId="0" applyFont="1" applyFill="1" applyBorder="1"/>
    <xf numFmtId="3" fontId="0" fillId="3" borderId="0" xfId="1" applyNumberFormat="1" applyFont="1" applyFill="1" applyBorder="1"/>
  </cellXfs>
  <cellStyles count="5">
    <cellStyle name="Komma" xfId="1" builtinId="3"/>
    <cellStyle name="Link" xfId="4" builtinId="8"/>
    <cellStyle name="Normal" xfId="0" builtinId="0"/>
    <cellStyle name="Normal 2" xfId="3"/>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www.laaneberegner.nu/raadighedsbeloeb.asp"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tabSelected="1" zoomScale="125" workbookViewId="0">
      <selection sqref="A1:E1"/>
    </sheetView>
  </sheetViews>
  <sheetFormatPr defaultRowHeight="12.75" x14ac:dyDescent="0.2"/>
  <cols>
    <col min="1" max="1" width="25" customWidth="1"/>
    <col min="2" max="2" width="15.7109375" customWidth="1"/>
    <col min="3" max="3" width="8.140625" customWidth="1"/>
    <col min="4" max="4" width="9.28515625" customWidth="1"/>
    <col min="5" max="5" width="16.28515625" customWidth="1"/>
  </cols>
  <sheetData>
    <row r="1" spans="1:5" ht="24" thickBot="1" x14ac:dyDescent="0.4">
      <c r="A1" s="186" t="str">
        <f>CONCATENATE("Resultatbudget for"," ",B2+1)</f>
        <v>Resultatbudget for 2019</v>
      </c>
      <c r="B1" s="186"/>
      <c r="C1" s="186"/>
      <c r="D1" s="186"/>
      <c r="E1" s="187"/>
    </row>
    <row r="2" spans="1:5" ht="25.5" x14ac:dyDescent="0.2">
      <c r="A2" s="36"/>
      <c r="B2" s="37">
        <v>2018</v>
      </c>
      <c r="C2" s="38" t="s">
        <v>38</v>
      </c>
      <c r="D2" s="39" t="s">
        <v>39</v>
      </c>
      <c r="E2" s="23" t="str">
        <f>CONCATENATE("Budget",  B2+1)</f>
        <v>Budget2019</v>
      </c>
    </row>
    <row r="3" spans="1:5" x14ac:dyDescent="0.2">
      <c r="A3" s="19" t="s">
        <v>23</v>
      </c>
      <c r="B3" s="17">
        <v>8000</v>
      </c>
      <c r="C3" s="29">
        <v>1.05</v>
      </c>
      <c r="D3" s="29">
        <v>0.95</v>
      </c>
      <c r="E3" s="40">
        <f>B3*C3*D3</f>
        <v>7980</v>
      </c>
    </row>
    <row r="4" spans="1:5" x14ac:dyDescent="0.2">
      <c r="A4" s="104" t="s">
        <v>71</v>
      </c>
      <c r="B4" s="17">
        <v>4000</v>
      </c>
      <c r="C4" s="29">
        <v>1.04</v>
      </c>
      <c r="D4" s="51">
        <f>D3</f>
        <v>0.95</v>
      </c>
      <c r="E4" s="40">
        <f>B4*C4*D4</f>
        <v>3952</v>
      </c>
    </row>
    <row r="5" spans="1:5" x14ac:dyDescent="0.2">
      <c r="A5" s="19" t="str">
        <f>IF(A4="Råvarer","Arbejdsløn","-")</f>
        <v>-</v>
      </c>
      <c r="B5" s="17">
        <v>0</v>
      </c>
      <c r="C5" s="29">
        <v>0</v>
      </c>
      <c r="D5" s="51">
        <f>D3</f>
        <v>0.95</v>
      </c>
      <c r="E5" s="40">
        <f>B5*C5*D5</f>
        <v>0</v>
      </c>
    </row>
    <row r="6" spans="1:5" x14ac:dyDescent="0.2">
      <c r="A6" s="26" t="s">
        <v>24</v>
      </c>
      <c r="B6" s="28">
        <f>B3-B4-B5</f>
        <v>4000</v>
      </c>
      <c r="C6" s="30"/>
      <c r="D6" s="30"/>
      <c r="E6" s="41">
        <f>E3-E5-E4</f>
        <v>4028</v>
      </c>
    </row>
    <row r="7" spans="1:5" x14ac:dyDescent="0.2">
      <c r="A7" s="19" t="s">
        <v>25</v>
      </c>
      <c r="B7" s="17">
        <v>0</v>
      </c>
      <c r="C7" s="29">
        <v>1</v>
      </c>
      <c r="D7" s="31"/>
      <c r="E7" s="40">
        <f>B7*C7</f>
        <v>0</v>
      </c>
    </row>
    <row r="8" spans="1:5" x14ac:dyDescent="0.2">
      <c r="A8" s="26" t="s">
        <v>26</v>
      </c>
      <c r="B8" s="28">
        <f>B6-B7</f>
        <v>4000</v>
      </c>
      <c r="C8" s="30"/>
      <c r="D8" s="30"/>
      <c r="E8" s="41">
        <f>E6-E7</f>
        <v>4028</v>
      </c>
    </row>
    <row r="9" spans="1:5" x14ac:dyDescent="0.2">
      <c r="A9" s="19" t="s">
        <v>27</v>
      </c>
      <c r="B9" s="17">
        <v>500</v>
      </c>
      <c r="C9" s="29">
        <v>0.6</v>
      </c>
      <c r="D9" s="31"/>
      <c r="E9" s="40">
        <f>B9*C9</f>
        <v>300</v>
      </c>
    </row>
    <row r="10" spans="1:5" x14ac:dyDescent="0.2">
      <c r="A10" s="26" t="s">
        <v>32</v>
      </c>
      <c r="B10" s="28">
        <f>B8-B9</f>
        <v>3500</v>
      </c>
      <c r="C10" s="30"/>
      <c r="D10" s="30"/>
      <c r="E10" s="41">
        <f>E8-E9</f>
        <v>3728</v>
      </c>
    </row>
    <row r="11" spans="1:5" x14ac:dyDescent="0.2">
      <c r="A11" s="19" t="s">
        <v>28</v>
      </c>
      <c r="B11" s="17">
        <v>2500</v>
      </c>
      <c r="C11" s="29">
        <v>1.1000000000000001</v>
      </c>
      <c r="D11" s="31"/>
      <c r="E11" s="40">
        <f>B11*C11</f>
        <v>2750</v>
      </c>
    </row>
    <row r="12" spans="1:5" x14ac:dyDescent="0.2">
      <c r="A12" s="19" t="s">
        <v>29</v>
      </c>
      <c r="B12" s="17">
        <v>0</v>
      </c>
      <c r="C12" s="29">
        <v>1</v>
      </c>
      <c r="D12" s="31"/>
      <c r="E12" s="40">
        <f>B12*C12</f>
        <v>0</v>
      </c>
    </row>
    <row r="13" spans="1:5" x14ac:dyDescent="0.2">
      <c r="A13" s="19" t="s">
        <v>30</v>
      </c>
      <c r="B13" s="17">
        <v>0</v>
      </c>
      <c r="C13" s="29">
        <v>1</v>
      </c>
      <c r="D13" s="31"/>
      <c r="E13" s="40">
        <f>B13*C13</f>
        <v>0</v>
      </c>
    </row>
    <row r="14" spans="1:5" x14ac:dyDescent="0.2">
      <c r="A14" s="105" t="s">
        <v>31</v>
      </c>
      <c r="B14" s="17">
        <v>0</v>
      </c>
      <c r="C14" s="29">
        <v>1</v>
      </c>
      <c r="D14" s="31"/>
      <c r="E14" s="40">
        <f>B14*C14</f>
        <v>0</v>
      </c>
    </row>
    <row r="15" spans="1:5" x14ac:dyDescent="0.2">
      <c r="A15" s="19"/>
      <c r="B15" s="17">
        <v>0</v>
      </c>
      <c r="C15" s="29">
        <v>1</v>
      </c>
      <c r="D15" s="31"/>
      <c r="E15" s="40">
        <f>B15*C15</f>
        <v>0</v>
      </c>
    </row>
    <row r="16" spans="1:5" x14ac:dyDescent="0.2">
      <c r="A16" s="26" t="s">
        <v>17</v>
      </c>
      <c r="B16" s="28">
        <f>B10-SUM(B11:B15)</f>
        <v>1000</v>
      </c>
      <c r="C16" s="28"/>
      <c r="D16" s="28"/>
      <c r="E16" s="41">
        <f>E10-SUM(E11:E15)</f>
        <v>978</v>
      </c>
    </row>
    <row r="17" spans="1:5" x14ac:dyDescent="0.2">
      <c r="A17" s="19" t="s">
        <v>33</v>
      </c>
      <c r="B17" s="17">
        <v>300</v>
      </c>
      <c r="C17" s="29">
        <v>1.3333330000000001</v>
      </c>
      <c r="D17" s="31"/>
      <c r="E17" s="40">
        <f>B17*C17</f>
        <v>399.99990000000003</v>
      </c>
    </row>
    <row r="18" spans="1:5" x14ac:dyDescent="0.2">
      <c r="A18" s="26" t="s">
        <v>34</v>
      </c>
      <c r="B18" s="18">
        <f>B16-B17</f>
        <v>700</v>
      </c>
      <c r="C18" s="32"/>
      <c r="D18" s="32"/>
      <c r="E18" s="42">
        <f>E16-E17</f>
        <v>578.00009999999997</v>
      </c>
    </row>
    <row r="19" spans="1:5" x14ac:dyDescent="0.2">
      <c r="A19" s="19" t="s">
        <v>8</v>
      </c>
      <c r="B19" s="17">
        <v>60</v>
      </c>
      <c r="C19" s="29">
        <v>1.1599999999999999</v>
      </c>
      <c r="D19" s="31"/>
      <c r="E19" s="40">
        <f>B19*C19</f>
        <v>69.599999999999994</v>
      </c>
    </row>
    <row r="20" spans="1:5" x14ac:dyDescent="0.2">
      <c r="A20" s="19" t="s">
        <v>6</v>
      </c>
      <c r="B20" s="17">
        <v>0</v>
      </c>
      <c r="C20" s="29">
        <v>1</v>
      </c>
      <c r="D20" s="31"/>
      <c r="E20" s="40">
        <f>B20*C20</f>
        <v>0</v>
      </c>
    </row>
    <row r="21" spans="1:5" x14ac:dyDescent="0.2">
      <c r="A21" s="26" t="s">
        <v>40</v>
      </c>
      <c r="B21" s="18">
        <f>B18-B19+B20</f>
        <v>640</v>
      </c>
      <c r="C21" s="32"/>
      <c r="D21" s="32"/>
      <c r="E21" s="42">
        <f>E18-E19+E20</f>
        <v>508.40009999999995</v>
      </c>
    </row>
    <row r="22" spans="1:5" x14ac:dyDescent="0.2">
      <c r="A22" s="19" t="s">
        <v>36</v>
      </c>
      <c r="B22" s="17">
        <v>0</v>
      </c>
      <c r="C22" s="29">
        <v>0</v>
      </c>
      <c r="D22" s="31"/>
      <c r="E22" s="40">
        <f>B22*C22</f>
        <v>0</v>
      </c>
    </row>
    <row r="23" spans="1:5" x14ac:dyDescent="0.2">
      <c r="A23" s="26" t="s">
        <v>35</v>
      </c>
      <c r="B23" s="18">
        <f>B21-B22</f>
        <v>640</v>
      </c>
      <c r="C23" s="32"/>
      <c r="D23" s="32"/>
      <c r="E23" s="42">
        <f>E21-E22</f>
        <v>508.40009999999995</v>
      </c>
    </row>
    <row r="24" spans="1:5" x14ac:dyDescent="0.2">
      <c r="A24" s="19" t="s">
        <v>9</v>
      </c>
      <c r="B24" s="35">
        <v>160</v>
      </c>
      <c r="C24" s="34"/>
      <c r="D24" s="33">
        <v>0.22</v>
      </c>
      <c r="E24" s="42">
        <f>E23*D24</f>
        <v>111.84802199999999</v>
      </c>
    </row>
    <row r="25" spans="1:5" ht="13.5" thickBot="1" x14ac:dyDescent="0.25">
      <c r="A25" s="27" t="s">
        <v>37</v>
      </c>
      <c r="B25" s="43">
        <f>B23-B24</f>
        <v>480</v>
      </c>
      <c r="C25" s="25"/>
      <c r="D25" s="25"/>
      <c r="E25" s="44">
        <f>E23-E24</f>
        <v>396.55207799999994</v>
      </c>
    </row>
    <row r="26" spans="1:5" ht="13.5" thickTop="1" x14ac:dyDescent="0.2"/>
    <row r="27" spans="1:5" x14ac:dyDescent="0.2">
      <c r="A27" s="10" t="s">
        <v>77</v>
      </c>
    </row>
    <row r="28" spans="1:5" x14ac:dyDescent="0.2">
      <c r="A28" t="s">
        <v>59</v>
      </c>
      <c r="B28" s="114">
        <v>200</v>
      </c>
      <c r="C28" s="61"/>
      <c r="D28" s="61"/>
      <c r="E28" s="114">
        <v>100</v>
      </c>
    </row>
    <row r="29" spans="1:5" x14ac:dyDescent="0.2">
      <c r="A29" s="10" t="s">
        <v>66</v>
      </c>
      <c r="B29" s="115">
        <f>B25-B28</f>
        <v>280</v>
      </c>
      <c r="C29" s="61"/>
      <c r="D29" s="61"/>
      <c r="E29" s="115">
        <f>E25-E28</f>
        <v>296.55207799999994</v>
      </c>
    </row>
    <row r="30" spans="1:5" x14ac:dyDescent="0.2">
      <c r="B30" s="107">
        <f>SUM(B28:B29)</f>
        <v>480</v>
      </c>
      <c r="C30" s="61"/>
      <c r="D30" s="61"/>
      <c r="E30" s="107">
        <f>SUM(E28:E29)</f>
        <v>396.55207799999994</v>
      </c>
    </row>
    <row r="31" spans="1:5" x14ac:dyDescent="0.2">
      <c r="A31" s="10"/>
      <c r="E31" s="59"/>
    </row>
    <row r="32" spans="1:5" x14ac:dyDescent="0.2">
      <c r="A32" s="10"/>
      <c r="E32" s="59"/>
    </row>
    <row r="33" spans="1:5" x14ac:dyDescent="0.2">
      <c r="B33">
        <f>B2</f>
        <v>2018</v>
      </c>
      <c r="C33" s="189" t="s">
        <v>21</v>
      </c>
      <c r="D33" s="189"/>
      <c r="E33">
        <f>B33+1</f>
        <v>2019</v>
      </c>
    </row>
    <row r="34" spans="1:5" x14ac:dyDescent="0.2">
      <c r="A34" t="s">
        <v>13</v>
      </c>
      <c r="B34" s="106">
        <v>1000</v>
      </c>
      <c r="C34" s="190">
        <v>0</v>
      </c>
      <c r="D34" s="190"/>
      <c r="E34" s="107">
        <f>B34+C34</f>
        <v>1000</v>
      </c>
    </row>
    <row r="36" spans="1:5" x14ac:dyDescent="0.2">
      <c r="A36" s="72" t="s">
        <v>76</v>
      </c>
      <c r="B36" s="73" t="str">
        <f>IF(C36&gt;0,"incl. moms","excl. moms")</f>
        <v>excl. moms</v>
      </c>
      <c r="C36" s="191">
        <v>0</v>
      </c>
      <c r="D36" s="192"/>
    </row>
    <row r="38" spans="1:5" x14ac:dyDescent="0.2">
      <c r="A38" s="10" t="s">
        <v>67</v>
      </c>
      <c r="C38" s="188">
        <v>0</v>
      </c>
      <c r="D38" s="188"/>
    </row>
  </sheetData>
  <mergeCells count="5">
    <mergeCell ref="A1:E1"/>
    <mergeCell ref="C38:D38"/>
    <mergeCell ref="C33:D33"/>
    <mergeCell ref="C34:D34"/>
    <mergeCell ref="C36:D36"/>
  </mergeCells>
  <phoneticPr fontId="0" type="noConversion"/>
  <pageMargins left="0.59055118110236227" right="0.39370078740157483" top="0.98425196850393704" bottom="0.98425196850393704" header="0" footer="0"/>
  <pageSetup paperSize="9" scale="118"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8"/>
  <sheetViews>
    <sheetView workbookViewId="0">
      <selection activeCell="B4" sqref="B4"/>
    </sheetView>
  </sheetViews>
  <sheetFormatPr defaultRowHeight="12.75" x14ac:dyDescent="0.2"/>
  <cols>
    <col min="1" max="1" width="22.7109375" customWidth="1"/>
    <col min="2" max="2" width="11.28515625" customWidth="1"/>
    <col min="3" max="3" width="10.42578125" customWidth="1"/>
    <col min="4" max="4" width="9.85546875" customWidth="1"/>
    <col min="5" max="5" width="11.5703125" customWidth="1"/>
    <col min="6" max="6" width="21.7109375" customWidth="1"/>
    <col min="7" max="7" width="14.5703125" customWidth="1"/>
    <col min="9" max="9" width="13.140625" customWidth="1"/>
  </cols>
  <sheetData>
    <row r="1" spans="1:9" ht="23.25" x14ac:dyDescent="0.35">
      <c r="A1" s="194" t="s">
        <v>75</v>
      </c>
      <c r="B1" s="192"/>
      <c r="C1" s="192"/>
      <c r="D1" s="192"/>
      <c r="E1" s="192"/>
      <c r="F1" s="192"/>
      <c r="G1" s="192"/>
      <c r="H1" s="192"/>
      <c r="I1" s="192"/>
    </row>
    <row r="2" spans="1:9" ht="13.5" thickBot="1" x14ac:dyDescent="0.25">
      <c r="A2" t="s">
        <v>41</v>
      </c>
      <c r="B2" t="str">
        <f>CONCATENATE("31/12-",Resultatbudget!B2)</f>
        <v>31/12-2018</v>
      </c>
      <c r="E2" t="str">
        <f>CONCATENATE("31/12-",Resultatbudget!B2+1)</f>
        <v>31/12-2019</v>
      </c>
      <c r="F2" t="s">
        <v>43</v>
      </c>
      <c r="G2" t="str">
        <f>B2</f>
        <v>31/12-2018</v>
      </c>
      <c r="H2" t="s">
        <v>21</v>
      </c>
      <c r="I2" t="str">
        <f>E2</f>
        <v>31/12-2019</v>
      </c>
    </row>
    <row r="3" spans="1:9" x14ac:dyDescent="0.2">
      <c r="A3" s="20" t="s">
        <v>63</v>
      </c>
      <c r="B3" s="22"/>
      <c r="C3" s="78" t="s">
        <v>78</v>
      </c>
      <c r="D3" s="21" t="s">
        <v>42</v>
      </c>
      <c r="E3" s="46"/>
      <c r="F3" s="14" t="s">
        <v>64</v>
      </c>
      <c r="G3" s="47"/>
      <c r="H3" s="47"/>
      <c r="I3" s="48"/>
    </row>
    <row r="4" spans="1:9" x14ac:dyDescent="0.2">
      <c r="A4" s="105" t="s">
        <v>63</v>
      </c>
      <c r="B4" s="94">
        <v>0</v>
      </c>
      <c r="C4" s="94">
        <v>1400</v>
      </c>
      <c r="D4" s="95">
        <f>Resultatbudget!E17</f>
        <v>399.99990000000003</v>
      </c>
      <c r="E4" s="83">
        <f>B4+C4-D4</f>
        <v>1000.0001</v>
      </c>
      <c r="F4" s="50" t="s">
        <v>84</v>
      </c>
      <c r="G4" s="79">
        <v>1000</v>
      </c>
      <c r="H4" s="80">
        <f>Resultatbudget!C38</f>
        <v>0</v>
      </c>
      <c r="I4" s="81">
        <f>IF(F4="Aktiekapital",G4+H4,G9)</f>
        <v>1000</v>
      </c>
    </row>
    <row r="5" spans="1:9" x14ac:dyDescent="0.2">
      <c r="A5" s="105" t="s">
        <v>45</v>
      </c>
      <c r="B5" s="94">
        <v>2050</v>
      </c>
      <c r="C5" s="94">
        <v>0</v>
      </c>
      <c r="D5" s="95"/>
      <c r="E5" s="83">
        <f t="shared" ref="E5:E14" si="0">B5+C5-D5</f>
        <v>2050</v>
      </c>
      <c r="F5" s="15" t="s">
        <v>66</v>
      </c>
      <c r="G5" s="82">
        <v>680</v>
      </c>
      <c r="H5" s="83"/>
      <c r="I5" s="84">
        <f>G5+G6</f>
        <v>680</v>
      </c>
    </row>
    <row r="6" spans="1:9" x14ac:dyDescent="0.2">
      <c r="A6" s="16" t="s">
        <v>44</v>
      </c>
      <c r="B6" s="94">
        <v>0</v>
      </c>
      <c r="C6" s="94">
        <v>0</v>
      </c>
      <c r="D6" s="95"/>
      <c r="E6" s="83">
        <f t="shared" si="0"/>
        <v>0</v>
      </c>
      <c r="F6" s="111" t="s">
        <v>82</v>
      </c>
      <c r="G6" s="82">
        <v>0</v>
      </c>
      <c r="H6" s="83">
        <f>IF(F4="Aktiekapital",Resultatbudget!E29,Resultatbudget!E25)</f>
        <v>296.55207799999994</v>
      </c>
      <c r="I6" s="84">
        <f>H6</f>
        <v>296.55207799999994</v>
      </c>
    </row>
    <row r="7" spans="1:9" x14ac:dyDescent="0.2">
      <c r="A7" s="16" t="s">
        <v>46</v>
      </c>
      <c r="B7" s="94">
        <v>0</v>
      </c>
      <c r="C7" s="94">
        <v>0</v>
      </c>
      <c r="D7" s="95"/>
      <c r="E7" s="83">
        <f t="shared" si="0"/>
        <v>0</v>
      </c>
      <c r="F7" s="111" t="s">
        <v>88</v>
      </c>
      <c r="G7" s="82">
        <v>0</v>
      </c>
      <c r="H7" s="83">
        <f>I7*-1</f>
        <v>0</v>
      </c>
      <c r="I7" s="85">
        <v>0</v>
      </c>
    </row>
    <row r="8" spans="1:9" x14ac:dyDescent="0.2">
      <c r="A8" s="211" t="s">
        <v>79</v>
      </c>
      <c r="B8" s="94">
        <v>0</v>
      </c>
      <c r="C8" s="94">
        <v>0</v>
      </c>
      <c r="D8" s="95"/>
      <c r="E8" s="83">
        <f t="shared" si="0"/>
        <v>0</v>
      </c>
      <c r="F8" s="209" t="s">
        <v>59</v>
      </c>
      <c r="G8" s="88">
        <f>Resultatbudget!B28</f>
        <v>200</v>
      </c>
      <c r="H8" s="88"/>
      <c r="I8" s="210">
        <f>Resultatbudget!E28</f>
        <v>100</v>
      </c>
    </row>
    <row r="9" spans="1:9" x14ac:dyDescent="0.2">
      <c r="A9" s="16"/>
      <c r="B9" s="94">
        <v>0</v>
      </c>
      <c r="C9" s="94">
        <v>0</v>
      </c>
      <c r="D9" s="95"/>
      <c r="E9" s="83">
        <f t="shared" si="0"/>
        <v>0</v>
      </c>
      <c r="F9" s="45" t="s">
        <v>65</v>
      </c>
      <c r="G9" s="86">
        <f>G4+G5+G6-G7+G8</f>
        <v>1880</v>
      </c>
      <c r="H9" s="86">
        <f>SUM(H4:H7)</f>
        <v>296.55207799999994</v>
      </c>
      <c r="I9" s="87">
        <f>I4+I5+I6-I7+I8</f>
        <v>2076.5520779999997</v>
      </c>
    </row>
    <row r="10" spans="1:9" x14ac:dyDescent="0.2">
      <c r="A10" s="16"/>
      <c r="B10" s="94">
        <v>0</v>
      </c>
      <c r="C10" s="94">
        <v>0</v>
      </c>
      <c r="D10" s="95"/>
      <c r="E10" s="83">
        <f t="shared" si="0"/>
        <v>0</v>
      </c>
      <c r="F10" s="49" t="s">
        <v>53</v>
      </c>
      <c r="G10" s="108"/>
      <c r="H10" s="83"/>
      <c r="I10" s="84">
        <f>G10+H10</f>
        <v>0</v>
      </c>
    </row>
    <row r="11" spans="1:9" x14ac:dyDescent="0.2">
      <c r="A11" s="11"/>
      <c r="B11" s="94">
        <v>0</v>
      </c>
      <c r="C11" s="94">
        <v>0</v>
      </c>
      <c r="D11" s="95"/>
      <c r="E11" s="83">
        <f t="shared" si="0"/>
        <v>0</v>
      </c>
      <c r="F11" s="15" t="s">
        <v>54</v>
      </c>
      <c r="G11" s="83"/>
      <c r="H11" s="83"/>
      <c r="I11" s="84">
        <f>G11+H11</f>
        <v>0</v>
      </c>
    </row>
    <row r="12" spans="1:9" x14ac:dyDescent="0.2">
      <c r="A12" s="11"/>
      <c r="B12" s="94">
        <v>0</v>
      </c>
      <c r="C12" s="94">
        <v>0</v>
      </c>
      <c r="D12" s="95"/>
      <c r="E12" s="83">
        <f t="shared" si="0"/>
        <v>0</v>
      </c>
      <c r="F12" s="16" t="s">
        <v>73</v>
      </c>
      <c r="G12" s="83"/>
      <c r="H12" s="82">
        <v>500</v>
      </c>
      <c r="I12" s="84">
        <f>G12+H12</f>
        <v>500</v>
      </c>
    </row>
    <row r="13" spans="1:9" x14ac:dyDescent="0.2">
      <c r="A13" s="11"/>
      <c r="B13" s="94">
        <v>0</v>
      </c>
      <c r="C13" s="94">
        <v>0</v>
      </c>
      <c r="D13" s="95"/>
      <c r="E13" s="83">
        <f t="shared" si="0"/>
        <v>0</v>
      </c>
      <c r="F13" s="16" t="s">
        <v>87</v>
      </c>
      <c r="G13" s="82">
        <v>1270</v>
      </c>
      <c r="H13" s="82">
        <v>-280</v>
      </c>
      <c r="I13" s="84">
        <f>G13+H13</f>
        <v>990</v>
      </c>
    </row>
    <row r="14" spans="1:9" x14ac:dyDescent="0.2">
      <c r="A14" s="11"/>
      <c r="B14" s="94">
        <v>0</v>
      </c>
      <c r="C14" s="94">
        <v>0</v>
      </c>
      <c r="D14" s="95"/>
      <c r="E14" s="83">
        <f t="shared" si="0"/>
        <v>0</v>
      </c>
      <c r="F14" s="11" t="s">
        <v>55</v>
      </c>
      <c r="G14" s="82"/>
      <c r="H14" s="82"/>
      <c r="I14" s="84">
        <f>G14+H14</f>
        <v>0</v>
      </c>
    </row>
    <row r="15" spans="1:9" x14ac:dyDescent="0.2">
      <c r="A15" s="12" t="s">
        <v>47</v>
      </c>
      <c r="B15" s="96">
        <f>SUM(B4:B14)</f>
        <v>2050</v>
      </c>
      <c r="C15" s="97">
        <f>SUM(C4:C14)</f>
        <v>1400</v>
      </c>
      <c r="D15" s="97">
        <f>SUM(D4:D14)</f>
        <v>399.99990000000003</v>
      </c>
      <c r="E15" s="86">
        <f>B15+C15-D15</f>
        <v>3050.0001000000002</v>
      </c>
      <c r="F15" s="12" t="s">
        <v>56</v>
      </c>
      <c r="G15" s="86">
        <f>SUM(G10:G14)</f>
        <v>1270</v>
      </c>
      <c r="H15" s="86">
        <f>SUM(H10:H14)</f>
        <v>220</v>
      </c>
      <c r="I15" s="87">
        <f>SUM(I10:I14)</f>
        <v>1490</v>
      </c>
    </row>
    <row r="16" spans="1:9" x14ac:dyDescent="0.2">
      <c r="A16" s="63" t="s">
        <v>48</v>
      </c>
      <c r="B16" s="98"/>
      <c r="C16" s="195" t="s">
        <v>21</v>
      </c>
      <c r="D16" s="196"/>
      <c r="E16" s="83"/>
      <c r="F16" s="16" t="s">
        <v>57</v>
      </c>
      <c r="G16" s="83"/>
      <c r="H16" s="83"/>
      <c r="I16" s="84">
        <f t="shared" ref="I16:I21" si="1">G16+H16</f>
        <v>0</v>
      </c>
    </row>
    <row r="17" spans="1:10" x14ac:dyDescent="0.2">
      <c r="A17" s="64" t="str">
        <f>IF(Resultatbudget!A4="Råvarer","Råvarelager","Varelager")</f>
        <v>Varelager</v>
      </c>
      <c r="B17" s="94">
        <v>800</v>
      </c>
      <c r="C17" s="195"/>
      <c r="D17" s="196"/>
      <c r="E17" s="83">
        <f>I29</f>
        <v>790.4</v>
      </c>
      <c r="F17" s="11" t="s">
        <v>3</v>
      </c>
      <c r="G17" s="82">
        <v>700</v>
      </c>
      <c r="H17" s="83"/>
      <c r="I17" s="84">
        <f>I43</f>
        <v>689.92</v>
      </c>
    </row>
    <row r="18" spans="1:10" x14ac:dyDescent="0.2">
      <c r="A18" s="64" t="str">
        <f>IF(Resultatbudget!A4="Råvarer","Produktion","-")</f>
        <v>-</v>
      </c>
      <c r="B18" s="99">
        <v>0</v>
      </c>
      <c r="C18" s="197"/>
      <c r="D18" s="198"/>
      <c r="E18" s="83">
        <f>IF(I32="-",0,I32)</f>
        <v>0</v>
      </c>
      <c r="F18" s="11" t="s">
        <v>55</v>
      </c>
      <c r="G18" s="82">
        <v>0</v>
      </c>
      <c r="H18" s="82"/>
      <c r="I18" s="84">
        <f t="shared" si="1"/>
        <v>0</v>
      </c>
    </row>
    <row r="19" spans="1:10" x14ac:dyDescent="0.2">
      <c r="A19" s="64" t="str">
        <f>IF(Resultatbudget!A4="Råvarer","Færdigvarer","-")</f>
        <v>-</v>
      </c>
      <c r="B19" s="99">
        <v>0</v>
      </c>
      <c r="C19" s="197"/>
      <c r="D19" s="198"/>
      <c r="E19" s="83">
        <f>IF(Resultatbudget!B5=0,0,I36)</f>
        <v>0</v>
      </c>
      <c r="F19" s="11" t="s">
        <v>58</v>
      </c>
      <c r="G19" s="82">
        <v>0</v>
      </c>
      <c r="H19" s="82"/>
      <c r="I19" s="84">
        <f t="shared" si="1"/>
        <v>0</v>
      </c>
    </row>
    <row r="20" spans="1:10" x14ac:dyDescent="0.2">
      <c r="A20" s="64" t="s">
        <v>2</v>
      </c>
      <c r="B20" s="94">
        <v>1600</v>
      </c>
      <c r="C20" s="197"/>
      <c r="D20" s="198"/>
      <c r="E20" s="83">
        <f>I40</f>
        <v>1596</v>
      </c>
      <c r="F20" s="11" t="s">
        <v>19</v>
      </c>
      <c r="G20" s="82">
        <v>600</v>
      </c>
      <c r="H20" s="82">
        <v>60</v>
      </c>
      <c r="I20" s="84">
        <f t="shared" si="1"/>
        <v>660</v>
      </c>
    </row>
    <row r="21" spans="1:10" x14ac:dyDescent="0.2">
      <c r="A21" s="64" t="s">
        <v>49</v>
      </c>
      <c r="B21" s="94">
        <v>0</v>
      </c>
      <c r="C21" s="199">
        <v>0</v>
      </c>
      <c r="D21" s="200"/>
      <c r="E21" s="83">
        <f>B21+C21</f>
        <v>0</v>
      </c>
      <c r="F21" s="16" t="s">
        <v>80</v>
      </c>
      <c r="G21" s="82">
        <v>0</v>
      </c>
      <c r="H21" s="82">
        <v>0</v>
      </c>
      <c r="I21" s="84">
        <f t="shared" si="1"/>
        <v>0</v>
      </c>
    </row>
    <row r="22" spans="1:10" x14ac:dyDescent="0.2">
      <c r="A22" s="64" t="s">
        <v>50</v>
      </c>
      <c r="B22" s="94">
        <v>0</v>
      </c>
      <c r="C22" s="199">
        <v>0</v>
      </c>
      <c r="D22" s="200"/>
      <c r="E22" s="83">
        <f>B22+C22</f>
        <v>0</v>
      </c>
      <c r="F22" s="19" t="s">
        <v>72</v>
      </c>
      <c r="G22" s="82">
        <v>800</v>
      </c>
      <c r="H22" s="82">
        <v>0</v>
      </c>
      <c r="I22" s="84">
        <f>G22+H22</f>
        <v>800</v>
      </c>
    </row>
    <row r="23" spans="1:10" x14ac:dyDescent="0.2">
      <c r="A23" s="64" t="s">
        <v>74</v>
      </c>
      <c r="B23" s="94">
        <v>0</v>
      </c>
      <c r="C23" s="199">
        <v>0</v>
      </c>
      <c r="D23" s="200"/>
      <c r="E23" s="83">
        <f>B23+C23</f>
        <v>0</v>
      </c>
      <c r="F23" s="211" t="s">
        <v>140</v>
      </c>
      <c r="G23" s="212">
        <v>0</v>
      </c>
      <c r="H23" s="212"/>
      <c r="I23" s="84">
        <f>G23+H23</f>
        <v>0</v>
      </c>
    </row>
    <row r="24" spans="1:10" x14ac:dyDescent="0.2">
      <c r="A24" s="64" t="s">
        <v>62</v>
      </c>
      <c r="B24" s="94">
        <v>1000</v>
      </c>
      <c r="C24" s="197"/>
      <c r="D24" s="198"/>
      <c r="E24" s="83">
        <f>IF(Likviditetsbudget!F41&gt;0,Likviditetsbudget!F43,0)</f>
        <v>1280</v>
      </c>
      <c r="F24" s="105" t="s">
        <v>83</v>
      </c>
      <c r="G24" s="82">
        <v>200</v>
      </c>
      <c r="H24" s="83">
        <f>IF(Likviditetsbudget!F41&lt;0,Likviditetsbudget!F41*-1+Resultatbudget!E34-Balance!G24,0)</f>
        <v>0</v>
      </c>
      <c r="I24" s="84">
        <f>Resultatbudget!E34-Likviditetsbudget!F44</f>
        <v>999.92802200000006</v>
      </c>
    </row>
    <row r="25" spans="1:10" x14ac:dyDescent="0.2">
      <c r="A25" s="50" t="s">
        <v>51</v>
      </c>
      <c r="B25" s="100">
        <f>SUM(B17:B24)</f>
        <v>3400</v>
      </c>
      <c r="C25" s="195"/>
      <c r="D25" s="196"/>
      <c r="E25" s="101">
        <f>SUM(E17:E24)</f>
        <v>3666.4</v>
      </c>
      <c r="F25" s="71" t="s">
        <v>60</v>
      </c>
      <c r="G25" s="89">
        <f>SUM(G16:G24)</f>
        <v>2300</v>
      </c>
      <c r="H25" s="89">
        <f>SUM(H16:H24)</f>
        <v>60</v>
      </c>
      <c r="I25" s="90">
        <f>SUM(I16:I24)</f>
        <v>3149.8480220000001</v>
      </c>
    </row>
    <row r="26" spans="1:10" ht="13.5" thickBot="1" x14ac:dyDescent="0.25">
      <c r="A26" s="13" t="s">
        <v>52</v>
      </c>
      <c r="B26" s="102">
        <f>SUM(B15:B24)</f>
        <v>5450</v>
      </c>
      <c r="C26" s="201"/>
      <c r="D26" s="202"/>
      <c r="E26" s="103">
        <f>SUM(E25+E15)</f>
        <v>6716.4001000000007</v>
      </c>
      <c r="F26" s="13" t="s">
        <v>61</v>
      </c>
      <c r="G26" s="91">
        <f>SUM(G25+G15+G9)</f>
        <v>5450</v>
      </c>
      <c r="H26" s="92"/>
      <c r="I26" s="93">
        <f>SUM(I25+I15+I9)</f>
        <v>6716.4000999999998</v>
      </c>
      <c r="J26" s="112"/>
    </row>
    <row r="27" spans="1:10" ht="13.5" thickTop="1" x14ac:dyDescent="0.2">
      <c r="A27" s="74"/>
      <c r="B27" s="75"/>
      <c r="C27" s="76"/>
      <c r="D27" s="76"/>
      <c r="E27" s="75"/>
      <c r="F27" s="74"/>
      <c r="G27" s="77"/>
      <c r="H27" s="24"/>
      <c r="I27" s="77"/>
    </row>
    <row r="28" spans="1:10" x14ac:dyDescent="0.2">
      <c r="A28" s="10" t="s">
        <v>68</v>
      </c>
      <c r="B28" s="203" t="s">
        <v>69</v>
      </c>
      <c r="C28" s="203"/>
      <c r="E28">
        <f>Resultatbudget!B2</f>
        <v>2018</v>
      </c>
      <c r="H28">
        <f>E28+1</f>
        <v>2019</v>
      </c>
    </row>
    <row r="29" spans="1:10" ht="13.5" thickBot="1" x14ac:dyDescent="0.25">
      <c r="B29" s="193" t="str">
        <f>Resultatbudget!A4</f>
        <v>Vareforbrug</v>
      </c>
      <c r="C29" s="193"/>
      <c r="E29" s="55">
        <f>Resultatbudget!B4</f>
        <v>4000</v>
      </c>
      <c r="F29" s="53" t="str">
        <f>CONCATENATE("=",ROUND((E29/E30),2),"  ", "gange")</f>
        <v>=5  gange</v>
      </c>
      <c r="H29" s="55">
        <f>Resultatbudget!E4</f>
        <v>3952</v>
      </c>
      <c r="I29" s="54">
        <f>H29/H30</f>
        <v>790.4</v>
      </c>
    </row>
    <row r="30" spans="1:10" x14ac:dyDescent="0.2">
      <c r="A30" s="10" t="str">
        <f>A17</f>
        <v>Varelager</v>
      </c>
      <c r="B30" s="192" t="str">
        <f>A30</f>
        <v>Varelager</v>
      </c>
      <c r="C30" s="192"/>
      <c r="E30" s="52">
        <f>B17</f>
        <v>800</v>
      </c>
      <c r="F30" s="53"/>
      <c r="H30" s="54">
        <f>E29/E30</f>
        <v>5</v>
      </c>
      <c r="I30" s="54"/>
    </row>
    <row r="31" spans="1:10" x14ac:dyDescent="0.2">
      <c r="F31" s="53"/>
      <c r="I31" s="54"/>
    </row>
    <row r="32" spans="1:10" ht="13.5" thickBot="1" x14ac:dyDescent="0.25">
      <c r="A32" s="10" t="str">
        <f>A18</f>
        <v>-</v>
      </c>
      <c r="B32" s="193" t="str">
        <f>IF(Resultatbudget!B5=0,"-",B33)</f>
        <v>-</v>
      </c>
      <c r="C32" s="193"/>
      <c r="E32" s="55" t="str">
        <f>IF(Resultatbudget!B5=0,"-",E33)</f>
        <v>-</v>
      </c>
      <c r="F32" s="53" t="str">
        <f>IF(Resultatbudget!B5=0,"-",F33)</f>
        <v>-</v>
      </c>
      <c r="H32" s="55" t="str">
        <f>IF(Resultatbudget!B5=0,"-",Resultatbudget!E4+Resultatbudget!E5)</f>
        <v>-</v>
      </c>
      <c r="I32" s="54" t="str">
        <f>IF(Resultatbudget!B5=0,"-",H33/H34)</f>
        <v>-</v>
      </c>
    </row>
    <row r="33" spans="1:9" ht="13.5" hidden="1" customHeight="1" thickBot="1" x14ac:dyDescent="0.25">
      <c r="A33" t="str">
        <f>A18</f>
        <v>-</v>
      </c>
      <c r="B33" s="193" t="str">
        <f>CONCATENATE(Resultatbudget!A4,"+",Resultatbudget!A5)</f>
        <v>Vareforbrug+-</v>
      </c>
      <c r="C33" s="193"/>
      <c r="E33" s="55">
        <f>Resultatbudget!B4+Resultatbudget!B5</f>
        <v>4000</v>
      </c>
      <c r="F33" s="53" t="e">
        <f>CONCATENATE("=", ROUND((E33/E34),2), "gange")</f>
        <v>#VALUE!</v>
      </c>
      <c r="H33">
        <f>Resultatbudget!E4+Resultatbudget!E5</f>
        <v>3952</v>
      </c>
      <c r="I33" s="54" t="e">
        <f>H33/H34</f>
        <v>#VALUE!</v>
      </c>
    </row>
    <row r="34" spans="1:9" x14ac:dyDescent="0.2">
      <c r="B34" s="192" t="str">
        <f>A18</f>
        <v>-</v>
      </c>
      <c r="C34" s="192"/>
      <c r="E34" t="str">
        <f>IF(Resultatbudget!B5=0,"-",B18)</f>
        <v>-</v>
      </c>
      <c r="F34" s="53"/>
      <c r="H34" t="str">
        <f>IF(Resultatbudget!B5=0,"-",E33/E34)</f>
        <v>-</v>
      </c>
      <c r="I34" s="54"/>
    </row>
    <row r="35" spans="1:9" x14ac:dyDescent="0.2">
      <c r="F35" s="53"/>
      <c r="I35" s="54"/>
    </row>
    <row r="36" spans="1:9" ht="13.5" thickBot="1" x14ac:dyDescent="0.25">
      <c r="A36" s="10" t="str">
        <f>A19</f>
        <v>-</v>
      </c>
      <c r="B36" s="193" t="str">
        <f>IF(Resultatbudget!B5=0,"-",B37)</f>
        <v>-</v>
      </c>
      <c r="C36" s="193"/>
      <c r="E36" s="55" t="str">
        <f>IF(Resultatbudget!B5=0,"-",Resultatbudget!B4+Resultatbudget!B5)</f>
        <v>-</v>
      </c>
      <c r="F36" s="53" t="str">
        <f>IF(E36="-","-",F37)</f>
        <v>-</v>
      </c>
      <c r="H36" s="55" t="str">
        <f>IF(Resultatbudget!B5=0,"-",Resultatbudget!E4+Resultatbudget!E5)</f>
        <v>-</v>
      </c>
      <c r="I36" s="54" t="str">
        <f>IF(E38="-","-",H37/H38)</f>
        <v>-</v>
      </c>
    </row>
    <row r="37" spans="1:9" ht="13.5" hidden="1" customHeight="1" thickBot="1" x14ac:dyDescent="0.25">
      <c r="A37" t="str">
        <f>A19</f>
        <v>-</v>
      </c>
      <c r="B37" s="193" t="str">
        <f>CONCATENATE(Resultatbudget!A4,"+",Resultatbudget!A5)</f>
        <v>Vareforbrug+-</v>
      </c>
      <c r="C37" s="193"/>
      <c r="E37">
        <f>E33</f>
        <v>4000</v>
      </c>
      <c r="F37" s="53" t="e">
        <f>CONCATENATE("=", ROUND((E37/E38),2), "gange")</f>
        <v>#VALUE!</v>
      </c>
      <c r="H37">
        <f>Resultatbudget!E4+Resultatbudget!E5</f>
        <v>3952</v>
      </c>
      <c r="I37" s="54" t="e">
        <f>H37/H38</f>
        <v>#VALUE!</v>
      </c>
    </row>
    <row r="38" spans="1:9" x14ac:dyDescent="0.2">
      <c r="B38" s="192" t="str">
        <f>IF(Resultatbudget!B5=0,"-",A37)</f>
        <v>-</v>
      </c>
      <c r="C38" s="192"/>
      <c r="E38" t="str">
        <f>IF(B19=0,"-",B19)</f>
        <v>-</v>
      </c>
      <c r="H38" t="str">
        <f>IF(E38="-","-",E37/E38)</f>
        <v>-</v>
      </c>
    </row>
    <row r="39" spans="1:9" x14ac:dyDescent="0.2">
      <c r="B39" s="65"/>
      <c r="C39" s="65"/>
      <c r="D39" s="65"/>
      <c r="E39" s="65"/>
      <c r="H39" s="65"/>
    </row>
    <row r="40" spans="1:9" ht="13.5" thickBot="1" x14ac:dyDescent="0.25">
      <c r="A40" s="10" t="str">
        <f>A20</f>
        <v>Varedebitorer</v>
      </c>
      <c r="B40" s="193" t="str">
        <f>IF(Resultatbudget!B36="incl. Moms",CONCATENATE(Resultatbudget!A3," * ", (1+Resultatbudget!C36)),CONCATENATE(Resultatbudget!A3,"   ",    "excl. moms"))</f>
        <v>Omsætning   excl. moms</v>
      </c>
      <c r="C40" s="193"/>
      <c r="E40" s="55">
        <f>IF(Resultatbudget!B36="incl. moms",Resultatbudget!B3*(1+Resultatbudget!C36),Resultatbudget!B3)</f>
        <v>8000</v>
      </c>
      <c r="F40" s="52" t="str">
        <f>CONCATENATE(ROUND((E40/E41),2),"  ","gange")</f>
        <v>5  gange</v>
      </c>
      <c r="H40" s="55">
        <f>IF(Resultatbudget!B36="incl. moms",Resultatbudget!E3*1.25,Resultatbudget!E3)</f>
        <v>7980</v>
      </c>
      <c r="I40" s="54">
        <f>H40/H41</f>
        <v>1596</v>
      </c>
    </row>
    <row r="41" spans="1:9" x14ac:dyDescent="0.2">
      <c r="B41" s="192" t="str">
        <f>A20</f>
        <v>Varedebitorer</v>
      </c>
      <c r="C41" s="192"/>
      <c r="E41" s="52">
        <f>B20</f>
        <v>1600</v>
      </c>
      <c r="F41" s="52"/>
      <c r="H41" s="54">
        <f>E40/E41</f>
        <v>5</v>
      </c>
      <c r="I41" s="54"/>
    </row>
    <row r="42" spans="1:9" x14ac:dyDescent="0.2">
      <c r="B42" s="65"/>
      <c r="C42" s="65"/>
      <c r="E42" s="65"/>
      <c r="F42" s="52"/>
      <c r="I42" s="54"/>
    </row>
    <row r="43" spans="1:9" ht="13.5" thickBot="1" x14ac:dyDescent="0.25">
      <c r="A43" s="10" t="str">
        <f>F17</f>
        <v>Varekreditorer</v>
      </c>
      <c r="B43" s="193" t="str">
        <f>IF(Resultatbudget!B36="excl. moms","Varekøb excl.. moms",CONCATENATE("Varekøb"," * ",(1+Resultatbudget!C36)))</f>
        <v>Varekøb excl.. moms</v>
      </c>
      <c r="C43" s="193"/>
      <c r="E43" s="66">
        <f>IF(Resultatbudget!B36="excl. Moms",E47,E47*(1+Resultatbudget!C36))</f>
        <v>4000</v>
      </c>
      <c r="F43" s="52" t="str">
        <f>CONCATENATE(ROUND((E43/E44),2),"  ","gange")</f>
        <v>5,71  gange</v>
      </c>
      <c r="H43" s="55">
        <f>IF(Resultatbudget!B36="excl. Moms",E48,E48*1.25)</f>
        <v>3942.3999999999996</v>
      </c>
      <c r="I43" s="54">
        <f>H43/H44</f>
        <v>689.92</v>
      </c>
    </row>
    <row r="44" spans="1:9" x14ac:dyDescent="0.2">
      <c r="B44" s="192" t="str">
        <f>F17</f>
        <v>Varekreditorer</v>
      </c>
      <c r="C44" s="192"/>
      <c r="E44" s="52">
        <f>G17</f>
        <v>700</v>
      </c>
      <c r="H44" s="60">
        <f>E43/E44</f>
        <v>5.7142857142857144</v>
      </c>
    </row>
    <row r="46" spans="1:9" x14ac:dyDescent="0.2">
      <c r="A46" s="67" t="s">
        <v>70</v>
      </c>
      <c r="B46" s="10" t="str">
        <f>Resultatbudget!A4</f>
        <v>Vareforbrug</v>
      </c>
      <c r="C46" s="10" t="str">
        <f>CONCATENATE("+","  ",A17,"  ","ultimo","  "," - ",A17,"  ","primo")</f>
        <v>+  Varelager  ultimo   - Varelager  primo</v>
      </c>
      <c r="D46" s="10"/>
      <c r="E46" s="10"/>
      <c r="F46" s="10"/>
    </row>
    <row r="47" spans="1:9" x14ac:dyDescent="0.2">
      <c r="A47" s="56" t="str">
        <f>CONCATENATE("Varekøb"," ",Resultatbudget!B2)</f>
        <v>Varekøb 2018</v>
      </c>
      <c r="B47">
        <f>Resultatbudget!B4</f>
        <v>4000</v>
      </c>
      <c r="C47" t="str">
        <f>CONCATENATE("+","  ",B17)</f>
        <v>+  800</v>
      </c>
      <c r="D47" t="str">
        <f>CONCATENATE("-","  ",B17)</f>
        <v>-  800</v>
      </c>
      <c r="E47" s="52">
        <f>B47+B17-B17</f>
        <v>4000</v>
      </c>
      <c r="F47" t="str">
        <f>CONCATENATE("Det forudsættes at der ikke er lagerændringer fra primo"," ",Resultatbudget!B2," ","til ultimo"," ",Resultatbudget!B2)</f>
        <v>Det forudsættes at der ikke er lagerændringer fra primo 2018 til ultimo 2018</v>
      </c>
    </row>
    <row r="48" spans="1:9" x14ac:dyDescent="0.2">
      <c r="A48" s="56" t="str">
        <f>CONCATENATE("Varekøb"," ",Resultatbudget!B2+1)</f>
        <v>Varekøb 2019</v>
      </c>
      <c r="B48" s="61">
        <f>Resultatbudget!E4</f>
        <v>3952</v>
      </c>
      <c r="C48" t="str">
        <f>CONCATENATE("+","  ",E17)</f>
        <v>+  790,4</v>
      </c>
      <c r="D48" t="str">
        <f>CONCATENATE("-","  ",B17)</f>
        <v>-  800</v>
      </c>
      <c r="E48" s="52">
        <f>B48+E17-B17</f>
        <v>3942.3999999999996</v>
      </c>
    </row>
  </sheetData>
  <mergeCells count="25">
    <mergeCell ref="B44:C44"/>
    <mergeCell ref="C20:D20"/>
    <mergeCell ref="C21:D21"/>
    <mergeCell ref="C22:D22"/>
    <mergeCell ref="B32:C32"/>
    <mergeCell ref="C23:D23"/>
    <mergeCell ref="C24:D24"/>
    <mergeCell ref="C25:D25"/>
    <mergeCell ref="B38:C38"/>
    <mergeCell ref="C26:D26"/>
    <mergeCell ref="B33:C33"/>
    <mergeCell ref="B34:C34"/>
    <mergeCell ref="B28:C28"/>
    <mergeCell ref="B29:C29"/>
    <mergeCell ref="B30:C30"/>
    <mergeCell ref="B36:C36"/>
    <mergeCell ref="B37:C37"/>
    <mergeCell ref="A1:I1"/>
    <mergeCell ref="B40:C40"/>
    <mergeCell ref="B41:C41"/>
    <mergeCell ref="B43:C43"/>
    <mergeCell ref="C16:D16"/>
    <mergeCell ref="C17:D17"/>
    <mergeCell ref="C18:D18"/>
    <mergeCell ref="C19:D19"/>
  </mergeCells>
  <phoneticPr fontId="0" type="noConversion"/>
  <pageMargins left="0.78740157480314965" right="0.78740157480314965" top="0.19685039370078741" bottom="0.39370078740157483" header="0" footer="0"/>
  <pageSetup paperSize="9" scale="94" orientation="landscape" horizontalDpi="300" verticalDpi="300" r:id="rId1"/>
  <headerFooter alignWithMargins="0"/>
  <ignoredErrors>
    <ignoredError sqref="I1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7"/>
  <sheetViews>
    <sheetView workbookViewId="0">
      <selection sqref="A1:F1"/>
    </sheetView>
  </sheetViews>
  <sheetFormatPr defaultRowHeight="12.75" x14ac:dyDescent="0.2"/>
  <cols>
    <col min="1" max="1" width="13.140625" bestFit="1" customWidth="1"/>
    <col min="2" max="2" width="18.85546875" customWidth="1"/>
    <col min="3" max="3" width="15.28515625" customWidth="1"/>
    <col min="4" max="4" width="16" customWidth="1"/>
    <col min="5" max="5" width="14.42578125" customWidth="1"/>
    <col min="6" max="6" width="15.7109375" customWidth="1"/>
  </cols>
  <sheetData>
    <row r="1" spans="1:6" ht="23.25" x14ac:dyDescent="0.35">
      <c r="A1" s="194" t="str">
        <f>CONCATENATE("Likviditetsbudget for ",Resultatbudget!B2+1)</f>
        <v>Likviditetsbudget for 2019</v>
      </c>
      <c r="B1" s="204"/>
      <c r="C1" s="204"/>
      <c r="D1" s="204"/>
      <c r="E1" s="204"/>
      <c r="F1" s="204"/>
    </row>
    <row r="2" spans="1:6" ht="18" x14ac:dyDescent="0.25">
      <c r="A2" s="1" t="s">
        <v>17</v>
      </c>
      <c r="B2" s="1"/>
      <c r="C2" s="1"/>
      <c r="D2" s="1"/>
      <c r="E2" s="1"/>
      <c r="F2" s="2">
        <f>Resultatbudget!E16</f>
        <v>978</v>
      </c>
    </row>
    <row r="3" spans="1:6" ht="18" x14ac:dyDescent="0.25">
      <c r="A3" s="3" t="s">
        <v>14</v>
      </c>
      <c r="B3" s="3"/>
      <c r="C3" s="3"/>
      <c r="D3" s="6" t="s">
        <v>0</v>
      </c>
      <c r="E3" s="6" t="s">
        <v>1</v>
      </c>
      <c r="F3" s="4"/>
    </row>
    <row r="4" spans="1:6" ht="18" x14ac:dyDescent="0.25">
      <c r="A4" s="205" t="str">
        <f>Balance!A17</f>
        <v>Varelager</v>
      </c>
      <c r="B4" s="205"/>
      <c r="C4" s="3"/>
      <c r="D4" s="4">
        <f>Balance!B17</f>
        <v>800</v>
      </c>
      <c r="E4" s="4">
        <f>Balance!E17</f>
        <v>790.4</v>
      </c>
      <c r="F4" s="4">
        <f t="shared" ref="F4:F10" si="0">D4-E4</f>
        <v>9.6000000000000227</v>
      </c>
    </row>
    <row r="5" spans="1:6" ht="18" x14ac:dyDescent="0.25">
      <c r="A5" s="205" t="str">
        <f>Balance!A18</f>
        <v>-</v>
      </c>
      <c r="B5" s="205"/>
      <c r="C5" s="3"/>
      <c r="D5" s="4">
        <f>Balance!B18</f>
        <v>0</v>
      </c>
      <c r="E5" s="4">
        <f>Balance!E18</f>
        <v>0</v>
      </c>
      <c r="F5" s="4">
        <f t="shared" si="0"/>
        <v>0</v>
      </c>
    </row>
    <row r="6" spans="1:6" ht="18" x14ac:dyDescent="0.25">
      <c r="A6" s="205" t="str">
        <f>Balance!A19</f>
        <v>-</v>
      </c>
      <c r="B6" s="205"/>
      <c r="C6" s="3"/>
      <c r="D6" s="4">
        <f>Balance!B19</f>
        <v>0</v>
      </c>
      <c r="E6" s="4">
        <f>Balance!E19</f>
        <v>0</v>
      </c>
      <c r="F6" s="4">
        <f t="shared" si="0"/>
        <v>0</v>
      </c>
    </row>
    <row r="7" spans="1:6" ht="18" x14ac:dyDescent="0.25">
      <c r="A7" s="205" t="str">
        <f>Balance!A20</f>
        <v>Varedebitorer</v>
      </c>
      <c r="B7" s="205"/>
      <c r="C7" s="3"/>
      <c r="D7" s="4">
        <f>Balance!B20</f>
        <v>1600</v>
      </c>
      <c r="E7" s="4">
        <f>Balance!E20</f>
        <v>1596</v>
      </c>
      <c r="F7" s="4">
        <f t="shared" si="0"/>
        <v>4</v>
      </c>
    </row>
    <row r="8" spans="1:6" ht="18" x14ac:dyDescent="0.25">
      <c r="A8" s="205" t="str">
        <f>Balance!A21</f>
        <v>Periodeafg.</v>
      </c>
      <c r="B8" s="205"/>
      <c r="C8" s="3"/>
      <c r="D8" s="4">
        <f>Balance!B21</f>
        <v>0</v>
      </c>
      <c r="E8" s="4">
        <f>Balance!E21</f>
        <v>0</v>
      </c>
      <c r="F8" s="4">
        <f t="shared" si="0"/>
        <v>0</v>
      </c>
    </row>
    <row r="9" spans="1:6" ht="18" x14ac:dyDescent="0.25">
      <c r="A9" s="205" t="str">
        <f>Balance!A22</f>
        <v>Værdipapirer</v>
      </c>
      <c r="B9" s="205"/>
      <c r="C9" s="3"/>
      <c r="D9" s="4">
        <f>Balance!B22</f>
        <v>0</v>
      </c>
      <c r="E9" s="4">
        <f>Balance!E22</f>
        <v>0</v>
      </c>
      <c r="F9" s="4">
        <f t="shared" si="0"/>
        <v>0</v>
      </c>
    </row>
    <row r="10" spans="1:6" ht="18" x14ac:dyDescent="0.25">
      <c r="A10" s="205" t="str">
        <f>Balance!A23</f>
        <v>Andre debitorer</v>
      </c>
      <c r="B10" s="205"/>
      <c r="C10" s="3"/>
      <c r="D10" s="4">
        <f>Balance!B23</f>
        <v>0</v>
      </c>
      <c r="E10" s="4">
        <f>Balance!E23</f>
        <v>0</v>
      </c>
      <c r="F10" s="4">
        <f t="shared" si="0"/>
        <v>0</v>
      </c>
    </row>
    <row r="11" spans="1:6" ht="18" x14ac:dyDescent="0.25">
      <c r="A11" s="3" t="s">
        <v>18</v>
      </c>
      <c r="B11" s="3"/>
      <c r="C11" s="3"/>
      <c r="D11" s="4"/>
      <c r="E11" s="4"/>
      <c r="F11" s="4"/>
    </row>
    <row r="12" spans="1:6" ht="18" x14ac:dyDescent="0.25">
      <c r="A12" s="205" t="str">
        <f>Balance!F17</f>
        <v>Varekreditorer</v>
      </c>
      <c r="B12" s="205"/>
      <c r="C12" s="3"/>
      <c r="D12" s="4">
        <f>Balance!G17</f>
        <v>700</v>
      </c>
      <c r="E12" s="4">
        <f>Balance!I17</f>
        <v>689.92</v>
      </c>
      <c r="F12" s="4">
        <f t="shared" ref="F12:F18" si="1">E12-D12</f>
        <v>-10.080000000000041</v>
      </c>
    </row>
    <row r="13" spans="1:6" ht="18" x14ac:dyDescent="0.25">
      <c r="A13" s="205" t="str">
        <f>Balance!F18</f>
        <v>Realkreditinstitutter</v>
      </c>
      <c r="B13" s="205"/>
      <c r="C13" s="3"/>
      <c r="D13" s="4">
        <f>Balance!G18</f>
        <v>0</v>
      </c>
      <c r="E13" s="4">
        <f>Balance!I18</f>
        <v>0</v>
      </c>
      <c r="F13" s="4">
        <f t="shared" si="1"/>
        <v>0</v>
      </c>
    </row>
    <row r="14" spans="1:6" ht="18" x14ac:dyDescent="0.25">
      <c r="A14" s="205" t="str">
        <f>Balance!F19</f>
        <v>Forudbetalinger</v>
      </c>
      <c r="B14" s="205"/>
      <c r="C14" s="3"/>
      <c r="D14" s="4">
        <f>Balance!G19</f>
        <v>0</v>
      </c>
      <c r="E14" s="4">
        <f>Balance!I19</f>
        <v>0</v>
      </c>
      <c r="F14" s="4">
        <f t="shared" si="1"/>
        <v>0</v>
      </c>
    </row>
    <row r="15" spans="1:6" ht="18" x14ac:dyDescent="0.25">
      <c r="A15" s="205" t="str">
        <f>Balance!F20</f>
        <v>Anden gæld</v>
      </c>
      <c r="B15" s="205"/>
      <c r="C15" s="3"/>
      <c r="D15" s="4">
        <f>Balance!G20</f>
        <v>600</v>
      </c>
      <c r="E15" s="4">
        <f>Balance!I20</f>
        <v>660</v>
      </c>
      <c r="F15" s="4">
        <f t="shared" si="1"/>
        <v>60</v>
      </c>
    </row>
    <row r="16" spans="1:6" ht="18" x14ac:dyDescent="0.25">
      <c r="A16" s="205" t="str">
        <f>Balance!F21</f>
        <v>Andre kreditorer</v>
      </c>
      <c r="B16" s="205"/>
      <c r="C16" s="3"/>
      <c r="D16" s="4">
        <f>Balance!G21</f>
        <v>0</v>
      </c>
      <c r="E16" s="4">
        <f>Balance!I21</f>
        <v>0</v>
      </c>
      <c r="F16" s="4">
        <f t="shared" si="1"/>
        <v>0</v>
      </c>
    </row>
    <row r="17" spans="1:6" ht="18" x14ac:dyDescent="0.25">
      <c r="A17" s="205" t="str">
        <f>Balance!F22</f>
        <v>Øvrig kortfristet gæld</v>
      </c>
      <c r="B17" s="205"/>
      <c r="C17" s="3"/>
      <c r="D17" s="4">
        <f>Balance!G22</f>
        <v>800</v>
      </c>
      <c r="E17" s="4">
        <f>Balance!I22</f>
        <v>800</v>
      </c>
      <c r="F17" s="4">
        <f t="shared" si="1"/>
        <v>0</v>
      </c>
    </row>
    <row r="18" spans="1:6" ht="18" x14ac:dyDescent="0.25">
      <c r="A18" s="205" t="str">
        <f>Balance!F23</f>
        <v>Momsgæld</v>
      </c>
      <c r="B18" s="205"/>
      <c r="C18" s="3"/>
      <c r="D18" s="4">
        <f>Balance!G23</f>
        <v>0</v>
      </c>
      <c r="E18" s="4">
        <f>Balance!I23</f>
        <v>0</v>
      </c>
      <c r="F18" s="4">
        <f t="shared" si="1"/>
        <v>0</v>
      </c>
    </row>
    <row r="19" spans="1:6" ht="18" x14ac:dyDescent="0.25">
      <c r="A19" s="57" t="str">
        <f>Resultatbudget!A19</f>
        <v>Renteomkostninger</v>
      </c>
      <c r="B19" s="57"/>
      <c r="C19" s="3"/>
      <c r="D19" s="4"/>
      <c r="E19" s="4"/>
      <c r="F19" s="4">
        <f>Resultatbudget!E19*-1</f>
        <v>-69.599999999999994</v>
      </c>
    </row>
    <row r="20" spans="1:6" ht="18" x14ac:dyDescent="0.25">
      <c r="A20" s="57" t="str">
        <f>Resultatbudget!A20</f>
        <v>Renteindtægter</v>
      </c>
      <c r="B20" s="57"/>
      <c r="C20" s="3"/>
      <c r="D20" s="4"/>
      <c r="E20" s="4"/>
      <c r="F20" s="4">
        <f>Resultatbudget!E20</f>
        <v>0</v>
      </c>
    </row>
    <row r="21" spans="1:6" ht="18" x14ac:dyDescent="0.25">
      <c r="A21" s="1" t="s">
        <v>4</v>
      </c>
      <c r="B21" s="1"/>
      <c r="C21" s="1"/>
      <c r="D21" s="1"/>
      <c r="E21" s="1"/>
      <c r="F21" s="7">
        <f>SUM(F2:F20)</f>
        <v>971.92</v>
      </c>
    </row>
    <row r="22" spans="1:6" ht="18" x14ac:dyDescent="0.25">
      <c r="A22" s="3" t="s">
        <v>15</v>
      </c>
      <c r="B22" s="3"/>
      <c r="C22" s="3"/>
      <c r="D22" s="3"/>
      <c r="E22" s="3"/>
      <c r="F22" s="3"/>
    </row>
    <row r="23" spans="1:6" ht="18" x14ac:dyDescent="0.25">
      <c r="A23" s="3" t="s">
        <v>16</v>
      </c>
      <c r="B23" s="3"/>
      <c r="C23" s="3"/>
      <c r="D23" s="3"/>
      <c r="E23" s="3"/>
      <c r="F23" s="3">
        <f>Balance!C15*-1</f>
        <v>-1400</v>
      </c>
    </row>
    <row r="24" spans="1:6" ht="18" x14ac:dyDescent="0.25">
      <c r="A24" s="1" t="s">
        <v>5</v>
      </c>
      <c r="B24" s="3"/>
      <c r="C24" s="3"/>
      <c r="D24" s="3"/>
      <c r="E24" s="3"/>
      <c r="F24" s="3"/>
    </row>
    <row r="25" spans="1:6" ht="18" x14ac:dyDescent="0.25">
      <c r="A25" s="3" t="str">
        <f>Balance!F12</f>
        <v>Nyt lån til investeringer</v>
      </c>
      <c r="B25" s="3"/>
      <c r="C25" s="3"/>
      <c r="D25" s="3"/>
      <c r="E25" s="3"/>
      <c r="F25" s="3">
        <f>Balance!H12</f>
        <v>500</v>
      </c>
    </row>
    <row r="26" spans="1:6" ht="18" x14ac:dyDescent="0.25">
      <c r="A26" s="3" t="str">
        <f>Resultatbudget!A38</f>
        <v>Aktie emmision</v>
      </c>
      <c r="B26" s="3"/>
      <c r="C26" s="3"/>
      <c r="D26" s="3"/>
      <c r="E26" s="3"/>
      <c r="F26" s="3">
        <f>Resultatbudget!C38</f>
        <v>0</v>
      </c>
    </row>
    <row r="27" spans="1:6" ht="18" x14ac:dyDescent="0.25">
      <c r="A27" s="1" t="s">
        <v>7</v>
      </c>
      <c r="B27" s="3"/>
      <c r="C27" s="3"/>
      <c r="D27" s="3"/>
      <c r="E27" s="3"/>
      <c r="F27" s="3"/>
    </row>
    <row r="28" spans="1:6" ht="18" x14ac:dyDescent="0.25">
      <c r="A28" s="205" t="str">
        <f>Balance!F13</f>
        <v>Banklån</v>
      </c>
      <c r="B28" s="205"/>
      <c r="C28" s="3"/>
      <c r="D28" s="3"/>
      <c r="E28" s="3"/>
      <c r="F28" s="3">
        <f>Balance!H13</f>
        <v>-280</v>
      </c>
    </row>
    <row r="29" spans="1:6" ht="18" x14ac:dyDescent="0.25">
      <c r="A29" s="205" t="str">
        <f>Balance!F14</f>
        <v>Realkreditinstitutter</v>
      </c>
      <c r="B29" s="205"/>
      <c r="C29" s="3"/>
      <c r="D29" s="3"/>
      <c r="E29" s="3"/>
      <c r="F29" s="3">
        <f>Balance!H14</f>
        <v>0</v>
      </c>
    </row>
    <row r="30" spans="1:6" ht="18" x14ac:dyDescent="0.25">
      <c r="A30" s="3" t="str">
        <f>Balance!F7</f>
        <v>Privatforbrug</v>
      </c>
      <c r="B30" s="3"/>
      <c r="C30" s="3"/>
      <c r="D30" s="3"/>
      <c r="E30" s="3"/>
      <c r="F30" s="3">
        <f>(Balance!I7)*-1</f>
        <v>0</v>
      </c>
    </row>
    <row r="31" spans="1:6" ht="18" x14ac:dyDescent="0.25">
      <c r="A31" s="3" t="str">
        <f>IF(Resultatbudget!B28&gt;0,CONCATENATE("Udbytte udbetales 100% fra år ",Resultatbudget!B2),"-")</f>
        <v>Udbytte udbetales 100% fra år 2018</v>
      </c>
      <c r="B31" s="3"/>
      <c r="C31" s="3"/>
      <c r="D31" s="3"/>
      <c r="E31" s="3"/>
      <c r="F31" s="3">
        <f>Balance!G8*-1</f>
        <v>-200</v>
      </c>
    </row>
    <row r="32" spans="1:6" ht="18" x14ac:dyDescent="0.25">
      <c r="A32" s="3" t="str">
        <f>Resultatbudget!A24</f>
        <v>Skat</v>
      </c>
      <c r="B32" s="3"/>
      <c r="C32" s="3"/>
      <c r="D32" s="3"/>
      <c r="E32" s="3"/>
      <c r="F32" s="58">
        <f>Resultatbudget!E24*-1</f>
        <v>-111.84802199999999</v>
      </c>
    </row>
    <row r="33" spans="1:6" ht="18" x14ac:dyDescent="0.25">
      <c r="A33" s="3" t="str">
        <f>IF(Resultatbudget!C34=0,"-","Ændring af kassekredit max.")</f>
        <v>-</v>
      </c>
      <c r="B33" s="3"/>
      <c r="C33" s="3"/>
      <c r="D33" s="3"/>
      <c r="E33" s="3"/>
      <c r="F33" s="62">
        <f>Resultatbudget!C34</f>
        <v>0</v>
      </c>
    </row>
    <row r="34" spans="1:6" ht="18" x14ac:dyDescent="0.25">
      <c r="A34" s="1" t="s">
        <v>10</v>
      </c>
      <c r="B34" s="1"/>
      <c r="C34" s="1"/>
      <c r="D34" s="1"/>
      <c r="E34" s="1"/>
      <c r="F34" s="8">
        <f>SUM(F21:F33)</f>
        <v>-519.92802200000006</v>
      </c>
    </row>
    <row r="35" spans="1:6" ht="18" x14ac:dyDescent="0.25">
      <c r="A35" s="3" t="s">
        <v>12</v>
      </c>
      <c r="B35" s="3"/>
      <c r="C35" s="3"/>
      <c r="D35" s="3"/>
      <c r="E35" s="3"/>
      <c r="F35" s="3"/>
    </row>
    <row r="36" spans="1:6" ht="18" hidden="1" x14ac:dyDescent="0.25">
      <c r="A36" s="3" t="s">
        <v>13</v>
      </c>
      <c r="B36" s="3"/>
      <c r="C36" s="3">
        <v>2000</v>
      </c>
      <c r="D36" s="3"/>
      <c r="E36" s="3"/>
      <c r="F36" s="3"/>
    </row>
    <row r="37" spans="1:6" ht="18" hidden="1" x14ac:dyDescent="0.25">
      <c r="A37" s="3" t="s">
        <v>20</v>
      </c>
      <c r="B37" s="3"/>
      <c r="C37" s="3">
        <v>1500</v>
      </c>
      <c r="D37" s="3"/>
      <c r="E37" s="3"/>
      <c r="F37" s="3"/>
    </row>
    <row r="38" spans="1:6" ht="18" x14ac:dyDescent="0.25">
      <c r="A38" s="3"/>
      <c r="B38" s="3"/>
      <c r="C38" s="3" t="str">
        <f>IF(Resultatbudget!$B$34&gt;0,"Gæld Primo","")</f>
        <v>Gæld Primo</v>
      </c>
      <c r="D38" s="3" t="str">
        <f>IF(Resultatbudget!$B$34&gt;0,"Max. Primo","")</f>
        <v>Max. Primo</v>
      </c>
      <c r="E38" s="3"/>
      <c r="F38" s="3"/>
    </row>
    <row r="39" spans="1:6" ht="18" x14ac:dyDescent="0.25">
      <c r="A39" s="3" t="str">
        <f>IF(Resultatbudget!B34&gt;0,"Kassekredit disponibel","-")</f>
        <v>Kassekredit disponibel</v>
      </c>
      <c r="B39" s="3"/>
      <c r="C39" s="3">
        <f>IF(Resultatbudget!B34&gt;0,Resultatbudget!B34,"")</f>
        <v>1000</v>
      </c>
      <c r="D39" s="3">
        <f>IF(Resultatbudget!B34&gt;0,Balance!G24,"")</f>
        <v>200</v>
      </c>
      <c r="E39" s="3"/>
      <c r="F39" s="3">
        <f>IF(Resultatbudget!B34&gt;0,C39-D39,0)</f>
        <v>800</v>
      </c>
    </row>
    <row r="40" spans="1:6" ht="18" x14ac:dyDescent="0.25">
      <c r="A40" s="5" t="s">
        <v>22</v>
      </c>
      <c r="B40" s="3"/>
      <c r="C40" s="3"/>
      <c r="D40" s="3"/>
      <c r="E40" s="3"/>
      <c r="F40" s="3">
        <f>Balance!B24</f>
        <v>1000</v>
      </c>
    </row>
    <row r="41" spans="1:6" ht="18.75" thickBot="1" x14ac:dyDescent="0.3">
      <c r="A41" s="1" t="s">
        <v>11</v>
      </c>
      <c r="B41" s="1"/>
      <c r="C41" s="1"/>
      <c r="D41" s="1"/>
      <c r="E41" s="1"/>
      <c r="F41" s="9">
        <f>SUM(F34:F40)</f>
        <v>1280.0719779999999</v>
      </c>
    </row>
    <row r="42" spans="1:6" ht="18.75" thickTop="1" x14ac:dyDescent="0.25">
      <c r="A42" s="1" t="s">
        <v>81</v>
      </c>
      <c r="B42" s="1"/>
      <c r="C42" s="1"/>
      <c r="D42" s="1"/>
      <c r="E42" s="1"/>
      <c r="F42" s="109"/>
    </row>
    <row r="43" spans="1:6" ht="18" x14ac:dyDescent="0.25">
      <c r="A43" s="3" t="s">
        <v>86</v>
      </c>
      <c r="B43" s="3"/>
      <c r="C43" s="3"/>
      <c r="D43" s="3"/>
      <c r="E43" s="3"/>
      <c r="F43" s="113">
        <v>1280</v>
      </c>
    </row>
    <row r="44" spans="1:6" ht="18" x14ac:dyDescent="0.25">
      <c r="A44" s="3" t="s">
        <v>85</v>
      </c>
      <c r="F44" s="110">
        <f>F41-F43</f>
        <v>7.1977999999944586E-2</v>
      </c>
    </row>
    <row r="49" spans="1:4" ht="18" x14ac:dyDescent="0.25">
      <c r="A49" s="3"/>
    </row>
    <row r="51" spans="1:4" x14ac:dyDescent="0.2">
      <c r="A51" s="65"/>
      <c r="B51" s="65"/>
      <c r="C51" s="65"/>
      <c r="D51" s="65"/>
    </row>
    <row r="52" spans="1:4" x14ac:dyDescent="0.2">
      <c r="A52" s="65"/>
      <c r="B52" s="65"/>
      <c r="C52" s="65"/>
      <c r="D52" s="65"/>
    </row>
    <row r="53" spans="1:4" x14ac:dyDescent="0.2">
      <c r="A53" s="65"/>
      <c r="B53" s="65"/>
      <c r="C53" s="65"/>
      <c r="D53" s="65"/>
    </row>
    <row r="54" spans="1:4" ht="18" x14ac:dyDescent="0.25">
      <c r="A54" s="68"/>
      <c r="B54" s="68"/>
      <c r="C54" s="68"/>
      <c r="D54" s="65"/>
    </row>
    <row r="55" spans="1:4" ht="18" x14ac:dyDescent="0.25">
      <c r="A55" s="69"/>
      <c r="B55" s="68"/>
      <c r="C55" s="70"/>
      <c r="D55" s="65"/>
    </row>
    <row r="56" spans="1:4" ht="18" x14ac:dyDescent="0.25">
      <c r="A56" s="69"/>
      <c r="B56" s="68"/>
      <c r="C56" s="70"/>
      <c r="D56" s="65"/>
    </row>
    <row r="57" spans="1:4" ht="18" x14ac:dyDescent="0.25">
      <c r="A57" s="69"/>
      <c r="B57" s="68"/>
      <c r="C57" s="70"/>
      <c r="D57" s="65"/>
    </row>
    <row r="58" spans="1:4" ht="18" x14ac:dyDescent="0.25">
      <c r="A58" s="69"/>
      <c r="B58" s="68"/>
      <c r="C58" s="70"/>
      <c r="D58" s="65"/>
    </row>
    <row r="59" spans="1:4" ht="18" x14ac:dyDescent="0.25">
      <c r="A59" s="68"/>
      <c r="B59" s="68"/>
      <c r="C59" s="70"/>
      <c r="D59" s="65"/>
    </row>
    <row r="60" spans="1:4" x14ac:dyDescent="0.2">
      <c r="A60" s="65"/>
      <c r="B60" s="65"/>
      <c r="C60" s="65"/>
      <c r="D60" s="65"/>
    </row>
    <row r="61" spans="1:4" x14ac:dyDescent="0.2">
      <c r="A61" s="65"/>
      <c r="B61" s="65"/>
      <c r="C61" s="65"/>
      <c r="D61" s="65"/>
    </row>
    <row r="62" spans="1:4" x14ac:dyDescent="0.2">
      <c r="A62" s="65"/>
      <c r="B62" s="65"/>
      <c r="C62" s="65"/>
      <c r="D62" s="65"/>
    </row>
    <row r="63" spans="1:4" x14ac:dyDescent="0.2">
      <c r="A63" s="65"/>
      <c r="B63" s="65"/>
      <c r="C63" s="65"/>
      <c r="D63" s="65"/>
    </row>
    <row r="64" spans="1:4" x14ac:dyDescent="0.2">
      <c r="A64" s="65"/>
      <c r="B64" s="65"/>
      <c r="C64" s="65"/>
      <c r="D64" s="65"/>
    </row>
    <row r="65" spans="1:4" x14ac:dyDescent="0.2">
      <c r="A65" s="65"/>
      <c r="B65" s="65"/>
      <c r="C65" s="65"/>
      <c r="D65" s="65"/>
    </row>
    <row r="66" spans="1:4" x14ac:dyDescent="0.2">
      <c r="A66" s="65"/>
      <c r="B66" s="65"/>
      <c r="C66" s="65"/>
      <c r="D66" s="65"/>
    </row>
    <row r="67" spans="1:4" x14ac:dyDescent="0.2">
      <c r="A67" s="65"/>
      <c r="B67" s="65"/>
      <c r="C67" s="65"/>
      <c r="D67" s="65"/>
    </row>
  </sheetData>
  <mergeCells count="17">
    <mergeCell ref="A18:B18"/>
    <mergeCell ref="A1:F1"/>
    <mergeCell ref="A28:B28"/>
    <mergeCell ref="A29:B29"/>
    <mergeCell ref="A16:B16"/>
    <mergeCell ref="A17:B17"/>
    <mergeCell ref="A4:B4"/>
    <mergeCell ref="A5:B5"/>
    <mergeCell ref="A6:B6"/>
    <mergeCell ref="A7:B7"/>
    <mergeCell ref="A13:B13"/>
    <mergeCell ref="A14:B14"/>
    <mergeCell ref="A15:B15"/>
    <mergeCell ref="A8:B8"/>
    <mergeCell ref="A9:B9"/>
    <mergeCell ref="A10:B10"/>
    <mergeCell ref="A12:B12"/>
  </mergeCells>
  <phoneticPr fontId="0" type="noConversion"/>
  <pageMargins left="0.59055118110236227" right="0.59055118110236227" top="0.59055118110236227" bottom="0.39370078740157483" header="0" footer="0"/>
  <pageSetup paperSize="9" scale="98"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1"/>
  <sheetViews>
    <sheetView workbookViewId="0">
      <pane xSplit="1" ySplit="2" topLeftCell="B3" activePane="bottomRight" state="frozen"/>
      <selection pane="topRight" activeCell="B1" sqref="B1"/>
      <selection pane="bottomLeft" activeCell="A2" sqref="A2"/>
      <selection pane="bottomRight" activeCell="A2" sqref="A2"/>
    </sheetView>
  </sheetViews>
  <sheetFormatPr defaultRowHeight="12.75" x14ac:dyDescent="0.2"/>
  <cols>
    <col min="1" max="1" width="30.42578125" style="116" customWidth="1"/>
    <col min="2" max="2" width="14" style="116" customWidth="1"/>
    <col min="3" max="3" width="10.28515625" style="116" bestFit="1" customWidth="1"/>
    <col min="4" max="4" width="11.140625" style="116" bestFit="1" customWidth="1"/>
    <col min="5" max="9" width="10.42578125" style="116" bestFit="1" customWidth="1"/>
    <col min="10" max="10" width="11.140625" style="116" bestFit="1" customWidth="1"/>
    <col min="11" max="15" width="10.42578125" style="116" bestFit="1" customWidth="1"/>
    <col min="16" max="16384" width="9.140625" style="116"/>
  </cols>
  <sheetData>
    <row r="1" spans="1:15" ht="21" thickBot="1" x14ac:dyDescent="0.35">
      <c r="A1" s="206" t="s">
        <v>141</v>
      </c>
      <c r="B1" s="206"/>
      <c r="C1" s="206"/>
      <c r="D1" s="206"/>
      <c r="E1" s="206"/>
      <c r="F1" s="206"/>
      <c r="G1" s="206"/>
      <c r="H1" s="206"/>
      <c r="I1" s="206"/>
      <c r="J1" s="206"/>
      <c r="K1" s="206"/>
      <c r="L1" s="206"/>
      <c r="M1" s="206"/>
      <c r="N1" s="206"/>
      <c r="O1" s="206"/>
    </row>
    <row r="2" spans="1:15" ht="18" x14ac:dyDescent="0.25">
      <c r="A2" s="117" t="s">
        <v>89</v>
      </c>
      <c r="B2" s="164" t="s">
        <v>90</v>
      </c>
      <c r="C2" s="175" t="s">
        <v>91</v>
      </c>
      <c r="D2" s="118" t="s">
        <v>92</v>
      </c>
      <c r="E2" s="118" t="s">
        <v>93</v>
      </c>
      <c r="F2" s="118" t="s">
        <v>94</v>
      </c>
      <c r="G2" s="118" t="s">
        <v>95</v>
      </c>
      <c r="H2" s="118" t="s">
        <v>96</v>
      </c>
      <c r="I2" s="118" t="s">
        <v>97</v>
      </c>
      <c r="J2" s="118" t="s">
        <v>98</v>
      </c>
      <c r="K2" s="118" t="s">
        <v>99</v>
      </c>
      <c r="L2" s="118" t="s">
        <v>100</v>
      </c>
      <c r="M2" s="118" t="s">
        <v>101</v>
      </c>
      <c r="N2" s="118" t="s">
        <v>102</v>
      </c>
      <c r="O2" s="119" t="s">
        <v>103</v>
      </c>
    </row>
    <row r="3" spans="1:15" x14ac:dyDescent="0.2">
      <c r="A3" s="120" t="s">
        <v>104</v>
      </c>
      <c r="B3" s="165"/>
      <c r="C3" s="176">
        <f t="shared" ref="C3:C8" si="0">SUM(D3:O3)</f>
        <v>144000</v>
      </c>
      <c r="D3" s="121">
        <v>12000</v>
      </c>
      <c r="E3" s="121">
        <v>12000</v>
      </c>
      <c r="F3" s="121">
        <v>12000</v>
      </c>
      <c r="G3" s="121">
        <v>12000</v>
      </c>
      <c r="H3" s="121">
        <v>12000</v>
      </c>
      <c r="I3" s="121">
        <v>12000</v>
      </c>
      <c r="J3" s="121">
        <v>12000</v>
      </c>
      <c r="K3" s="121">
        <v>12000</v>
      </c>
      <c r="L3" s="121">
        <v>12000</v>
      </c>
      <c r="M3" s="121">
        <v>12000</v>
      </c>
      <c r="N3" s="121">
        <v>12000</v>
      </c>
      <c r="O3" s="122">
        <v>12000</v>
      </c>
    </row>
    <row r="4" spans="1:15" x14ac:dyDescent="0.2">
      <c r="A4" s="120" t="s">
        <v>105</v>
      </c>
      <c r="B4" s="165"/>
      <c r="C4" s="176">
        <f>SUM(D4:O4)</f>
        <v>216000</v>
      </c>
      <c r="D4" s="121">
        <v>18000</v>
      </c>
      <c r="E4" s="121">
        <v>18000</v>
      </c>
      <c r="F4" s="121">
        <v>18000</v>
      </c>
      <c r="G4" s="121">
        <v>18000</v>
      </c>
      <c r="H4" s="121">
        <v>18000</v>
      </c>
      <c r="I4" s="121">
        <v>18000</v>
      </c>
      <c r="J4" s="121">
        <v>18000</v>
      </c>
      <c r="K4" s="121">
        <v>18000</v>
      </c>
      <c r="L4" s="121">
        <v>18000</v>
      </c>
      <c r="M4" s="121">
        <v>18000</v>
      </c>
      <c r="N4" s="121">
        <v>18000</v>
      </c>
      <c r="O4" s="122">
        <v>18000</v>
      </c>
    </row>
    <row r="5" spans="1:15" x14ac:dyDescent="0.2">
      <c r="A5" s="120" t="s">
        <v>106</v>
      </c>
      <c r="B5" s="165"/>
      <c r="C5" s="176">
        <f>SUM(D5:O5)</f>
        <v>6000</v>
      </c>
      <c r="D5" s="121"/>
      <c r="E5" s="121"/>
      <c r="F5" s="121"/>
      <c r="G5" s="121"/>
      <c r="H5" s="121">
        <v>6000</v>
      </c>
      <c r="I5" s="121"/>
      <c r="J5" s="121"/>
      <c r="K5" s="121"/>
      <c r="L5" s="121"/>
      <c r="M5" s="121"/>
      <c r="N5" s="121"/>
      <c r="O5" s="122"/>
    </row>
    <row r="6" spans="1:15" x14ac:dyDescent="0.2">
      <c r="A6" s="120" t="s">
        <v>107</v>
      </c>
      <c r="B6" s="165"/>
      <c r="C6" s="176">
        <f>SUM(D6:O6)</f>
        <v>12000</v>
      </c>
      <c r="D6" s="121">
        <v>1000</v>
      </c>
      <c r="E6" s="121">
        <v>1000</v>
      </c>
      <c r="F6" s="121">
        <v>1000</v>
      </c>
      <c r="G6" s="121">
        <v>1000</v>
      </c>
      <c r="H6" s="121">
        <v>1000</v>
      </c>
      <c r="I6" s="121">
        <v>1000</v>
      </c>
      <c r="J6" s="121">
        <v>1000</v>
      </c>
      <c r="K6" s="121">
        <v>1000</v>
      </c>
      <c r="L6" s="121">
        <v>1000</v>
      </c>
      <c r="M6" s="121">
        <v>1000</v>
      </c>
      <c r="N6" s="121">
        <v>1000</v>
      </c>
      <c r="O6" s="122">
        <v>1000</v>
      </c>
    </row>
    <row r="7" spans="1:15" x14ac:dyDescent="0.2">
      <c r="A7" s="120" t="s">
        <v>108</v>
      </c>
      <c r="B7" s="165"/>
      <c r="C7" s="176">
        <f t="shared" si="0"/>
        <v>20000</v>
      </c>
      <c r="D7" s="121"/>
      <c r="E7" s="121"/>
      <c r="F7" s="121"/>
      <c r="G7" s="121"/>
      <c r="H7" s="121">
        <v>2000</v>
      </c>
      <c r="I7" s="121">
        <v>4000</v>
      </c>
      <c r="J7" s="121">
        <v>8000</v>
      </c>
      <c r="K7" s="121">
        <v>6000</v>
      </c>
      <c r="L7" s="121"/>
      <c r="M7" s="121"/>
      <c r="N7" s="121"/>
      <c r="O7" s="122"/>
    </row>
    <row r="8" spans="1:15" ht="13.5" thickBot="1" x14ac:dyDescent="0.25">
      <c r="A8" s="123" t="s">
        <v>109</v>
      </c>
      <c r="B8" s="166"/>
      <c r="C8" s="177">
        <f t="shared" si="0"/>
        <v>4800</v>
      </c>
      <c r="D8" s="125"/>
      <c r="E8" s="125">
        <v>800</v>
      </c>
      <c r="F8" s="125"/>
      <c r="G8" s="125">
        <v>800</v>
      </c>
      <c r="H8" s="125"/>
      <c r="I8" s="125">
        <v>400</v>
      </c>
      <c r="J8" s="125"/>
      <c r="K8" s="125">
        <v>800</v>
      </c>
      <c r="L8" s="125"/>
      <c r="M8" s="125">
        <v>1000</v>
      </c>
      <c r="N8" s="125"/>
      <c r="O8" s="126">
        <v>1000</v>
      </c>
    </row>
    <row r="9" spans="1:15" ht="18" x14ac:dyDescent="0.25">
      <c r="A9" s="127" t="str">
        <f>CONCATENATE(A2," i alt")</f>
        <v>Indbetalinger i alt</v>
      </c>
      <c r="B9" s="167"/>
      <c r="C9" s="178">
        <f t="shared" ref="C9:O9" si="1">SUM(C3:C8)</f>
        <v>402800</v>
      </c>
      <c r="D9" s="128">
        <f t="shared" si="1"/>
        <v>31000</v>
      </c>
      <c r="E9" s="128">
        <f t="shared" si="1"/>
        <v>31800</v>
      </c>
      <c r="F9" s="128">
        <f t="shared" si="1"/>
        <v>31000</v>
      </c>
      <c r="G9" s="128">
        <f t="shared" si="1"/>
        <v>31800</v>
      </c>
      <c r="H9" s="128">
        <f t="shared" si="1"/>
        <v>39000</v>
      </c>
      <c r="I9" s="128">
        <f t="shared" si="1"/>
        <v>35400</v>
      </c>
      <c r="J9" s="128">
        <f t="shared" si="1"/>
        <v>39000</v>
      </c>
      <c r="K9" s="128">
        <f t="shared" si="1"/>
        <v>37800</v>
      </c>
      <c r="L9" s="128">
        <f t="shared" si="1"/>
        <v>31000</v>
      </c>
      <c r="M9" s="128">
        <f t="shared" si="1"/>
        <v>32000</v>
      </c>
      <c r="N9" s="128">
        <f t="shared" si="1"/>
        <v>31000</v>
      </c>
      <c r="O9" s="129">
        <f t="shared" si="1"/>
        <v>32000</v>
      </c>
    </row>
    <row r="10" spans="1:15" ht="18" x14ac:dyDescent="0.25">
      <c r="A10" s="130" t="s">
        <v>134</v>
      </c>
      <c r="B10" s="168"/>
      <c r="C10" s="176"/>
      <c r="D10" s="97"/>
      <c r="E10" s="97"/>
      <c r="F10" s="97"/>
      <c r="G10" s="97"/>
      <c r="H10" s="97"/>
      <c r="I10" s="97"/>
      <c r="J10" s="97"/>
      <c r="K10" s="97"/>
      <c r="L10" s="97"/>
      <c r="M10" s="97"/>
      <c r="N10" s="97"/>
      <c r="O10" s="131"/>
    </row>
    <row r="11" spans="1:15" x14ac:dyDescent="0.2">
      <c r="A11" s="132" t="s">
        <v>110</v>
      </c>
      <c r="B11" s="169"/>
      <c r="C11" s="176">
        <f t="shared" ref="C11:C20" si="2">SUM(D11:O11)</f>
        <v>108000</v>
      </c>
      <c r="D11" s="133">
        <v>9000</v>
      </c>
      <c r="E11" s="133">
        <v>9000</v>
      </c>
      <c r="F11" s="133">
        <v>9000</v>
      </c>
      <c r="G11" s="133">
        <v>9000</v>
      </c>
      <c r="H11" s="133">
        <v>9000</v>
      </c>
      <c r="I11" s="133">
        <v>9000</v>
      </c>
      <c r="J11" s="133">
        <v>9000</v>
      </c>
      <c r="K11" s="133">
        <v>9000</v>
      </c>
      <c r="L11" s="133">
        <v>9000</v>
      </c>
      <c r="M11" s="133">
        <v>9000</v>
      </c>
      <c r="N11" s="133">
        <v>9000</v>
      </c>
      <c r="O11" s="134">
        <v>9000</v>
      </c>
    </row>
    <row r="12" spans="1:15" x14ac:dyDescent="0.2">
      <c r="A12" s="132" t="s">
        <v>111</v>
      </c>
      <c r="B12" s="169"/>
      <c r="C12" s="176">
        <f t="shared" si="2"/>
        <v>15000</v>
      </c>
      <c r="D12" s="133">
        <v>1500</v>
      </c>
      <c r="E12" s="133">
        <v>1500</v>
      </c>
      <c r="F12" s="133">
        <v>1500</v>
      </c>
      <c r="G12" s="133">
        <v>1500</v>
      </c>
      <c r="H12" s="133">
        <v>1500</v>
      </c>
      <c r="I12" s="133">
        <v>1500</v>
      </c>
      <c r="J12" s="133"/>
      <c r="K12" s="133"/>
      <c r="L12" s="133">
        <v>1500</v>
      </c>
      <c r="M12" s="133">
        <v>1500</v>
      </c>
      <c r="N12" s="133">
        <v>1500</v>
      </c>
      <c r="O12" s="134">
        <v>1500</v>
      </c>
    </row>
    <row r="13" spans="1:15" x14ac:dyDescent="0.2">
      <c r="A13" s="132" t="s">
        <v>112</v>
      </c>
      <c r="B13" s="169"/>
      <c r="C13" s="176">
        <f t="shared" si="2"/>
        <v>6000</v>
      </c>
      <c r="D13" s="133"/>
      <c r="E13" s="133"/>
      <c r="F13" s="133">
        <v>2000</v>
      </c>
      <c r="G13" s="133"/>
      <c r="H13" s="133"/>
      <c r="I13" s="133">
        <v>2000</v>
      </c>
      <c r="J13" s="133"/>
      <c r="K13" s="133"/>
      <c r="L13" s="133">
        <v>2000</v>
      </c>
      <c r="M13" s="133"/>
      <c r="N13" s="133"/>
      <c r="O13" s="134"/>
    </row>
    <row r="14" spans="1:15" x14ac:dyDescent="0.2">
      <c r="A14" s="132" t="s">
        <v>113</v>
      </c>
      <c r="B14" s="169"/>
      <c r="C14" s="176">
        <f t="shared" si="2"/>
        <v>5400</v>
      </c>
      <c r="D14" s="133"/>
      <c r="E14" s="133"/>
      <c r="F14" s="133">
        <v>1800</v>
      </c>
      <c r="G14" s="133"/>
      <c r="H14" s="133"/>
      <c r="I14" s="133">
        <v>1800</v>
      </c>
      <c r="J14" s="133"/>
      <c r="K14" s="133"/>
      <c r="L14" s="133">
        <v>1800</v>
      </c>
      <c r="M14" s="133"/>
      <c r="N14" s="133"/>
      <c r="O14" s="134"/>
    </row>
    <row r="15" spans="1:15" x14ac:dyDescent="0.2">
      <c r="A15" s="132" t="s">
        <v>114</v>
      </c>
      <c r="B15" s="169"/>
      <c r="C15" s="176">
        <f t="shared" si="2"/>
        <v>48000</v>
      </c>
      <c r="D15" s="133">
        <v>4000</v>
      </c>
      <c r="E15" s="133">
        <v>4000</v>
      </c>
      <c r="F15" s="133">
        <v>4000</v>
      </c>
      <c r="G15" s="133">
        <v>4000</v>
      </c>
      <c r="H15" s="133">
        <v>4000</v>
      </c>
      <c r="I15" s="133">
        <v>4000</v>
      </c>
      <c r="J15" s="133">
        <v>4000</v>
      </c>
      <c r="K15" s="133">
        <v>4000</v>
      </c>
      <c r="L15" s="133">
        <v>4000</v>
      </c>
      <c r="M15" s="133">
        <v>4000</v>
      </c>
      <c r="N15" s="133">
        <v>4000</v>
      </c>
      <c r="O15" s="134">
        <v>4000</v>
      </c>
    </row>
    <row r="16" spans="1:15" x14ac:dyDescent="0.2">
      <c r="A16" s="132" t="s">
        <v>115</v>
      </c>
      <c r="B16" s="169"/>
      <c r="C16" s="176">
        <f>SUM(D16:O16)</f>
        <v>6000</v>
      </c>
      <c r="D16" s="133">
        <v>3000</v>
      </c>
      <c r="E16" s="133"/>
      <c r="F16" s="133"/>
      <c r="G16" s="133"/>
      <c r="H16" s="133"/>
      <c r="I16" s="133">
        <v>3000</v>
      </c>
      <c r="J16" s="133"/>
      <c r="K16" s="133"/>
      <c r="L16" s="133"/>
      <c r="M16" s="133"/>
      <c r="N16" s="133"/>
      <c r="O16" s="134"/>
    </row>
    <row r="17" spans="1:15" x14ac:dyDescent="0.2">
      <c r="A17" s="132" t="s">
        <v>116</v>
      </c>
      <c r="B17" s="169"/>
      <c r="C17" s="176">
        <f t="shared" si="2"/>
        <v>24000</v>
      </c>
      <c r="D17" s="133">
        <v>2000</v>
      </c>
      <c r="E17" s="133">
        <v>2000</v>
      </c>
      <c r="F17" s="133">
        <v>2000</v>
      </c>
      <c r="G17" s="133">
        <v>2000</v>
      </c>
      <c r="H17" s="133">
        <v>2000</v>
      </c>
      <c r="I17" s="133">
        <v>2000</v>
      </c>
      <c r="J17" s="133">
        <v>2000</v>
      </c>
      <c r="K17" s="133">
        <v>2000</v>
      </c>
      <c r="L17" s="133">
        <v>2000</v>
      </c>
      <c r="M17" s="133">
        <v>2000</v>
      </c>
      <c r="N17" s="133">
        <v>2000</v>
      </c>
      <c r="O17" s="134">
        <v>2000</v>
      </c>
    </row>
    <row r="18" spans="1:15" x14ac:dyDescent="0.2">
      <c r="A18" s="132" t="s">
        <v>117</v>
      </c>
      <c r="B18" s="169"/>
      <c r="C18" s="176">
        <f t="shared" si="2"/>
        <v>4500</v>
      </c>
      <c r="D18" s="133"/>
      <c r="E18" s="133"/>
      <c r="F18" s="133"/>
      <c r="G18" s="133"/>
      <c r="H18" s="133"/>
      <c r="I18" s="133">
        <v>4500</v>
      </c>
      <c r="J18" s="133"/>
      <c r="K18" s="133"/>
      <c r="L18" s="133"/>
      <c r="M18" s="133"/>
      <c r="N18" s="133"/>
      <c r="O18" s="134"/>
    </row>
    <row r="19" spans="1:15" x14ac:dyDescent="0.2">
      <c r="A19" s="132" t="s">
        <v>118</v>
      </c>
      <c r="B19" s="169"/>
      <c r="C19" s="176">
        <f t="shared" si="2"/>
        <v>7200</v>
      </c>
      <c r="D19" s="133">
        <v>600</v>
      </c>
      <c r="E19" s="133">
        <v>600</v>
      </c>
      <c r="F19" s="133">
        <v>600</v>
      </c>
      <c r="G19" s="133">
        <v>600</v>
      </c>
      <c r="H19" s="133">
        <v>600</v>
      </c>
      <c r="I19" s="133">
        <v>600</v>
      </c>
      <c r="J19" s="133">
        <v>600</v>
      </c>
      <c r="K19" s="133">
        <v>600</v>
      </c>
      <c r="L19" s="133">
        <v>600</v>
      </c>
      <c r="M19" s="133">
        <v>600</v>
      </c>
      <c r="N19" s="133">
        <v>600</v>
      </c>
      <c r="O19" s="134">
        <v>600</v>
      </c>
    </row>
    <row r="20" spans="1:15" x14ac:dyDescent="0.2">
      <c r="A20" s="132" t="s">
        <v>119</v>
      </c>
      <c r="B20" s="169"/>
      <c r="C20" s="176">
        <f t="shared" si="2"/>
        <v>3000</v>
      </c>
      <c r="D20" s="133">
        <v>250</v>
      </c>
      <c r="E20" s="133">
        <v>250</v>
      </c>
      <c r="F20" s="133">
        <v>250</v>
      </c>
      <c r="G20" s="133">
        <v>250</v>
      </c>
      <c r="H20" s="133">
        <v>250</v>
      </c>
      <c r="I20" s="133">
        <v>250</v>
      </c>
      <c r="J20" s="133">
        <v>250</v>
      </c>
      <c r="K20" s="133">
        <v>250</v>
      </c>
      <c r="L20" s="133">
        <v>250</v>
      </c>
      <c r="M20" s="133">
        <v>250</v>
      </c>
      <c r="N20" s="133">
        <v>250</v>
      </c>
      <c r="O20" s="134">
        <v>250</v>
      </c>
    </row>
    <row r="21" spans="1:15" ht="18.75" thickBot="1" x14ac:dyDescent="0.3">
      <c r="A21" s="135" t="str">
        <f>CONCATENATE(A10," i alt")</f>
        <v>Faste udbetalinger i alt</v>
      </c>
      <c r="B21" s="170"/>
      <c r="C21" s="179">
        <f t="shared" ref="C21:O21" si="3">SUM(C11:C20)</f>
        <v>227100</v>
      </c>
      <c r="D21" s="136">
        <f t="shared" si="3"/>
        <v>20350</v>
      </c>
      <c r="E21" s="136">
        <f t="shared" si="3"/>
        <v>17350</v>
      </c>
      <c r="F21" s="136">
        <f t="shared" si="3"/>
        <v>21150</v>
      </c>
      <c r="G21" s="136">
        <f t="shared" si="3"/>
        <v>17350</v>
      </c>
      <c r="H21" s="136">
        <f t="shared" si="3"/>
        <v>17350</v>
      </c>
      <c r="I21" s="136">
        <f t="shared" si="3"/>
        <v>28650</v>
      </c>
      <c r="J21" s="136">
        <f t="shared" si="3"/>
        <v>15850</v>
      </c>
      <c r="K21" s="136">
        <f t="shared" si="3"/>
        <v>15850</v>
      </c>
      <c r="L21" s="136">
        <f t="shared" si="3"/>
        <v>21150</v>
      </c>
      <c r="M21" s="136">
        <f t="shared" si="3"/>
        <v>17350</v>
      </c>
      <c r="N21" s="136">
        <f t="shared" si="3"/>
        <v>17350</v>
      </c>
      <c r="O21" s="137">
        <f t="shared" si="3"/>
        <v>17350</v>
      </c>
    </row>
    <row r="22" spans="1:15" ht="18.75" thickBot="1" x14ac:dyDescent="0.3">
      <c r="A22" s="138" t="s">
        <v>120</v>
      </c>
      <c r="B22" s="171"/>
      <c r="C22" s="180">
        <f t="shared" ref="C22:O22" si="4">C9-C21</f>
        <v>175700</v>
      </c>
      <c r="D22" s="139">
        <f t="shared" si="4"/>
        <v>10650</v>
      </c>
      <c r="E22" s="139">
        <f t="shared" si="4"/>
        <v>14450</v>
      </c>
      <c r="F22" s="139">
        <f t="shared" si="4"/>
        <v>9850</v>
      </c>
      <c r="G22" s="139">
        <f t="shared" si="4"/>
        <v>14450</v>
      </c>
      <c r="H22" s="139">
        <f t="shared" si="4"/>
        <v>21650</v>
      </c>
      <c r="I22" s="139">
        <f t="shared" si="4"/>
        <v>6750</v>
      </c>
      <c r="J22" s="139">
        <f t="shared" si="4"/>
        <v>23150</v>
      </c>
      <c r="K22" s="139">
        <f t="shared" si="4"/>
        <v>21950</v>
      </c>
      <c r="L22" s="139">
        <f t="shared" si="4"/>
        <v>9850</v>
      </c>
      <c r="M22" s="139">
        <f t="shared" si="4"/>
        <v>14650</v>
      </c>
      <c r="N22" s="139">
        <f t="shared" si="4"/>
        <v>13650</v>
      </c>
      <c r="O22" s="140">
        <f t="shared" si="4"/>
        <v>14650</v>
      </c>
    </row>
    <row r="23" spans="1:15" ht="18" x14ac:dyDescent="0.25">
      <c r="A23" s="141" t="s">
        <v>135</v>
      </c>
      <c r="B23" s="164"/>
      <c r="C23" s="181"/>
      <c r="D23" s="142"/>
      <c r="E23" s="142"/>
      <c r="F23" s="142"/>
      <c r="G23" s="142"/>
      <c r="H23" s="142"/>
      <c r="I23" s="142"/>
      <c r="J23" s="142"/>
      <c r="K23" s="142"/>
      <c r="L23" s="142"/>
      <c r="M23" s="142"/>
      <c r="N23" s="142"/>
      <c r="O23" s="143"/>
    </row>
    <row r="24" spans="1:15" ht="18" x14ac:dyDescent="0.25">
      <c r="A24" s="144" t="s">
        <v>121</v>
      </c>
      <c r="B24" s="172"/>
      <c r="C24" s="182">
        <f>SUM(D24:O24)</f>
        <v>5000</v>
      </c>
      <c r="D24" s="145">
        <v>2000</v>
      </c>
      <c r="E24" s="145"/>
      <c r="F24" s="145"/>
      <c r="G24" s="145"/>
      <c r="H24" s="145"/>
      <c r="I24" s="145">
        <v>3000</v>
      </c>
      <c r="J24" s="145"/>
      <c r="K24" s="145"/>
      <c r="L24" s="145"/>
      <c r="M24" s="145"/>
      <c r="N24" s="145"/>
      <c r="O24" s="146"/>
    </row>
    <row r="25" spans="1:15" ht="18" x14ac:dyDescent="0.25">
      <c r="A25" s="144" t="s">
        <v>122</v>
      </c>
      <c r="B25" s="172"/>
      <c r="C25" s="182">
        <f t="shared" ref="C25:C29" si="5">SUM(D25:O25)</f>
        <v>12000</v>
      </c>
      <c r="D25" s="145"/>
      <c r="E25" s="145"/>
      <c r="F25" s="145"/>
      <c r="G25" s="145"/>
      <c r="H25" s="145"/>
      <c r="I25" s="145"/>
      <c r="J25" s="145">
        <v>12000</v>
      </c>
      <c r="K25" s="145"/>
      <c r="L25" s="145"/>
      <c r="M25" s="145"/>
      <c r="N25" s="145"/>
      <c r="O25" s="146"/>
    </row>
    <row r="26" spans="1:15" ht="18" x14ac:dyDescent="0.25">
      <c r="A26" s="144" t="s">
        <v>123</v>
      </c>
      <c r="B26" s="172"/>
      <c r="C26" s="182">
        <f t="shared" si="5"/>
        <v>50000</v>
      </c>
      <c r="D26" s="145">
        <v>4000</v>
      </c>
      <c r="E26" s="145">
        <v>4000</v>
      </c>
      <c r="F26" s="145">
        <v>4000</v>
      </c>
      <c r="G26" s="145">
        <v>4000</v>
      </c>
      <c r="H26" s="145">
        <v>4000</v>
      </c>
      <c r="I26" s="145">
        <v>4000</v>
      </c>
      <c r="J26" s="145">
        <v>4000</v>
      </c>
      <c r="K26" s="145">
        <v>4000</v>
      </c>
      <c r="L26" s="145">
        <v>4000</v>
      </c>
      <c r="M26" s="145">
        <v>4000</v>
      </c>
      <c r="N26" s="145">
        <v>4000</v>
      </c>
      <c r="O26" s="146">
        <v>6000</v>
      </c>
    </row>
    <row r="27" spans="1:15" ht="18" x14ac:dyDescent="0.25">
      <c r="A27" s="144" t="s">
        <v>124</v>
      </c>
      <c r="B27" s="172"/>
      <c r="C27" s="182">
        <f t="shared" si="5"/>
        <v>600</v>
      </c>
      <c r="D27" s="145"/>
      <c r="E27" s="145"/>
      <c r="F27" s="145"/>
      <c r="G27" s="145">
        <v>300</v>
      </c>
      <c r="H27" s="145"/>
      <c r="I27" s="145"/>
      <c r="J27" s="145"/>
      <c r="K27" s="145">
        <v>300</v>
      </c>
      <c r="L27" s="145"/>
      <c r="M27" s="145"/>
      <c r="N27" s="145"/>
      <c r="O27" s="146"/>
    </row>
    <row r="28" spans="1:15" ht="18" x14ac:dyDescent="0.25">
      <c r="A28" s="144" t="s">
        <v>125</v>
      </c>
      <c r="B28" s="172"/>
      <c r="C28" s="182">
        <f t="shared" si="5"/>
        <v>1500</v>
      </c>
      <c r="D28" s="145"/>
      <c r="E28" s="145">
        <v>500</v>
      </c>
      <c r="F28" s="145"/>
      <c r="G28" s="145"/>
      <c r="H28" s="145"/>
      <c r="I28" s="145"/>
      <c r="J28" s="145"/>
      <c r="K28" s="145"/>
      <c r="L28" s="145"/>
      <c r="M28" s="145">
        <v>500</v>
      </c>
      <c r="N28" s="145"/>
      <c r="O28" s="146">
        <v>500</v>
      </c>
    </row>
    <row r="29" spans="1:15" ht="18" x14ac:dyDescent="0.25">
      <c r="A29" s="144" t="s">
        <v>126</v>
      </c>
      <c r="B29" s="172"/>
      <c r="C29" s="182">
        <f t="shared" si="5"/>
        <v>3000</v>
      </c>
      <c r="D29" s="145">
        <v>500</v>
      </c>
      <c r="E29" s="145"/>
      <c r="F29" s="145"/>
      <c r="G29" s="145"/>
      <c r="H29" s="145"/>
      <c r="I29" s="145">
        <v>500</v>
      </c>
      <c r="J29" s="145"/>
      <c r="K29" s="145"/>
      <c r="L29" s="145"/>
      <c r="M29" s="145"/>
      <c r="N29" s="145"/>
      <c r="O29" s="146">
        <v>2000</v>
      </c>
    </row>
    <row r="30" spans="1:15" ht="18.75" thickBot="1" x14ac:dyDescent="0.3">
      <c r="A30" s="147" t="str">
        <f>CONCATENATE(A23," i alt")</f>
        <v>Variable udbetalinger i alt</v>
      </c>
      <c r="B30" s="173"/>
      <c r="C30" s="177">
        <f>SUM(C24:C29)</f>
        <v>72100</v>
      </c>
      <c r="D30" s="124">
        <f t="shared" ref="D30:O30" si="6">SUM(D24:D29)</f>
        <v>6500</v>
      </c>
      <c r="E30" s="124">
        <f t="shared" si="6"/>
        <v>4500</v>
      </c>
      <c r="F30" s="124">
        <f t="shared" si="6"/>
        <v>4000</v>
      </c>
      <c r="G30" s="124">
        <f t="shared" si="6"/>
        <v>4300</v>
      </c>
      <c r="H30" s="124">
        <f t="shared" si="6"/>
        <v>4000</v>
      </c>
      <c r="I30" s="124">
        <f t="shared" si="6"/>
        <v>7500</v>
      </c>
      <c r="J30" s="124">
        <f t="shared" si="6"/>
        <v>16000</v>
      </c>
      <c r="K30" s="124">
        <f t="shared" si="6"/>
        <v>4300</v>
      </c>
      <c r="L30" s="124">
        <f t="shared" si="6"/>
        <v>4000</v>
      </c>
      <c r="M30" s="124">
        <f t="shared" si="6"/>
        <v>4500</v>
      </c>
      <c r="N30" s="124">
        <f t="shared" si="6"/>
        <v>4000</v>
      </c>
      <c r="O30" s="183">
        <f t="shared" si="6"/>
        <v>8500</v>
      </c>
    </row>
    <row r="31" spans="1:15" ht="18.75" thickBot="1" x14ac:dyDescent="0.3">
      <c r="A31" s="138" t="s">
        <v>127</v>
      </c>
      <c r="B31" s="171"/>
      <c r="C31" s="184">
        <f>C22-C30</f>
        <v>103600</v>
      </c>
      <c r="D31" s="95">
        <f t="shared" ref="D31:O31" si="7">D22-D30</f>
        <v>4150</v>
      </c>
      <c r="E31" s="95">
        <f t="shared" si="7"/>
        <v>9950</v>
      </c>
      <c r="F31" s="95">
        <f t="shared" si="7"/>
        <v>5850</v>
      </c>
      <c r="G31" s="95">
        <f t="shared" si="7"/>
        <v>10150</v>
      </c>
      <c r="H31" s="95">
        <f t="shared" si="7"/>
        <v>17650</v>
      </c>
      <c r="I31" s="95">
        <f t="shared" si="7"/>
        <v>-750</v>
      </c>
      <c r="J31" s="95">
        <f t="shared" si="7"/>
        <v>7150</v>
      </c>
      <c r="K31" s="95">
        <f t="shared" si="7"/>
        <v>17650</v>
      </c>
      <c r="L31" s="95">
        <f t="shared" si="7"/>
        <v>5850</v>
      </c>
      <c r="M31" s="95">
        <f t="shared" si="7"/>
        <v>10150</v>
      </c>
      <c r="N31" s="95">
        <f t="shared" si="7"/>
        <v>9650</v>
      </c>
      <c r="O31" s="148">
        <f t="shared" si="7"/>
        <v>6150</v>
      </c>
    </row>
    <row r="32" spans="1:15" ht="18.75" thickBot="1" x14ac:dyDescent="0.3">
      <c r="A32" s="149" t="s">
        <v>128</v>
      </c>
      <c r="B32" s="174"/>
      <c r="C32" s="185"/>
      <c r="D32" s="151">
        <v>50000</v>
      </c>
      <c r="E32" s="150">
        <f>D31+D32+E31</f>
        <v>64100</v>
      </c>
      <c r="F32" s="150">
        <f t="shared" ref="F32:O32" si="8">E32+F31</f>
        <v>69950</v>
      </c>
      <c r="G32" s="150">
        <f t="shared" si="8"/>
        <v>80100</v>
      </c>
      <c r="H32" s="150">
        <f t="shared" si="8"/>
        <v>97750</v>
      </c>
      <c r="I32" s="150">
        <f t="shared" si="8"/>
        <v>97000</v>
      </c>
      <c r="J32" s="150">
        <f t="shared" si="8"/>
        <v>104150</v>
      </c>
      <c r="K32" s="150">
        <f t="shared" si="8"/>
        <v>121800</v>
      </c>
      <c r="L32" s="150">
        <f t="shared" si="8"/>
        <v>127650</v>
      </c>
      <c r="M32" s="150">
        <f t="shared" si="8"/>
        <v>137800</v>
      </c>
      <c r="N32" s="150">
        <f t="shared" si="8"/>
        <v>147450</v>
      </c>
      <c r="O32" s="152">
        <f t="shared" si="8"/>
        <v>153600</v>
      </c>
    </row>
    <row r="33" spans="1:4" ht="18.75" thickBot="1" x14ac:dyDescent="0.3">
      <c r="A33" s="153" t="s">
        <v>133</v>
      </c>
      <c r="B33" s="154"/>
      <c r="C33" s="161">
        <f>C9/12</f>
        <v>33566.666666666664</v>
      </c>
    </row>
    <row r="34" spans="1:4" ht="18.75" thickBot="1" x14ac:dyDescent="0.3">
      <c r="A34" s="207" t="s">
        <v>137</v>
      </c>
      <c r="B34" s="208"/>
      <c r="C34" s="161">
        <f>C21/12</f>
        <v>18925</v>
      </c>
    </row>
    <row r="35" spans="1:4" ht="18.75" thickBot="1" x14ac:dyDescent="0.3">
      <c r="A35" s="207" t="s">
        <v>136</v>
      </c>
      <c r="B35" s="208"/>
      <c r="C35" s="161">
        <f>C22/12</f>
        <v>14641.666666666666</v>
      </c>
      <c r="D35" s="155"/>
    </row>
    <row r="36" spans="1:4" ht="18.75" thickBot="1" x14ac:dyDescent="0.3">
      <c r="A36" s="157" t="s">
        <v>138</v>
      </c>
      <c r="B36" s="158"/>
      <c r="C36" s="161">
        <f>C30/12</f>
        <v>6008.333333333333</v>
      </c>
      <c r="D36" s="155"/>
    </row>
    <row r="37" spans="1:4" ht="18.75" thickBot="1" x14ac:dyDescent="0.3">
      <c r="A37" s="157" t="s">
        <v>139</v>
      </c>
      <c r="B37" s="158"/>
      <c r="C37" s="161">
        <f>C31/12</f>
        <v>8633.3333333333339</v>
      </c>
      <c r="D37" s="155"/>
    </row>
    <row r="38" spans="1:4" ht="18.75" thickBot="1" x14ac:dyDescent="0.3">
      <c r="A38" s="157" t="s">
        <v>131</v>
      </c>
      <c r="B38" s="158"/>
      <c r="C38" s="162">
        <f>(C21+C30)/C9</f>
        <v>0.74280039721946378</v>
      </c>
      <c r="D38" s="155"/>
    </row>
    <row r="39" spans="1:4" ht="18.75" thickBot="1" x14ac:dyDescent="0.3">
      <c r="A39" s="159" t="s">
        <v>132</v>
      </c>
      <c r="B39" s="160"/>
      <c r="C39" s="163">
        <f>C31/C9</f>
        <v>0.25719960278053627</v>
      </c>
    </row>
    <row r="40" spans="1:4" x14ac:dyDescent="0.2">
      <c r="A40" s="116" t="s">
        <v>129</v>
      </c>
    </row>
    <row r="41" spans="1:4" x14ac:dyDescent="0.2">
      <c r="A41" s="156" t="s">
        <v>130</v>
      </c>
    </row>
  </sheetData>
  <mergeCells count="3">
    <mergeCell ref="A1:O1"/>
    <mergeCell ref="A34:B34"/>
    <mergeCell ref="A35:B35"/>
  </mergeCells>
  <hyperlinks>
    <hyperlink ref="A41" r:id="rId1"/>
  </hyperlinks>
  <pageMargins left="0.39370078740157483" right="0.39370078740157483" top="0.78740157480314965" bottom="0.78740157480314965" header="0" footer="0"/>
  <pageSetup paperSize="9" scale="75"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Resultatbudget</vt:lpstr>
      <vt:lpstr>Balance</vt:lpstr>
      <vt:lpstr>Likviditetsbudget</vt:lpstr>
      <vt:lpstr>Ind og udbetalingsmodellen</vt:lpstr>
    </vt:vector>
  </TitlesOfParts>
  <Company>Roskilde Handelsskole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Roskilde Handelsskole</dc:creator>
  <cp:lastModifiedBy>Jesper Brygger</cp:lastModifiedBy>
  <cp:lastPrinted>2019-02-13T08:06:30Z</cp:lastPrinted>
  <dcterms:created xsi:type="dcterms:W3CDTF">2003-09-10T09:30:35Z</dcterms:created>
  <dcterms:modified xsi:type="dcterms:W3CDTF">2019-02-13T08:09:39Z</dcterms:modified>
</cp:coreProperties>
</file>