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20490" windowHeight="7320" tabRatio="987"/>
  </bookViews>
  <sheets>
    <sheet name="Resultatkontrol side 402" sheetId="1" r:id="rId1"/>
    <sheet name="Salgsprisafvigelse side 367" sheetId="3" r:id="rId2"/>
    <sheet name="Indkøbsprisafvigelse side 370" sheetId="4" r:id="rId3"/>
    <sheet name="Lønsatsafvigelse side 371" sheetId="5" r:id="rId4"/>
    <sheet name="Produktionsafdeling 1 side 393" sheetId="10" r:id="rId5"/>
    <sheet name="Produktionsafdeling 2 side 393" sheetId="11" r:id="rId6"/>
    <sheet name="Pakkeafdelingen side 396" sheetId="14" r:id="rId7"/>
    <sheet name="Råvarelagerafgivelse side 398" sheetId="7" r:id="rId8"/>
    <sheet name="Færdiglagerafgivelse side 399" sheetId="12" r:id="rId9"/>
    <sheet name="Salgsprovisionsafvig. side 376" sheetId="6" r:id="rId10"/>
    <sheet name="Samlet konklusion" sheetId="15" r:id="rId11"/>
  </sheets>
  <calcPr calcId="162913"/>
</workbook>
</file>

<file path=xl/calcChain.xml><?xml version="1.0" encoding="utf-8"?>
<calcChain xmlns="http://schemas.openxmlformats.org/spreadsheetml/2006/main">
  <c r="B36" i="5" l="1"/>
  <c r="B27" i="5"/>
  <c r="B18" i="5"/>
  <c r="B9" i="5"/>
  <c r="C9" i="1" l="1"/>
  <c r="G7" i="1"/>
  <c r="G9" i="1" s="1"/>
  <c r="E16" i="10"/>
  <c r="E23" i="10"/>
  <c r="E25" i="10"/>
  <c r="E27" i="10" s="1"/>
  <c r="E30" i="10" s="1"/>
  <c r="E8" i="10"/>
  <c r="G6" i="1"/>
  <c r="B1" i="6"/>
  <c r="B1" i="12"/>
  <c r="A1" i="12"/>
  <c r="B1" i="7"/>
  <c r="A1" i="7"/>
  <c r="F17" i="14"/>
  <c r="F24" i="14" s="1"/>
  <c r="F14" i="14"/>
  <c r="E14" i="14"/>
  <c r="D14" i="14"/>
  <c r="D24" i="14"/>
  <c r="D26" i="14" s="1"/>
  <c r="D28" i="14" s="1"/>
  <c r="D31" i="14" s="1"/>
  <c r="E13" i="14"/>
  <c r="E24" i="14" s="1"/>
  <c r="F13" i="14"/>
  <c r="C13" i="14"/>
  <c r="A1" i="10"/>
  <c r="A1" i="11"/>
  <c r="A1" i="14"/>
  <c r="C24" i="14"/>
  <c r="F9" i="14"/>
  <c r="E9" i="14"/>
  <c r="D9" i="14"/>
  <c r="C9" i="14"/>
  <c r="I8" i="12"/>
  <c r="I10" i="12" s="1"/>
  <c r="I12" i="12" s="1"/>
  <c r="H8" i="12"/>
  <c r="H10" i="12"/>
  <c r="H12" i="12" s="1"/>
  <c r="G8" i="12"/>
  <c r="G10" i="12"/>
  <c r="G12" i="12"/>
  <c r="F6" i="12"/>
  <c r="F8" i="12" s="1"/>
  <c r="F10" i="12" s="1"/>
  <c r="F12" i="12" s="1"/>
  <c r="E6" i="12"/>
  <c r="E8" i="12" s="1"/>
  <c r="E10" i="12" s="1"/>
  <c r="E12" i="12" s="1"/>
  <c r="D6" i="12"/>
  <c r="D8" i="12" s="1"/>
  <c r="D10" i="12" s="1"/>
  <c r="D12" i="12" s="1"/>
  <c r="C6" i="12"/>
  <c r="C8" i="12" s="1"/>
  <c r="C10" i="12" s="1"/>
  <c r="C12" i="12" s="1"/>
  <c r="D6" i="7"/>
  <c r="D8" i="7" s="1"/>
  <c r="D10" i="7" s="1"/>
  <c r="D12" i="7" s="1"/>
  <c r="E6" i="7"/>
  <c r="E8" i="7" s="1"/>
  <c r="E10" i="7" s="1"/>
  <c r="E12" i="7" s="1"/>
  <c r="F6" i="7"/>
  <c r="F8" i="7" s="1"/>
  <c r="F10" i="7" s="1"/>
  <c r="F12" i="7" s="1"/>
  <c r="C6" i="7"/>
  <c r="C8" i="7" s="1"/>
  <c r="C10" i="7" s="1"/>
  <c r="C12" i="7" s="1"/>
  <c r="F20" i="11"/>
  <c r="D20" i="11"/>
  <c r="C20" i="11"/>
  <c r="F16" i="11"/>
  <c r="E16" i="11"/>
  <c r="C16" i="11"/>
  <c r="F13" i="11"/>
  <c r="E13" i="11"/>
  <c r="E23" i="11"/>
  <c r="E25" i="11" s="1"/>
  <c r="C13" i="11"/>
  <c r="F12" i="11"/>
  <c r="F23" i="11"/>
  <c r="F26" i="11" s="1"/>
  <c r="D12" i="11"/>
  <c r="D23" i="11"/>
  <c r="C12" i="11"/>
  <c r="C23" i="11" s="1"/>
  <c r="F8" i="11"/>
  <c r="E8" i="11"/>
  <c r="D8" i="11"/>
  <c r="C8" i="11"/>
  <c r="G20" i="10"/>
  <c r="D20" i="10"/>
  <c r="C20" i="10"/>
  <c r="G16" i="10"/>
  <c r="F16" i="10"/>
  <c r="C16" i="10"/>
  <c r="F23" i="10"/>
  <c r="G12" i="10"/>
  <c r="G23" i="10" s="1"/>
  <c r="D12" i="10"/>
  <c r="D23" i="10" s="1"/>
  <c r="C12" i="10"/>
  <c r="C23" i="10" s="1"/>
  <c r="D8" i="10"/>
  <c r="F8" i="10"/>
  <c r="G8" i="10"/>
  <c r="C8" i="10"/>
  <c r="E5" i="1"/>
  <c r="E6" i="1"/>
  <c r="B4" i="3"/>
  <c r="B7" i="3" s="1"/>
  <c r="F7" i="3" s="1"/>
  <c r="F8" i="3" s="1"/>
  <c r="J8" i="3" s="1"/>
  <c r="F4" i="3"/>
  <c r="J31" i="1"/>
  <c r="H5" i="1"/>
  <c r="H7" i="1" s="1"/>
  <c r="C6" i="1"/>
  <c r="C8" i="1"/>
  <c r="H8" i="1"/>
  <c r="B4" i="6"/>
  <c r="B7" i="6" s="1"/>
  <c r="F7" i="6" s="1"/>
  <c r="F8" i="6" s="1"/>
  <c r="J8" i="6" s="1"/>
  <c r="J29" i="1" s="1"/>
  <c r="H29" i="1" s="1"/>
  <c r="J33" i="1"/>
  <c r="A1" i="6"/>
  <c r="A28" i="5"/>
  <c r="A19" i="5"/>
  <c r="B25" i="5"/>
  <c r="F25" i="5"/>
  <c r="F26" i="5" s="1"/>
  <c r="B34" i="5"/>
  <c r="F34" i="5"/>
  <c r="F35" i="5" s="1"/>
  <c r="G8" i="7"/>
  <c r="G10" i="7"/>
  <c r="G12" i="7" s="1"/>
  <c r="H8" i="7"/>
  <c r="H10" i="7"/>
  <c r="H12" i="7"/>
  <c r="I8" i="7"/>
  <c r="I10" i="7"/>
  <c r="I12" i="7"/>
  <c r="I5" i="1"/>
  <c r="I7" i="1" s="1"/>
  <c r="I9" i="1" s="1"/>
  <c r="I30" i="1" s="1"/>
  <c r="I32" i="1" s="1"/>
  <c r="I34" i="1" s="1"/>
  <c r="F6" i="1"/>
  <c r="F8" i="1"/>
  <c r="I8" i="1"/>
  <c r="J8" i="1"/>
  <c r="D7" i="3"/>
  <c r="B21" i="1"/>
  <c r="B20" i="1"/>
  <c r="D31" i="5"/>
  <c r="B33" i="5"/>
  <c r="D22" i="5"/>
  <c r="B24" i="5"/>
  <c r="D13" i="5"/>
  <c r="B16" i="5"/>
  <c r="F16" i="5"/>
  <c r="F17" i="5"/>
  <c r="J17" i="5" s="1"/>
  <c r="J19" i="1" s="1"/>
  <c r="H19" i="1" s="1"/>
  <c r="B15" i="5"/>
  <c r="A10" i="5"/>
  <c r="D4" i="5"/>
  <c r="B7" i="5"/>
  <c r="F7" i="5"/>
  <c r="F8" i="5"/>
  <c r="J8" i="5"/>
  <c r="B6" i="5"/>
  <c r="A1" i="5"/>
  <c r="E31" i="4"/>
  <c r="B34" i="4"/>
  <c r="G34" i="4" s="1"/>
  <c r="G35" i="4" s="1"/>
  <c r="K35" i="4" s="1"/>
  <c r="J16" i="1" s="1"/>
  <c r="H16" i="1" s="1"/>
  <c r="B33" i="4"/>
  <c r="A28" i="4"/>
  <c r="E22" i="4"/>
  <c r="B25" i="4"/>
  <c r="G25" i="4"/>
  <c r="G26" i="4" s="1"/>
  <c r="B24" i="4"/>
  <c r="A19" i="4"/>
  <c r="E13" i="4"/>
  <c r="A5" i="15" s="1"/>
  <c r="B16" i="4"/>
  <c r="G16" i="4"/>
  <c r="G17" i="4"/>
  <c r="K17" i="4" s="1"/>
  <c r="J14" i="1" s="1"/>
  <c r="H14" i="1" s="1"/>
  <c r="B15" i="4"/>
  <c r="A10" i="4"/>
  <c r="E4" i="4"/>
  <c r="B7" i="4"/>
  <c r="G7" i="4"/>
  <c r="G8" i="4" s="1"/>
  <c r="B6" i="4"/>
  <c r="A1" i="4"/>
  <c r="A1" i="3"/>
  <c r="B19" i="1"/>
  <c r="B18" i="1"/>
  <c r="B16" i="1"/>
  <c r="B15" i="1"/>
  <c r="B14" i="1"/>
  <c r="B13" i="1"/>
  <c r="J5" i="1"/>
  <c r="C26" i="14"/>
  <c r="C28" i="14"/>
  <c r="C31" i="14" s="1"/>
  <c r="J18" i="1"/>
  <c r="H18" i="1" s="1"/>
  <c r="F26" i="10"/>
  <c r="H6" i="1"/>
  <c r="F25" i="10"/>
  <c r="F27" i="10" s="1"/>
  <c r="F30" i="10" s="1"/>
  <c r="E26" i="10"/>
  <c r="B18" i="4"/>
  <c r="D25" i="11"/>
  <c r="D26" i="11"/>
  <c r="D27" i="11" s="1"/>
  <c r="D30" i="11" s="1"/>
  <c r="I6" i="1"/>
  <c r="J6" i="1"/>
  <c r="B36" i="4" l="1"/>
  <c r="J26" i="5"/>
  <c r="J20" i="1" s="1"/>
  <c r="H20" i="1" s="1"/>
  <c r="C26" i="10"/>
  <c r="C25" i="10"/>
  <c r="A4" i="15"/>
  <c r="J11" i="1"/>
  <c r="H11" i="1" s="1"/>
  <c r="D25" i="10"/>
  <c r="D26" i="10"/>
  <c r="J12" i="7"/>
  <c r="J27" i="1" s="1"/>
  <c r="H27" i="1" s="1"/>
  <c r="J12" i="12"/>
  <c r="J28" i="1" s="1"/>
  <c r="H28" i="1" s="1"/>
  <c r="E26" i="14"/>
  <c r="E27" i="14"/>
  <c r="K8" i="4"/>
  <c r="J13" i="1" s="1"/>
  <c r="B9" i="4"/>
  <c r="K26" i="4"/>
  <c r="B27" i="4"/>
  <c r="J35" i="5"/>
  <c r="J21" i="1" s="1"/>
  <c r="H21" i="1" s="1"/>
  <c r="J7" i="1"/>
  <c r="H9" i="1"/>
  <c r="G26" i="10"/>
  <c r="G25" i="10"/>
  <c r="G27" i="10" s="1"/>
  <c r="G30" i="10" s="1"/>
  <c r="C26" i="11"/>
  <c r="C25" i="11"/>
  <c r="F26" i="14"/>
  <c r="F27" i="14"/>
  <c r="D4" i="6"/>
  <c r="B9" i="6" s="1"/>
  <c r="F25" i="11"/>
  <c r="F27" i="11" s="1"/>
  <c r="F30" i="11" s="1"/>
  <c r="A7" i="15"/>
  <c r="D4" i="3"/>
  <c r="B9" i="3" s="1"/>
  <c r="E26" i="11"/>
  <c r="E27" i="11" s="1"/>
  <c r="E30" i="11" s="1"/>
  <c r="J15" i="1" l="1"/>
  <c r="H15" i="1" s="1"/>
  <c r="A6" i="15"/>
  <c r="F28" i="14"/>
  <c r="F31" i="14" s="1"/>
  <c r="J25" i="1" s="1"/>
  <c r="H25" i="1" s="1"/>
  <c r="H13" i="1"/>
  <c r="A8" i="15"/>
  <c r="E28" i="14"/>
  <c r="E31" i="14" s="1"/>
  <c r="D27" i="10"/>
  <c r="D30" i="10" s="1"/>
  <c r="J23" i="1" s="1"/>
  <c r="H23" i="1" s="1"/>
  <c r="C27" i="11"/>
  <c r="C30" i="11" s="1"/>
  <c r="C31" i="11" s="1"/>
  <c r="J9" i="1"/>
  <c r="A3" i="15"/>
  <c r="C27" i="10"/>
  <c r="C30" i="10" s="1"/>
  <c r="C31" i="10" s="1"/>
  <c r="A2" i="15" l="1"/>
  <c r="C32" i="14"/>
  <c r="J24" i="1"/>
  <c r="H24" i="1" s="1"/>
  <c r="H30" i="1" s="1"/>
  <c r="H32" i="1" s="1"/>
  <c r="H34" i="1" s="1"/>
  <c r="J30" i="1" l="1"/>
  <c r="J32" i="1" s="1"/>
  <c r="J34" i="1" s="1"/>
</calcChain>
</file>

<file path=xl/comments1.xml><?xml version="1.0" encoding="utf-8"?>
<comments xmlns="http://schemas.openxmlformats.org/spreadsheetml/2006/main">
  <authors>
    <author>jesper</author>
    <author>Jesper</author>
    <author>Roskilde Handelsskole</author>
  </authors>
  <commentList>
    <comment ref="B3" authorId="0" shapeId="0">
      <text>
        <r>
          <rPr>
            <b/>
            <sz val="16"/>
            <color indexed="81"/>
            <rFont val="Tahoma"/>
            <family val="2"/>
          </rPr>
          <t xml:space="preserve">Navnet på produktet eller firmaet bliver flettet ind i teksten til dine kommentarer i den samlede konklusion.
</t>
        </r>
      </text>
    </comment>
    <comment ref="H4" authorId="0" shapeId="0">
      <text>
        <r>
          <rPr>
            <sz val="16"/>
            <color indexed="81"/>
            <rFont val="Tahoma"/>
            <family val="2"/>
          </rPr>
          <t xml:space="preserve">Det samme som standard
</t>
        </r>
      </text>
    </comment>
    <comment ref="G5" authorId="1" shapeId="0">
      <text>
        <r>
          <rPr>
            <b/>
            <sz val="9"/>
            <color indexed="81"/>
            <rFont val="Tahoma"/>
            <family val="2"/>
          </rPr>
          <t>Budgetteret Salgspris</t>
        </r>
      </text>
    </comment>
    <comment ref="H5" authorId="2" shapeId="0">
      <text>
        <r>
          <rPr>
            <b/>
            <sz val="12"/>
            <color indexed="81"/>
            <rFont val="Tahoma"/>
            <family val="2"/>
          </rPr>
          <t>Budget pris* Faktisk afsætning</t>
        </r>
      </text>
    </comment>
    <comment ref="I5" authorId="2" shapeId="0">
      <text>
        <r>
          <rPr>
            <b/>
            <sz val="12"/>
            <color indexed="81"/>
            <rFont val="Tahoma"/>
            <family val="2"/>
          </rPr>
          <t>Budget pris *
Budget afsætning</t>
        </r>
      </text>
    </comment>
    <comment ref="J5" authorId="2" shapeId="0">
      <text>
        <r>
          <rPr>
            <b/>
            <sz val="8"/>
            <color indexed="81"/>
            <rFont val="Tahoma"/>
            <family val="2"/>
          </rPr>
          <t>Mængdeafvigelsen underlagt forudsætningen at den aktuelle salgspris er den samme som den budgetterede</t>
        </r>
      </text>
    </comment>
    <comment ref="G6" authorId="1" shapeId="0">
      <text>
        <r>
          <rPr>
            <b/>
            <sz val="9"/>
            <color indexed="81"/>
            <rFont val="Tahoma"/>
            <family val="2"/>
          </rPr>
          <t>Variable enhedsomk (VE)</t>
        </r>
        <r>
          <rPr>
            <sz val="9"/>
            <color indexed="81"/>
            <rFont val="Tahoma"/>
            <family val="2"/>
          </rPr>
          <t xml:space="preserve">
</t>
        </r>
      </text>
    </comment>
    <comment ref="H6" authorId="1" shapeId="0">
      <text>
        <r>
          <rPr>
            <sz val="9"/>
            <color indexed="81"/>
            <rFont val="Tahoma"/>
            <family val="2"/>
          </rPr>
          <t xml:space="preserve">Budget VE * faktisk afsætning
</t>
        </r>
      </text>
    </comment>
    <comment ref="I6" authorId="1" shapeId="0">
      <text>
        <r>
          <rPr>
            <sz val="9"/>
            <color indexed="81"/>
            <rFont val="Tahoma"/>
            <family val="2"/>
          </rPr>
          <t>Budget VE * budget afsætning</t>
        </r>
      </text>
    </comment>
    <comment ref="B8" authorId="0" shapeId="0">
      <text>
        <r>
          <rPr>
            <sz val="9"/>
            <color indexed="81"/>
            <rFont val="Tahoma"/>
            <family val="2"/>
          </rPr>
          <t xml:space="preserve">
</t>
        </r>
        <r>
          <rPr>
            <sz val="16"/>
            <color indexed="81"/>
            <rFont val="Tahoma"/>
            <family val="2"/>
          </rPr>
          <t xml:space="preserve">Bogen har ikke denne række, den er indbygget i standard variable omkostninger. Der kan være enkelte opgaver hvor de variable omkostninger er opdelt på vareforbrug og salgsprovision, derfor har jeg lavet opdelingen så der er mulighed for at lave beregningen standard salgsprovision. I 90% af opgaverne bør denne række skjules.
</t>
        </r>
      </text>
    </comment>
    <comment ref="B9" authorId="0" shapeId="0">
      <text>
        <r>
          <rPr>
            <b/>
            <sz val="14"/>
            <color indexed="81"/>
            <rFont val="Tahoma"/>
            <family val="2"/>
          </rPr>
          <t xml:space="preserve">
</t>
        </r>
        <r>
          <rPr>
            <b/>
            <sz val="20"/>
            <color indexed="81"/>
            <rFont val="Tahoma"/>
            <family val="2"/>
          </rPr>
          <t>Husk: Dette er mængdeafvigelsen</t>
        </r>
        <r>
          <rPr>
            <b/>
            <sz val="14"/>
            <color indexed="81"/>
            <rFont val="Tahoma"/>
            <family val="2"/>
          </rPr>
          <t xml:space="preserve">
Forskellen mellem periodens standarddækningsbidrag og budgetterede dækningsbidrag viser dækningsbidragsvirkningen af, at periodens faktiske afsætning afviger fra den planlagte afsætning. Årsagen er altså en mængde ændring.
</t>
        </r>
      </text>
    </comment>
    <comment ref="B12" authorId="1" shapeId="0">
      <text>
        <r>
          <rPr>
            <sz val="9"/>
            <color indexed="81"/>
            <rFont val="Tahoma"/>
            <family val="2"/>
          </rPr>
          <t xml:space="preserve">Der er mulighed for at indsætte op til 4 indkøbsafvigelser på forskellige råvarer
</t>
        </r>
      </text>
    </comment>
  </commentList>
</comments>
</file>

<file path=xl/comments2.xml><?xml version="1.0" encoding="utf-8"?>
<comments xmlns="http://schemas.openxmlformats.org/spreadsheetml/2006/main">
  <authors>
    <author>Jesper</author>
  </authors>
  <commentList>
    <comment ref="B4" authorId="0" shapeId="0">
      <text>
        <r>
          <rPr>
            <b/>
            <sz val="9"/>
            <color indexed="81"/>
            <rFont val="Tahoma"/>
            <family val="2"/>
          </rPr>
          <t xml:space="preserve">Her skal du indtaste de samlede indkøb i form af mængde, f.eks. Kg, stk.
</t>
        </r>
      </text>
    </comment>
    <comment ref="G4" authorId="0" shapeId="0">
      <text>
        <r>
          <rPr>
            <sz val="12"/>
            <color indexed="81"/>
            <rFont val="Tahoma"/>
            <family val="2"/>
          </rPr>
          <t xml:space="preserve">Her skal du indtaste den faktiske omkostning til indkøb af denne "råvarer"/varer.
</t>
        </r>
        <r>
          <rPr>
            <sz val="9"/>
            <color indexed="81"/>
            <rFont val="Tahoma"/>
            <family val="2"/>
          </rPr>
          <t xml:space="preserve">
</t>
        </r>
      </text>
    </comment>
    <comment ref="E7" authorId="0" shapeId="0">
      <text>
        <r>
          <rPr>
            <sz val="9"/>
            <color indexed="81"/>
            <rFont val="Tahoma"/>
            <family val="2"/>
          </rPr>
          <t xml:space="preserve">Den budgetterede pris som man har sat som standardpris
</t>
        </r>
      </text>
    </comment>
  </commentList>
</comments>
</file>

<file path=xl/comments3.xml><?xml version="1.0" encoding="utf-8"?>
<comments xmlns="http://schemas.openxmlformats.org/spreadsheetml/2006/main">
  <authors>
    <author>jesper</author>
  </authors>
  <commentList>
    <comment ref="B4" authorId="0" shapeId="0">
      <text>
        <r>
          <rPr>
            <sz val="14"/>
            <color indexed="81"/>
            <rFont val="Tahoma"/>
            <family val="2"/>
          </rPr>
          <t>Indtast faktiske timer</t>
        </r>
      </text>
    </comment>
    <comment ref="F4" authorId="0" shapeId="0">
      <text>
        <r>
          <rPr>
            <sz val="14"/>
            <color indexed="81"/>
            <rFont val="Tahoma"/>
            <family val="2"/>
          </rPr>
          <t>Indtast den faktiske løn</t>
        </r>
      </text>
    </comment>
    <comment ref="D7" authorId="0" shapeId="0">
      <text>
        <r>
          <rPr>
            <sz val="14"/>
            <color indexed="81"/>
            <rFont val="Tahoma"/>
            <family val="2"/>
          </rPr>
          <t>Indtast standardlønsatsen</t>
        </r>
      </text>
    </comment>
  </commentList>
</comments>
</file>

<file path=xl/comments4.xml><?xml version="1.0" encoding="utf-8"?>
<comments xmlns="http://schemas.openxmlformats.org/spreadsheetml/2006/main">
  <authors>
    <author>jesper</author>
  </authors>
  <commentList>
    <comment ref="A11" authorId="0" shapeId="0">
      <text>
        <r>
          <rPr>
            <sz val="16"/>
            <color indexed="81"/>
            <rFont val="Tahoma"/>
            <family val="2"/>
          </rPr>
          <t>Her kan typisk stå:   Produktionen til færdigvarlageret
Fra afdeling 1 til afdeling 2
Produktion til pakkeafdelingen</t>
        </r>
      </text>
    </comment>
    <comment ref="B26" authorId="0" shapeId="0">
      <text>
        <r>
          <rPr>
            <sz val="9"/>
            <color indexed="81"/>
            <rFont val="Tahoma"/>
            <family val="2"/>
          </rPr>
          <t xml:space="preserve">Procenten er udregnet i forhold til standardforbruget
</t>
        </r>
      </text>
    </comment>
  </commentList>
</comments>
</file>

<file path=xl/comments5.xml><?xml version="1.0" encoding="utf-8"?>
<comments xmlns="http://schemas.openxmlformats.org/spreadsheetml/2006/main">
  <authors>
    <author>jesper</author>
  </authors>
  <commentList>
    <comment ref="A11" authorId="0" shapeId="0">
      <text>
        <r>
          <rPr>
            <sz val="9"/>
            <color indexed="81"/>
            <rFont val="Tahoma"/>
            <family val="2"/>
          </rPr>
          <t xml:space="preserve">
Her kan typisk stå:
Fra afdeling 2 til færdigvarelageret
Fra afdeling 2 til pakkeafdelingen
Produktion til færdigvarelageret</t>
        </r>
      </text>
    </comment>
    <comment ref="B26" authorId="0" shapeId="0">
      <text>
        <r>
          <rPr>
            <sz val="9"/>
            <color indexed="81"/>
            <rFont val="Tahoma"/>
            <family val="2"/>
          </rPr>
          <t xml:space="preserve">Procenten er udregnet i forhold til standardforbruget
</t>
        </r>
      </text>
    </comment>
  </commentList>
</comments>
</file>

<file path=xl/comments6.xml><?xml version="1.0" encoding="utf-8"?>
<comments xmlns="http://schemas.openxmlformats.org/spreadsheetml/2006/main">
  <authors>
    <author>jesper</author>
  </authors>
  <commentList>
    <comment ref="B27" authorId="0" shapeId="0">
      <text>
        <r>
          <rPr>
            <sz val="9"/>
            <color indexed="81"/>
            <rFont val="Tahoma"/>
            <family val="2"/>
          </rPr>
          <t xml:space="preserve">Procenten er udregnet i forhold til standardforbruget
</t>
        </r>
      </text>
    </comment>
  </commentList>
</comments>
</file>

<file path=xl/comments7.xml><?xml version="1.0" encoding="utf-8"?>
<comments xmlns="http://schemas.openxmlformats.org/spreadsheetml/2006/main">
  <authors>
    <author>Roskilde Handelsskole</author>
  </authors>
  <commentList>
    <comment ref="G2" authorId="0" shapeId="0">
      <text>
        <r>
          <rPr>
            <sz val="8"/>
            <color indexed="81"/>
            <rFont val="Tahoma"/>
            <family val="2"/>
          </rPr>
          <t xml:space="preserve">Der er mulighed for at indsætte 4 råvarer
</t>
        </r>
      </text>
    </comment>
    <comment ref="C11" authorId="0" shapeId="0">
      <text>
        <r>
          <rPr>
            <b/>
            <sz val="8"/>
            <color indexed="81"/>
            <rFont val="Tahoma"/>
            <family val="2"/>
          </rPr>
          <t>Standardpris, dvs. hvad prisen er pr. stk/meter/kilo 
ifølge forkalkulationen</t>
        </r>
      </text>
    </comment>
    <comment ref="G13" authorId="0" shapeId="0">
      <text>
        <r>
          <rPr>
            <sz val="8"/>
            <color indexed="81"/>
            <rFont val="Tahoma"/>
            <family val="2"/>
          </rPr>
          <t xml:space="preserve">Der er mulighed for at indsætte 4 råvarer
</t>
        </r>
      </text>
    </comment>
    <comment ref="C20" authorId="0" shapeId="0">
      <text>
        <r>
          <rPr>
            <b/>
            <sz val="8"/>
            <color indexed="81"/>
            <rFont val="Tahoma"/>
            <family val="2"/>
          </rPr>
          <t>Standardpris, dvs. hvad prisen er pr. stk/meter/kilo 
ifølge forkalkulationen</t>
        </r>
      </text>
    </comment>
    <comment ref="C29" authorId="0" shapeId="0">
      <text>
        <r>
          <rPr>
            <b/>
            <sz val="8"/>
            <color indexed="81"/>
            <rFont val="Tahoma"/>
            <family val="2"/>
          </rPr>
          <t>Standardpris i produktionen, dvs. hvad det koster ifølge forkalkulationen at producere 1 stk.</t>
        </r>
        <r>
          <rPr>
            <sz val="8"/>
            <color indexed="81"/>
            <rFont val="Tahoma"/>
            <family val="2"/>
          </rPr>
          <t xml:space="preserve">
</t>
        </r>
      </text>
    </comment>
  </commentList>
</comments>
</file>

<file path=xl/comments8.xml><?xml version="1.0" encoding="utf-8"?>
<comments xmlns="http://schemas.openxmlformats.org/spreadsheetml/2006/main">
  <authors>
    <author>Roskilde Handelsskole</author>
  </authors>
  <commentList>
    <comment ref="G2" authorId="0" shapeId="0">
      <text>
        <r>
          <rPr>
            <sz val="8"/>
            <color indexed="81"/>
            <rFont val="Tahoma"/>
            <family val="2"/>
          </rPr>
          <t xml:space="preserve">Der er mulighed for at indsætte 4 råvarer
</t>
        </r>
      </text>
    </comment>
    <comment ref="C11" authorId="0" shapeId="0">
      <text>
        <r>
          <rPr>
            <b/>
            <sz val="8"/>
            <color indexed="81"/>
            <rFont val="Tahoma"/>
            <family val="2"/>
          </rPr>
          <t>Standardpris, dvs. hvad prisen er pr. stk/meter/kilo 
ifølge forkalkulationen</t>
        </r>
      </text>
    </comment>
    <comment ref="G13" authorId="0" shapeId="0">
      <text>
        <r>
          <rPr>
            <sz val="8"/>
            <color indexed="81"/>
            <rFont val="Tahoma"/>
            <family val="2"/>
          </rPr>
          <t xml:space="preserve">Der er mulighed for at indsætte 4 råvarer
</t>
        </r>
      </text>
    </comment>
    <comment ref="C20" authorId="0" shapeId="0">
      <text>
        <r>
          <rPr>
            <b/>
            <sz val="8"/>
            <color indexed="81"/>
            <rFont val="Tahoma"/>
            <family val="2"/>
          </rPr>
          <t>Standardpris, dvs. hvad prisen er pr. stk/meter/kilo 
ifølge forkalkulationen</t>
        </r>
      </text>
    </comment>
    <comment ref="C29" authorId="0" shapeId="0">
      <text>
        <r>
          <rPr>
            <b/>
            <sz val="8"/>
            <color indexed="81"/>
            <rFont val="Tahoma"/>
            <family val="2"/>
          </rPr>
          <t>Standardpris i produktionen, dvs. hvad det koster ifølge forkalkulationen at producere 1 stk.</t>
        </r>
        <r>
          <rPr>
            <sz val="8"/>
            <color indexed="81"/>
            <rFont val="Tahoma"/>
            <family val="2"/>
          </rPr>
          <t xml:space="preserve">
</t>
        </r>
      </text>
    </comment>
  </commentList>
</comments>
</file>

<file path=xl/comments9.xml><?xml version="1.0" encoding="utf-8"?>
<comments xmlns="http://schemas.openxmlformats.org/spreadsheetml/2006/main">
  <authors>
    <author>jesper</author>
  </authors>
  <commentList>
    <comment ref="F4" authorId="0" shapeId="0">
      <text>
        <r>
          <rPr>
            <sz val="16"/>
            <color indexed="81"/>
            <rFont val="Tahoma"/>
            <family val="2"/>
          </rPr>
          <t xml:space="preserve">indtast den faktiske provisionssats
</t>
        </r>
      </text>
    </comment>
    <comment ref="D7" authorId="0" shapeId="0">
      <text>
        <r>
          <rPr>
            <sz val="14"/>
            <color indexed="81"/>
            <rFont val="Tahoma"/>
            <family val="2"/>
          </rPr>
          <t>indtast standardprovisionssatsen</t>
        </r>
        <r>
          <rPr>
            <sz val="9"/>
            <color indexed="81"/>
            <rFont val="Tahoma"/>
            <family val="2"/>
          </rPr>
          <t xml:space="preserve">
</t>
        </r>
      </text>
    </comment>
  </commentList>
</comments>
</file>

<file path=xl/sharedStrings.xml><?xml version="1.0" encoding="utf-8"?>
<sst xmlns="http://schemas.openxmlformats.org/spreadsheetml/2006/main" count="314" uniqueCount="154">
  <si>
    <t xml:space="preserve">Resultatkontrol </t>
  </si>
  <si>
    <t>Faktisk afsætning</t>
  </si>
  <si>
    <t>faktisk oms</t>
  </si>
  <si>
    <t>Aktuelt</t>
  </si>
  <si>
    <t>Budget</t>
  </si>
  <si>
    <t>Afvigelse</t>
  </si>
  <si>
    <t>Standard omsætning</t>
  </si>
  <si>
    <t>Standard vareforbrug</t>
  </si>
  <si>
    <t>Ekstrakt B</t>
  </si>
  <si>
    <t>Emballage</t>
  </si>
  <si>
    <t>Afdeling 1</t>
  </si>
  <si>
    <t>Afdeling 2</t>
  </si>
  <si>
    <t>Afdeling 3</t>
  </si>
  <si>
    <t>Afdeling 4</t>
  </si>
  <si>
    <t>+ tilgang</t>
  </si>
  <si>
    <t>- afgang</t>
  </si>
  <si>
    <t>Ultimo beholdning</t>
  </si>
  <si>
    <t>Faktisk ultimobeholdning</t>
  </si>
  <si>
    <t>Standardpris</t>
  </si>
  <si>
    <t>Afvigelse i kr.</t>
  </si>
  <si>
    <t>Salgsprisafvigelse</t>
  </si>
  <si>
    <t>Lønsatsafvigelse</t>
  </si>
  <si>
    <t>Råvarerlagerafvigelse</t>
  </si>
  <si>
    <t>Færdigvarelagerafvigelse</t>
  </si>
  <si>
    <t>Salgsprovisionsafvigelse</t>
  </si>
  <si>
    <t>Forbrugsafvigelser:</t>
  </si>
  <si>
    <t>Lagerafvigelser:</t>
  </si>
  <si>
    <t>Realiseret DB</t>
  </si>
  <si>
    <t>Markedsføringsbidrag</t>
  </si>
  <si>
    <t>-kontante kapacititetsomk.</t>
  </si>
  <si>
    <t>Indtjeningsbidrag</t>
  </si>
  <si>
    <t>note 1</t>
  </si>
  <si>
    <t>note 2</t>
  </si>
  <si>
    <t>note 3</t>
  </si>
  <si>
    <t>note 4</t>
  </si>
  <si>
    <t>note 5</t>
  </si>
  <si>
    <t>note 6</t>
  </si>
  <si>
    <t>note 7</t>
  </si>
  <si>
    <t>note 8</t>
  </si>
  <si>
    <t>note 9</t>
  </si>
  <si>
    <t>*</t>
  </si>
  <si>
    <t>Faktisk omsætning:</t>
  </si>
  <si>
    <t>ganget med</t>
  </si>
  <si>
    <t>Standardomsætning:</t>
  </si>
  <si>
    <t>budgetteret salgspris</t>
  </si>
  <si>
    <t>Salgsprisafvigelse:</t>
  </si>
  <si>
    <t>=</t>
  </si>
  <si>
    <t>Salgsprovisionsafvigelse:</t>
  </si>
  <si>
    <t>Faktisk Provision:</t>
  </si>
  <si>
    <t>Standardprovisionssats</t>
  </si>
  <si>
    <t>faktisk pris</t>
  </si>
  <si>
    <t>+/- Afvigelser:</t>
  </si>
  <si>
    <t>faktisk afsætning</t>
  </si>
  <si>
    <t xml:space="preserve">faktisk pris </t>
  </si>
  <si>
    <t>budget afsætning</t>
  </si>
  <si>
    <t>budget pris</t>
  </si>
  <si>
    <t>Indkøbsprisafvigelse:</t>
  </si>
  <si>
    <t>Faktisk indkøb:</t>
  </si>
  <si>
    <t>Standardindkøb:</t>
  </si>
  <si>
    <t xml:space="preserve">Faktisk  indkøb </t>
  </si>
  <si>
    <t>faktisk indkøbspris</t>
  </si>
  <si>
    <t>Standardindkøbspris</t>
  </si>
  <si>
    <t>Indkøbsprisafvigels:</t>
  </si>
  <si>
    <t>Råvare X</t>
  </si>
  <si>
    <t>Lønsatsafvigelse:</t>
  </si>
  <si>
    <t>Standardlønsats</t>
  </si>
  <si>
    <t>faktisk timeløn</t>
  </si>
  <si>
    <t>Faktisk løn:</t>
  </si>
  <si>
    <t>Standardlønafregning:</t>
  </si>
  <si>
    <t>faktisk salgsprovisionsats</t>
  </si>
  <si>
    <t>Standardprovision:</t>
  </si>
  <si>
    <t>note 10</t>
  </si>
  <si>
    <t>note 11</t>
  </si>
  <si>
    <t>note 12</t>
  </si>
  <si>
    <t>note 13</t>
  </si>
  <si>
    <t>note 14</t>
  </si>
  <si>
    <t>note 15</t>
  </si>
  <si>
    <t>Total</t>
  </si>
  <si>
    <t>Arbejdstid</t>
  </si>
  <si>
    <t>kg</t>
  </si>
  <si>
    <t>timer</t>
  </si>
  <si>
    <t>Råvarer R</t>
  </si>
  <si>
    <t>Råvarer S</t>
  </si>
  <si>
    <t xml:space="preserve"> Råvarer T</t>
  </si>
  <si>
    <t>Faktisk forbrug:</t>
  </si>
  <si>
    <t>Tilgang af råvarer og arbejdstid</t>
  </si>
  <si>
    <t>+ubehandlede råvarer primo</t>
  </si>
  <si>
    <t>-ubehandlede råvarer ultimo</t>
  </si>
  <si>
    <t>Standardforbrug</t>
  </si>
  <si>
    <t>Produktionen til pakkeafdelingen</t>
  </si>
  <si>
    <t>7500 cosmo*4kg /1kg /3 timer</t>
  </si>
  <si>
    <t>4500 astro * 6kg /5kg /4 timer</t>
  </si>
  <si>
    <t>4502 astro * 6kg /5kg /4 timer</t>
  </si>
  <si>
    <t>1000 cosmo * 2kg/½kg/1½time</t>
  </si>
  <si>
    <t>500 astro* 3kg/2½kg/2 timer</t>
  </si>
  <si>
    <t xml:space="preserve">Standardforbrug i alt </t>
  </si>
  <si>
    <t>Faktisk forbrug i alt</t>
  </si>
  <si>
    <t xml:space="preserve">Kalkuleret svind </t>
  </si>
  <si>
    <t>Afvigelse ved normalstandards</t>
  </si>
  <si>
    <t>Afvigelse ved idealstandards</t>
  </si>
  <si>
    <t>Standardpris og -lønsats</t>
  </si>
  <si>
    <t>Afvigelse i kr. ved normalstandard</t>
  </si>
  <si>
    <t>Afvigelse i alt</t>
  </si>
  <si>
    <t>Standardomkostningskontrol i produktionsafdeling 1</t>
  </si>
  <si>
    <t>Produktionsafdeling 1</t>
  </si>
  <si>
    <t>Råvare R</t>
  </si>
  <si>
    <t>Råvare S</t>
  </si>
  <si>
    <t>Råvare T</t>
  </si>
  <si>
    <t>Kasser</t>
  </si>
  <si>
    <t>Primobeholdning</t>
  </si>
  <si>
    <t>Kg</t>
  </si>
  <si>
    <t>Stk.</t>
  </si>
  <si>
    <t>I alt</t>
  </si>
  <si>
    <t>Astro</t>
  </si>
  <si>
    <t>stk</t>
  </si>
  <si>
    <t>Cosmo</t>
  </si>
  <si>
    <t>Ultimo beholdning beregnet</t>
  </si>
  <si>
    <t>Manko (svind /spild)</t>
  </si>
  <si>
    <t>Manko (Svind/spild)</t>
  </si>
  <si>
    <t>Produktionsafdeling 2</t>
  </si>
  <si>
    <t>Pakkeafdelingen</t>
  </si>
  <si>
    <t>Standardomkostningskontrol i produktionsafdeling 2</t>
  </si>
  <si>
    <t>Standardomkostningskontrol i pakkeafdelingen</t>
  </si>
  <si>
    <t>kasser</t>
  </si>
  <si>
    <t xml:space="preserve">Fra produktions-afdelingen </t>
  </si>
  <si>
    <t>Tilgang af produkter</t>
  </si>
  <si>
    <t>+primo</t>
  </si>
  <si>
    <t>-ultimo</t>
  </si>
  <si>
    <t>4400 astro * 1stk /1stk /½ time</t>
  </si>
  <si>
    <t>Produktionen til færdigvarelager</t>
  </si>
  <si>
    <t>7400 cosmo*1stk /1stk /½ time</t>
  </si>
  <si>
    <t>+Færdigpakkede ultimo</t>
  </si>
  <si>
    <t>100 Astro * 1stk/ 1stk/½time</t>
  </si>
  <si>
    <t>-Færdigpakkede primo</t>
  </si>
  <si>
    <t>Standard Bruttofortjeneste</t>
  </si>
  <si>
    <t>Standard salgsprovision</t>
  </si>
  <si>
    <t>Standard Dækningsbidrag</t>
  </si>
  <si>
    <t>Standardforbrug:</t>
  </si>
  <si>
    <t>+VUF ultimo:</t>
  </si>
  <si>
    <t>-VUF primo:</t>
  </si>
  <si>
    <t>-Salgsfremmende omkostninger</t>
  </si>
  <si>
    <t>Produktionen til pakkeafdelingen:</t>
  </si>
  <si>
    <t>Opgave</t>
  </si>
  <si>
    <t>1 kvartal 2005</t>
  </si>
  <si>
    <t>meter</t>
  </si>
  <si>
    <t>Råvarer A</t>
  </si>
  <si>
    <t>Råvarer B</t>
  </si>
  <si>
    <t>Råvarer C</t>
  </si>
  <si>
    <t xml:space="preserve"> Råvarer D</t>
  </si>
  <si>
    <t>4500 astro * 6kg /5kg /1kg/4 timer</t>
  </si>
  <si>
    <t>Ekstrakt A</t>
  </si>
  <si>
    <t>Samlet konklusion på budgetkontrol</t>
  </si>
  <si>
    <t>Jysk</t>
  </si>
  <si>
    <t>Faktisk udbetalte timer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</si>
</sst>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0.000"/>
  </numFmts>
  <fonts count="25" x14ac:knownFonts="1">
    <font>
      <sz val="10"/>
      <name val="Arial"/>
    </font>
    <font>
      <sz val="10"/>
      <name val="Arial"/>
      <family val="2"/>
    </font>
    <font>
      <sz val="8"/>
      <name val="Arial"/>
      <family val="2"/>
    </font>
    <font>
      <b/>
      <sz val="8"/>
      <color indexed="81"/>
      <name val="Tahoma"/>
      <family val="2"/>
    </font>
    <font>
      <sz val="8"/>
      <color indexed="81"/>
      <name val="Tahoma"/>
      <family val="2"/>
    </font>
    <font>
      <b/>
      <sz val="12"/>
      <color indexed="81"/>
      <name val="Tahoma"/>
      <family val="2"/>
    </font>
    <font>
      <sz val="9"/>
      <color indexed="81"/>
      <name val="Tahoma"/>
      <family val="2"/>
    </font>
    <font>
      <b/>
      <sz val="9"/>
      <color indexed="81"/>
      <name val="Tahoma"/>
      <family val="2"/>
    </font>
    <font>
      <sz val="14"/>
      <name val="Arial"/>
      <family val="2"/>
    </font>
    <font>
      <vertAlign val="subscript"/>
      <sz val="22"/>
      <name val="Arial"/>
      <family val="2"/>
    </font>
    <font>
      <b/>
      <sz val="10"/>
      <name val="Arial"/>
      <family val="2"/>
    </font>
    <font>
      <b/>
      <i/>
      <sz val="12"/>
      <name val="Arial"/>
      <family val="2"/>
    </font>
    <font>
      <sz val="12"/>
      <color indexed="81"/>
      <name val="Tahoma"/>
      <family val="2"/>
    </font>
    <font>
      <b/>
      <i/>
      <sz val="10"/>
      <name val="Arial"/>
      <family val="2"/>
    </font>
    <font>
      <b/>
      <i/>
      <sz val="18"/>
      <name val="Arial"/>
      <family val="2"/>
    </font>
    <font>
      <sz val="10"/>
      <name val="Arial"/>
      <family val="2"/>
    </font>
    <font>
      <sz val="10"/>
      <name val="Arial"/>
      <family val="2"/>
    </font>
    <font>
      <sz val="14"/>
      <name val="Arial"/>
      <family val="2"/>
    </font>
    <font>
      <sz val="12"/>
      <name val="Arial"/>
      <family val="2"/>
    </font>
    <font>
      <b/>
      <sz val="12"/>
      <name val="Arial"/>
      <family val="2"/>
    </font>
    <font>
      <sz val="14"/>
      <color indexed="81"/>
      <name val="Tahoma"/>
      <family val="2"/>
    </font>
    <font>
      <sz val="16"/>
      <color indexed="81"/>
      <name val="Tahoma"/>
      <family val="2"/>
    </font>
    <font>
      <b/>
      <sz val="14"/>
      <color indexed="81"/>
      <name val="Tahoma"/>
      <family val="2"/>
    </font>
    <font>
      <b/>
      <sz val="20"/>
      <color indexed="81"/>
      <name val="Tahoma"/>
      <family val="2"/>
    </font>
    <font>
      <b/>
      <sz val="16"/>
      <color indexed="81"/>
      <name val="Tahoma"/>
      <family val="2"/>
    </font>
  </fonts>
  <fills count="3">
    <fill>
      <patternFill patternType="none"/>
    </fill>
    <fill>
      <patternFill patternType="gray125"/>
    </fill>
    <fill>
      <patternFill patternType="solid">
        <fgColor indexed="43"/>
        <bgColor indexed="64"/>
      </patternFill>
    </fill>
  </fills>
  <borders count="4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51">
    <xf numFmtId="0" fontId="0" fillId="0" borderId="0" xfId="0"/>
    <xf numFmtId="0" fontId="0" fillId="2" borderId="1" xfId="0" applyFill="1" applyBorder="1" applyAlignment="1">
      <alignment horizontal="center"/>
    </xf>
    <xf numFmtId="0" fontId="0" fillId="0" borderId="2" xfId="0" applyBorder="1"/>
    <xf numFmtId="0" fontId="0" fillId="0" borderId="2" xfId="0" applyBorder="1" applyAlignment="1">
      <alignment wrapText="1"/>
    </xf>
    <xf numFmtId="0" fontId="0" fillId="0" borderId="3" xfId="0" applyBorder="1"/>
    <xf numFmtId="0" fontId="0" fillId="0" borderId="1" xfId="0" applyBorder="1" applyAlignment="1">
      <alignment wrapText="1"/>
    </xf>
    <xf numFmtId="49" fontId="0" fillId="0" borderId="1" xfId="0" applyNumberFormat="1" applyFill="1" applyBorder="1" applyAlignment="1">
      <alignment horizontal="center"/>
    </xf>
    <xf numFmtId="0" fontId="0" fillId="0" borderId="4" xfId="0" applyBorder="1"/>
    <xf numFmtId="0" fontId="0" fillId="0" borderId="0" xfId="0" applyFill="1" applyBorder="1"/>
    <xf numFmtId="3" fontId="0" fillId="0" borderId="0" xfId="0" applyNumberFormat="1" applyBorder="1"/>
    <xf numFmtId="3" fontId="1" fillId="0" borderId="5" xfId="1" applyNumberFormat="1" applyBorder="1"/>
    <xf numFmtId="0" fontId="0" fillId="0" borderId="0" xfId="0" applyBorder="1"/>
    <xf numFmtId="3" fontId="0" fillId="0" borderId="2" xfId="0" applyNumberFormat="1" applyBorder="1"/>
    <xf numFmtId="3" fontId="1" fillId="0" borderId="6" xfId="1" applyNumberFormat="1" applyBorder="1"/>
    <xf numFmtId="0" fontId="0" fillId="0" borderId="1" xfId="0" applyBorder="1"/>
    <xf numFmtId="3" fontId="0" fillId="0" borderId="1" xfId="0" applyNumberFormat="1" applyBorder="1"/>
    <xf numFmtId="3" fontId="1" fillId="0" borderId="7" xfId="1" applyNumberFormat="1" applyBorder="1"/>
    <xf numFmtId="0" fontId="2" fillId="0" borderId="8" xfId="0" applyFont="1" applyBorder="1"/>
    <xf numFmtId="165" fontId="1" fillId="0" borderId="2" xfId="1" applyNumberFormat="1" applyBorder="1"/>
    <xf numFmtId="0" fontId="0" fillId="2" borderId="1" xfId="0" applyFill="1" applyBorder="1"/>
    <xf numFmtId="166" fontId="0" fillId="2" borderId="0" xfId="0" applyNumberFormat="1" applyFill="1" applyBorder="1"/>
    <xf numFmtId="49" fontId="0" fillId="0" borderId="4" xfId="0" applyNumberFormat="1" applyBorder="1"/>
    <xf numFmtId="166" fontId="0" fillId="0" borderId="0" xfId="0" applyNumberFormat="1" applyBorder="1"/>
    <xf numFmtId="49" fontId="0" fillId="0" borderId="8" xfId="0" applyNumberFormat="1" applyBorder="1"/>
    <xf numFmtId="166" fontId="0" fillId="0" borderId="2" xfId="0" applyNumberFormat="1" applyBorder="1"/>
    <xf numFmtId="0" fontId="0" fillId="0" borderId="4" xfId="0" quotePrefix="1" applyBorder="1"/>
    <xf numFmtId="0" fontId="0" fillId="0" borderId="0" xfId="0" applyBorder="1" applyAlignment="1">
      <alignment horizontal="center"/>
    </xf>
    <xf numFmtId="165" fontId="0" fillId="0" borderId="0" xfId="1" applyNumberFormat="1" applyFont="1" applyBorder="1" applyAlignment="1">
      <alignment horizontal="center"/>
    </xf>
    <xf numFmtId="165" fontId="0" fillId="0" borderId="4" xfId="1" applyNumberFormat="1" applyFont="1" applyBorder="1"/>
    <xf numFmtId="0" fontId="0" fillId="0" borderId="9" xfId="0" applyBorder="1"/>
    <xf numFmtId="0" fontId="0" fillId="0" borderId="10" xfId="0" applyBorder="1"/>
    <xf numFmtId="0" fontId="0" fillId="0" borderId="11" xfId="0" applyBorder="1"/>
    <xf numFmtId="165" fontId="0" fillId="2" borderId="0" xfId="1" applyNumberFormat="1" applyFont="1" applyFill="1" applyBorder="1" applyAlignment="1">
      <alignment horizontal="center"/>
    </xf>
    <xf numFmtId="164" fontId="0" fillId="0" borderId="0" xfId="1" applyFont="1" applyBorder="1"/>
    <xf numFmtId="0" fontId="8" fillId="0" borderId="0" xfId="0" quotePrefix="1" applyFont="1" applyBorder="1" applyAlignment="1">
      <alignment horizontal="center"/>
    </xf>
    <xf numFmtId="0" fontId="9" fillId="0" borderId="0" xfId="0" applyFont="1" applyBorder="1" applyAlignment="1">
      <alignment horizontal="center"/>
    </xf>
    <xf numFmtId="0" fontId="8" fillId="0" borderId="0" xfId="0" quotePrefix="1" applyFont="1" applyBorder="1" applyAlignment="1" applyProtection="1">
      <alignment horizontal="center"/>
      <protection locked="0"/>
    </xf>
    <xf numFmtId="0" fontId="9" fillId="0" borderId="0" xfId="0" applyFont="1" applyFill="1" applyBorder="1" applyAlignment="1" applyProtection="1">
      <alignment horizontal="center"/>
      <protection locked="0"/>
    </xf>
    <xf numFmtId="164" fontId="0" fillId="2" borderId="0" xfId="1" applyFont="1" applyFill="1" applyBorder="1"/>
    <xf numFmtId="0" fontId="0" fillId="0" borderId="4" xfId="0" applyBorder="1" applyAlignment="1">
      <alignment horizontal="right"/>
    </xf>
    <xf numFmtId="0" fontId="10" fillId="0" borderId="4" xfId="0" applyFont="1" applyBorder="1"/>
    <xf numFmtId="0" fontId="11" fillId="0" borderId="3" xfId="0" applyFont="1" applyBorder="1"/>
    <xf numFmtId="165" fontId="0" fillId="0" borderId="12" xfId="1" applyNumberFormat="1" applyFont="1" applyBorder="1" applyAlignment="1">
      <alignment horizontal="center"/>
    </xf>
    <xf numFmtId="0" fontId="11" fillId="0" borderId="4" xfId="0" applyFont="1" applyBorder="1"/>
    <xf numFmtId="165" fontId="0" fillId="0" borderId="13" xfId="1" applyNumberFormat="1" applyFont="1" applyBorder="1" applyAlignment="1">
      <alignment horizontal="center"/>
    </xf>
    <xf numFmtId="3" fontId="1" fillId="0" borderId="14" xfId="1" applyNumberFormat="1" applyBorder="1"/>
    <xf numFmtId="165" fontId="0" fillId="2" borderId="4" xfId="1" applyNumberFormat="1" applyFont="1" applyFill="1" applyBorder="1"/>
    <xf numFmtId="3" fontId="0" fillId="2" borderId="0" xfId="0" applyNumberFormat="1" applyFill="1" applyBorder="1"/>
    <xf numFmtId="0" fontId="0" fillId="0" borderId="0" xfId="0" quotePrefix="1" applyBorder="1"/>
    <xf numFmtId="3" fontId="1" fillId="0" borderId="0" xfId="1" applyNumberFormat="1" applyBorder="1"/>
    <xf numFmtId="0" fontId="0" fillId="0" borderId="15" xfId="0" applyBorder="1"/>
    <xf numFmtId="0" fontId="0" fillId="0" borderId="16" xfId="0" applyBorder="1"/>
    <xf numFmtId="3" fontId="0" fillId="0" borderId="16" xfId="0" applyNumberFormat="1" applyBorder="1"/>
    <xf numFmtId="0" fontId="0" fillId="2" borderId="10" xfId="0" applyFill="1" applyBorder="1"/>
    <xf numFmtId="3" fontId="0" fillId="0" borderId="0" xfId="0" applyNumberFormat="1"/>
    <xf numFmtId="165" fontId="1" fillId="2" borderId="17" xfId="1" applyNumberFormat="1" applyFill="1" applyBorder="1"/>
    <xf numFmtId="3" fontId="1" fillId="0" borderId="9" xfId="1" applyNumberFormat="1" applyBorder="1"/>
    <xf numFmtId="3" fontId="1" fillId="0" borderId="10" xfId="1" applyNumberFormat="1" applyBorder="1"/>
    <xf numFmtId="3" fontId="1" fillId="0" borderId="11" xfId="1" applyNumberFormat="1" applyBorder="1"/>
    <xf numFmtId="166" fontId="0" fillId="2" borderId="10" xfId="0" applyNumberFormat="1" applyFill="1" applyBorder="1"/>
    <xf numFmtId="166" fontId="0" fillId="0" borderId="10" xfId="0" applyNumberFormat="1" applyBorder="1"/>
    <xf numFmtId="166" fontId="0" fillId="0" borderId="11" xfId="0" applyNumberFormat="1" applyBorder="1"/>
    <xf numFmtId="0" fontId="0" fillId="2" borderId="9" xfId="0" applyFill="1" applyBorder="1" applyAlignment="1">
      <alignment horizontal="center"/>
    </xf>
    <xf numFmtId="166" fontId="0" fillId="2" borderId="17" xfId="0" applyNumberFormat="1" applyFill="1" applyBorder="1"/>
    <xf numFmtId="166" fontId="0" fillId="2" borderId="18" xfId="0" applyNumberFormat="1" applyFill="1" applyBorder="1"/>
    <xf numFmtId="49" fontId="0" fillId="0" borderId="15" xfId="0" applyNumberFormat="1" applyBorder="1"/>
    <xf numFmtId="4" fontId="0" fillId="2" borderId="17" xfId="0" applyNumberFormat="1" applyFill="1" applyBorder="1"/>
    <xf numFmtId="4" fontId="0" fillId="2" borderId="16" xfId="0" applyNumberFormat="1" applyFill="1" applyBorder="1"/>
    <xf numFmtId="4" fontId="0" fillId="2" borderId="18" xfId="0" applyNumberFormat="1" applyFill="1" applyBorder="1"/>
    <xf numFmtId="0" fontId="0" fillId="0" borderId="17" xfId="0" applyBorder="1" applyAlignment="1">
      <alignment horizontal="right"/>
    </xf>
    <xf numFmtId="0" fontId="14" fillId="2" borderId="0" xfId="0" applyFont="1" applyFill="1"/>
    <xf numFmtId="3" fontId="1" fillId="0" borderId="17" xfId="1" applyNumberFormat="1" applyBorder="1"/>
    <xf numFmtId="3" fontId="0" fillId="0" borderId="10" xfId="0" applyNumberFormat="1" applyBorder="1"/>
    <xf numFmtId="3" fontId="0" fillId="0" borderId="17" xfId="0" applyNumberFormat="1" applyBorder="1"/>
    <xf numFmtId="49" fontId="0" fillId="0" borderId="9" xfId="0" applyNumberFormat="1" applyFill="1" applyBorder="1" applyAlignment="1">
      <alignment horizontal="center"/>
    </xf>
    <xf numFmtId="3" fontId="0" fillId="2" borderId="10" xfId="0" applyNumberFormat="1" applyFill="1" applyBorder="1"/>
    <xf numFmtId="0" fontId="11" fillId="0" borderId="15" xfId="0" applyFont="1" applyBorder="1"/>
    <xf numFmtId="164" fontId="0" fillId="0" borderId="0" xfId="1" applyNumberFormat="1" applyFont="1" applyBorder="1" applyAlignment="1">
      <alignment horizontal="left"/>
    </xf>
    <xf numFmtId="0" fontId="0" fillId="0" borderId="9" xfId="0" applyBorder="1" applyAlignment="1">
      <alignment wrapText="1"/>
    </xf>
    <xf numFmtId="165" fontId="0" fillId="0" borderId="11" xfId="1" applyNumberFormat="1" applyFont="1" applyBorder="1"/>
    <xf numFmtId="164" fontId="0" fillId="0" borderId="11" xfId="1" applyFont="1" applyBorder="1"/>
    <xf numFmtId="165" fontId="0" fillId="2" borderId="17" xfId="1" applyNumberFormat="1" applyFont="1" applyFill="1" applyBorder="1"/>
    <xf numFmtId="165" fontId="0" fillId="2" borderId="16" xfId="1" applyNumberFormat="1" applyFont="1" applyFill="1" applyBorder="1"/>
    <xf numFmtId="164" fontId="0" fillId="0" borderId="17" xfId="1" applyFont="1" applyFill="1" applyBorder="1"/>
    <xf numFmtId="164" fontId="0" fillId="2" borderId="18" xfId="1" applyFont="1" applyFill="1" applyBorder="1"/>
    <xf numFmtId="0" fontId="0" fillId="0" borderId="0" xfId="0" applyAlignment="1">
      <alignment horizontal="center"/>
    </xf>
    <xf numFmtId="0" fontId="16" fillId="0" borderId="0" xfId="0" applyFont="1"/>
    <xf numFmtId="0" fontId="18" fillId="0" borderId="13" xfId="0" applyFont="1" applyBorder="1"/>
    <xf numFmtId="0" fontId="16" fillId="0" borderId="4" xfId="0" applyFont="1" applyBorder="1"/>
    <xf numFmtId="0" fontId="16" fillId="0" borderId="15" xfId="0" applyFont="1" applyBorder="1"/>
    <xf numFmtId="166" fontId="0" fillId="0" borderId="0" xfId="0" applyNumberFormat="1" applyFill="1" applyBorder="1"/>
    <xf numFmtId="49" fontId="16" fillId="0" borderId="4" xfId="0" applyNumberFormat="1" applyFont="1" applyBorder="1"/>
    <xf numFmtId="0" fontId="13" fillId="0" borderId="0" xfId="0" applyFont="1" applyFill="1" applyBorder="1"/>
    <xf numFmtId="165" fontId="0" fillId="0" borderId="0" xfId="0" applyNumberFormat="1" applyFill="1" applyBorder="1"/>
    <xf numFmtId="0" fontId="0" fillId="0" borderId="0" xfId="0" applyFill="1" applyBorder="1" applyAlignment="1">
      <alignment horizontal="center"/>
    </xf>
    <xf numFmtId="3" fontId="1" fillId="0" borderId="0" xfId="1" applyNumberFormat="1" applyFill="1" applyBorder="1"/>
    <xf numFmtId="49" fontId="0" fillId="0" borderId="0" xfId="0" applyNumberFormat="1" applyFill="1" applyBorder="1"/>
    <xf numFmtId="4" fontId="0" fillId="0" borderId="0" xfId="0" applyNumberFormat="1" applyFill="1" applyBorder="1"/>
    <xf numFmtId="3" fontId="13" fillId="0" borderId="0" xfId="0" applyNumberFormat="1" applyFont="1" applyFill="1" applyBorder="1" applyAlignment="1"/>
    <xf numFmtId="3" fontId="0" fillId="0" borderId="0" xfId="0" applyNumberFormat="1" applyFill="1" applyBorder="1" applyAlignment="1"/>
    <xf numFmtId="166" fontId="0" fillId="0" borderId="0" xfId="0" applyNumberFormat="1" applyFill="1" applyBorder="1" applyAlignment="1"/>
    <xf numFmtId="166" fontId="0" fillId="0" borderId="0" xfId="0" quotePrefix="1" applyNumberFormat="1" applyFill="1" applyBorder="1" applyAlignment="1"/>
    <xf numFmtId="167" fontId="0" fillId="0" borderId="0" xfId="0" applyNumberFormat="1" applyFill="1" applyBorder="1"/>
    <xf numFmtId="49" fontId="16" fillId="0" borderId="17" xfId="0" applyNumberFormat="1" applyFont="1" applyBorder="1"/>
    <xf numFmtId="0" fontId="16" fillId="2" borderId="9" xfId="0" applyFont="1" applyFill="1" applyBorder="1" applyAlignment="1">
      <alignment horizontal="center"/>
    </xf>
    <xf numFmtId="0" fontId="16" fillId="2" borderId="11" xfId="0" applyFont="1" applyFill="1" applyBorder="1" applyAlignment="1">
      <alignment horizontal="center"/>
    </xf>
    <xf numFmtId="0" fontId="16" fillId="2" borderId="3" xfId="0" applyFont="1" applyFill="1" applyBorder="1" applyAlignment="1">
      <alignment horizontal="center"/>
    </xf>
    <xf numFmtId="0" fontId="16" fillId="2" borderId="8" xfId="0" applyFont="1" applyFill="1" applyBorder="1" applyAlignment="1">
      <alignment horizontal="center"/>
    </xf>
    <xf numFmtId="0" fontId="16" fillId="2" borderId="1" xfId="0" applyFont="1" applyFill="1" applyBorder="1" applyAlignment="1">
      <alignment horizontal="center"/>
    </xf>
    <xf numFmtId="0" fontId="16" fillId="2" borderId="2" xfId="0" applyFont="1" applyFill="1" applyBorder="1" applyAlignment="1">
      <alignment horizontal="center"/>
    </xf>
    <xf numFmtId="0" fontId="16" fillId="0" borderId="8" xfId="0" applyFont="1" applyBorder="1"/>
    <xf numFmtId="0" fontId="13" fillId="0" borderId="9" xfId="0" applyFont="1" applyBorder="1"/>
    <xf numFmtId="0" fontId="13" fillId="0" borderId="11" xfId="0" applyFont="1" applyBorder="1"/>
    <xf numFmtId="0" fontId="0" fillId="2" borderId="7" xfId="0" applyFill="1" applyBorder="1" applyAlignment="1">
      <alignment horizontal="center"/>
    </xf>
    <xf numFmtId="0" fontId="16" fillId="2" borderId="10" xfId="0" applyFont="1" applyFill="1" applyBorder="1"/>
    <xf numFmtId="165" fontId="0" fillId="0" borderId="9" xfId="1" applyNumberFormat="1" applyFont="1" applyBorder="1"/>
    <xf numFmtId="165" fontId="0" fillId="0" borderId="10" xfId="1" applyNumberFormat="1" applyFont="1" applyBorder="1"/>
    <xf numFmtId="164" fontId="0" fillId="0" borderId="10" xfId="1" applyFont="1" applyBorder="1"/>
    <xf numFmtId="165" fontId="1" fillId="0" borderId="10" xfId="1" applyNumberFormat="1" applyBorder="1"/>
    <xf numFmtId="164" fontId="0" fillId="2" borderId="9" xfId="1" applyFont="1" applyFill="1" applyBorder="1"/>
    <xf numFmtId="164" fontId="15" fillId="2" borderId="10" xfId="1" applyFont="1" applyFill="1" applyBorder="1"/>
    <xf numFmtId="165" fontId="0" fillId="0" borderId="16" xfId="1" applyNumberFormat="1" applyFont="1" applyBorder="1"/>
    <xf numFmtId="164" fontId="0" fillId="0" borderId="16" xfId="1" applyFont="1" applyBorder="1"/>
    <xf numFmtId="165" fontId="1" fillId="0" borderId="16" xfId="1" applyNumberFormat="1" applyBorder="1"/>
    <xf numFmtId="164" fontId="0" fillId="0" borderId="16" xfId="1" applyFont="1" applyFill="1" applyBorder="1"/>
    <xf numFmtId="3" fontId="10" fillId="0" borderId="17" xfId="1" applyNumberFormat="1" applyFont="1" applyBorder="1"/>
    <xf numFmtId="3" fontId="10" fillId="0" borderId="10" xfId="1" applyNumberFormat="1" applyFont="1" applyBorder="1"/>
    <xf numFmtId="0" fontId="18" fillId="0" borderId="19" xfId="0" applyFont="1" applyBorder="1"/>
    <xf numFmtId="0" fontId="18" fillId="0" borderId="20" xfId="0" applyFont="1" applyBorder="1"/>
    <xf numFmtId="0" fontId="18" fillId="2" borderId="19" xfId="0" applyFont="1" applyFill="1" applyBorder="1"/>
    <xf numFmtId="9" fontId="18" fillId="2" borderId="13" xfId="0" applyNumberFormat="1" applyFont="1" applyFill="1" applyBorder="1"/>
    <xf numFmtId="0" fontId="18" fillId="0" borderId="4" xfId="0" applyFont="1" applyBorder="1"/>
    <xf numFmtId="0" fontId="18" fillId="0" borderId="0" xfId="0" applyFont="1" applyBorder="1"/>
    <xf numFmtId="0" fontId="18" fillId="0" borderId="21" xfId="0" applyFont="1" applyBorder="1"/>
    <xf numFmtId="0" fontId="18" fillId="0" borderId="21" xfId="0" quotePrefix="1" applyFont="1" applyBorder="1"/>
    <xf numFmtId="0" fontId="19" fillId="0" borderId="21" xfId="0" applyFont="1" applyBorder="1"/>
    <xf numFmtId="0" fontId="11" fillId="0" borderId="21" xfId="0" applyFont="1" applyBorder="1"/>
    <xf numFmtId="0" fontId="11" fillId="0" borderId="8" xfId="0" applyFont="1" applyBorder="1"/>
    <xf numFmtId="0" fontId="18" fillId="0" borderId="2" xfId="0" applyFont="1" applyBorder="1"/>
    <xf numFmtId="0" fontId="18" fillId="0" borderId="22" xfId="0" applyFont="1" applyBorder="1"/>
    <xf numFmtId="0" fontId="11" fillId="0" borderId="22" xfId="0" applyFont="1" applyBorder="1"/>
    <xf numFmtId="0" fontId="18" fillId="0" borderId="22" xfId="0" quotePrefix="1" applyFont="1" applyBorder="1"/>
    <xf numFmtId="0" fontId="19" fillId="0" borderId="22" xfId="0" applyFont="1" applyBorder="1"/>
    <xf numFmtId="0" fontId="18" fillId="0" borderId="23" xfId="0" applyFont="1" applyBorder="1"/>
    <xf numFmtId="0" fontId="18" fillId="0" borderId="24" xfId="0" applyFont="1" applyBorder="1"/>
    <xf numFmtId="0" fontId="18" fillId="0" borderId="25" xfId="0" applyFont="1" applyBorder="1"/>
    <xf numFmtId="0" fontId="11" fillId="0" borderId="26" xfId="0" applyFont="1" applyBorder="1"/>
    <xf numFmtId="0" fontId="0" fillId="0" borderId="21" xfId="0" applyBorder="1"/>
    <xf numFmtId="0" fontId="0" fillId="0" borderId="20" xfId="0" applyBorder="1"/>
    <xf numFmtId="9" fontId="18" fillId="2" borderId="20" xfId="0" applyNumberFormat="1" applyFont="1" applyFill="1" applyBorder="1"/>
    <xf numFmtId="0" fontId="11" fillId="0" borderId="27" xfId="0" applyFont="1" applyBorder="1"/>
    <xf numFmtId="0" fontId="18" fillId="0" borderId="28" xfId="0" applyFont="1" applyBorder="1"/>
    <xf numFmtId="0" fontId="0" fillId="0" borderId="23" xfId="0" applyBorder="1"/>
    <xf numFmtId="0" fontId="0" fillId="0" borderId="29" xfId="0" applyBorder="1"/>
    <xf numFmtId="0" fontId="18" fillId="2" borderId="30" xfId="0" applyFont="1" applyFill="1" applyBorder="1" applyAlignment="1">
      <alignment horizontal="center" wrapText="1"/>
    </xf>
    <xf numFmtId="0" fontId="18" fillId="2" borderId="31" xfId="0" applyFont="1" applyFill="1" applyBorder="1" applyAlignment="1">
      <alignment horizontal="center" wrapText="1"/>
    </xf>
    <xf numFmtId="0" fontId="18" fillId="2" borderId="19" xfId="0" applyFont="1" applyFill="1" applyBorder="1" applyAlignment="1">
      <alignment horizontal="center" wrapText="1"/>
    </xf>
    <xf numFmtId="0" fontId="18" fillId="2" borderId="32" xfId="0" applyFont="1" applyFill="1" applyBorder="1" applyAlignment="1">
      <alignment horizontal="center" wrapText="1"/>
    </xf>
    <xf numFmtId="0" fontId="18" fillId="2" borderId="22" xfId="0" applyFont="1" applyFill="1" applyBorder="1"/>
    <xf numFmtId="0" fontId="18" fillId="0" borderId="33" xfId="0" applyFont="1" applyBorder="1"/>
    <xf numFmtId="0" fontId="16" fillId="2" borderId="1" xfId="0" applyFont="1" applyFill="1" applyBorder="1"/>
    <xf numFmtId="164" fontId="0" fillId="0" borderId="18" xfId="0" applyNumberFormat="1" applyBorder="1"/>
    <xf numFmtId="3" fontId="18" fillId="2" borderId="19" xfId="0" applyNumberFormat="1" applyFont="1" applyFill="1" applyBorder="1"/>
    <xf numFmtId="3" fontId="18" fillId="2" borderId="32" xfId="0" applyNumberFormat="1" applyFont="1" applyFill="1" applyBorder="1"/>
    <xf numFmtId="3" fontId="18" fillId="0" borderId="34" xfId="0" applyNumberFormat="1" applyFont="1" applyBorder="1"/>
    <xf numFmtId="3" fontId="18" fillId="0" borderId="35" xfId="0" applyNumberFormat="1" applyFont="1" applyBorder="1"/>
    <xf numFmtId="3" fontId="0" fillId="0" borderId="36" xfId="0" applyNumberFormat="1" applyBorder="1"/>
    <xf numFmtId="3" fontId="0" fillId="0" borderId="35" xfId="0" applyNumberFormat="1" applyBorder="1"/>
    <xf numFmtId="3" fontId="0" fillId="0" borderId="37" xfId="0" applyNumberFormat="1" applyBorder="1"/>
    <xf numFmtId="3" fontId="0" fillId="0" borderId="38" xfId="0" applyNumberFormat="1" applyBorder="1"/>
    <xf numFmtId="3" fontId="18" fillId="0" borderId="39" xfId="0" applyNumberFormat="1" applyFont="1" applyBorder="1"/>
    <xf numFmtId="3" fontId="18" fillId="0" borderId="38" xfId="0" applyNumberFormat="1" applyFont="1" applyBorder="1"/>
    <xf numFmtId="3" fontId="18" fillId="0" borderId="19" xfId="0" applyNumberFormat="1" applyFont="1" applyBorder="1"/>
    <xf numFmtId="3" fontId="18" fillId="0" borderId="32" xfId="0" applyNumberFormat="1" applyFont="1" applyBorder="1"/>
    <xf numFmtId="3" fontId="18" fillId="2" borderId="30" xfId="0" applyNumberFormat="1" applyFont="1" applyFill="1" applyBorder="1"/>
    <xf numFmtId="3" fontId="18" fillId="2" borderId="31" xfId="0" applyNumberFormat="1" applyFont="1" applyFill="1" applyBorder="1"/>
    <xf numFmtId="3" fontId="0" fillId="0" borderId="30" xfId="0" applyNumberFormat="1" applyBorder="1"/>
    <xf numFmtId="3" fontId="0" fillId="0" borderId="31" xfId="0" applyNumberFormat="1" applyBorder="1"/>
    <xf numFmtId="3" fontId="18" fillId="0" borderId="30" xfId="0" applyNumberFormat="1" applyFont="1" applyBorder="1"/>
    <xf numFmtId="3" fontId="18" fillId="0" borderId="31" xfId="0" applyNumberFormat="1" applyFont="1" applyBorder="1"/>
    <xf numFmtId="3" fontId="0" fillId="0" borderId="19" xfId="0" applyNumberFormat="1" applyBorder="1"/>
    <xf numFmtId="3" fontId="0" fillId="0" borderId="32" xfId="0" applyNumberFormat="1" applyBorder="1"/>
    <xf numFmtId="4" fontId="0" fillId="2" borderId="11" xfId="0" applyNumberFormat="1" applyFill="1" applyBorder="1"/>
    <xf numFmtId="4" fontId="0" fillId="2" borderId="2" xfId="0" applyNumberFormat="1" applyFill="1" applyBorder="1"/>
    <xf numFmtId="4" fontId="0" fillId="2" borderId="10" xfId="0" applyNumberFormat="1" applyFill="1" applyBorder="1"/>
    <xf numFmtId="4" fontId="0" fillId="2" borderId="0" xfId="0" applyNumberFormat="1" applyFill="1" applyBorder="1"/>
    <xf numFmtId="4" fontId="0" fillId="0" borderId="10" xfId="0" applyNumberFormat="1" applyFill="1" applyBorder="1"/>
    <xf numFmtId="4" fontId="0" fillId="0" borderId="10" xfId="0" applyNumberFormat="1" applyBorder="1"/>
    <xf numFmtId="4" fontId="0" fillId="0" borderId="0" xfId="0" applyNumberFormat="1" applyBorder="1"/>
    <xf numFmtId="4" fontId="0" fillId="0" borderId="11" xfId="0" applyNumberFormat="1" applyBorder="1"/>
    <xf numFmtId="4" fontId="0" fillId="0" borderId="2" xfId="0" applyNumberFormat="1" applyBorder="1"/>
    <xf numFmtId="0" fontId="8" fillId="0" borderId="0" xfId="0" applyFont="1" applyAlignment="1">
      <alignment horizontal="left" vertical="top" wrapText="1"/>
    </xf>
    <xf numFmtId="0" fontId="14" fillId="0" borderId="0" xfId="0" applyFont="1"/>
    <xf numFmtId="0" fontId="11" fillId="0" borderId="1" xfId="0" applyFont="1" applyBorder="1"/>
    <xf numFmtId="0" fontId="10" fillId="0" borderId="0" xfId="0" applyFont="1" applyBorder="1"/>
    <xf numFmtId="0" fontId="0" fillId="0" borderId="0" xfId="0" applyBorder="1" applyAlignment="1">
      <alignment horizontal="right"/>
    </xf>
    <xf numFmtId="165" fontId="0" fillId="2" borderId="0" xfId="1" applyNumberFormat="1" applyFont="1" applyFill="1" applyBorder="1"/>
    <xf numFmtId="165" fontId="0" fillId="0" borderId="0" xfId="1" applyNumberFormat="1" applyFont="1" applyBorder="1"/>
    <xf numFmtId="0" fontId="2" fillId="0" borderId="2" xfId="0" applyFont="1" applyBorder="1"/>
    <xf numFmtId="0" fontId="16" fillId="2" borderId="8" xfId="0" applyFont="1" applyFill="1" applyBorder="1"/>
    <xf numFmtId="0" fontId="14" fillId="2" borderId="3" xfId="0" applyFont="1" applyFill="1" applyBorder="1" applyAlignment="1">
      <alignment horizontal="center"/>
    </xf>
    <xf numFmtId="0" fontId="14" fillId="2" borderId="1" xfId="0" applyFont="1" applyFill="1" applyBorder="1" applyAlignment="1">
      <alignment horizontal="center"/>
    </xf>
    <xf numFmtId="0" fontId="14" fillId="2" borderId="7" xfId="0" applyFont="1" applyFill="1" applyBorder="1" applyAlignment="1">
      <alignment horizontal="center"/>
    </xf>
    <xf numFmtId="49" fontId="0" fillId="2" borderId="15" xfId="0" applyNumberFormat="1" applyFill="1" applyBorder="1" applyAlignment="1">
      <alignment horizontal="center"/>
    </xf>
    <xf numFmtId="49" fontId="0" fillId="2" borderId="16" xfId="0" applyNumberFormat="1" applyFill="1" applyBorder="1" applyAlignment="1">
      <alignment horizontal="center"/>
    </xf>
    <xf numFmtId="49" fontId="0" fillId="2" borderId="18" xfId="0" applyNumberFormat="1" applyFill="1" applyBorder="1" applyAlignment="1">
      <alignment horizontal="center"/>
    </xf>
    <xf numFmtId="0" fontId="0" fillId="0" borderId="1" xfId="0" applyBorder="1" applyAlignment="1">
      <alignment horizontal="center"/>
    </xf>
    <xf numFmtId="0" fontId="18" fillId="2" borderId="21" xfId="0" applyFont="1" applyFill="1" applyBorder="1" applyAlignment="1">
      <alignment horizontal="left"/>
    </xf>
    <xf numFmtId="0" fontId="18" fillId="2" borderId="20" xfId="0" applyFont="1" applyFill="1" applyBorder="1" applyAlignment="1">
      <alignment horizontal="left"/>
    </xf>
    <xf numFmtId="3" fontId="18" fillId="0" borderId="40" xfId="0" applyNumberFormat="1" applyFont="1" applyBorder="1" applyAlignment="1">
      <alignment horizontal="center"/>
    </xf>
    <xf numFmtId="3" fontId="18" fillId="0" borderId="2" xfId="0" applyNumberFormat="1" applyFont="1" applyBorder="1" applyAlignment="1">
      <alignment horizontal="center"/>
    </xf>
    <xf numFmtId="3" fontId="18" fillId="0" borderId="6" xfId="0" applyNumberFormat="1" applyFont="1" applyBorder="1" applyAlignment="1">
      <alignment horizontal="center"/>
    </xf>
    <xf numFmtId="0" fontId="17" fillId="2" borderId="41" xfId="0" applyFont="1" applyFill="1" applyBorder="1" applyAlignment="1">
      <alignment horizontal="center"/>
    </xf>
    <xf numFmtId="0" fontId="17" fillId="2" borderId="42" xfId="0" applyFont="1" applyFill="1" applyBorder="1" applyAlignment="1">
      <alignment horizontal="center"/>
    </xf>
    <xf numFmtId="0" fontId="17" fillId="2" borderId="43" xfId="0" applyFont="1" applyFill="1" applyBorder="1" applyAlignment="1">
      <alignment horizontal="center"/>
    </xf>
    <xf numFmtId="0" fontId="18" fillId="0" borderId="21" xfId="0" applyFont="1" applyBorder="1" applyAlignment="1">
      <alignment horizontal="left"/>
    </xf>
    <xf numFmtId="0" fontId="18" fillId="0" borderId="20" xfId="0" applyFont="1" applyBorder="1" applyAlignment="1">
      <alignment horizontal="left"/>
    </xf>
    <xf numFmtId="0" fontId="18" fillId="0" borderId="21" xfId="0" quotePrefix="1" applyFont="1" applyBorder="1" applyAlignment="1">
      <alignment horizontal="left"/>
    </xf>
    <xf numFmtId="0" fontId="18" fillId="0" borderId="20" xfId="0" quotePrefix="1" applyFont="1" applyBorder="1" applyAlignment="1">
      <alignment horizontal="left"/>
    </xf>
    <xf numFmtId="0" fontId="18" fillId="0" borderId="4" xfId="0" quotePrefix="1" applyFont="1" applyBorder="1" applyAlignment="1">
      <alignment horizontal="left"/>
    </xf>
    <xf numFmtId="0" fontId="18" fillId="0" borderId="0" xfId="0" quotePrefix="1" applyFont="1" applyBorder="1" applyAlignment="1">
      <alignment horizontal="left"/>
    </xf>
    <xf numFmtId="0" fontId="18" fillId="2" borderId="21" xfId="0" applyFont="1" applyFill="1" applyBorder="1"/>
    <xf numFmtId="0" fontId="18" fillId="2" borderId="13" xfId="0" applyFont="1" applyFill="1" applyBorder="1"/>
    <xf numFmtId="0" fontId="11" fillId="0" borderId="4" xfId="0" applyFont="1" applyBorder="1" applyAlignment="1">
      <alignment horizontal="left"/>
    </xf>
    <xf numFmtId="0" fontId="11" fillId="0" borderId="0" xfId="0" applyFont="1" applyBorder="1" applyAlignment="1">
      <alignment horizontal="left"/>
    </xf>
    <xf numFmtId="0" fontId="18" fillId="2" borderId="22" xfId="0" applyFont="1" applyFill="1" applyBorder="1"/>
    <xf numFmtId="0" fontId="18" fillId="2" borderId="19" xfId="0" applyFont="1" applyFill="1" applyBorder="1"/>
    <xf numFmtId="3" fontId="18" fillId="0" borderId="44" xfId="0" applyNumberFormat="1" applyFont="1" applyBorder="1" applyAlignment="1">
      <alignment horizontal="center"/>
    </xf>
    <xf numFmtId="3" fontId="18" fillId="0" borderId="45" xfId="0" applyNumberFormat="1" applyFont="1" applyBorder="1" applyAlignment="1">
      <alignment horizontal="center"/>
    </xf>
    <xf numFmtId="0" fontId="17" fillId="2" borderId="46" xfId="0" applyFont="1" applyFill="1" applyBorder="1" applyAlignment="1">
      <alignment horizontal="center"/>
    </xf>
    <xf numFmtId="0" fontId="17" fillId="2" borderId="47" xfId="0" applyFont="1" applyFill="1" applyBorder="1" applyAlignment="1">
      <alignment horizontal="center"/>
    </xf>
    <xf numFmtId="0" fontId="17" fillId="2" borderId="48" xfId="0" applyFont="1" applyFill="1" applyBorder="1" applyAlignment="1">
      <alignment horizontal="center"/>
    </xf>
    <xf numFmtId="0" fontId="18" fillId="0" borderId="22" xfId="0" applyFont="1" applyBorder="1" applyAlignment="1">
      <alignment horizontal="left"/>
    </xf>
    <xf numFmtId="0" fontId="18" fillId="0" borderId="19" xfId="0" applyFont="1" applyBorder="1" applyAlignment="1">
      <alignment horizontal="left"/>
    </xf>
    <xf numFmtId="0" fontId="18" fillId="0" borderId="22" xfId="0" quotePrefix="1" applyFont="1" applyBorder="1" applyAlignment="1">
      <alignment horizontal="left"/>
    </xf>
    <xf numFmtId="0" fontId="18" fillId="0" borderId="19" xfId="0" quotePrefix="1" applyFont="1" applyBorder="1" applyAlignment="1">
      <alignment horizontal="left"/>
    </xf>
    <xf numFmtId="0" fontId="11" fillId="0" borderId="26" xfId="0" applyFont="1" applyBorder="1" applyAlignment="1">
      <alignment horizontal="left"/>
    </xf>
    <xf numFmtId="0" fontId="11" fillId="0" borderId="12" xfId="0" applyFont="1" applyBorder="1" applyAlignment="1">
      <alignment horizontal="left"/>
    </xf>
    <xf numFmtId="0" fontId="18" fillId="2" borderId="19" xfId="0" applyFont="1" applyFill="1" applyBorder="1" applyAlignment="1">
      <alignment horizontal="left" vertical="top" wrapText="1"/>
    </xf>
    <xf numFmtId="0" fontId="11" fillId="0" borderId="22" xfId="0" applyFont="1" applyBorder="1" applyAlignment="1">
      <alignment horizontal="left"/>
    </xf>
    <xf numFmtId="0" fontId="11" fillId="0" borderId="19" xfId="0" applyFont="1" applyBorder="1" applyAlignment="1">
      <alignment horizontal="left"/>
    </xf>
    <xf numFmtId="0" fontId="18" fillId="2" borderId="34"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0" borderId="22" xfId="0" applyFont="1" applyBorder="1"/>
    <xf numFmtId="0" fontId="18" fillId="0" borderId="19" xfId="0" applyFont="1" applyBorder="1"/>
    <xf numFmtId="0" fontId="11" fillId="0" borderId="1" xfId="0" applyFont="1" applyBorder="1" applyAlignment="1">
      <alignment horizontal="center"/>
    </xf>
    <xf numFmtId="0" fontId="11" fillId="0" borderId="16" xfId="0" applyFont="1" applyBorder="1" applyAlignment="1">
      <alignment horizontal="center"/>
    </xf>
    <xf numFmtId="0" fontId="11" fillId="0" borderId="18" xfId="0" applyFont="1" applyBorder="1" applyAlignment="1">
      <alignment horizontal="center"/>
    </xf>
    <xf numFmtId="0" fontId="1" fillId="0" borderId="4" xfId="0" applyFont="1" applyBorder="1" applyAlignment="1">
      <alignment horizontal="righ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tabSelected="1" zoomScale="80" zoomScaleNormal="80" workbookViewId="0">
      <selection activeCell="B1" sqref="B1"/>
    </sheetView>
  </sheetViews>
  <sheetFormatPr defaultRowHeight="12.75" x14ac:dyDescent="0.2"/>
  <cols>
    <col min="1" max="1" width="7.140625" customWidth="1"/>
    <col min="2" max="2" width="34.42578125" customWidth="1"/>
    <col min="3" max="3" width="13.85546875" bestFit="1" customWidth="1"/>
    <col min="4" max="4" width="15.42578125" bestFit="1" customWidth="1"/>
    <col min="5" max="5" width="15.140625" bestFit="1" customWidth="1"/>
    <col min="6" max="6" width="15.5703125" customWidth="1"/>
    <col min="7" max="7" width="13.140625" customWidth="1"/>
    <col min="8" max="8" width="15.5703125" customWidth="1"/>
    <col min="9" max="9" width="13.85546875" customWidth="1"/>
    <col min="10" max="10" width="13.85546875" bestFit="1" customWidth="1"/>
  </cols>
  <sheetData>
    <row r="1" spans="1:10" ht="24" thickBot="1" x14ac:dyDescent="0.4">
      <c r="B1" s="70" t="s">
        <v>142</v>
      </c>
    </row>
    <row r="2" spans="1:10" ht="24" thickBot="1" x14ac:dyDescent="0.4">
      <c r="A2" s="29"/>
      <c r="B2" s="200" t="s">
        <v>0</v>
      </c>
      <c r="C2" s="201"/>
      <c r="D2" s="201"/>
      <c r="E2" s="201"/>
      <c r="F2" s="201"/>
      <c r="G2" s="201"/>
      <c r="H2" s="201"/>
      <c r="I2" s="201"/>
      <c r="J2" s="202"/>
    </row>
    <row r="3" spans="1:10" ht="13.5" customHeight="1" thickBot="1" x14ac:dyDescent="0.25">
      <c r="A3" s="30"/>
      <c r="B3" s="199" t="s">
        <v>152</v>
      </c>
      <c r="C3" s="2"/>
      <c r="D3" s="2"/>
      <c r="E3" s="2"/>
      <c r="F3" s="3"/>
      <c r="G3" s="3"/>
      <c r="H3" s="203" t="s">
        <v>143</v>
      </c>
      <c r="I3" s="204"/>
      <c r="J3" s="205"/>
    </row>
    <row r="4" spans="1:10" ht="26.25" thickBot="1" x14ac:dyDescent="0.25">
      <c r="A4" s="30"/>
      <c r="B4" s="4"/>
      <c r="C4" s="78" t="s">
        <v>52</v>
      </c>
      <c r="D4" s="5" t="s">
        <v>2</v>
      </c>
      <c r="E4" s="78" t="s">
        <v>53</v>
      </c>
      <c r="F4" s="78" t="s">
        <v>54</v>
      </c>
      <c r="G4" s="5" t="s">
        <v>55</v>
      </c>
      <c r="H4" s="74" t="s">
        <v>3</v>
      </c>
      <c r="I4" s="6" t="s">
        <v>4</v>
      </c>
      <c r="J4" s="29" t="s">
        <v>5</v>
      </c>
    </row>
    <row r="5" spans="1:10" ht="13.5" thickBot="1" x14ac:dyDescent="0.25">
      <c r="A5" s="30"/>
      <c r="B5" s="50" t="s">
        <v>6</v>
      </c>
      <c r="C5" s="81">
        <v>27000</v>
      </c>
      <c r="D5" s="82">
        <v>9045000</v>
      </c>
      <c r="E5" s="83">
        <f>D5/C5</f>
        <v>335</v>
      </c>
      <c r="F5" s="55">
        <v>25000</v>
      </c>
      <c r="G5" s="84">
        <v>350</v>
      </c>
      <c r="H5" s="73">
        <f>G5*C5</f>
        <v>9450000</v>
      </c>
      <c r="I5" s="52">
        <f>G5*F5</f>
        <v>8750000</v>
      </c>
      <c r="J5" s="71">
        <f>H5-I5</f>
        <v>700000</v>
      </c>
    </row>
    <row r="6" spans="1:10" ht="13.5" thickBot="1" x14ac:dyDescent="0.25">
      <c r="A6" s="30"/>
      <c r="B6" s="7" t="s">
        <v>7</v>
      </c>
      <c r="C6" s="116">
        <f>C5</f>
        <v>27000</v>
      </c>
      <c r="D6" s="115"/>
      <c r="E6" s="117">
        <f>E5</f>
        <v>335</v>
      </c>
      <c r="F6" s="118">
        <f>F5</f>
        <v>25000</v>
      </c>
      <c r="G6" s="119">
        <f>90+75</f>
        <v>165</v>
      </c>
      <c r="H6" s="72">
        <f>G6*C6</f>
        <v>4455000</v>
      </c>
      <c r="I6" s="9">
        <f>G6*F6</f>
        <v>4125000</v>
      </c>
      <c r="J6" s="57">
        <f>I6-H6</f>
        <v>-330000</v>
      </c>
    </row>
    <row r="7" spans="1:10" ht="15.75" thickBot="1" x14ac:dyDescent="0.25">
      <c r="A7" s="30"/>
      <c r="B7" s="76" t="s">
        <v>134</v>
      </c>
      <c r="C7" s="121"/>
      <c r="D7" s="121"/>
      <c r="E7" s="122"/>
      <c r="F7" s="123"/>
      <c r="G7" s="124">
        <f>G5-G6</f>
        <v>185</v>
      </c>
      <c r="H7" s="73">
        <f>H5-H6</f>
        <v>4995000</v>
      </c>
      <c r="I7" s="52">
        <f>I5-I6</f>
        <v>4625000</v>
      </c>
      <c r="J7" s="125">
        <f>H7-I7</f>
        <v>370000</v>
      </c>
    </row>
    <row r="8" spans="1:10" ht="13.5" thickBot="1" x14ac:dyDescent="0.25">
      <c r="A8" s="30"/>
      <c r="B8" s="88" t="s">
        <v>135</v>
      </c>
      <c r="C8" s="116">
        <f>C6</f>
        <v>27000</v>
      </c>
      <c r="D8" s="79"/>
      <c r="E8" s="80"/>
      <c r="F8" s="118">
        <f>F6</f>
        <v>25000</v>
      </c>
      <c r="G8" s="120">
        <v>15</v>
      </c>
      <c r="H8" s="72">
        <f>G8*C8</f>
        <v>405000</v>
      </c>
      <c r="I8" s="9">
        <f>G8*F8</f>
        <v>375000</v>
      </c>
      <c r="J8" s="57">
        <f>I8-H8</f>
        <v>-30000</v>
      </c>
    </row>
    <row r="9" spans="1:10" ht="17.25" customHeight="1" thickBot="1" x14ac:dyDescent="0.25">
      <c r="A9" s="30"/>
      <c r="B9" s="76" t="s">
        <v>136</v>
      </c>
      <c r="C9" s="51" t="str">
        <f>CONCATENATE("Kan regnes som ",C5," - ",F5," = ",C5-F5," stk. ganget med DB pr stk.")</f>
        <v>Kan regnes som 27000 - 25000 = 2000 stk. ganget med DB pr stk.</v>
      </c>
      <c r="D9" s="51"/>
      <c r="E9" s="51"/>
      <c r="F9" s="51"/>
      <c r="G9" s="161">
        <f>G7-G8</f>
        <v>170</v>
      </c>
      <c r="H9" s="73">
        <f>H7-H8</f>
        <v>4590000</v>
      </c>
      <c r="I9" s="52">
        <f>I7-I8</f>
        <v>4250000</v>
      </c>
      <c r="J9" s="125">
        <f>H9-I9</f>
        <v>340000</v>
      </c>
    </row>
    <row r="10" spans="1:10" x14ac:dyDescent="0.2">
      <c r="A10" s="30"/>
      <c r="B10" s="25" t="s">
        <v>51</v>
      </c>
      <c r="C10" s="11"/>
      <c r="D10" s="11"/>
      <c r="E10" s="11"/>
      <c r="F10" s="11"/>
      <c r="G10" s="11"/>
      <c r="H10" s="72"/>
      <c r="I10" s="9"/>
      <c r="J10" s="57"/>
    </row>
    <row r="11" spans="1:10" ht="15" x14ac:dyDescent="0.2">
      <c r="A11" s="53" t="s">
        <v>31</v>
      </c>
      <c r="B11" s="43" t="s">
        <v>20</v>
      </c>
      <c r="C11" s="11"/>
      <c r="D11" s="11"/>
      <c r="E11" s="11"/>
      <c r="F11" s="11"/>
      <c r="G11" s="11"/>
      <c r="H11" s="72">
        <f>J11</f>
        <v>-405000</v>
      </c>
      <c r="I11" s="9"/>
      <c r="J11" s="126">
        <f>'Salgsprisafvigelse side 367'!J8</f>
        <v>-405000</v>
      </c>
    </row>
    <row r="12" spans="1:10" ht="15" x14ac:dyDescent="0.2">
      <c r="A12" s="30"/>
      <c r="B12" s="43" t="s">
        <v>62</v>
      </c>
      <c r="C12" s="11"/>
      <c r="D12" s="11"/>
      <c r="E12" s="11"/>
      <c r="F12" s="11"/>
      <c r="G12" s="11"/>
      <c r="H12" s="72"/>
      <c r="I12" s="9"/>
      <c r="J12" s="57"/>
    </row>
    <row r="13" spans="1:10" x14ac:dyDescent="0.2">
      <c r="A13" s="53" t="s">
        <v>32</v>
      </c>
      <c r="B13" s="7" t="str">
        <f>CONCATENATE("Indkøbsafvigelse ", 'Indkøbsprisafvigelse side 370'!D1)</f>
        <v>Indkøbsafvigelse Ekstrakt A</v>
      </c>
      <c r="C13" s="11"/>
      <c r="D13" s="11"/>
      <c r="E13" s="11"/>
      <c r="F13" s="11"/>
      <c r="G13" s="11"/>
      <c r="H13" s="72">
        <f>J13</f>
        <v>-100000</v>
      </c>
      <c r="I13" s="9"/>
      <c r="J13" s="57">
        <f>'Indkøbsprisafvigelse side 370'!K8</f>
        <v>-100000</v>
      </c>
    </row>
    <row r="14" spans="1:10" x14ac:dyDescent="0.2">
      <c r="A14" s="53" t="s">
        <v>33</v>
      </c>
      <c r="B14" s="7" t="str">
        <f>CONCATENATE("Indkøbsafvigelse ", 'Indkøbsprisafvigelse side 370'!D10)</f>
        <v>Indkøbsafvigelse Ekstrakt B</v>
      </c>
      <c r="C14" s="11"/>
      <c r="D14" s="11"/>
      <c r="E14" s="11"/>
      <c r="F14" s="11"/>
      <c r="G14" s="11"/>
      <c r="H14" s="72">
        <f>J14</f>
        <v>0</v>
      </c>
      <c r="I14" s="9"/>
      <c r="J14" s="57">
        <f>'Indkøbsprisafvigelse side 370'!K17</f>
        <v>0</v>
      </c>
    </row>
    <row r="15" spans="1:10" x14ac:dyDescent="0.2">
      <c r="A15" s="53" t="s">
        <v>34</v>
      </c>
      <c r="B15" s="7" t="str">
        <f>CONCATENATE("Indkøbsafvigelse ", 'Indkøbsprisafvigelse side 370'!D19)</f>
        <v>Indkøbsafvigelse Emballage</v>
      </c>
      <c r="C15" s="11"/>
      <c r="D15" s="11"/>
      <c r="E15" s="11"/>
      <c r="F15" s="11"/>
      <c r="G15" s="11"/>
      <c r="H15" s="72">
        <f>J15</f>
        <v>120000</v>
      </c>
      <c r="I15" s="9"/>
      <c r="J15" s="57">
        <f>'Indkøbsprisafvigelse side 370'!K26</f>
        <v>120000</v>
      </c>
    </row>
    <row r="16" spans="1:10" x14ac:dyDescent="0.2">
      <c r="A16" s="53" t="s">
        <v>35</v>
      </c>
      <c r="B16" s="7" t="str">
        <f>CONCATENATE("Indkøbsafvigelse ", 'Indkøbsprisafvigelse side 370'!D28)</f>
        <v>Indkøbsafvigelse Råvare X</v>
      </c>
      <c r="C16" s="11"/>
      <c r="D16" s="11"/>
      <c r="E16" s="11"/>
      <c r="F16" s="11"/>
      <c r="G16" s="11"/>
      <c r="H16" s="72">
        <f>J16</f>
        <v>240000</v>
      </c>
      <c r="I16" s="9"/>
      <c r="J16" s="57">
        <f>'Indkøbsprisafvigelse side 370'!K35</f>
        <v>240000</v>
      </c>
    </row>
    <row r="17" spans="1:11" ht="15" x14ac:dyDescent="0.2">
      <c r="A17" s="30"/>
      <c r="B17" s="43" t="s">
        <v>21</v>
      </c>
      <c r="C17" s="11"/>
      <c r="D17" s="11"/>
      <c r="E17" s="11"/>
      <c r="F17" s="11"/>
      <c r="G17" s="11"/>
      <c r="H17" s="72"/>
      <c r="I17" s="9"/>
      <c r="J17" s="57"/>
    </row>
    <row r="18" spans="1:11" x14ac:dyDescent="0.2">
      <c r="A18" s="53" t="s">
        <v>36</v>
      </c>
      <c r="B18" s="7" t="str">
        <f>CONCATENATE("Lønsatsafvigelse ", 'Lønsatsafvigelse side 371'!C1)</f>
        <v>Lønsatsafvigelse Afdeling 1</v>
      </c>
      <c r="C18" s="11"/>
      <c r="D18" s="11"/>
      <c r="E18" s="11"/>
      <c r="F18" s="11"/>
      <c r="G18" s="11"/>
      <c r="H18" s="72">
        <f>J18</f>
        <v>437500</v>
      </c>
      <c r="I18" s="9"/>
      <c r="J18" s="57">
        <f>'Lønsatsafvigelse side 371'!J8</f>
        <v>437500</v>
      </c>
    </row>
    <row r="19" spans="1:11" x14ac:dyDescent="0.2">
      <c r="A19" s="53" t="s">
        <v>37</v>
      </c>
      <c r="B19" s="7" t="str">
        <f>CONCATENATE("Lønsatsafvigelse ", 'Lønsatsafvigelse side 371'!C10)</f>
        <v>Lønsatsafvigelse Afdeling 2</v>
      </c>
      <c r="C19" s="11"/>
      <c r="D19" s="11"/>
      <c r="E19" s="11"/>
      <c r="F19" s="11"/>
      <c r="G19" s="11"/>
      <c r="H19" s="72">
        <f>J19</f>
        <v>0</v>
      </c>
      <c r="I19" s="9"/>
      <c r="J19" s="57">
        <f>'Lønsatsafvigelse side 371'!J17</f>
        <v>0</v>
      </c>
    </row>
    <row r="20" spans="1:11" x14ac:dyDescent="0.2">
      <c r="A20" s="53" t="s">
        <v>38</v>
      </c>
      <c r="B20" s="7" t="str">
        <f>CONCATENATE("Lønsatsafvigelse ", 'Lønsatsafvigelse side 371'!C19)</f>
        <v>Lønsatsafvigelse Afdeling 3</v>
      </c>
      <c r="C20" s="11"/>
      <c r="D20" s="11"/>
      <c r="E20" s="11"/>
      <c r="F20" s="11"/>
      <c r="G20" s="11"/>
      <c r="H20" s="72">
        <f>J20</f>
        <v>0</v>
      </c>
      <c r="I20" s="9"/>
      <c r="J20" s="57">
        <f>'Lønsatsafvigelse side 371'!J26</f>
        <v>0</v>
      </c>
    </row>
    <row r="21" spans="1:11" x14ac:dyDescent="0.2">
      <c r="A21" s="53" t="s">
        <v>39</v>
      </c>
      <c r="B21" s="7" t="str">
        <f>CONCATENATE("Lønsatsafvigelse ", 'Lønsatsafvigelse side 371'!C28)</f>
        <v>Lønsatsafvigelse Afdeling 4</v>
      </c>
      <c r="C21" s="11"/>
      <c r="D21" s="11"/>
      <c r="E21" s="11"/>
      <c r="F21" s="11"/>
      <c r="G21" s="11"/>
      <c r="H21" s="72">
        <f>J21</f>
        <v>0</v>
      </c>
      <c r="I21" s="9"/>
      <c r="J21" s="57">
        <f>'Lønsatsafvigelse side 371'!J35</f>
        <v>0</v>
      </c>
    </row>
    <row r="22" spans="1:11" ht="15" x14ac:dyDescent="0.2">
      <c r="A22" s="30"/>
      <c r="B22" s="43" t="s">
        <v>25</v>
      </c>
      <c r="C22" s="11"/>
      <c r="D22" s="11"/>
      <c r="E22" s="11"/>
      <c r="F22" s="11"/>
      <c r="G22" s="11"/>
      <c r="H22" s="72"/>
      <c r="I22" s="9"/>
      <c r="J22" s="57"/>
    </row>
    <row r="23" spans="1:11" x14ac:dyDescent="0.2">
      <c r="A23" s="53" t="s">
        <v>71</v>
      </c>
      <c r="B23" s="88" t="s">
        <v>104</v>
      </c>
      <c r="C23" s="11"/>
      <c r="D23" s="11"/>
      <c r="E23" s="11"/>
      <c r="F23" s="11"/>
      <c r="G23" s="11"/>
      <c r="H23" s="72">
        <f t="shared" ref="H23:H29" si="0">J23</f>
        <v>0</v>
      </c>
      <c r="I23" s="9"/>
      <c r="J23" s="57">
        <f>'Produktionsafdeling 1 side 393'!G30+'Produktionsafdeling 1 side 393'!F30+'Produktionsafdeling 1 side 393'!D30+'Produktionsafdeling 1 side 393'!C30+'Produktionsafdeling 1 side 393'!E30</f>
        <v>0</v>
      </c>
    </row>
    <row r="24" spans="1:11" x14ac:dyDescent="0.2">
      <c r="A24" s="53" t="s">
        <v>72</v>
      </c>
      <c r="B24" s="88" t="s">
        <v>119</v>
      </c>
      <c r="C24" s="11"/>
      <c r="D24" s="11"/>
      <c r="E24" s="11"/>
      <c r="F24" s="11"/>
      <c r="G24" s="11"/>
      <c r="H24" s="72">
        <f t="shared" si="0"/>
        <v>0</v>
      </c>
      <c r="I24" s="9"/>
      <c r="J24" s="57">
        <f>'Produktionsafdeling 2 side 393'!F30+'Produktionsafdeling 2 side 393'!E30+'Produktionsafdeling 2 side 393'!D30+'Produktionsafdeling 2 side 393'!C30</f>
        <v>0</v>
      </c>
    </row>
    <row r="25" spans="1:11" x14ac:dyDescent="0.2">
      <c r="A25" s="114" t="s">
        <v>73</v>
      </c>
      <c r="B25" s="88" t="s">
        <v>120</v>
      </c>
      <c r="C25" s="11"/>
      <c r="D25" s="11"/>
      <c r="E25" s="11"/>
      <c r="F25" s="11"/>
      <c r="G25" s="11"/>
      <c r="H25" s="72">
        <f>J25</f>
        <v>0</v>
      </c>
      <c r="I25" s="9"/>
      <c r="J25" s="57">
        <f>'Pakkeafdelingen side 396'!F31+'Pakkeafdelingen side 396'!E31+'Pakkeafdelingen side 396'!D31+'Pakkeafdelingen side 396'!C31</f>
        <v>0</v>
      </c>
    </row>
    <row r="26" spans="1:11" ht="15" x14ac:dyDescent="0.2">
      <c r="A26" s="30"/>
      <c r="B26" s="43" t="s">
        <v>26</v>
      </c>
      <c r="C26" s="11"/>
      <c r="D26" s="11"/>
      <c r="E26" s="11"/>
      <c r="F26" s="11"/>
      <c r="G26" s="11"/>
      <c r="H26" s="72"/>
      <c r="I26" s="9"/>
      <c r="J26" s="57"/>
    </row>
    <row r="27" spans="1:11" x14ac:dyDescent="0.2">
      <c r="A27" s="114" t="s">
        <v>74</v>
      </c>
      <c r="B27" s="7" t="s">
        <v>22</v>
      </c>
      <c r="C27" s="11"/>
      <c r="D27" s="11"/>
      <c r="E27" s="11"/>
      <c r="F27" s="11"/>
      <c r="G27" s="11"/>
      <c r="H27" s="72">
        <f t="shared" si="0"/>
        <v>0</v>
      </c>
      <c r="I27" s="9"/>
      <c r="J27" s="57">
        <f>'Råvarelagerafgivelse side 398'!J12</f>
        <v>0</v>
      </c>
    </row>
    <row r="28" spans="1:11" x14ac:dyDescent="0.2">
      <c r="A28" s="53" t="s">
        <v>75</v>
      </c>
      <c r="B28" s="7" t="s">
        <v>23</v>
      </c>
      <c r="C28" s="11"/>
      <c r="D28" s="11"/>
      <c r="E28" s="11"/>
      <c r="F28" s="11"/>
      <c r="G28" s="11"/>
      <c r="H28" s="72">
        <f t="shared" si="0"/>
        <v>0</v>
      </c>
      <c r="I28" s="9"/>
      <c r="J28" s="57">
        <f>'Færdiglagerafgivelse side 399'!J12</f>
        <v>0</v>
      </c>
    </row>
    <row r="29" spans="1:11" ht="15.75" thickBot="1" x14ac:dyDescent="0.25">
      <c r="A29" s="53" t="s">
        <v>76</v>
      </c>
      <c r="B29" s="43" t="s">
        <v>24</v>
      </c>
      <c r="C29" s="11"/>
      <c r="D29" s="11"/>
      <c r="E29" s="11"/>
      <c r="F29" s="11"/>
      <c r="G29" s="11"/>
      <c r="H29" s="72">
        <f t="shared" si="0"/>
        <v>0</v>
      </c>
      <c r="I29" s="9"/>
      <c r="J29" s="57">
        <f>'Salgsprovisionsafvig. side 376'!J8</f>
        <v>0</v>
      </c>
    </row>
    <row r="30" spans="1:11" ht="16.5" customHeight="1" thickBot="1" x14ac:dyDescent="0.25">
      <c r="A30" s="30"/>
      <c r="B30" s="76" t="s">
        <v>27</v>
      </c>
      <c r="C30" s="51"/>
      <c r="D30" s="51"/>
      <c r="E30" s="51"/>
      <c r="F30" s="51"/>
      <c r="G30" s="51"/>
      <c r="H30" s="73">
        <f>SUM(H9:H29)</f>
        <v>4882500</v>
      </c>
      <c r="I30" s="52">
        <f>SUM(I9:I29)</f>
        <v>4250000</v>
      </c>
      <c r="J30" s="73">
        <f>SUM(J9:J29)</f>
        <v>632500</v>
      </c>
    </row>
    <row r="31" spans="1:11" x14ac:dyDescent="0.2">
      <c r="A31" s="30"/>
      <c r="B31" s="25" t="s">
        <v>140</v>
      </c>
      <c r="C31" s="11"/>
      <c r="D31" s="11"/>
      <c r="E31" s="11"/>
      <c r="F31" s="11"/>
      <c r="G31" s="11"/>
      <c r="H31" s="75">
        <v>0</v>
      </c>
      <c r="I31" s="47">
        <v>0</v>
      </c>
      <c r="J31" s="57">
        <f>I31-H31</f>
        <v>0</v>
      </c>
    </row>
    <row r="32" spans="1:11" x14ac:dyDescent="0.2">
      <c r="A32" s="30"/>
      <c r="B32" s="7" t="s">
        <v>28</v>
      </c>
      <c r="C32" s="11"/>
      <c r="D32" s="11"/>
      <c r="E32" s="11"/>
      <c r="F32" s="11"/>
      <c r="G32" s="11"/>
      <c r="H32" s="72">
        <f>H30-H31</f>
        <v>4882500</v>
      </c>
      <c r="I32" s="9">
        <f>I30-I31</f>
        <v>4250000</v>
      </c>
      <c r="J32" s="72">
        <f>J30+J31</f>
        <v>632500</v>
      </c>
      <c r="K32" s="54"/>
    </row>
    <row r="33" spans="1:11" ht="13.5" thickBot="1" x14ac:dyDescent="0.25">
      <c r="A33" s="30"/>
      <c r="B33" s="25" t="s">
        <v>29</v>
      </c>
      <c r="C33" s="11"/>
      <c r="D33" s="11"/>
      <c r="E33" s="11"/>
      <c r="F33" s="11"/>
      <c r="G33" s="11"/>
      <c r="H33" s="75">
        <v>0</v>
      </c>
      <c r="I33" s="47">
        <v>0</v>
      </c>
      <c r="J33" s="57">
        <f>I33-H33</f>
        <v>0</v>
      </c>
    </row>
    <row r="34" spans="1:11" ht="15.75" thickBot="1" x14ac:dyDescent="0.25">
      <c r="A34" s="31"/>
      <c r="B34" s="76" t="s">
        <v>30</v>
      </c>
      <c r="C34" s="51"/>
      <c r="D34" s="51"/>
      <c r="E34" s="51"/>
      <c r="F34" s="51"/>
      <c r="G34" s="51"/>
      <c r="H34" s="73">
        <f>H32-H33</f>
        <v>4882500</v>
      </c>
      <c r="I34" s="52">
        <f>I32-I33</f>
        <v>4250000</v>
      </c>
      <c r="J34" s="73">
        <f>J32+J33</f>
        <v>632500</v>
      </c>
      <c r="K34" s="54"/>
    </row>
    <row r="35" spans="1:11" x14ac:dyDescent="0.2">
      <c r="A35" s="11"/>
      <c r="B35" s="48"/>
      <c r="C35" s="11"/>
      <c r="D35" s="11"/>
      <c r="E35" s="11"/>
      <c r="F35" s="11"/>
      <c r="G35" s="11"/>
      <c r="H35" s="9"/>
      <c r="I35" s="9"/>
      <c r="J35" s="49"/>
    </row>
    <row r="36" spans="1:11" x14ac:dyDescent="0.2">
      <c r="H36" s="54"/>
      <c r="I36" s="54"/>
    </row>
  </sheetData>
  <mergeCells count="2">
    <mergeCell ref="B2:J2"/>
    <mergeCell ref="H3:J3"/>
  </mergeCells>
  <phoneticPr fontId="2" type="noConversion"/>
  <pageMargins left="0.19685039370078741" right="0.19685039370078741" top="0.39370078740157483" bottom="0.39370078740157483" header="0.51181102362204722" footer="0.51181102362204722"/>
  <pageSetup paperSize="9" scale="93" orientation="landscape"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
  <sheetViews>
    <sheetView zoomScaleNormal="100" workbookViewId="0"/>
  </sheetViews>
  <sheetFormatPr defaultRowHeight="12.75" x14ac:dyDescent="0.2"/>
  <cols>
    <col min="2" max="2" width="29.140625" customWidth="1"/>
    <col min="3" max="3" width="11.42578125" customWidth="1"/>
    <col min="4" max="4" width="13" customWidth="1"/>
    <col min="6" max="6" width="16.42578125" customWidth="1"/>
    <col min="10" max="10" width="13.28515625" customWidth="1"/>
  </cols>
  <sheetData>
    <row r="1" spans="1:10" ht="15" x14ac:dyDescent="0.2">
      <c r="A1" s="29" t="str">
        <f>'Resultatkontrol side 402'!A29</f>
        <v>note 15</v>
      </c>
      <c r="B1" s="41" t="str">
        <f>'Resultatkontrol side 402'!B29</f>
        <v>Salgsprovisionsafvigelse</v>
      </c>
      <c r="C1" s="14"/>
      <c r="D1" s="14"/>
      <c r="E1" s="206"/>
      <c r="F1" s="206"/>
      <c r="G1" s="206"/>
      <c r="H1" s="15"/>
      <c r="I1" s="15"/>
      <c r="J1" s="16"/>
    </row>
    <row r="2" spans="1:10" x14ac:dyDescent="0.2">
      <c r="A2" s="30"/>
      <c r="B2" s="40" t="s">
        <v>48</v>
      </c>
      <c r="C2" s="11"/>
      <c r="D2" s="11"/>
      <c r="E2" s="26"/>
      <c r="F2" s="26"/>
      <c r="G2" s="26"/>
      <c r="H2" s="9"/>
      <c r="I2" s="9"/>
      <c r="J2" s="10"/>
    </row>
    <row r="3" spans="1:10" x14ac:dyDescent="0.2">
      <c r="A3" s="30"/>
      <c r="B3" s="39" t="s">
        <v>1</v>
      </c>
      <c r="C3" s="26" t="s">
        <v>42</v>
      </c>
      <c r="D3" s="11" t="s">
        <v>69</v>
      </c>
      <c r="E3" s="26"/>
      <c r="F3" s="26"/>
      <c r="G3" s="26"/>
      <c r="H3" s="9"/>
      <c r="I3" s="9"/>
      <c r="J3" s="10"/>
    </row>
    <row r="4" spans="1:10" ht="31.5" x14ac:dyDescent="0.5">
      <c r="A4" s="30"/>
      <c r="B4" s="28">
        <f>'Resultatkontrol side 402'!C5</f>
        <v>27000</v>
      </c>
      <c r="C4" s="35" t="s">
        <v>40</v>
      </c>
      <c r="D4" s="33">
        <f>F4/B4</f>
        <v>15</v>
      </c>
      <c r="E4" s="36" t="s">
        <v>46</v>
      </c>
      <c r="F4" s="32">
        <v>405000</v>
      </c>
      <c r="G4" s="26"/>
      <c r="H4" s="9"/>
      <c r="I4" s="9"/>
      <c r="J4" s="10"/>
    </row>
    <row r="5" spans="1:10" x14ac:dyDescent="0.2">
      <c r="A5" s="30"/>
      <c r="B5" s="40" t="s">
        <v>70</v>
      </c>
      <c r="C5" s="26"/>
      <c r="D5" s="11"/>
      <c r="E5" s="26"/>
      <c r="F5" s="27"/>
      <c r="G5" s="26"/>
      <c r="H5" s="9"/>
      <c r="I5" s="9"/>
      <c r="J5" s="10"/>
    </row>
    <row r="6" spans="1:10" x14ac:dyDescent="0.2">
      <c r="A6" s="30"/>
      <c r="B6" s="39" t="s">
        <v>1</v>
      </c>
      <c r="C6" s="26" t="s">
        <v>42</v>
      </c>
      <c r="D6" s="11" t="s">
        <v>49</v>
      </c>
      <c r="E6" s="26"/>
      <c r="F6" s="27"/>
      <c r="G6" s="26"/>
      <c r="H6" s="9"/>
      <c r="I6" s="9"/>
      <c r="J6" s="10"/>
    </row>
    <row r="7" spans="1:10" ht="31.5" x14ac:dyDescent="0.5">
      <c r="A7" s="30"/>
      <c r="B7" s="28">
        <f>B4</f>
        <v>27000</v>
      </c>
      <c r="C7" s="37" t="s">
        <v>40</v>
      </c>
      <c r="D7" s="38">
        <v>15</v>
      </c>
      <c r="E7" s="34" t="s">
        <v>46</v>
      </c>
      <c r="F7" s="42">
        <f>D7*B7</f>
        <v>405000</v>
      </c>
      <c r="G7" s="26"/>
      <c r="H7" s="9"/>
      <c r="I7" s="9"/>
      <c r="J7" s="10"/>
    </row>
    <row r="8" spans="1:10" x14ac:dyDescent="0.2">
      <c r="A8" s="30"/>
      <c r="B8" s="40" t="s">
        <v>47</v>
      </c>
      <c r="C8" s="8"/>
      <c r="D8" s="11"/>
      <c r="E8" s="26"/>
      <c r="F8" s="44">
        <f>F7-F4</f>
        <v>0</v>
      </c>
      <c r="G8" s="26"/>
      <c r="H8" s="9"/>
      <c r="I8" s="9"/>
      <c r="J8" s="45">
        <f>F8</f>
        <v>0</v>
      </c>
    </row>
    <row r="9" spans="1:10" ht="13.5" thickBot="1" x14ac:dyDescent="0.25">
      <c r="A9" s="31"/>
      <c r="B9" s="17" t="str">
        <f>CONCATENATE("Kan også regnes som ",ROUND(D7,2)," - ",ROUND(D4,2)," gange ",B4," = ",F8,". Den budgetterede salgsprovision var ",ROUND(D7,2),", den rigtige salgsprovision blev ",ROUND(D4,2)," derfor er afvigelsen",IF(D4&gt;D7," negativ ",IF(D4=D7," neutral ",IF(D4&lt;D7," positiv"))))</f>
        <v xml:space="preserve">Kan også regnes som 15 - 15 gange 27000 = 0. Den budgetterede salgsprovision var 15, den rigtige salgsprovision blev 15 derfor er afvigelsen neutral </v>
      </c>
      <c r="C9" s="2"/>
      <c r="D9" s="2"/>
      <c r="E9" s="18"/>
      <c r="F9" s="2"/>
      <c r="G9" s="2"/>
      <c r="H9" s="12"/>
      <c r="I9" s="12"/>
      <c r="J9" s="13"/>
    </row>
  </sheetData>
  <mergeCells count="1">
    <mergeCell ref="E1:G1"/>
  </mergeCells>
  <phoneticPr fontId="2" type="noConversion"/>
  <pageMargins left="0.75" right="0.75" top="1" bottom="1" header="0.5" footer="0.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20" zoomScaleNormal="120" workbookViewId="0"/>
  </sheetViews>
  <sheetFormatPr defaultRowHeight="12.75" x14ac:dyDescent="0.2"/>
  <cols>
    <col min="1" max="1" width="101.42578125" customWidth="1"/>
  </cols>
  <sheetData>
    <row r="1" spans="1:2" ht="23.25" x14ac:dyDescent="0.35">
      <c r="A1" s="192" t="s">
        <v>151</v>
      </c>
    </row>
    <row r="2" spans="1:2" ht="75.75" customHeight="1" x14ac:dyDescent="0.2">
      <c r="A2" s="191" t="str">
        <f>CONCATENATE('Resultatkontrol side 402'!B3," havde budgetteret med at sælge ",'Resultatkontrol side 402'!F5," styk men solgte ",'Resultatkontrol side 402'!C5," styk, det er en afvigelse på ",'Resultatkontrol side 402'!C5-'Resultatkontrol side 402'!F5," styk. Det budgetterede dækningsbidrag pr. styk var på kr.",'Resultatkontrol side 402'!G9," det giver en samlet mængdeafvigelse i dækningsbidraget på kr. ",'Resultatkontrol side 402'!J9,"." )</f>
        <v>Jysk havde budgetteret med at sælge 25000 styk men solgte 27000 styk, det er en afvigelse på 2000 styk. Det budgetterede dækningsbidrag pr. styk var på kr.170 det giver en samlet mængdeafvigelse i dækningsbidraget på kr. 340000.</v>
      </c>
      <c r="B2" s="191"/>
    </row>
    <row r="3" spans="1:2" ht="116.25" customHeight="1" x14ac:dyDescent="0.2">
      <c r="A3" s="191" t="str">
        <f>CONCATENATE("Salgsprisafvigelsen har forårsaget en afvigelse på kr.",ROUND('Salgsprisafvigelse side 367'!J8,2),". Årsagen til denne afvigelse er at den faktiske pris pr. styk blev kr. ",'Salgsprisafvigelse side 367'!D4," . Den budgetterede pris var kr. ",'Salgsprisafvigelse side 367'!D7," pr. styk. Det er en",(IF('Salgsprisafvigelse side 367'!D4='Salgsprisafvigelse side 367'!D7," neutral ",IF('Salgsprisafvigelse side 367'!D4&gt;'Salgsprisafvigelse side 367'!D7," positiv ",IF('Salgsprisafvigelse side 367'!D4&lt;'Salgsprisafvigelse side 367'!D7," negativ ")))),"afvigelse i salgsprisen pr. styk på ",'Salgsprisafvigelse side 367'!D4-'Salgsprisafvigelse side 367'!D7," kr. Hvis denne styk afvigelse ganges med afsætningen på ",'Salgsprisafvigelse side 367'!B4," styk får man den samlede afvigelse på kr. ",'Salgsprisafvigelse side 367'!J8,".")</f>
        <v>Salgsprisafvigelsen har forårsaget en afvigelse på kr.-405000. Årsagen til denne afvigelse er at den faktiske pris pr. styk blev kr. 335 . Den budgetterede pris var kr. 350 pr. styk. Det er en negativ afvigelse i salgsprisen pr. styk på -15 kr. Hvis denne styk afvigelse ganges med afsætningen på 27000 styk får man den samlede afvigelse på kr. -405000.</v>
      </c>
    </row>
    <row r="4" spans="1:2" ht="79.5" customHeight="1" x14ac:dyDescent="0.2">
      <c r="A4" s="191" t="str">
        <f>CONCATENATE("Indkøbsprisen på ",'Indkøbsprisafvigelse side 370'!D1," var budgetteret til kr. ",'Indkøbsprisafvigelse side 370'!E7," pr. ",'Indkøbsprisafvigelse side 370'!C4,".. Den faktiske indkøbspris blev kr. ",ROUND('Indkøbsprisafvigelse side 370'!E4,2)," pr. ",'Indkøbsprisafvigelse side 370'!C4,".. Det vil sige at ",'Resultatkontrol side 402'!$B$3," har betalt ",ROUND(IF('Indkøbsprisafvigelse side 370'!E4&gt;'Indkøbsprisafvigelse side 370'!E7,'Indkøbsprisafvigelse side 370'!E4-'Indkøbsprisafvigelse side 370'!E7,'Indkøbsprisafvigelse side 370'!E7-'Indkøbsprisafvigelse side 370'!E4),2),IF('Indkøbsprisafvigelse side 370'!E4&gt;'Indkøbsprisafvigelse side 370'!E7," for meget"," for lidt")," pr. indkøbt ",'Indkøbsprisafvigelse side 370'!C4,".. Da ",'Resultatkontrol side 402'!$B$3," har indkøbt ",'Indkøbsprisafvigelse side 370'!B4," ",'Indkøbsprisafvigelse side 370'!C4,". giver det en samlet afvigelse på kr. ",ROUND('Indkøbsprisafvigelse side 370'!K8,2),".")</f>
        <v>Indkøbsprisen på Ekstrakt A var budgetteret til kr. 15 pr. stk.. Den faktiske indkøbspris blev kr. 15,63 pr. stk.. Det vil sige at Jysk har betalt 0,63 for meget pr. indkøbt stk.. Da Jysk har indkøbt 160000 stk. giver det en samlet afvigelse på kr. -100000.</v>
      </c>
    </row>
    <row r="5" spans="1:2" ht="79.5" customHeight="1" x14ac:dyDescent="0.2">
      <c r="A5" s="191" t="str">
        <f>CONCATENATE("Indkøbsprisen på ",'Indkøbsprisafvigelse side 370'!D10," var budgetteret til kr. ",'Indkøbsprisafvigelse side 370'!E16,". Den faktiske indkøbspris blev kr. ",ROUND('Indkøbsprisafvigelse side 370'!E13,2)," Det vil sige at ",'Resultatkontrol side 402'!$B$3," har betalt ",ROUND(IF('Indkøbsprisafvigelse side 370'!E13&gt;'Indkøbsprisafvigelse side 370'!E16,'Indkøbsprisafvigelse side 370'!E13-'Indkøbsprisafvigelse side 370'!E16,'Indkøbsprisafvigelse side 370'!E16-'Indkøbsprisafvigelse side 370'!E13),2),IF('Indkøbsprisafvigelse side 370'!E13&gt;'Indkøbsprisafvigelse side 370'!E16," for meget"," for lidt")," pr. indkøbt ",'Indkøbsprisafvigelse side 370'!C13,". Da ",'Resultatkontrol side 402'!$B$3," har indkøbt ",'Indkøbsprisafvigelse side 370'!B13," ",'Indkøbsprisafvigelse side 370'!C13," giver det en samlet afvigelse på kr. ",ROUND('Indkøbsprisafvigelse side 370'!K17,2),".")</f>
        <v>Indkøbsprisen på Ekstrakt B var budgetteret til kr. 1. Den faktiske indkøbspris blev kr. 1 Det vil sige at Jysk har betalt 0 for lidt pr. indkøbt kg. Da Jysk har indkøbt 120000 kg giver det en samlet afvigelse på kr. 0.</v>
      </c>
    </row>
    <row r="6" spans="1:2" ht="78.75" customHeight="1" x14ac:dyDescent="0.2">
      <c r="A6" s="191" t="str">
        <f>CONCATENATE("Indkøbsprisen på ",'Indkøbsprisafvigelse side 370'!D19," var budgetteret til kr. ",'Indkøbsprisafvigelse side 370'!E25,". Den faktiske indkøbspris blev kr. ",ROUND('Indkøbsprisafvigelse side 370'!E22,2)," Det vil sige at ",'Resultatkontrol side 402'!$B$3," har betalt ",ROUND(IF('Indkøbsprisafvigelse side 370'!E22&gt;'Indkøbsprisafvigelse side 370'!E25,'Indkøbsprisafvigelse side 370'!E22-'Indkøbsprisafvigelse side 370'!E25,'Indkøbsprisafvigelse side 370'!E25-'Indkøbsprisafvigelse side 370'!E22),2),IF('Indkøbsprisafvigelse side 370'!E22&gt;'Indkøbsprisafvigelse side 370'!E25," for meget"," for lidt")," pr. indkøbt ",'Indkøbsprisafvigelse side 370'!C22,". Da ",'Resultatkontrol side 402'!$B$3," har indkøbt ",'Indkøbsprisafvigelse side 370'!B22," ",'Indkøbsprisafvigelse side 370'!C22," giver det en samlet afvigelse på kr. ",ROUND('Indkøbsprisafvigelse side 370'!K26,2),".")</f>
        <v>Indkøbsprisen på Emballage var budgetteret til kr. 2. Den faktiske indkøbspris blev kr. 1 Det vil sige at Jysk har betalt 1 for lidt pr. indkøbt stk. Da Jysk har indkøbt 120000 stk giver det en samlet afvigelse på kr. 120000.</v>
      </c>
    </row>
    <row r="7" spans="1:2" ht="72.75" customHeight="1" x14ac:dyDescent="0.2">
      <c r="A7" s="191" t="str">
        <f>CONCATENATE("Indkøbsprisen på ",'Indkøbsprisafvigelse side 370'!D28," var budgetteret til kr. ",'Indkøbsprisafvigelse side 370'!E34,". Den faktiske indkøbspris blev kr. ",ROUND('Indkøbsprisafvigelse side 370'!E31,2)," Det vil sige at ",'Resultatkontrol side 402'!$B$3," har betalt ",ROUND(IF('Indkøbsprisafvigelse side 370'!E31&gt;'Indkøbsprisafvigelse side 370'!E34,'Indkøbsprisafvigelse side 370'!E31-'Indkøbsprisafvigelse side 370'!E34,'Indkøbsprisafvigelse side 370'!E34-'Indkøbsprisafvigelse side 370'!E31),2),IF('Indkøbsprisafvigelse side 370'!E31&gt;'Indkøbsprisafvigelse side 370'!E34," for meget"," for lidt")," pr. indkøbt ",'Indkøbsprisafvigelse side 370'!C31,". Da ",'Resultatkontrol side 402'!$B$3," har indkøbt ",'Indkøbsprisafvigelse side 370'!B31," ",'Indkøbsprisafvigelse side 370'!C31," giver det en samlet afvigelse på kr. ",ROUND('Indkøbsprisafvigelse side 370'!K35,2),".")</f>
        <v>Indkøbsprisen på Råvare X var budgetteret til kr. 3. Den faktiske indkøbspris blev kr. 1 Det vil sige at Jysk har betalt 2 for lidt pr. indkøbt kg. Da Jysk har indkøbt 120000 kg giver det en samlet afvigelse på kr. 240000.</v>
      </c>
    </row>
    <row r="8" spans="1:2" ht="18" x14ac:dyDescent="0.2">
      <c r="A8" s="191" t="str">
        <f>CONCATENATE("Alt i alt blev den samlede indkøbsprisafgivelse på kr. ",'Resultatkontrol side 402'!J13+'Resultatkontrol side 402'!J14+'Resultatkontrol side 402'!J15+'Resultatkontrol side 402'!J16,".")</f>
        <v>Alt i alt blev den samlede indkøbsprisafgivelse på kr. 260000.</v>
      </c>
    </row>
    <row r="9" spans="1:2" ht="18" x14ac:dyDescent="0.2">
      <c r="A9" s="191"/>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110" zoomScaleNormal="110" zoomScalePageLayoutView="90" workbookViewId="0">
      <selection activeCell="B4" sqref="B4"/>
    </sheetView>
  </sheetViews>
  <sheetFormatPr defaultRowHeight="12.75" x14ac:dyDescent="0.2"/>
  <cols>
    <col min="2" max="2" width="21.5703125" customWidth="1"/>
    <col min="3" max="3" width="10.7109375" bestFit="1" customWidth="1"/>
    <col min="4" max="4" width="18.5703125" bestFit="1" customWidth="1"/>
    <col min="6" max="6" width="14" customWidth="1"/>
    <col min="10" max="10" width="14.7109375" customWidth="1"/>
  </cols>
  <sheetData>
    <row r="1" spans="1:10" ht="15" x14ac:dyDescent="0.2">
      <c r="A1" s="29" t="str">
        <f>'Resultatkontrol side 402'!A11</f>
        <v>note 1</v>
      </c>
      <c r="B1" s="41" t="s">
        <v>45</v>
      </c>
      <c r="C1" s="14"/>
      <c r="D1" s="14"/>
      <c r="E1" s="206"/>
      <c r="F1" s="206"/>
      <c r="G1" s="206"/>
      <c r="H1" s="15"/>
      <c r="I1" s="15"/>
      <c r="J1" s="16"/>
    </row>
    <row r="2" spans="1:10" x14ac:dyDescent="0.2">
      <c r="A2" s="30"/>
      <c r="B2" s="40" t="s">
        <v>41</v>
      </c>
      <c r="C2" s="11"/>
      <c r="D2" s="11"/>
      <c r="E2" s="26"/>
      <c r="F2" s="26"/>
      <c r="G2" s="26"/>
      <c r="H2" s="9"/>
      <c r="I2" s="9"/>
      <c r="J2" s="10"/>
    </row>
    <row r="3" spans="1:10" x14ac:dyDescent="0.2">
      <c r="A3" s="30"/>
      <c r="B3" s="39" t="s">
        <v>1</v>
      </c>
      <c r="C3" s="26" t="s">
        <v>42</v>
      </c>
      <c r="D3" s="11" t="s">
        <v>50</v>
      </c>
      <c r="E3" s="26"/>
      <c r="F3" s="26"/>
      <c r="G3" s="26"/>
      <c r="H3" s="9"/>
      <c r="I3" s="9"/>
      <c r="J3" s="10"/>
    </row>
    <row r="4" spans="1:10" ht="31.5" x14ac:dyDescent="0.5">
      <c r="A4" s="30"/>
      <c r="B4" s="28">
        <f>'Resultatkontrol side 402'!C5</f>
        <v>27000</v>
      </c>
      <c r="C4" s="35" t="s">
        <v>40</v>
      </c>
      <c r="D4" s="77">
        <f>F4/B4</f>
        <v>335</v>
      </c>
      <c r="E4" s="36" t="s">
        <v>46</v>
      </c>
      <c r="F4" s="27">
        <f>'Resultatkontrol side 402'!D5</f>
        <v>9045000</v>
      </c>
      <c r="G4" s="26"/>
      <c r="H4" s="9"/>
      <c r="I4" s="9"/>
      <c r="J4" s="10"/>
    </row>
    <row r="5" spans="1:10" x14ac:dyDescent="0.2">
      <c r="A5" s="30"/>
      <c r="B5" s="40" t="s">
        <v>43</v>
      </c>
      <c r="C5" s="26"/>
      <c r="D5" s="11"/>
      <c r="E5" s="26"/>
      <c r="F5" s="27"/>
      <c r="G5" s="26"/>
      <c r="H5" s="9"/>
      <c r="I5" s="9"/>
      <c r="J5" s="10"/>
    </row>
    <row r="6" spans="1:10" x14ac:dyDescent="0.2">
      <c r="A6" s="30"/>
      <c r="B6" s="39" t="s">
        <v>1</v>
      </c>
      <c r="C6" s="26" t="s">
        <v>42</v>
      </c>
      <c r="D6" s="11" t="s">
        <v>44</v>
      </c>
      <c r="E6" s="26"/>
      <c r="F6" s="27"/>
      <c r="G6" s="26"/>
      <c r="H6" s="9"/>
      <c r="I6" s="9"/>
      <c r="J6" s="10"/>
    </row>
    <row r="7" spans="1:10" ht="31.5" x14ac:dyDescent="0.5">
      <c r="A7" s="30"/>
      <c r="B7" s="28">
        <f>B4</f>
        <v>27000</v>
      </c>
      <c r="C7" s="37" t="s">
        <v>40</v>
      </c>
      <c r="D7" s="33">
        <f>'Resultatkontrol side 402'!G5</f>
        <v>350</v>
      </c>
      <c r="E7" s="34" t="s">
        <v>46</v>
      </c>
      <c r="F7" s="42">
        <f>D7*B7</f>
        <v>9450000</v>
      </c>
      <c r="G7" s="26"/>
      <c r="H7" s="9"/>
      <c r="I7" s="9"/>
      <c r="J7" s="10"/>
    </row>
    <row r="8" spans="1:10" x14ac:dyDescent="0.2">
      <c r="A8" s="30"/>
      <c r="B8" s="40" t="s">
        <v>20</v>
      </c>
      <c r="C8" s="8"/>
      <c r="D8" s="11"/>
      <c r="E8" s="26"/>
      <c r="F8" s="44">
        <f>F4-F7</f>
        <v>-405000</v>
      </c>
      <c r="G8" s="26"/>
      <c r="H8" s="9"/>
      <c r="I8" s="9"/>
      <c r="J8" s="45">
        <f>F8</f>
        <v>-405000</v>
      </c>
    </row>
    <row r="9" spans="1:10" ht="13.5" thickBot="1" x14ac:dyDescent="0.25">
      <c r="A9" s="31"/>
      <c r="B9" s="17" t="str">
        <f>CONCATENATE("Kan også regnes som ",ROUND(D4,2)," - ",ROUND(D7,2)," gange ",B4," = ",F8,". Den budgetterede salgspris var ",ROUND(D7,2),", den rigtige salgspris blev ",ROUND(D4,2)," derfor er afvigelsen",IF(D4&gt;D7," positiv ",IF(D4=D7," neutral ",IF(D4&lt;D7," negativ"))))</f>
        <v>Kan også regnes som 335 - 350 gange 27000 = -405000. Den budgetterede salgspris var 350, den rigtige salgspris blev 335 derfor er afvigelsen negativ</v>
      </c>
      <c r="C9" s="2"/>
      <c r="D9" s="2"/>
      <c r="E9" s="18"/>
      <c r="F9" s="2"/>
      <c r="G9" s="2"/>
      <c r="H9" s="12"/>
      <c r="I9" s="12"/>
      <c r="J9" s="13"/>
    </row>
  </sheetData>
  <mergeCells count="1">
    <mergeCell ref="E1:G1"/>
  </mergeCells>
  <phoneticPr fontId="2"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zoomScaleNormal="100" workbookViewId="0"/>
  </sheetViews>
  <sheetFormatPr defaultRowHeight="12.75" x14ac:dyDescent="0.2"/>
  <cols>
    <col min="2" max="2" width="25" customWidth="1"/>
    <col min="3" max="3" width="3.42578125" customWidth="1"/>
    <col min="4" max="4" width="15.28515625" customWidth="1"/>
    <col min="5" max="5" width="15.7109375" customWidth="1"/>
    <col min="7" max="7" width="14.5703125" customWidth="1"/>
    <col min="11" max="11" width="13" customWidth="1"/>
  </cols>
  <sheetData>
    <row r="1" spans="1:11" ht="15" x14ac:dyDescent="0.2">
      <c r="A1" s="29" t="str">
        <f>'Resultatkontrol side 402'!A13</f>
        <v>note 2</v>
      </c>
      <c r="B1" s="41" t="s">
        <v>56</v>
      </c>
      <c r="C1" s="193"/>
      <c r="D1" s="160" t="s">
        <v>150</v>
      </c>
      <c r="E1" s="14"/>
      <c r="F1" s="206"/>
      <c r="G1" s="206"/>
      <c r="H1" s="206"/>
      <c r="I1" s="15"/>
      <c r="J1" s="15"/>
      <c r="K1" s="16"/>
    </row>
    <row r="2" spans="1:11" x14ac:dyDescent="0.2">
      <c r="A2" s="30"/>
      <c r="B2" s="40" t="s">
        <v>57</v>
      </c>
      <c r="C2" s="194"/>
      <c r="D2" s="11"/>
      <c r="E2" s="11"/>
      <c r="F2" s="26"/>
      <c r="G2" s="26"/>
      <c r="H2" s="26"/>
      <c r="I2" s="9"/>
      <c r="J2" s="9"/>
      <c r="K2" s="10"/>
    </row>
    <row r="3" spans="1:11" x14ac:dyDescent="0.2">
      <c r="A3" s="30"/>
      <c r="B3" s="39" t="s">
        <v>59</v>
      </c>
      <c r="C3" s="195"/>
      <c r="D3" s="26" t="s">
        <v>42</v>
      </c>
      <c r="E3" s="11" t="s">
        <v>60</v>
      </c>
      <c r="F3" s="26"/>
      <c r="G3" s="26"/>
      <c r="H3" s="26"/>
      <c r="I3" s="9"/>
      <c r="J3" s="9"/>
      <c r="K3" s="10"/>
    </row>
    <row r="4" spans="1:11" ht="31.5" x14ac:dyDescent="0.5">
      <c r="A4" s="30"/>
      <c r="B4" s="46">
        <v>160000</v>
      </c>
      <c r="C4" s="196" t="s">
        <v>114</v>
      </c>
      <c r="D4" s="35" t="s">
        <v>40</v>
      </c>
      <c r="E4" s="33">
        <f>G4/B4</f>
        <v>15.625</v>
      </c>
      <c r="F4" s="36" t="s">
        <v>46</v>
      </c>
      <c r="G4" s="32">
        <v>2500000</v>
      </c>
      <c r="H4" s="26"/>
      <c r="I4" s="9"/>
      <c r="J4" s="9"/>
      <c r="K4" s="10"/>
    </row>
    <row r="5" spans="1:11" x14ac:dyDescent="0.2">
      <c r="A5" s="30"/>
      <c r="B5" s="40" t="s">
        <v>58</v>
      </c>
      <c r="C5" s="194"/>
      <c r="D5" s="26"/>
      <c r="E5" s="11"/>
      <c r="F5" s="26"/>
      <c r="G5" s="27"/>
      <c r="H5" s="26"/>
      <c r="I5" s="9"/>
      <c r="J5" s="9"/>
      <c r="K5" s="10"/>
    </row>
    <row r="6" spans="1:11" x14ac:dyDescent="0.2">
      <c r="A6" s="30"/>
      <c r="B6" s="39" t="str">
        <f>B3</f>
        <v xml:space="preserve">Faktisk  indkøb </v>
      </c>
      <c r="C6" s="195"/>
      <c r="D6" s="26" t="s">
        <v>42</v>
      </c>
      <c r="E6" s="11" t="s">
        <v>61</v>
      </c>
      <c r="F6" s="26"/>
      <c r="G6" s="27"/>
      <c r="H6" s="26"/>
      <c r="I6" s="9"/>
      <c r="J6" s="9"/>
      <c r="K6" s="10"/>
    </row>
    <row r="7" spans="1:11" ht="31.5" x14ac:dyDescent="0.5">
      <c r="A7" s="30"/>
      <c r="B7" s="28">
        <f>B4</f>
        <v>160000</v>
      </c>
      <c r="C7" s="197"/>
      <c r="D7" s="37" t="s">
        <v>40</v>
      </c>
      <c r="E7" s="38">
        <v>15</v>
      </c>
      <c r="F7" s="34" t="s">
        <v>46</v>
      </c>
      <c r="G7" s="42">
        <f>E7*B7</f>
        <v>2400000</v>
      </c>
      <c r="H7" s="26"/>
      <c r="I7" s="9"/>
      <c r="J7" s="9"/>
      <c r="K7" s="10"/>
    </row>
    <row r="8" spans="1:11" x14ac:dyDescent="0.2">
      <c r="A8" s="30"/>
      <c r="B8" s="40" t="s">
        <v>56</v>
      </c>
      <c r="C8" s="194"/>
      <c r="D8" s="8"/>
      <c r="E8" s="11"/>
      <c r="F8" s="26"/>
      <c r="G8" s="44">
        <f>G7-G4</f>
        <v>-100000</v>
      </c>
      <c r="H8" s="26"/>
      <c r="I8" s="9"/>
      <c r="J8" s="9"/>
      <c r="K8" s="45">
        <f>G8</f>
        <v>-100000</v>
      </c>
    </row>
    <row r="9" spans="1:11" ht="13.5" thickBot="1" x14ac:dyDescent="0.25">
      <c r="A9" s="31"/>
      <c r="B9" s="17" t="str">
        <f>CONCATENATE("Kan også regnes som ",ROUND(E7,2)," - ",ROUND(E4,2)," gange ",B4," = ",G8,". Den budgetterede indkøbspris var ",ROUND(E7,2),", den rigtige indkøbspris blev ",ROUND(E4,2)," derfor er afvigelsen",IF(E4&gt;E7," negativ ",IF(E4=E7," neutral ",IF(E4&lt;E7," positiv"))))</f>
        <v xml:space="preserve">Kan også regnes som 15 - 15,63 gange 160000 = -100000. Den budgetterede indkøbspris var 15, den rigtige indkøbspris blev 15,63 derfor er afvigelsen negativ </v>
      </c>
      <c r="C9" s="198"/>
      <c r="D9" s="2"/>
      <c r="E9" s="2"/>
      <c r="F9" s="18"/>
      <c r="G9" s="2"/>
      <c r="H9" s="2"/>
      <c r="I9" s="12"/>
      <c r="J9" s="12"/>
      <c r="K9" s="13"/>
    </row>
    <row r="10" spans="1:11" ht="15" x14ac:dyDescent="0.2">
      <c r="A10" s="29" t="str">
        <f>'Resultatkontrol side 402'!A14</f>
        <v>note 3</v>
      </c>
      <c r="B10" s="41" t="s">
        <v>56</v>
      </c>
      <c r="C10" s="193"/>
      <c r="D10" s="19" t="s">
        <v>8</v>
      </c>
      <c r="E10" s="14"/>
      <c r="F10" s="206"/>
      <c r="G10" s="206"/>
      <c r="H10" s="206"/>
      <c r="I10" s="15"/>
      <c r="J10" s="15"/>
      <c r="K10" s="16"/>
    </row>
    <row r="11" spans="1:11" x14ac:dyDescent="0.2">
      <c r="A11" s="30"/>
      <c r="B11" s="40" t="s">
        <v>57</v>
      </c>
      <c r="C11" s="194"/>
      <c r="D11" s="11"/>
      <c r="E11" s="11"/>
      <c r="F11" s="26"/>
      <c r="G11" s="26"/>
      <c r="H11" s="26"/>
      <c r="I11" s="9"/>
      <c r="J11" s="9"/>
      <c r="K11" s="10"/>
    </row>
    <row r="12" spans="1:11" x14ac:dyDescent="0.2">
      <c r="A12" s="30"/>
      <c r="B12" s="39" t="s">
        <v>59</v>
      </c>
      <c r="C12" s="195"/>
      <c r="D12" s="26" t="s">
        <v>42</v>
      </c>
      <c r="E12" s="11" t="s">
        <v>60</v>
      </c>
      <c r="F12" s="26"/>
      <c r="G12" s="26"/>
      <c r="H12" s="26"/>
      <c r="I12" s="9"/>
      <c r="J12" s="9"/>
      <c r="K12" s="10"/>
    </row>
    <row r="13" spans="1:11" ht="31.5" x14ac:dyDescent="0.5">
      <c r="A13" s="30"/>
      <c r="B13" s="46">
        <v>120000</v>
      </c>
      <c r="C13" s="196" t="s">
        <v>79</v>
      </c>
      <c r="D13" s="35" t="s">
        <v>40</v>
      </c>
      <c r="E13" s="33">
        <f>G13/B13</f>
        <v>1</v>
      </c>
      <c r="F13" s="36" t="s">
        <v>46</v>
      </c>
      <c r="G13" s="32">
        <v>120000</v>
      </c>
      <c r="H13" s="26"/>
      <c r="I13" s="9"/>
      <c r="J13" s="9"/>
      <c r="K13" s="10"/>
    </row>
    <row r="14" spans="1:11" x14ac:dyDescent="0.2">
      <c r="A14" s="30"/>
      <c r="B14" s="40" t="s">
        <v>58</v>
      </c>
      <c r="C14" s="194"/>
      <c r="D14" s="26"/>
      <c r="E14" s="11"/>
      <c r="F14" s="26"/>
      <c r="G14" s="27"/>
      <c r="H14" s="26"/>
      <c r="I14" s="9"/>
      <c r="J14" s="9"/>
      <c r="K14" s="10"/>
    </row>
    <row r="15" spans="1:11" x14ac:dyDescent="0.2">
      <c r="A15" s="30"/>
      <c r="B15" s="39" t="str">
        <f>B12</f>
        <v xml:space="preserve">Faktisk  indkøb </v>
      </c>
      <c r="C15" s="195"/>
      <c r="D15" s="26" t="s">
        <v>42</v>
      </c>
      <c r="E15" s="11" t="s">
        <v>61</v>
      </c>
      <c r="F15" s="26"/>
      <c r="G15" s="27"/>
      <c r="H15" s="26"/>
      <c r="I15" s="9"/>
      <c r="J15" s="9"/>
      <c r="K15" s="10"/>
    </row>
    <row r="16" spans="1:11" ht="31.5" x14ac:dyDescent="0.5">
      <c r="A16" s="30"/>
      <c r="B16" s="28">
        <f>B13</f>
        <v>120000</v>
      </c>
      <c r="C16" s="197"/>
      <c r="D16" s="37" t="s">
        <v>40</v>
      </c>
      <c r="E16" s="38">
        <v>1</v>
      </c>
      <c r="F16" s="34" t="s">
        <v>46</v>
      </c>
      <c r="G16" s="42">
        <f>E16*B16</f>
        <v>120000</v>
      </c>
      <c r="H16" s="26"/>
      <c r="I16" s="9"/>
      <c r="J16" s="9"/>
      <c r="K16" s="10"/>
    </row>
    <row r="17" spans="1:11" x14ac:dyDescent="0.2">
      <c r="A17" s="30"/>
      <c r="B17" s="40" t="s">
        <v>56</v>
      </c>
      <c r="C17" s="194"/>
      <c r="D17" s="8"/>
      <c r="E17" s="11"/>
      <c r="F17" s="26"/>
      <c r="G17" s="44">
        <f>G16-G13</f>
        <v>0</v>
      </c>
      <c r="H17" s="26"/>
      <c r="I17" s="9"/>
      <c r="J17" s="9"/>
      <c r="K17" s="45">
        <f>G17</f>
        <v>0</v>
      </c>
    </row>
    <row r="18" spans="1:11" ht="13.5" thickBot="1" x14ac:dyDescent="0.25">
      <c r="A18" s="31"/>
      <c r="B18" s="17" t="str">
        <f>CONCATENATE("Kan også regnes som ",ROUND(E16,2)," - ",ROUND(E13,2)," gange ",B13," = ",G17,". Den budgetterede indkøbspris var ",ROUND(E16,2),", den rigtige indkøbspris blev ",ROUND(E13,2)," derfor er afvigelsen",IF(E13&gt;E16," negativ ",IF(E13=E16," neutral ",IF(E13&lt;E16," positiv"))))</f>
        <v xml:space="preserve">Kan også regnes som 1 - 1 gange 120000 = 0. Den budgetterede indkøbspris var 1, den rigtige indkøbspris blev 1 derfor er afvigelsen neutral </v>
      </c>
      <c r="C18" s="198"/>
      <c r="D18" s="2"/>
      <c r="E18" s="2"/>
      <c r="F18" s="18"/>
      <c r="G18" s="2"/>
      <c r="H18" s="2"/>
      <c r="I18" s="12"/>
      <c r="J18" s="12"/>
      <c r="K18" s="13"/>
    </row>
    <row r="19" spans="1:11" ht="15" x14ac:dyDescent="0.2">
      <c r="A19" s="29" t="str">
        <f>'Resultatkontrol side 402'!A15</f>
        <v>note 4</v>
      </c>
      <c r="B19" s="41" t="s">
        <v>56</v>
      </c>
      <c r="C19" s="193"/>
      <c r="D19" s="19" t="s">
        <v>9</v>
      </c>
      <c r="E19" s="14"/>
      <c r="F19" s="206"/>
      <c r="G19" s="206"/>
      <c r="H19" s="206"/>
      <c r="I19" s="15"/>
      <c r="J19" s="15"/>
      <c r="K19" s="16"/>
    </row>
    <row r="20" spans="1:11" x14ac:dyDescent="0.2">
      <c r="A20" s="30"/>
      <c r="B20" s="40" t="s">
        <v>57</v>
      </c>
      <c r="C20" s="194"/>
      <c r="D20" s="11"/>
      <c r="E20" s="11"/>
      <c r="F20" s="26"/>
      <c r="G20" s="26"/>
      <c r="H20" s="26"/>
      <c r="I20" s="9"/>
      <c r="J20" s="9"/>
      <c r="K20" s="10"/>
    </row>
    <row r="21" spans="1:11" x14ac:dyDescent="0.2">
      <c r="A21" s="30"/>
      <c r="B21" s="39" t="s">
        <v>59</v>
      </c>
      <c r="C21" s="195"/>
      <c r="D21" s="26" t="s">
        <v>42</v>
      </c>
      <c r="E21" s="11" t="s">
        <v>60</v>
      </c>
      <c r="F21" s="26"/>
      <c r="G21" s="26"/>
      <c r="H21" s="26"/>
      <c r="I21" s="9"/>
      <c r="J21" s="9"/>
      <c r="K21" s="10"/>
    </row>
    <row r="22" spans="1:11" ht="31.5" x14ac:dyDescent="0.5">
      <c r="A22" s="30"/>
      <c r="B22" s="46">
        <v>120000</v>
      </c>
      <c r="C22" s="196" t="s">
        <v>114</v>
      </c>
      <c r="D22" s="35" t="s">
        <v>40</v>
      </c>
      <c r="E22" s="33">
        <f>G22/B22</f>
        <v>1</v>
      </c>
      <c r="F22" s="36" t="s">
        <v>46</v>
      </c>
      <c r="G22" s="32">
        <v>120000</v>
      </c>
      <c r="H22" s="26"/>
      <c r="I22" s="9"/>
      <c r="J22" s="9"/>
      <c r="K22" s="10"/>
    </row>
    <row r="23" spans="1:11" x14ac:dyDescent="0.2">
      <c r="A23" s="30"/>
      <c r="B23" s="40" t="s">
        <v>58</v>
      </c>
      <c r="C23" s="194"/>
      <c r="D23" s="26"/>
      <c r="E23" s="11"/>
      <c r="F23" s="26"/>
      <c r="G23" s="27"/>
      <c r="H23" s="26"/>
      <c r="I23" s="9"/>
      <c r="J23" s="9"/>
      <c r="K23" s="10"/>
    </row>
    <row r="24" spans="1:11" x14ac:dyDescent="0.2">
      <c r="A24" s="30"/>
      <c r="B24" s="39" t="str">
        <f>B21</f>
        <v xml:space="preserve">Faktisk  indkøb </v>
      </c>
      <c r="C24" s="195"/>
      <c r="D24" s="26" t="s">
        <v>42</v>
      </c>
      <c r="E24" s="11" t="s">
        <v>61</v>
      </c>
      <c r="F24" s="26"/>
      <c r="G24" s="27"/>
      <c r="H24" s="26"/>
      <c r="I24" s="9"/>
      <c r="J24" s="9"/>
      <c r="K24" s="10"/>
    </row>
    <row r="25" spans="1:11" ht="31.5" x14ac:dyDescent="0.5">
      <c r="A25" s="30"/>
      <c r="B25" s="28">
        <f>B22</f>
        <v>120000</v>
      </c>
      <c r="C25" s="197"/>
      <c r="D25" s="37" t="s">
        <v>40</v>
      </c>
      <c r="E25" s="38">
        <v>2</v>
      </c>
      <c r="F25" s="34" t="s">
        <v>46</v>
      </c>
      <c r="G25" s="42">
        <f>E25*B25</f>
        <v>240000</v>
      </c>
      <c r="H25" s="26"/>
      <c r="I25" s="9"/>
      <c r="J25" s="9"/>
      <c r="K25" s="10"/>
    </row>
    <row r="26" spans="1:11" x14ac:dyDescent="0.2">
      <c r="A26" s="30"/>
      <c r="B26" s="40" t="s">
        <v>56</v>
      </c>
      <c r="C26" s="194"/>
      <c r="D26" s="8"/>
      <c r="E26" s="11"/>
      <c r="F26" s="26"/>
      <c r="G26" s="44">
        <f>G25-G22</f>
        <v>120000</v>
      </c>
      <c r="H26" s="26"/>
      <c r="I26" s="9"/>
      <c r="J26" s="9"/>
      <c r="K26" s="45">
        <f>G26</f>
        <v>120000</v>
      </c>
    </row>
    <row r="27" spans="1:11" ht="13.5" thickBot="1" x14ac:dyDescent="0.25">
      <c r="A27" s="31"/>
      <c r="B27" s="17" t="str">
        <f>CONCATENATE("Kan også regnes som ",ROUND(E25,2)," - ",ROUND(E22,2)," gange ",B22," = ",G26,". Den budgetterede indkøbspris var ",ROUND(E25,2),", den rigtige indkøbspris blev ",ROUND(E22,2)," derfor er afvigelsen",IF(E22&gt;E25," negativ ",IF(E22=E25," neutral ",IF(E22&lt;E25," positiv"))))</f>
        <v>Kan også regnes som 2 - 1 gange 120000 = 120000. Den budgetterede indkøbspris var 2, den rigtige indkøbspris blev 1 derfor er afvigelsen positiv</v>
      </c>
      <c r="C27" s="198"/>
      <c r="D27" s="2"/>
      <c r="E27" s="2"/>
      <c r="F27" s="18"/>
      <c r="G27" s="2"/>
      <c r="H27" s="2"/>
      <c r="I27" s="12"/>
      <c r="J27" s="12"/>
      <c r="K27" s="13"/>
    </row>
    <row r="28" spans="1:11" ht="15" x14ac:dyDescent="0.2">
      <c r="A28" s="29" t="str">
        <f>'Resultatkontrol side 402'!A16</f>
        <v>note 5</v>
      </c>
      <c r="B28" s="41" t="s">
        <v>56</v>
      </c>
      <c r="C28" s="193"/>
      <c r="D28" s="19" t="s">
        <v>63</v>
      </c>
      <c r="E28" s="14"/>
      <c r="F28" s="206"/>
      <c r="G28" s="206"/>
      <c r="H28" s="206"/>
      <c r="I28" s="15"/>
      <c r="J28" s="15"/>
      <c r="K28" s="16"/>
    </row>
    <row r="29" spans="1:11" x14ac:dyDescent="0.2">
      <c r="A29" s="30"/>
      <c r="B29" s="40" t="s">
        <v>57</v>
      </c>
      <c r="C29" s="194"/>
      <c r="D29" s="11"/>
      <c r="E29" s="11"/>
      <c r="F29" s="26"/>
      <c r="G29" s="26"/>
      <c r="H29" s="26"/>
      <c r="I29" s="9"/>
      <c r="J29" s="9"/>
      <c r="K29" s="10"/>
    </row>
    <row r="30" spans="1:11" x14ac:dyDescent="0.2">
      <c r="A30" s="30"/>
      <c r="B30" s="39" t="s">
        <v>59</v>
      </c>
      <c r="C30" s="195"/>
      <c r="D30" s="26" t="s">
        <v>42</v>
      </c>
      <c r="E30" s="11" t="s">
        <v>60</v>
      </c>
      <c r="F30" s="26"/>
      <c r="G30" s="26"/>
      <c r="H30" s="26"/>
      <c r="I30" s="9"/>
      <c r="J30" s="9"/>
      <c r="K30" s="10"/>
    </row>
    <row r="31" spans="1:11" ht="31.5" x14ac:dyDescent="0.5">
      <c r="A31" s="30"/>
      <c r="B31" s="46">
        <v>120000</v>
      </c>
      <c r="C31" s="196" t="s">
        <v>79</v>
      </c>
      <c r="D31" s="35" t="s">
        <v>40</v>
      </c>
      <c r="E31" s="33">
        <f>G31/B31</f>
        <v>1</v>
      </c>
      <c r="F31" s="36" t="s">
        <v>46</v>
      </c>
      <c r="G31" s="32">
        <v>120000</v>
      </c>
      <c r="H31" s="26"/>
      <c r="I31" s="9"/>
      <c r="J31" s="9"/>
      <c r="K31" s="10"/>
    </row>
    <row r="32" spans="1:11" x14ac:dyDescent="0.2">
      <c r="A32" s="30"/>
      <c r="B32" s="40" t="s">
        <v>58</v>
      </c>
      <c r="C32" s="194"/>
      <c r="D32" s="26"/>
      <c r="E32" s="11"/>
      <c r="F32" s="26"/>
      <c r="G32" s="27"/>
      <c r="H32" s="26"/>
      <c r="I32" s="9"/>
      <c r="J32" s="9"/>
      <c r="K32" s="10"/>
    </row>
    <row r="33" spans="1:11" x14ac:dyDescent="0.2">
      <c r="A33" s="30"/>
      <c r="B33" s="39" t="str">
        <f>B30</f>
        <v xml:space="preserve">Faktisk  indkøb </v>
      </c>
      <c r="C33" s="195"/>
      <c r="D33" s="26" t="s">
        <v>42</v>
      </c>
      <c r="E33" s="11" t="s">
        <v>61</v>
      </c>
      <c r="F33" s="26"/>
      <c r="G33" s="27"/>
      <c r="H33" s="26"/>
      <c r="I33" s="9"/>
      <c r="J33" s="9"/>
      <c r="K33" s="10"/>
    </row>
    <row r="34" spans="1:11" ht="31.5" x14ac:dyDescent="0.5">
      <c r="A34" s="30"/>
      <c r="B34" s="28">
        <f>B31</f>
        <v>120000</v>
      </c>
      <c r="C34" s="197"/>
      <c r="D34" s="37" t="s">
        <v>40</v>
      </c>
      <c r="E34" s="38">
        <v>3</v>
      </c>
      <c r="F34" s="34" t="s">
        <v>46</v>
      </c>
      <c r="G34" s="42">
        <f>E34*B34</f>
        <v>360000</v>
      </c>
      <c r="H34" s="26"/>
      <c r="I34" s="9"/>
      <c r="J34" s="9"/>
      <c r="K34" s="10"/>
    </row>
    <row r="35" spans="1:11" x14ac:dyDescent="0.2">
      <c r="A35" s="30"/>
      <c r="B35" s="40" t="s">
        <v>56</v>
      </c>
      <c r="C35" s="194"/>
      <c r="D35" s="8"/>
      <c r="E35" s="11"/>
      <c r="F35" s="26"/>
      <c r="G35" s="44">
        <f>G34-G31</f>
        <v>240000</v>
      </c>
      <c r="H35" s="26"/>
      <c r="I35" s="9"/>
      <c r="J35" s="9"/>
      <c r="K35" s="45">
        <f>G35</f>
        <v>240000</v>
      </c>
    </row>
    <row r="36" spans="1:11" ht="13.5" thickBot="1" x14ac:dyDescent="0.25">
      <c r="A36" s="31"/>
      <c r="B36" s="17" t="str">
        <f>CONCATENATE("Kan også regnes som ",ROUND(E34,2)," - ",ROUND(E31,2)," gange ",B31," = ",G35,". Den budgetterede indkøbspris var ",ROUND(E34,2),", den rigtige indkøbspris blev ",ROUND(E31,2)," derfor er afvigelsen",IF(E31&gt;E34," negativ ",IF(E31=E34," neutral ",IF(E31&lt;E34," positiv"))))</f>
        <v>Kan også regnes som 3 - 1 gange 120000 = 240000. Den budgetterede indkøbspris var 3, den rigtige indkøbspris blev 1 derfor er afvigelsen positiv</v>
      </c>
      <c r="C36" s="198"/>
      <c r="D36" s="2"/>
      <c r="E36" s="2"/>
      <c r="F36" s="18"/>
      <c r="G36" s="2"/>
      <c r="H36" s="2"/>
      <c r="I36" s="12"/>
      <c r="J36" s="12"/>
      <c r="K36" s="13"/>
    </row>
  </sheetData>
  <mergeCells count="4">
    <mergeCell ref="F1:H1"/>
    <mergeCell ref="F10:H10"/>
    <mergeCell ref="F19:H19"/>
    <mergeCell ref="F28:H28"/>
  </mergeCells>
  <phoneticPr fontId="2" type="noConversion"/>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topLeftCell="A23" zoomScaleNormal="100" workbookViewId="0">
      <selection activeCell="B37" sqref="B37"/>
    </sheetView>
  </sheetViews>
  <sheetFormatPr defaultRowHeight="12.75" x14ac:dyDescent="0.2"/>
  <cols>
    <col min="2" max="2" width="22" customWidth="1"/>
    <col min="3" max="3" width="12.42578125" customWidth="1"/>
    <col min="4" max="4" width="14.85546875" customWidth="1"/>
    <col min="6" max="6" width="17" customWidth="1"/>
    <col min="9" max="9" width="12.140625" customWidth="1"/>
    <col min="10" max="10" width="12.5703125" customWidth="1"/>
  </cols>
  <sheetData>
    <row r="1" spans="1:10" ht="15" x14ac:dyDescent="0.2">
      <c r="A1" s="29" t="str">
        <f>'Resultatkontrol side 402'!A18</f>
        <v>note 6</v>
      </c>
      <c r="B1" s="41" t="s">
        <v>64</v>
      </c>
      <c r="C1" s="19" t="s">
        <v>10</v>
      </c>
      <c r="D1" s="14"/>
      <c r="E1" s="206"/>
      <c r="F1" s="206"/>
      <c r="G1" s="206"/>
      <c r="H1" s="15"/>
      <c r="I1" s="15"/>
      <c r="J1" s="16"/>
    </row>
    <row r="2" spans="1:10" x14ac:dyDescent="0.2">
      <c r="A2" s="30"/>
      <c r="B2" s="40" t="s">
        <v>67</v>
      </c>
      <c r="C2" s="11"/>
      <c r="D2" s="11"/>
      <c r="E2" s="26"/>
      <c r="F2" s="26"/>
      <c r="G2" s="26"/>
      <c r="H2" s="9"/>
      <c r="I2" s="9"/>
      <c r="J2" s="10"/>
    </row>
    <row r="3" spans="1:10" x14ac:dyDescent="0.2">
      <c r="A3" s="30"/>
      <c r="B3" s="250" t="s">
        <v>153</v>
      </c>
      <c r="C3" s="26" t="s">
        <v>42</v>
      </c>
      <c r="D3" s="11" t="s">
        <v>66</v>
      </c>
      <c r="E3" s="26"/>
      <c r="F3" s="26"/>
      <c r="G3" s="26"/>
      <c r="H3" s="9"/>
      <c r="I3" s="9"/>
      <c r="J3" s="10"/>
    </row>
    <row r="4" spans="1:10" ht="31.5" x14ac:dyDescent="0.5">
      <c r="A4" s="30"/>
      <c r="B4" s="46">
        <v>17500</v>
      </c>
      <c r="C4" s="35" t="s">
        <v>40</v>
      </c>
      <c r="D4" s="33">
        <f>F4/B4</f>
        <v>100</v>
      </c>
      <c r="E4" s="36" t="s">
        <v>46</v>
      </c>
      <c r="F4" s="32">
        <v>1750000</v>
      </c>
      <c r="G4" s="26"/>
      <c r="H4" s="9"/>
      <c r="I4" s="9"/>
      <c r="J4" s="10"/>
    </row>
    <row r="5" spans="1:10" x14ac:dyDescent="0.2">
      <c r="A5" s="30"/>
      <c r="B5" s="40" t="s">
        <v>68</v>
      </c>
      <c r="C5" s="26"/>
      <c r="D5" s="11"/>
      <c r="E5" s="26"/>
      <c r="F5" s="27"/>
      <c r="G5" s="26"/>
      <c r="H5" s="9"/>
      <c r="I5" s="9"/>
      <c r="J5" s="10"/>
    </row>
    <row r="6" spans="1:10" x14ac:dyDescent="0.2">
      <c r="A6" s="30"/>
      <c r="B6" s="39" t="str">
        <f>B3</f>
        <v>Faktisk udbetalte timer</v>
      </c>
      <c r="C6" s="26" t="s">
        <v>42</v>
      </c>
      <c r="D6" s="11" t="s">
        <v>65</v>
      </c>
      <c r="E6" s="26"/>
      <c r="F6" s="27"/>
      <c r="G6" s="26"/>
      <c r="H6" s="9"/>
      <c r="I6" s="9"/>
      <c r="J6" s="10"/>
    </row>
    <row r="7" spans="1:10" ht="31.5" x14ac:dyDescent="0.5">
      <c r="A7" s="30"/>
      <c r="B7" s="28">
        <f>B4</f>
        <v>17500</v>
      </c>
      <c r="C7" s="37" t="s">
        <v>40</v>
      </c>
      <c r="D7" s="38">
        <v>125</v>
      </c>
      <c r="E7" s="34" t="s">
        <v>46</v>
      </c>
      <c r="F7" s="42">
        <f>D7*B7</f>
        <v>2187500</v>
      </c>
      <c r="G7" s="26"/>
      <c r="H7" s="9"/>
      <c r="I7" s="9"/>
      <c r="J7" s="10"/>
    </row>
    <row r="8" spans="1:10" x14ac:dyDescent="0.2">
      <c r="A8" s="30"/>
      <c r="B8" s="40" t="s">
        <v>64</v>
      </c>
      <c r="C8" s="8"/>
      <c r="D8" s="11"/>
      <c r="E8" s="26"/>
      <c r="F8" s="44">
        <f>F7-F4</f>
        <v>437500</v>
      </c>
      <c r="G8" s="26"/>
      <c r="H8" s="9"/>
      <c r="I8" s="9"/>
      <c r="J8" s="45">
        <f>F8</f>
        <v>437500</v>
      </c>
    </row>
    <row r="9" spans="1:10" ht="13.5" thickBot="1" x14ac:dyDescent="0.25">
      <c r="A9" s="31"/>
      <c r="B9" s="17" t="str">
        <f>CONCATENATE("Kan også regnes som ",ROUND(D7,2)," - ",ROUND(D4,2)," gange ",B4," = ",F8,". Den budgetterede timeløn var ",ROUND(D7,2),", den rigtige timeløn blev ",ROUND(D4,2)," derfor er afvigelsen",IF(D4&gt;D7," negativ ",IF(D4=D7," neutral ",IF(D4&lt;D7," positiv"))))</f>
        <v>Kan også regnes som 125 - 100 gange 17500 = 437500. Den budgetterede timeløn var 125, den rigtige timeløn blev 100 derfor er afvigelsen positiv</v>
      </c>
      <c r="C9" s="2"/>
      <c r="D9" s="2"/>
      <c r="E9" s="18"/>
      <c r="F9" s="2"/>
      <c r="G9" s="2"/>
      <c r="H9" s="12"/>
      <c r="I9" s="12"/>
      <c r="J9" s="13"/>
    </row>
    <row r="10" spans="1:10" ht="15" x14ac:dyDescent="0.2">
      <c r="A10" s="29" t="str">
        <f>'Resultatkontrol side 402'!A19</f>
        <v>note 7</v>
      </c>
      <c r="B10" s="41" t="s">
        <v>64</v>
      </c>
      <c r="C10" s="19" t="s">
        <v>11</v>
      </c>
      <c r="D10" s="14"/>
      <c r="E10" s="206"/>
      <c r="F10" s="206"/>
      <c r="G10" s="206"/>
      <c r="H10" s="15"/>
      <c r="I10" s="15"/>
      <c r="J10" s="16"/>
    </row>
    <row r="11" spans="1:10" x14ac:dyDescent="0.2">
      <c r="A11" s="30"/>
      <c r="B11" s="40" t="s">
        <v>67</v>
      </c>
      <c r="C11" s="11"/>
      <c r="D11" s="11"/>
      <c r="E11" s="26"/>
      <c r="F11" s="26"/>
      <c r="G11" s="26"/>
      <c r="H11" s="9"/>
      <c r="I11" s="9"/>
      <c r="J11" s="10"/>
    </row>
    <row r="12" spans="1:10" x14ac:dyDescent="0.2">
      <c r="A12" s="30"/>
      <c r="B12" s="250" t="s">
        <v>153</v>
      </c>
      <c r="C12" s="26" t="s">
        <v>42</v>
      </c>
      <c r="D12" s="11" t="s">
        <v>66</v>
      </c>
      <c r="E12" s="26"/>
      <c r="F12" s="26"/>
      <c r="G12" s="26"/>
      <c r="H12" s="9"/>
      <c r="I12" s="9"/>
      <c r="J12" s="10"/>
    </row>
    <row r="13" spans="1:10" ht="31.5" x14ac:dyDescent="0.5">
      <c r="A13" s="30"/>
      <c r="B13" s="46">
        <v>10000</v>
      </c>
      <c r="C13" s="35" t="s">
        <v>40</v>
      </c>
      <c r="D13" s="33">
        <f>F13/B13</f>
        <v>100</v>
      </c>
      <c r="E13" s="36" t="s">
        <v>46</v>
      </c>
      <c r="F13" s="32">
        <v>1000000</v>
      </c>
      <c r="G13" s="26"/>
      <c r="H13" s="9"/>
      <c r="I13" s="9"/>
      <c r="J13" s="10"/>
    </row>
    <row r="14" spans="1:10" x14ac:dyDescent="0.2">
      <c r="A14" s="30"/>
      <c r="B14" s="40" t="s">
        <v>68</v>
      </c>
      <c r="C14" s="26"/>
      <c r="D14" s="11"/>
      <c r="E14" s="26"/>
      <c r="F14" s="27"/>
      <c r="G14" s="26"/>
      <c r="H14" s="9"/>
      <c r="I14" s="9"/>
      <c r="J14" s="10"/>
    </row>
    <row r="15" spans="1:10" x14ac:dyDescent="0.2">
      <c r="A15" s="30"/>
      <c r="B15" s="39" t="str">
        <f>B12</f>
        <v>Faktisk udbetalte timer</v>
      </c>
      <c r="C15" s="26" t="s">
        <v>42</v>
      </c>
      <c r="D15" s="11" t="s">
        <v>65</v>
      </c>
      <c r="E15" s="26"/>
      <c r="F15" s="27"/>
      <c r="G15" s="26"/>
      <c r="H15" s="9"/>
      <c r="I15" s="9"/>
      <c r="J15" s="10"/>
    </row>
    <row r="16" spans="1:10" ht="31.5" x14ac:dyDescent="0.5">
      <c r="A16" s="30"/>
      <c r="B16" s="28">
        <f>B13</f>
        <v>10000</v>
      </c>
      <c r="C16" s="37" t="s">
        <v>40</v>
      </c>
      <c r="D16" s="38">
        <v>100</v>
      </c>
      <c r="E16" s="34" t="s">
        <v>46</v>
      </c>
      <c r="F16" s="42">
        <f>D16*B16</f>
        <v>1000000</v>
      </c>
      <c r="G16" s="26"/>
      <c r="H16" s="9"/>
      <c r="I16" s="9"/>
      <c r="J16" s="10"/>
    </row>
    <row r="17" spans="1:10" x14ac:dyDescent="0.2">
      <c r="A17" s="30"/>
      <c r="B17" s="40" t="s">
        <v>64</v>
      </c>
      <c r="C17" s="8"/>
      <c r="D17" s="11"/>
      <c r="E17" s="26"/>
      <c r="F17" s="44">
        <f>F16-F13</f>
        <v>0</v>
      </c>
      <c r="G17" s="26"/>
      <c r="H17" s="9"/>
      <c r="I17" s="9"/>
      <c r="J17" s="45">
        <f>F17</f>
        <v>0</v>
      </c>
    </row>
    <row r="18" spans="1:10" ht="13.5" thickBot="1" x14ac:dyDescent="0.25">
      <c r="A18" s="31"/>
      <c r="B18" s="17" t="str">
        <f>CONCATENATE("Kan også regnes som ",ROUND(D16,2)," - ",ROUND(D13,2)," gange ",B13," = ",F17,". Den budgetterede timeløn var ",ROUND(D16,2),", den rigtige timeløn blev ",ROUND(D13,2)," derfor er afvigelsen",IF(D13&gt;D16," negativ ",IF(D13=D16," neutral ",IF(D13&lt;D16," positiv"))))</f>
        <v xml:space="preserve">Kan også regnes som 100 - 100 gange 10000 = 0. Den budgetterede timeløn var 100, den rigtige timeløn blev 100 derfor er afvigelsen neutral </v>
      </c>
      <c r="C18" s="2"/>
      <c r="D18" s="2"/>
      <c r="E18" s="18"/>
      <c r="F18" s="2"/>
      <c r="G18" s="2"/>
      <c r="H18" s="12"/>
      <c r="I18" s="12"/>
      <c r="J18" s="13"/>
    </row>
    <row r="19" spans="1:10" ht="15" x14ac:dyDescent="0.2">
      <c r="A19" s="29" t="str">
        <f>'Resultatkontrol side 402'!A20</f>
        <v>note 8</v>
      </c>
      <c r="B19" s="41" t="s">
        <v>64</v>
      </c>
      <c r="C19" s="19" t="s">
        <v>12</v>
      </c>
      <c r="D19" s="14"/>
      <c r="E19" s="206"/>
      <c r="F19" s="206"/>
      <c r="G19" s="206"/>
      <c r="H19" s="15"/>
      <c r="I19" s="15"/>
      <c r="J19" s="16"/>
    </row>
    <row r="20" spans="1:10" x14ac:dyDescent="0.2">
      <c r="A20" s="30"/>
      <c r="B20" s="40" t="s">
        <v>67</v>
      </c>
      <c r="C20" s="11"/>
      <c r="D20" s="11"/>
      <c r="E20" s="26"/>
      <c r="F20" s="26"/>
      <c r="G20" s="26"/>
      <c r="H20" s="9"/>
      <c r="I20" s="9"/>
      <c r="J20" s="10"/>
    </row>
    <row r="21" spans="1:10" x14ac:dyDescent="0.2">
      <c r="A21" s="30"/>
      <c r="B21" s="250" t="s">
        <v>153</v>
      </c>
      <c r="C21" s="26" t="s">
        <v>42</v>
      </c>
      <c r="D21" s="11" t="s">
        <v>66</v>
      </c>
      <c r="E21" s="26"/>
      <c r="F21" s="26"/>
      <c r="G21" s="26"/>
      <c r="H21" s="9"/>
      <c r="I21" s="9"/>
      <c r="J21" s="10"/>
    </row>
    <row r="22" spans="1:10" ht="31.5" x14ac:dyDescent="0.5">
      <c r="A22" s="30"/>
      <c r="B22" s="46">
        <v>10000</v>
      </c>
      <c r="C22" s="35" t="s">
        <v>40</v>
      </c>
      <c r="D22" s="33">
        <f>F22/B22</f>
        <v>100</v>
      </c>
      <c r="E22" s="36" t="s">
        <v>46</v>
      </c>
      <c r="F22" s="32">
        <v>1000000</v>
      </c>
      <c r="G22" s="26"/>
      <c r="H22" s="9"/>
      <c r="I22" s="9"/>
      <c r="J22" s="10"/>
    </row>
    <row r="23" spans="1:10" x14ac:dyDescent="0.2">
      <c r="A23" s="30"/>
      <c r="B23" s="40" t="s">
        <v>68</v>
      </c>
      <c r="C23" s="26"/>
      <c r="D23" s="11"/>
      <c r="E23" s="26"/>
      <c r="F23" s="27"/>
      <c r="G23" s="26"/>
      <c r="H23" s="9"/>
      <c r="I23" s="9"/>
      <c r="J23" s="10"/>
    </row>
    <row r="24" spans="1:10" x14ac:dyDescent="0.2">
      <c r="A24" s="30"/>
      <c r="B24" s="39" t="str">
        <f>B21</f>
        <v>Faktisk udbetalte timer</v>
      </c>
      <c r="C24" s="26" t="s">
        <v>42</v>
      </c>
      <c r="D24" s="11" t="s">
        <v>65</v>
      </c>
      <c r="E24" s="26"/>
      <c r="F24" s="27"/>
      <c r="G24" s="26"/>
      <c r="H24" s="9"/>
      <c r="I24" s="9"/>
      <c r="J24" s="10"/>
    </row>
    <row r="25" spans="1:10" ht="31.5" x14ac:dyDescent="0.5">
      <c r="A25" s="30"/>
      <c r="B25" s="28">
        <f>B22</f>
        <v>10000</v>
      </c>
      <c r="C25" s="37" t="s">
        <v>40</v>
      </c>
      <c r="D25" s="38">
        <v>100</v>
      </c>
      <c r="E25" s="34" t="s">
        <v>46</v>
      </c>
      <c r="F25" s="42">
        <f>D25*B25</f>
        <v>1000000</v>
      </c>
      <c r="G25" s="26"/>
      <c r="H25" s="9"/>
      <c r="I25" s="9"/>
      <c r="J25" s="10"/>
    </row>
    <row r="26" spans="1:10" x14ac:dyDescent="0.2">
      <c r="A26" s="30"/>
      <c r="B26" s="40" t="s">
        <v>64</v>
      </c>
      <c r="C26" s="8"/>
      <c r="D26" s="11"/>
      <c r="E26" s="26"/>
      <c r="F26" s="44">
        <f>F25-F22</f>
        <v>0</v>
      </c>
      <c r="G26" s="26"/>
      <c r="H26" s="9"/>
      <c r="I26" s="9"/>
      <c r="J26" s="45">
        <f>F26</f>
        <v>0</v>
      </c>
    </row>
    <row r="27" spans="1:10" ht="13.5" thickBot="1" x14ac:dyDescent="0.25">
      <c r="A27" s="31"/>
      <c r="B27" s="17" t="str">
        <f>CONCATENATE("Kan også regnes som ",ROUND(D25,2)," - ",ROUND(D22,2)," gange ",B22," = ",F26,". Den budgetterede timeløn var ",ROUND(D25,2),", den rigtige timeløn blev ",ROUND(D22,2)," derfor er afvigelsen",IF(D22&gt;D25," negativ ",IF(D22=D25," neutral ",IF(D22&lt;D25," positiv"))))</f>
        <v xml:space="preserve">Kan også regnes som 100 - 100 gange 10000 = 0. Den budgetterede timeløn var 100, den rigtige timeløn blev 100 derfor er afvigelsen neutral </v>
      </c>
      <c r="C27" s="2"/>
      <c r="D27" s="2"/>
      <c r="E27" s="18"/>
      <c r="F27" s="2"/>
      <c r="G27" s="2"/>
      <c r="H27" s="12"/>
      <c r="I27" s="12"/>
      <c r="J27" s="13"/>
    </row>
    <row r="28" spans="1:10" ht="15" x14ac:dyDescent="0.2">
      <c r="A28" s="29" t="str">
        <f>'Resultatkontrol side 402'!A21</f>
        <v>note 9</v>
      </c>
      <c r="B28" s="41" t="s">
        <v>64</v>
      </c>
      <c r="C28" s="19" t="s">
        <v>13</v>
      </c>
      <c r="D28" s="14"/>
      <c r="E28" s="206"/>
      <c r="F28" s="206"/>
      <c r="G28" s="206"/>
      <c r="H28" s="15"/>
      <c r="I28" s="15"/>
      <c r="J28" s="16"/>
    </row>
    <row r="29" spans="1:10" x14ac:dyDescent="0.2">
      <c r="A29" s="30"/>
      <c r="B29" s="40" t="s">
        <v>67</v>
      </c>
      <c r="C29" s="11"/>
      <c r="D29" s="11"/>
      <c r="E29" s="26"/>
      <c r="F29" s="26"/>
      <c r="G29" s="26"/>
      <c r="H29" s="9"/>
      <c r="I29" s="9"/>
      <c r="J29" s="10"/>
    </row>
    <row r="30" spans="1:10" x14ac:dyDescent="0.2">
      <c r="A30" s="30"/>
      <c r="B30" s="250" t="s">
        <v>153</v>
      </c>
      <c r="C30" s="26" t="s">
        <v>42</v>
      </c>
      <c r="D30" s="11" t="s">
        <v>66</v>
      </c>
      <c r="E30" s="26"/>
      <c r="F30" s="26"/>
      <c r="G30" s="26"/>
      <c r="H30" s="9"/>
      <c r="I30" s="9"/>
      <c r="J30" s="10"/>
    </row>
    <row r="31" spans="1:10" ht="31.5" x14ac:dyDescent="0.5">
      <c r="A31" s="30"/>
      <c r="B31" s="46">
        <v>10000</v>
      </c>
      <c r="C31" s="35" t="s">
        <v>40</v>
      </c>
      <c r="D31" s="33">
        <f>F31/B31</f>
        <v>100</v>
      </c>
      <c r="E31" s="36" t="s">
        <v>46</v>
      </c>
      <c r="F31" s="32">
        <v>1000000</v>
      </c>
      <c r="G31" s="26"/>
      <c r="H31" s="9"/>
      <c r="I31" s="9"/>
      <c r="J31" s="10"/>
    </row>
    <row r="32" spans="1:10" x14ac:dyDescent="0.2">
      <c r="A32" s="30"/>
      <c r="B32" s="40" t="s">
        <v>68</v>
      </c>
      <c r="C32" s="26"/>
      <c r="D32" s="11"/>
      <c r="E32" s="26"/>
      <c r="F32" s="27"/>
      <c r="G32" s="26"/>
      <c r="H32" s="9"/>
      <c r="I32" s="9"/>
      <c r="J32" s="10"/>
    </row>
    <row r="33" spans="1:10" x14ac:dyDescent="0.2">
      <c r="A33" s="30"/>
      <c r="B33" s="39" t="str">
        <f>B30</f>
        <v>Faktisk udbetalte timer</v>
      </c>
      <c r="C33" s="26" t="s">
        <v>42</v>
      </c>
      <c r="D33" s="11" t="s">
        <v>65</v>
      </c>
      <c r="E33" s="26"/>
      <c r="F33" s="27"/>
      <c r="G33" s="26"/>
      <c r="H33" s="9"/>
      <c r="I33" s="9"/>
      <c r="J33" s="10"/>
    </row>
    <row r="34" spans="1:10" ht="31.5" x14ac:dyDescent="0.5">
      <c r="A34" s="30"/>
      <c r="B34" s="28">
        <f>B31</f>
        <v>10000</v>
      </c>
      <c r="C34" s="37" t="s">
        <v>40</v>
      </c>
      <c r="D34" s="38">
        <v>100</v>
      </c>
      <c r="E34" s="34" t="s">
        <v>46</v>
      </c>
      <c r="F34" s="42">
        <f>D34*B34</f>
        <v>1000000</v>
      </c>
      <c r="G34" s="26"/>
      <c r="H34" s="9"/>
      <c r="I34" s="9"/>
      <c r="J34" s="10"/>
    </row>
    <row r="35" spans="1:10" x14ac:dyDescent="0.2">
      <c r="A35" s="30"/>
      <c r="B35" s="40" t="s">
        <v>64</v>
      </c>
      <c r="C35" s="8"/>
      <c r="D35" s="11"/>
      <c r="E35" s="26"/>
      <c r="F35" s="44">
        <f>F34-F31</f>
        <v>0</v>
      </c>
      <c r="G35" s="26"/>
      <c r="H35" s="9"/>
      <c r="I35" s="9"/>
      <c r="J35" s="45">
        <f>F35</f>
        <v>0</v>
      </c>
    </row>
    <row r="36" spans="1:10" ht="13.5" thickBot="1" x14ac:dyDescent="0.25">
      <c r="A36" s="31"/>
      <c r="B36" s="17" t="str">
        <f>CONCATENATE("Kan også regnes som ",ROUND(D34,2)," - ",ROUND(D31,2)," gange ",B31," = ",F35,". Den budgetterede timeløn var ",ROUND(D34,2),", den rigtige timeløn blev ",ROUND(D31,2)," derfor er afvigelsen",IF(D31&gt;D34," negativ ",IF(D31=D34," neutral ",IF(D31&lt;D34," positiv"))))</f>
        <v xml:space="preserve">Kan også regnes som 100 - 100 gange 10000 = 0. Den budgetterede timeløn var 100, den rigtige timeløn blev 100 derfor er afvigelsen neutral </v>
      </c>
      <c r="C36" s="2"/>
      <c r="D36" s="2"/>
      <c r="E36" s="18"/>
      <c r="F36" s="2"/>
      <c r="G36" s="2"/>
      <c r="H36" s="12"/>
      <c r="I36" s="12"/>
      <c r="J36" s="13"/>
    </row>
  </sheetData>
  <mergeCells count="4">
    <mergeCell ref="E19:G19"/>
    <mergeCell ref="E28:G28"/>
    <mergeCell ref="E1:G1"/>
    <mergeCell ref="E10:G10"/>
  </mergeCells>
  <phoneticPr fontId="2" type="noConversion"/>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
  <sheetViews>
    <sheetView zoomScale="150" zoomScaleNormal="15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18.7109375" customWidth="1"/>
    <col min="2" max="2" width="16.5703125" customWidth="1"/>
    <col min="3" max="3" width="10.28515625" bestFit="1" customWidth="1"/>
    <col min="4" max="4" width="10" customWidth="1"/>
    <col min="5" max="5" width="9.85546875" customWidth="1"/>
    <col min="6" max="6" width="10.85546875" customWidth="1"/>
    <col min="7" max="7" width="12.140625" bestFit="1" customWidth="1"/>
  </cols>
  <sheetData>
    <row r="1" spans="1:9" ht="13.5" thickBot="1" x14ac:dyDescent="0.25">
      <c r="A1" s="86" t="str">
        <f>'Resultatkontrol side 402'!A23</f>
        <v>note 10</v>
      </c>
    </row>
    <row r="2" spans="1:9" ht="18" x14ac:dyDescent="0.25">
      <c r="A2" s="212" t="s">
        <v>103</v>
      </c>
      <c r="B2" s="213"/>
      <c r="C2" s="213"/>
      <c r="D2" s="213"/>
      <c r="E2" s="213"/>
      <c r="F2" s="213"/>
      <c r="G2" s="214"/>
      <c r="H2" s="85"/>
      <c r="I2" s="85"/>
    </row>
    <row r="3" spans="1:9" ht="35.25" customHeight="1" x14ac:dyDescent="0.2">
      <c r="A3" s="131"/>
      <c r="B3" s="132"/>
      <c r="C3" s="154" t="s">
        <v>145</v>
      </c>
      <c r="D3" s="154" t="s">
        <v>146</v>
      </c>
      <c r="E3" s="154" t="s">
        <v>147</v>
      </c>
      <c r="F3" s="154" t="s">
        <v>148</v>
      </c>
      <c r="G3" s="155" t="s">
        <v>78</v>
      </c>
    </row>
    <row r="4" spans="1:9" ht="15" x14ac:dyDescent="0.2">
      <c r="A4" s="43" t="s">
        <v>84</v>
      </c>
      <c r="B4" s="132"/>
      <c r="C4" s="154" t="s">
        <v>79</v>
      </c>
      <c r="D4" s="154" t="s">
        <v>79</v>
      </c>
      <c r="E4" s="154" t="s">
        <v>144</v>
      </c>
      <c r="F4" s="154" t="s">
        <v>79</v>
      </c>
      <c r="G4" s="155" t="s">
        <v>80</v>
      </c>
    </row>
    <row r="5" spans="1:9" ht="15" x14ac:dyDescent="0.2">
      <c r="A5" s="215" t="s">
        <v>85</v>
      </c>
      <c r="B5" s="216"/>
      <c r="C5" s="162">
        <v>59000</v>
      </c>
      <c r="D5" s="162">
        <v>23000</v>
      </c>
      <c r="E5" s="162">
        <v>57000</v>
      </c>
      <c r="F5" s="162">
        <v>9000</v>
      </c>
      <c r="G5" s="163">
        <v>42940</v>
      </c>
    </row>
    <row r="6" spans="1:9" ht="15" x14ac:dyDescent="0.2">
      <c r="A6" s="217" t="s">
        <v>86</v>
      </c>
      <c r="B6" s="218"/>
      <c r="C6" s="162">
        <v>0</v>
      </c>
      <c r="D6" s="162">
        <v>0</v>
      </c>
      <c r="E6" s="162">
        <v>0</v>
      </c>
      <c r="F6" s="162">
        <v>0</v>
      </c>
      <c r="G6" s="163">
        <v>0</v>
      </c>
    </row>
    <row r="7" spans="1:9" ht="15" x14ac:dyDescent="0.2">
      <c r="A7" s="219" t="s">
        <v>87</v>
      </c>
      <c r="B7" s="220"/>
      <c r="C7" s="174">
        <v>0</v>
      </c>
      <c r="D7" s="174">
        <v>0</v>
      </c>
      <c r="E7" s="174">
        <v>0</v>
      </c>
      <c r="F7" s="174">
        <v>0</v>
      </c>
      <c r="G7" s="175">
        <v>0</v>
      </c>
    </row>
    <row r="8" spans="1:9" ht="15" x14ac:dyDescent="0.2">
      <c r="A8" s="133" t="s">
        <v>96</v>
      </c>
      <c r="B8" s="128"/>
      <c r="C8" s="172">
        <f>C5+C6-C7</f>
        <v>59000</v>
      </c>
      <c r="D8" s="172">
        <f>D5+D6-D7</f>
        <v>23000</v>
      </c>
      <c r="E8" s="172">
        <f>E5+E6-E7</f>
        <v>57000</v>
      </c>
      <c r="F8" s="172">
        <f>F5+F6-F7</f>
        <v>9000</v>
      </c>
      <c r="G8" s="173">
        <f>G5+G6-G7</f>
        <v>42940</v>
      </c>
    </row>
    <row r="9" spans="1:9" x14ac:dyDescent="0.2">
      <c r="A9" s="7"/>
      <c r="B9" s="11"/>
      <c r="C9" s="176"/>
      <c r="D9" s="176"/>
      <c r="E9" s="176"/>
      <c r="F9" s="176"/>
      <c r="G9" s="177"/>
    </row>
    <row r="10" spans="1:9" ht="15" x14ac:dyDescent="0.2">
      <c r="A10" s="223" t="s">
        <v>137</v>
      </c>
      <c r="B10" s="224"/>
      <c r="C10" s="176"/>
      <c r="D10" s="176"/>
      <c r="E10" s="176"/>
      <c r="F10" s="176"/>
      <c r="G10" s="177"/>
    </row>
    <row r="11" spans="1:9" ht="15" x14ac:dyDescent="0.2">
      <c r="A11" s="207" t="s">
        <v>141</v>
      </c>
      <c r="B11" s="208"/>
      <c r="C11" s="172"/>
      <c r="D11" s="172"/>
      <c r="E11" s="172"/>
      <c r="F11" s="172"/>
      <c r="G11" s="173"/>
    </row>
    <row r="12" spans="1:9" ht="15" x14ac:dyDescent="0.2">
      <c r="A12" s="221" t="s">
        <v>149</v>
      </c>
      <c r="B12" s="222"/>
      <c r="C12" s="162">
        <f>4500*6</f>
        <v>27000</v>
      </c>
      <c r="D12" s="162">
        <f>4500*5</f>
        <v>22500</v>
      </c>
      <c r="E12" s="162">
        <v>55800</v>
      </c>
      <c r="F12" s="162">
        <v>4500</v>
      </c>
      <c r="G12" s="163">
        <f>4500*4</f>
        <v>18000</v>
      </c>
    </row>
    <row r="13" spans="1:9" ht="15" x14ac:dyDescent="0.2">
      <c r="A13" s="221"/>
      <c r="B13" s="222"/>
      <c r="C13" s="162">
        <v>0</v>
      </c>
      <c r="D13" s="162">
        <v>0</v>
      </c>
      <c r="E13" s="162">
        <v>0</v>
      </c>
      <c r="F13" s="162">
        <v>0</v>
      </c>
      <c r="G13" s="163">
        <v>0</v>
      </c>
    </row>
    <row r="14" spans="1:9" ht="15" x14ac:dyDescent="0.2">
      <c r="A14" s="221"/>
      <c r="B14" s="222"/>
      <c r="C14" s="162">
        <v>0</v>
      </c>
      <c r="D14" s="162">
        <v>0</v>
      </c>
      <c r="E14" s="162">
        <v>0</v>
      </c>
      <c r="F14" s="162">
        <v>0</v>
      </c>
      <c r="G14" s="163">
        <v>0</v>
      </c>
    </row>
    <row r="15" spans="1:9" ht="15" x14ac:dyDescent="0.2">
      <c r="A15" s="134" t="s">
        <v>138</v>
      </c>
      <c r="B15" s="87"/>
      <c r="C15" s="172"/>
      <c r="D15" s="172"/>
      <c r="E15" s="172"/>
      <c r="F15" s="172"/>
      <c r="G15" s="173"/>
    </row>
    <row r="16" spans="1:9" ht="15" x14ac:dyDescent="0.2">
      <c r="A16" s="207" t="s">
        <v>93</v>
      </c>
      <c r="B16" s="208"/>
      <c r="C16" s="162">
        <f>1000*2</f>
        <v>2000</v>
      </c>
      <c r="D16" s="162">
        <v>0</v>
      </c>
      <c r="E16" s="162">
        <f>980*6</f>
        <v>5880</v>
      </c>
      <c r="F16" s="162">
        <f>0.5*1000</f>
        <v>500</v>
      </c>
      <c r="G16" s="163">
        <f>1.5*1000</f>
        <v>1500</v>
      </c>
    </row>
    <row r="17" spans="1:7" ht="15" x14ac:dyDescent="0.2">
      <c r="A17" s="207"/>
      <c r="B17" s="208"/>
      <c r="C17" s="162">
        <v>0</v>
      </c>
      <c r="D17" s="162">
        <v>0</v>
      </c>
      <c r="E17" s="162">
        <v>0</v>
      </c>
      <c r="F17" s="162">
        <v>0</v>
      </c>
      <c r="G17" s="163">
        <v>0</v>
      </c>
    </row>
    <row r="18" spans="1:7" ht="15" x14ac:dyDescent="0.2">
      <c r="A18" s="207"/>
      <c r="B18" s="208"/>
      <c r="C18" s="162">
        <v>0</v>
      </c>
      <c r="D18" s="162">
        <v>0</v>
      </c>
      <c r="E18" s="162">
        <v>0</v>
      </c>
      <c r="F18" s="162">
        <v>0</v>
      </c>
      <c r="G18" s="163">
        <v>0</v>
      </c>
    </row>
    <row r="19" spans="1:7" ht="15" x14ac:dyDescent="0.2">
      <c r="A19" s="134" t="s">
        <v>139</v>
      </c>
      <c r="B19" s="87"/>
      <c r="C19" s="172"/>
      <c r="D19" s="172"/>
      <c r="E19" s="172"/>
      <c r="F19" s="172"/>
      <c r="G19" s="173"/>
    </row>
    <row r="20" spans="1:7" ht="15" x14ac:dyDescent="0.2">
      <c r="A20" s="207" t="s">
        <v>94</v>
      </c>
      <c r="B20" s="208"/>
      <c r="C20" s="162">
        <f>500*3</f>
        <v>1500</v>
      </c>
      <c r="D20" s="162">
        <f>2.5*500</f>
        <v>1250</v>
      </c>
      <c r="E20" s="162">
        <v>6000</v>
      </c>
      <c r="F20" s="162">
        <v>0</v>
      </c>
      <c r="G20" s="163">
        <f>500*2</f>
        <v>1000</v>
      </c>
    </row>
    <row r="21" spans="1:7" ht="15" x14ac:dyDescent="0.2">
      <c r="A21" s="207"/>
      <c r="B21" s="208"/>
      <c r="C21" s="162">
        <v>0</v>
      </c>
      <c r="D21" s="162">
        <v>0</v>
      </c>
      <c r="E21" s="162">
        <v>0</v>
      </c>
      <c r="F21" s="162">
        <v>0</v>
      </c>
      <c r="G21" s="163">
        <v>0</v>
      </c>
    </row>
    <row r="22" spans="1:7" ht="15" x14ac:dyDescent="0.2">
      <c r="A22" s="207"/>
      <c r="B22" s="208"/>
      <c r="C22" s="162">
        <v>0</v>
      </c>
      <c r="D22" s="162">
        <v>0</v>
      </c>
      <c r="E22" s="162">
        <v>0</v>
      </c>
      <c r="F22" s="162">
        <v>0</v>
      </c>
      <c r="G22" s="163">
        <v>0</v>
      </c>
    </row>
    <row r="23" spans="1:7" ht="15.75" x14ac:dyDescent="0.25">
      <c r="A23" s="135" t="s">
        <v>95</v>
      </c>
      <c r="B23" s="87"/>
      <c r="C23" s="172">
        <f>C12+C13+C14+C16+C17+C18-C20-C21-C22</f>
        <v>27500</v>
      </c>
      <c r="D23" s="172">
        <f>D12+D13+D14+D16+D17+D18-D20-D21-D22</f>
        <v>21250</v>
      </c>
      <c r="E23" s="172">
        <f>E12+E13+E14+E16+E17+E18-E20-E21-E22</f>
        <v>55680</v>
      </c>
      <c r="F23" s="172">
        <f>F12+F13+F14+F16+F17+F18-F20-F21-F22</f>
        <v>5000</v>
      </c>
      <c r="G23" s="173">
        <f>G12+G13+G14+G16+G17+G18-G20-G21-G22</f>
        <v>18500</v>
      </c>
    </row>
    <row r="24" spans="1:7" ht="15" x14ac:dyDescent="0.2">
      <c r="A24" s="131"/>
      <c r="B24" s="132"/>
      <c r="C24" s="178"/>
      <c r="D24" s="178"/>
      <c r="E24" s="178"/>
      <c r="F24" s="178"/>
      <c r="G24" s="179"/>
    </row>
    <row r="25" spans="1:7" ht="15" x14ac:dyDescent="0.2">
      <c r="A25" s="133" t="s">
        <v>99</v>
      </c>
      <c r="B25" s="87"/>
      <c r="C25" s="172">
        <f>C23-C8</f>
        <v>-31500</v>
      </c>
      <c r="D25" s="172">
        <f>D23-D8</f>
        <v>-1750</v>
      </c>
      <c r="E25" s="172">
        <f>E23-E8</f>
        <v>-1320</v>
      </c>
      <c r="F25" s="172">
        <f>F23-F8</f>
        <v>-4000</v>
      </c>
      <c r="G25" s="173">
        <f>G23-G8</f>
        <v>-24440</v>
      </c>
    </row>
    <row r="26" spans="1:7" ht="15" x14ac:dyDescent="0.2">
      <c r="A26" s="133" t="s">
        <v>97</v>
      </c>
      <c r="B26" s="130">
        <v>0.02</v>
      </c>
      <c r="C26" s="172">
        <f>$B$26*C23</f>
        <v>550</v>
      </c>
      <c r="D26" s="172">
        <f>$B$26*D23</f>
        <v>425</v>
      </c>
      <c r="E26" s="172">
        <f>$B$26*E23</f>
        <v>1113.6000000000001</v>
      </c>
      <c r="F26" s="172">
        <f>$B$26*F23</f>
        <v>100</v>
      </c>
      <c r="G26" s="173">
        <f>$B$26*G23</f>
        <v>370</v>
      </c>
    </row>
    <row r="27" spans="1:7" ht="15" x14ac:dyDescent="0.2">
      <c r="A27" s="136" t="s">
        <v>98</v>
      </c>
      <c r="B27" s="87"/>
      <c r="C27" s="172">
        <f>C25+C26</f>
        <v>-30950</v>
      </c>
      <c r="D27" s="172">
        <f>D25+D26</f>
        <v>-1325</v>
      </c>
      <c r="E27" s="172">
        <f>E25+E26</f>
        <v>-206.39999999999986</v>
      </c>
      <c r="F27" s="172">
        <f>F25+F26</f>
        <v>-3900</v>
      </c>
      <c r="G27" s="173">
        <f>G25+G26</f>
        <v>-24070</v>
      </c>
    </row>
    <row r="28" spans="1:7" ht="15" x14ac:dyDescent="0.2">
      <c r="A28" s="131"/>
      <c r="B28" s="132"/>
      <c r="C28" s="178"/>
      <c r="D28" s="178"/>
      <c r="E28" s="178"/>
      <c r="F28" s="178"/>
      <c r="G28" s="179"/>
    </row>
    <row r="29" spans="1:7" ht="15" x14ac:dyDescent="0.2">
      <c r="A29" s="133" t="s">
        <v>100</v>
      </c>
      <c r="B29" s="87"/>
      <c r="C29" s="162">
        <v>0</v>
      </c>
      <c r="D29" s="162">
        <v>0</v>
      </c>
      <c r="E29" s="162">
        <v>0</v>
      </c>
      <c r="F29" s="162">
        <v>0</v>
      </c>
      <c r="G29" s="163">
        <v>0</v>
      </c>
    </row>
    <row r="30" spans="1:7" ht="15" x14ac:dyDescent="0.2">
      <c r="A30" s="133" t="s">
        <v>101</v>
      </c>
      <c r="B30" s="87"/>
      <c r="C30" s="172">
        <f>C29*C27</f>
        <v>0</v>
      </c>
      <c r="D30" s="172">
        <f>D29*D27</f>
        <v>0</v>
      </c>
      <c r="E30" s="172">
        <f>E29*E27</f>
        <v>0</v>
      </c>
      <c r="F30" s="172">
        <f>F29*F27</f>
        <v>0</v>
      </c>
      <c r="G30" s="173">
        <f>G29*G27</f>
        <v>0</v>
      </c>
    </row>
    <row r="31" spans="1:7" ht="15.75" thickBot="1" x14ac:dyDescent="0.25">
      <c r="A31" s="137" t="s">
        <v>102</v>
      </c>
      <c r="B31" s="138"/>
      <c r="C31" s="209">
        <f>C30+D30+F30+G30+E30</f>
        <v>0</v>
      </c>
      <c r="D31" s="210"/>
      <c r="E31" s="210"/>
      <c r="F31" s="210"/>
      <c r="G31" s="211"/>
    </row>
  </sheetData>
  <mergeCells count="16">
    <mergeCell ref="A17:B17"/>
    <mergeCell ref="A13:B13"/>
    <mergeCell ref="A11:B11"/>
    <mergeCell ref="A14:B14"/>
    <mergeCell ref="A10:B10"/>
    <mergeCell ref="A16:B16"/>
    <mergeCell ref="A2:G2"/>
    <mergeCell ref="A5:B5"/>
    <mergeCell ref="A6:B6"/>
    <mergeCell ref="A7:B7"/>
    <mergeCell ref="A12:B12"/>
    <mergeCell ref="A21:B21"/>
    <mergeCell ref="A22:B22"/>
    <mergeCell ref="A18:B18"/>
    <mergeCell ref="A20:B20"/>
    <mergeCell ref="C31:G31"/>
  </mergeCells>
  <phoneticPr fontId="2" type="noConversion"/>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160" zoomScaleNormal="16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18.7109375" customWidth="1"/>
    <col min="2" max="2" width="16.5703125" customWidth="1"/>
    <col min="3" max="3" width="9.42578125" customWidth="1"/>
    <col min="4" max="4" width="10.7109375" customWidth="1"/>
    <col min="5" max="5" width="10.85546875" customWidth="1"/>
    <col min="6" max="6" width="11.140625" customWidth="1"/>
  </cols>
  <sheetData>
    <row r="1" spans="1:8" ht="13.5" thickBot="1" x14ac:dyDescent="0.25">
      <c r="A1" s="86" t="str">
        <f>'Resultatkontrol side 402'!A24</f>
        <v>note 11</v>
      </c>
    </row>
    <row r="2" spans="1:8" ht="18" x14ac:dyDescent="0.25">
      <c r="A2" s="229" t="s">
        <v>121</v>
      </c>
      <c r="B2" s="230"/>
      <c r="C2" s="230"/>
      <c r="D2" s="230"/>
      <c r="E2" s="230"/>
      <c r="F2" s="231"/>
      <c r="G2" s="85"/>
      <c r="H2" s="85"/>
    </row>
    <row r="3" spans="1:8" ht="35.25" customHeight="1" x14ac:dyDescent="0.2">
      <c r="A3" s="143"/>
      <c r="B3" s="144"/>
      <c r="C3" s="156" t="s">
        <v>81</v>
      </c>
      <c r="D3" s="156" t="s">
        <v>82</v>
      </c>
      <c r="E3" s="156" t="s">
        <v>83</v>
      </c>
      <c r="F3" s="157" t="s">
        <v>78</v>
      </c>
    </row>
    <row r="4" spans="1:8" ht="15" x14ac:dyDescent="0.2">
      <c r="A4" s="146" t="s">
        <v>84</v>
      </c>
      <c r="B4" s="145"/>
      <c r="C4" s="156" t="s">
        <v>79</v>
      </c>
      <c r="D4" s="156" t="s">
        <v>79</v>
      </c>
      <c r="E4" s="156" t="s">
        <v>79</v>
      </c>
      <c r="F4" s="157" t="s">
        <v>80</v>
      </c>
    </row>
    <row r="5" spans="1:8" ht="15" x14ac:dyDescent="0.2">
      <c r="A5" s="232" t="s">
        <v>85</v>
      </c>
      <c r="B5" s="233"/>
      <c r="C5" s="162">
        <v>59000</v>
      </c>
      <c r="D5" s="162">
        <v>23000</v>
      </c>
      <c r="E5" s="162">
        <v>9000</v>
      </c>
      <c r="F5" s="163">
        <v>42940</v>
      </c>
    </row>
    <row r="6" spans="1:8" ht="15" x14ac:dyDescent="0.2">
      <c r="A6" s="234" t="s">
        <v>86</v>
      </c>
      <c r="B6" s="235"/>
      <c r="C6" s="162">
        <v>2000</v>
      </c>
      <c r="D6" s="162">
        <v>0</v>
      </c>
      <c r="E6" s="162">
        <v>0</v>
      </c>
      <c r="F6" s="163">
        <v>0</v>
      </c>
    </row>
    <row r="7" spans="1:8" ht="15" x14ac:dyDescent="0.2">
      <c r="A7" s="234" t="s">
        <v>87</v>
      </c>
      <c r="B7" s="235"/>
      <c r="C7" s="162">
        <v>0</v>
      </c>
      <c r="D7" s="162">
        <v>0</v>
      </c>
      <c r="E7" s="162">
        <v>680</v>
      </c>
      <c r="F7" s="163">
        <v>0</v>
      </c>
    </row>
    <row r="8" spans="1:8" ht="15" x14ac:dyDescent="0.2">
      <c r="A8" s="139" t="s">
        <v>96</v>
      </c>
      <c r="B8" s="127"/>
      <c r="C8" s="164">
        <f>C5+C6-C7</f>
        <v>61000</v>
      </c>
      <c r="D8" s="164">
        <f>D5+D6-D7</f>
        <v>23000</v>
      </c>
      <c r="E8" s="164">
        <f>E5+E6-E7</f>
        <v>8320</v>
      </c>
      <c r="F8" s="165">
        <f>F5+F6-F7</f>
        <v>42940</v>
      </c>
    </row>
    <row r="9" spans="1:8" x14ac:dyDescent="0.2">
      <c r="A9" s="152"/>
      <c r="B9" s="153"/>
      <c r="C9" s="166"/>
      <c r="D9" s="166"/>
      <c r="E9" s="166"/>
      <c r="F9" s="167"/>
    </row>
    <row r="10" spans="1:8" ht="15" x14ac:dyDescent="0.2">
      <c r="A10" s="236" t="s">
        <v>137</v>
      </c>
      <c r="B10" s="237"/>
      <c r="C10" s="168"/>
      <c r="D10" s="168"/>
      <c r="E10" s="168"/>
      <c r="F10" s="169"/>
    </row>
    <row r="11" spans="1:8" ht="15" x14ac:dyDescent="0.2">
      <c r="A11" s="207" t="s">
        <v>89</v>
      </c>
      <c r="B11" s="208"/>
      <c r="C11" s="170"/>
      <c r="D11" s="170"/>
      <c r="E11" s="170"/>
      <c r="F11" s="171"/>
    </row>
    <row r="12" spans="1:8" ht="15" x14ac:dyDescent="0.2">
      <c r="A12" s="225" t="s">
        <v>91</v>
      </c>
      <c r="B12" s="226"/>
      <c r="C12" s="162">
        <f>4500*6</f>
        <v>27000</v>
      </c>
      <c r="D12" s="162">
        <f>4500*5</f>
        <v>22500</v>
      </c>
      <c r="E12" s="162">
        <v>0</v>
      </c>
      <c r="F12" s="163">
        <f>4500*4</f>
        <v>18000</v>
      </c>
    </row>
    <row r="13" spans="1:8" ht="15" x14ac:dyDescent="0.2">
      <c r="A13" s="225" t="s">
        <v>90</v>
      </c>
      <c r="B13" s="226"/>
      <c r="C13" s="162">
        <f>7500*4</f>
        <v>30000</v>
      </c>
      <c r="D13" s="162">
        <v>0</v>
      </c>
      <c r="E13" s="162">
        <f>7500*1</f>
        <v>7500</v>
      </c>
      <c r="F13" s="163">
        <f>7500*3</f>
        <v>22500</v>
      </c>
    </row>
    <row r="14" spans="1:8" ht="15" x14ac:dyDescent="0.2">
      <c r="A14" s="225" t="s">
        <v>92</v>
      </c>
      <c r="B14" s="226"/>
      <c r="C14" s="162">
        <v>0</v>
      </c>
      <c r="D14" s="162">
        <v>0</v>
      </c>
      <c r="E14" s="162">
        <v>0</v>
      </c>
      <c r="F14" s="163">
        <v>0</v>
      </c>
    </row>
    <row r="15" spans="1:8" ht="15" x14ac:dyDescent="0.2">
      <c r="A15" s="134" t="s">
        <v>138</v>
      </c>
      <c r="B15" s="87"/>
      <c r="C15" s="172"/>
      <c r="D15" s="172"/>
      <c r="E15" s="172"/>
      <c r="F15" s="173"/>
    </row>
    <row r="16" spans="1:8" ht="15" x14ac:dyDescent="0.2">
      <c r="A16" s="158" t="s">
        <v>93</v>
      </c>
      <c r="B16" s="129"/>
      <c r="C16" s="162">
        <f>1000*2</f>
        <v>2000</v>
      </c>
      <c r="D16" s="162">
        <v>0</v>
      </c>
      <c r="E16" s="162">
        <f>0.5*1000</f>
        <v>500</v>
      </c>
      <c r="F16" s="163">
        <f>1.5*1000</f>
        <v>1500</v>
      </c>
    </row>
    <row r="17" spans="1:6" ht="15" hidden="1" x14ac:dyDescent="0.2">
      <c r="A17" s="133"/>
      <c r="B17" s="128"/>
      <c r="C17" s="162">
        <v>0</v>
      </c>
      <c r="D17" s="162">
        <v>0</v>
      </c>
      <c r="E17" s="162">
        <v>0</v>
      </c>
      <c r="F17" s="163">
        <v>0</v>
      </c>
    </row>
    <row r="18" spans="1:6" ht="15" hidden="1" x14ac:dyDescent="0.2">
      <c r="A18" s="133"/>
      <c r="B18" s="128"/>
      <c r="C18" s="162">
        <v>0</v>
      </c>
      <c r="D18" s="162">
        <v>0</v>
      </c>
      <c r="E18" s="162">
        <v>0</v>
      </c>
      <c r="F18" s="163">
        <v>0</v>
      </c>
    </row>
    <row r="19" spans="1:6" ht="15" x14ac:dyDescent="0.2">
      <c r="A19" s="134" t="s">
        <v>139</v>
      </c>
      <c r="B19" s="87"/>
      <c r="C19" s="172"/>
      <c r="D19" s="172"/>
      <c r="E19" s="172"/>
      <c r="F19" s="173"/>
    </row>
    <row r="20" spans="1:6" ht="15" x14ac:dyDescent="0.2">
      <c r="A20" s="158" t="s">
        <v>94</v>
      </c>
      <c r="B20" s="129"/>
      <c r="C20" s="162">
        <f>500*3</f>
        <v>1500</v>
      </c>
      <c r="D20" s="162">
        <f>2.5*500</f>
        <v>1250</v>
      </c>
      <c r="E20" s="162">
        <v>0</v>
      </c>
      <c r="F20" s="163">
        <f>500*2</f>
        <v>1000</v>
      </c>
    </row>
    <row r="21" spans="1:6" ht="15" hidden="1" x14ac:dyDescent="0.2">
      <c r="A21" s="133"/>
      <c r="B21" s="128"/>
      <c r="C21" s="162">
        <v>0</v>
      </c>
      <c r="D21" s="162">
        <v>0</v>
      </c>
      <c r="E21" s="162">
        <v>0</v>
      </c>
      <c r="F21" s="163">
        <v>0</v>
      </c>
    </row>
    <row r="22" spans="1:6" ht="15" hidden="1" x14ac:dyDescent="0.2">
      <c r="A22" s="133"/>
      <c r="B22" s="128"/>
      <c r="C22" s="162">
        <v>0</v>
      </c>
      <c r="D22" s="162">
        <v>0</v>
      </c>
      <c r="E22" s="162">
        <v>0</v>
      </c>
      <c r="F22" s="163">
        <v>0</v>
      </c>
    </row>
    <row r="23" spans="1:6" ht="15.75" x14ac:dyDescent="0.25">
      <c r="A23" s="142" t="s">
        <v>95</v>
      </c>
      <c r="B23" s="127"/>
      <c r="C23" s="172">
        <f>C12+C13+C14+C16+C17+C18-C20-C21-C22</f>
        <v>57500</v>
      </c>
      <c r="D23" s="172">
        <f>D12+D13+D14+D16+D17+D18-D20-D21-D22</f>
        <v>21250</v>
      </c>
      <c r="E23" s="172">
        <f>E12+E13+E14+E16+E17+E18-E20-E21-E22</f>
        <v>8000</v>
      </c>
      <c r="F23" s="173">
        <f>F12+F13+F14+F16+F17+F18-F20-F21-F22</f>
        <v>41000</v>
      </c>
    </row>
    <row r="24" spans="1:6" ht="15" x14ac:dyDescent="0.2">
      <c r="A24" s="133"/>
      <c r="B24" s="128"/>
      <c r="C24" s="172"/>
      <c r="D24" s="172"/>
      <c r="E24" s="172"/>
      <c r="F24" s="173"/>
    </row>
    <row r="25" spans="1:6" ht="15" x14ac:dyDescent="0.2">
      <c r="A25" s="139" t="s">
        <v>99</v>
      </c>
      <c r="B25" s="127"/>
      <c r="C25" s="172">
        <f>C23-C8</f>
        <v>-3500</v>
      </c>
      <c r="D25" s="172">
        <f>D23-D8</f>
        <v>-1750</v>
      </c>
      <c r="E25" s="172">
        <f>E23-E8</f>
        <v>-320</v>
      </c>
      <c r="F25" s="173">
        <f>F23-F8</f>
        <v>-1940</v>
      </c>
    </row>
    <row r="26" spans="1:6" ht="15" x14ac:dyDescent="0.2">
      <c r="A26" s="133" t="s">
        <v>97</v>
      </c>
      <c r="B26" s="149">
        <v>0.04</v>
      </c>
      <c r="C26" s="172">
        <f>$B$26*C23</f>
        <v>2300</v>
      </c>
      <c r="D26" s="172">
        <f>$B$26*D23</f>
        <v>850</v>
      </c>
      <c r="E26" s="172">
        <f>$B$26*E23</f>
        <v>320</v>
      </c>
      <c r="F26" s="173">
        <f>$B$26*F23</f>
        <v>1640</v>
      </c>
    </row>
    <row r="27" spans="1:6" ht="15" x14ac:dyDescent="0.2">
      <c r="A27" s="140" t="s">
        <v>98</v>
      </c>
      <c r="B27" s="127"/>
      <c r="C27" s="172">
        <f>C25+C26</f>
        <v>-1200</v>
      </c>
      <c r="D27" s="172">
        <f>D25+D26</f>
        <v>-900</v>
      </c>
      <c r="E27" s="172">
        <f>E25+E26</f>
        <v>0</v>
      </c>
      <c r="F27" s="173">
        <f>F25+F26</f>
        <v>-300</v>
      </c>
    </row>
    <row r="28" spans="1:6" ht="15" x14ac:dyDescent="0.2">
      <c r="A28" s="133"/>
      <c r="B28" s="128"/>
      <c r="C28" s="172"/>
      <c r="D28" s="172"/>
      <c r="E28" s="172"/>
      <c r="F28" s="173"/>
    </row>
    <row r="29" spans="1:6" ht="15" x14ac:dyDescent="0.2">
      <c r="A29" s="139" t="s">
        <v>100</v>
      </c>
      <c r="B29" s="127"/>
      <c r="C29" s="162">
        <v>0</v>
      </c>
      <c r="D29" s="162">
        <v>0</v>
      </c>
      <c r="E29" s="162">
        <v>0</v>
      </c>
      <c r="F29" s="163">
        <v>0</v>
      </c>
    </row>
    <row r="30" spans="1:6" ht="15" x14ac:dyDescent="0.2">
      <c r="A30" s="139" t="s">
        <v>101</v>
      </c>
      <c r="B30" s="127"/>
      <c r="C30" s="172">
        <f>C29*C27</f>
        <v>0</v>
      </c>
      <c r="D30" s="172">
        <f>D29*D27</f>
        <v>0</v>
      </c>
      <c r="E30" s="172">
        <f>E29*E27</f>
        <v>0</v>
      </c>
      <c r="F30" s="173">
        <f>F29*F27</f>
        <v>0</v>
      </c>
    </row>
    <row r="31" spans="1:6" ht="15.75" thickBot="1" x14ac:dyDescent="0.25">
      <c r="A31" s="150" t="s">
        <v>102</v>
      </c>
      <c r="B31" s="151"/>
      <c r="C31" s="227">
        <f>C30+D30+E30+F30</f>
        <v>0</v>
      </c>
      <c r="D31" s="227"/>
      <c r="E31" s="227"/>
      <c r="F31" s="228"/>
    </row>
  </sheetData>
  <mergeCells count="10">
    <mergeCell ref="A13:B13"/>
    <mergeCell ref="A14:B14"/>
    <mergeCell ref="C31:F31"/>
    <mergeCell ref="A2:F2"/>
    <mergeCell ref="A5:B5"/>
    <mergeCell ref="A6:B6"/>
    <mergeCell ref="A7:B7"/>
    <mergeCell ref="A10:B10"/>
    <mergeCell ref="A12:B12"/>
    <mergeCell ref="A11:B11"/>
  </mergeCells>
  <phoneticPr fontId="2" type="noConversion"/>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160" zoomScaleNormal="16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8.7109375" customWidth="1"/>
    <col min="2" max="2" width="16.5703125" customWidth="1"/>
    <col min="3" max="3" width="9.42578125" customWidth="1"/>
    <col min="4" max="4" width="10.42578125" customWidth="1"/>
    <col min="5" max="5" width="10.85546875" customWidth="1"/>
    <col min="6" max="6" width="11.140625" customWidth="1"/>
  </cols>
  <sheetData>
    <row r="1" spans="1:8" ht="13.5" thickBot="1" x14ac:dyDescent="0.25">
      <c r="A1" s="86" t="str">
        <f>'Resultatkontrol side 402'!A25</f>
        <v>note 12</v>
      </c>
    </row>
    <row r="2" spans="1:8" ht="18" x14ac:dyDescent="0.25">
      <c r="A2" s="229" t="s">
        <v>122</v>
      </c>
      <c r="B2" s="230"/>
      <c r="C2" s="230"/>
      <c r="D2" s="230"/>
      <c r="E2" s="230"/>
      <c r="F2" s="231"/>
      <c r="G2" s="85"/>
      <c r="H2" s="85"/>
    </row>
    <row r="3" spans="1:8" ht="39.75" customHeight="1" x14ac:dyDescent="0.2">
      <c r="A3" s="143"/>
      <c r="B3" s="144"/>
      <c r="C3" s="238" t="s">
        <v>124</v>
      </c>
      <c r="D3" s="238"/>
      <c r="E3" s="241" t="s">
        <v>123</v>
      </c>
      <c r="F3" s="243" t="s">
        <v>78</v>
      </c>
    </row>
    <row r="4" spans="1:8" ht="14.25" customHeight="1" x14ac:dyDescent="0.2">
      <c r="A4" s="131"/>
      <c r="B4" s="145"/>
      <c r="C4" s="156" t="s">
        <v>113</v>
      </c>
      <c r="D4" s="156" t="s">
        <v>115</v>
      </c>
      <c r="E4" s="242"/>
      <c r="F4" s="244"/>
    </row>
    <row r="5" spans="1:8" ht="15" x14ac:dyDescent="0.2">
      <c r="A5" s="146" t="s">
        <v>84</v>
      </c>
      <c r="B5" s="159"/>
      <c r="C5" s="156" t="s">
        <v>114</v>
      </c>
      <c r="D5" s="156" t="s">
        <v>114</v>
      </c>
      <c r="E5" s="156" t="s">
        <v>114</v>
      </c>
      <c r="F5" s="157" t="s">
        <v>80</v>
      </c>
    </row>
    <row r="6" spans="1:8" ht="15" x14ac:dyDescent="0.2">
      <c r="A6" s="232" t="s">
        <v>125</v>
      </c>
      <c r="B6" s="233"/>
      <c r="C6" s="162">
        <v>4500</v>
      </c>
      <c r="D6" s="162">
        <v>7500</v>
      </c>
      <c r="E6" s="162">
        <v>12176</v>
      </c>
      <c r="F6" s="163">
        <v>6138</v>
      </c>
    </row>
    <row r="7" spans="1:8" ht="15" x14ac:dyDescent="0.2">
      <c r="A7" s="234" t="s">
        <v>126</v>
      </c>
      <c r="B7" s="235"/>
      <c r="C7" s="162">
        <v>0</v>
      </c>
      <c r="D7" s="162">
        <v>0</v>
      </c>
      <c r="E7" s="162">
        <v>0</v>
      </c>
      <c r="F7" s="163">
        <v>0</v>
      </c>
    </row>
    <row r="8" spans="1:8" ht="15" x14ac:dyDescent="0.2">
      <c r="A8" s="234" t="s">
        <v>127</v>
      </c>
      <c r="B8" s="235"/>
      <c r="C8" s="162">
        <v>0</v>
      </c>
      <c r="D8" s="162">
        <v>0</v>
      </c>
      <c r="E8" s="162">
        <v>0</v>
      </c>
      <c r="F8" s="163">
        <v>0</v>
      </c>
    </row>
    <row r="9" spans="1:8" ht="15" x14ac:dyDescent="0.2">
      <c r="A9" s="139" t="s">
        <v>96</v>
      </c>
      <c r="B9" s="127"/>
      <c r="C9" s="172">
        <f>C6+C7-C8</f>
        <v>4500</v>
      </c>
      <c r="D9" s="172">
        <f>D6+D7-D8</f>
        <v>7500</v>
      </c>
      <c r="E9" s="172">
        <f>E6+E7-E8</f>
        <v>12176</v>
      </c>
      <c r="F9" s="173">
        <f>F6+F7-F8</f>
        <v>6138</v>
      </c>
    </row>
    <row r="10" spans="1:8" x14ac:dyDescent="0.2">
      <c r="A10" s="147"/>
      <c r="B10" s="148"/>
      <c r="C10" s="180"/>
      <c r="D10" s="180"/>
      <c r="E10" s="180"/>
      <c r="F10" s="181"/>
    </row>
    <row r="11" spans="1:8" ht="18" customHeight="1" x14ac:dyDescent="0.2">
      <c r="A11" s="239" t="s">
        <v>88</v>
      </c>
      <c r="B11" s="240"/>
      <c r="C11" s="180"/>
      <c r="D11" s="180"/>
      <c r="E11" s="180"/>
      <c r="F11" s="181"/>
    </row>
    <row r="12" spans="1:8" ht="15" x14ac:dyDescent="0.2">
      <c r="A12" s="158" t="s">
        <v>129</v>
      </c>
      <c r="B12" s="129"/>
      <c r="C12" s="172"/>
      <c r="D12" s="172"/>
      <c r="E12" s="172"/>
      <c r="F12" s="173"/>
    </row>
    <row r="13" spans="1:8" ht="15" x14ac:dyDescent="0.2">
      <c r="A13" s="225" t="s">
        <v>128</v>
      </c>
      <c r="B13" s="226"/>
      <c r="C13" s="162">
        <f>4400*1</f>
        <v>4400</v>
      </c>
      <c r="D13" s="162">
        <v>0</v>
      </c>
      <c r="E13" s="162">
        <f>4400*1</f>
        <v>4400</v>
      </c>
      <c r="F13" s="163">
        <f>4400*0.5</f>
        <v>2200</v>
      </c>
    </row>
    <row r="14" spans="1:8" ht="15" x14ac:dyDescent="0.2">
      <c r="A14" s="225" t="s">
        <v>130</v>
      </c>
      <c r="B14" s="226"/>
      <c r="C14" s="162">
        <v>0</v>
      </c>
      <c r="D14" s="162">
        <f>7400*1</f>
        <v>7400</v>
      </c>
      <c r="E14" s="162">
        <f>7400*1</f>
        <v>7400</v>
      </c>
      <c r="F14" s="163">
        <f>7400*0.5</f>
        <v>3700</v>
      </c>
    </row>
    <row r="15" spans="1:8" ht="15" x14ac:dyDescent="0.2">
      <c r="A15" s="245"/>
      <c r="B15" s="246"/>
      <c r="C15" s="162">
        <v>0</v>
      </c>
      <c r="D15" s="162">
        <v>0</v>
      </c>
      <c r="E15" s="162">
        <v>0</v>
      </c>
      <c r="F15" s="163">
        <v>0</v>
      </c>
    </row>
    <row r="16" spans="1:8" ht="15" x14ac:dyDescent="0.2">
      <c r="A16" s="141" t="s">
        <v>131</v>
      </c>
      <c r="B16" s="127"/>
      <c r="C16" s="172"/>
      <c r="D16" s="172"/>
      <c r="E16" s="172"/>
      <c r="F16" s="173"/>
    </row>
    <row r="17" spans="1:6" ht="15" x14ac:dyDescent="0.2">
      <c r="A17" s="158" t="s">
        <v>132</v>
      </c>
      <c r="B17" s="129"/>
      <c r="C17" s="162">
        <v>100</v>
      </c>
      <c r="D17" s="162">
        <v>0</v>
      </c>
      <c r="E17" s="162">
        <v>100</v>
      </c>
      <c r="F17" s="163">
        <f>100*0.5</f>
        <v>50</v>
      </c>
    </row>
    <row r="18" spans="1:6" ht="15" x14ac:dyDescent="0.2">
      <c r="A18" s="133"/>
      <c r="B18" s="128"/>
      <c r="C18" s="162">
        <v>0</v>
      </c>
      <c r="D18" s="162">
        <v>0</v>
      </c>
      <c r="E18" s="162">
        <v>0</v>
      </c>
      <c r="F18" s="163">
        <v>0</v>
      </c>
    </row>
    <row r="19" spans="1:6" ht="15" x14ac:dyDescent="0.2">
      <c r="A19" s="133"/>
      <c r="B19" s="128"/>
      <c r="C19" s="162">
        <v>0</v>
      </c>
      <c r="D19" s="162">
        <v>0</v>
      </c>
      <c r="E19" s="162">
        <v>0</v>
      </c>
      <c r="F19" s="163">
        <v>0</v>
      </c>
    </row>
    <row r="20" spans="1:6" ht="15" x14ac:dyDescent="0.2">
      <c r="A20" s="141" t="s">
        <v>133</v>
      </c>
      <c r="B20" s="127"/>
      <c r="C20" s="172"/>
      <c r="D20" s="172"/>
      <c r="E20" s="172"/>
      <c r="F20" s="173"/>
    </row>
    <row r="21" spans="1:6" ht="15" x14ac:dyDescent="0.2">
      <c r="A21" s="133"/>
      <c r="B21" s="128"/>
      <c r="C21" s="162">
        <v>0</v>
      </c>
      <c r="D21" s="162">
        <v>0</v>
      </c>
      <c r="E21" s="162">
        <v>0</v>
      </c>
      <c r="F21" s="163">
        <v>0</v>
      </c>
    </row>
    <row r="22" spans="1:6" ht="15" x14ac:dyDescent="0.2">
      <c r="A22" s="133"/>
      <c r="B22" s="128"/>
      <c r="C22" s="162">
        <v>0</v>
      </c>
      <c r="D22" s="162">
        <v>0</v>
      </c>
      <c r="E22" s="162">
        <v>0</v>
      </c>
      <c r="F22" s="163">
        <v>0</v>
      </c>
    </row>
    <row r="23" spans="1:6" ht="15" x14ac:dyDescent="0.2">
      <c r="A23" s="133"/>
      <c r="B23" s="128"/>
      <c r="C23" s="162">
        <v>0</v>
      </c>
      <c r="D23" s="162">
        <v>0</v>
      </c>
      <c r="E23" s="162">
        <v>0</v>
      </c>
      <c r="F23" s="163">
        <v>0</v>
      </c>
    </row>
    <row r="24" spans="1:6" ht="15.75" x14ac:dyDescent="0.25">
      <c r="A24" s="142" t="s">
        <v>95</v>
      </c>
      <c r="B24" s="127"/>
      <c r="C24" s="172">
        <f>C13+C14+C15+C17+C18+C19-C21-C22-C23</f>
        <v>4500</v>
      </c>
      <c r="D24" s="172">
        <f>D13+D14+D15+D17+D18+D19-D21-D22-D23</f>
        <v>7400</v>
      </c>
      <c r="E24" s="172">
        <f>E13+E14+E15+E17+E18+E19-E21-E22-E23</f>
        <v>11900</v>
      </c>
      <c r="F24" s="173">
        <f>F13+F14+F15+F17+F18+F19-F21-F22-F23</f>
        <v>5950</v>
      </c>
    </row>
    <row r="25" spans="1:6" ht="15" x14ac:dyDescent="0.2">
      <c r="A25" s="133"/>
      <c r="B25" s="128"/>
      <c r="C25" s="172"/>
      <c r="D25" s="172"/>
      <c r="E25" s="172"/>
      <c r="F25" s="173"/>
    </row>
    <row r="26" spans="1:6" ht="15" x14ac:dyDescent="0.2">
      <c r="A26" s="139" t="s">
        <v>99</v>
      </c>
      <c r="B26" s="127"/>
      <c r="C26" s="172">
        <f>C24-C9</f>
        <v>0</v>
      </c>
      <c r="D26" s="172">
        <f>D24-D9</f>
        <v>-100</v>
      </c>
      <c r="E26" s="172">
        <f>E24-E9</f>
        <v>-276</v>
      </c>
      <c r="F26" s="173">
        <f>F24-F9</f>
        <v>-188</v>
      </c>
    </row>
    <row r="27" spans="1:6" ht="15" x14ac:dyDescent="0.2">
      <c r="A27" s="133" t="s">
        <v>97</v>
      </c>
      <c r="B27" s="149">
        <v>0.04</v>
      </c>
      <c r="C27" s="172">
        <v>0</v>
      </c>
      <c r="D27" s="172">
        <v>0</v>
      </c>
      <c r="E27" s="172">
        <f>$B$27*E24</f>
        <v>476</v>
      </c>
      <c r="F27" s="173">
        <f>$B$27*F24</f>
        <v>238</v>
      </c>
    </row>
    <row r="28" spans="1:6" ht="15" x14ac:dyDescent="0.2">
      <c r="A28" s="140" t="s">
        <v>98</v>
      </c>
      <c r="B28" s="127"/>
      <c r="C28" s="172">
        <f>C26+C27</f>
        <v>0</v>
      </c>
      <c r="D28" s="172">
        <f>D26+D27</f>
        <v>-100</v>
      </c>
      <c r="E28" s="172">
        <f>E26+E27</f>
        <v>200</v>
      </c>
      <c r="F28" s="173">
        <f>F26+F27</f>
        <v>50</v>
      </c>
    </row>
    <row r="29" spans="1:6" ht="15" x14ac:dyDescent="0.2">
      <c r="A29" s="133"/>
      <c r="B29" s="128"/>
      <c r="C29" s="172"/>
      <c r="D29" s="172"/>
      <c r="E29" s="172"/>
      <c r="F29" s="173"/>
    </row>
    <row r="30" spans="1:6" ht="15" x14ac:dyDescent="0.2">
      <c r="A30" s="139" t="s">
        <v>100</v>
      </c>
      <c r="B30" s="127"/>
      <c r="C30" s="162">
        <v>0</v>
      </c>
      <c r="D30" s="162">
        <v>0</v>
      </c>
      <c r="E30" s="162">
        <v>0</v>
      </c>
      <c r="F30" s="163">
        <v>0</v>
      </c>
    </row>
    <row r="31" spans="1:6" ht="15" x14ac:dyDescent="0.2">
      <c r="A31" s="139" t="s">
        <v>101</v>
      </c>
      <c r="B31" s="127"/>
      <c r="C31" s="172">
        <f>C30*C28</f>
        <v>0</v>
      </c>
      <c r="D31" s="172">
        <f>D30*D28</f>
        <v>0</v>
      </c>
      <c r="E31" s="172">
        <f>E30*E28</f>
        <v>0</v>
      </c>
      <c r="F31" s="173">
        <f>F30*F28</f>
        <v>0</v>
      </c>
    </row>
    <row r="32" spans="1:6" ht="15.75" thickBot="1" x14ac:dyDescent="0.25">
      <c r="A32" s="150" t="s">
        <v>102</v>
      </c>
      <c r="B32" s="151"/>
      <c r="C32" s="227">
        <f>C31+D31+E31+F31</f>
        <v>0</v>
      </c>
      <c r="D32" s="227"/>
      <c r="E32" s="227"/>
      <c r="F32" s="228"/>
    </row>
  </sheetData>
  <mergeCells count="12">
    <mergeCell ref="A2:F2"/>
    <mergeCell ref="A6:B6"/>
    <mergeCell ref="A7:B7"/>
    <mergeCell ref="A8:B8"/>
    <mergeCell ref="A14:B14"/>
    <mergeCell ref="C32:F32"/>
    <mergeCell ref="C3:D3"/>
    <mergeCell ref="A11:B11"/>
    <mergeCell ref="A13:B13"/>
    <mergeCell ref="E3:E4"/>
    <mergeCell ref="F3:F4"/>
    <mergeCell ref="A15:B15"/>
  </mergeCells>
  <phoneticPr fontId="2"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zoomScale="130" zoomScaleNormal="130" workbookViewId="0"/>
  </sheetViews>
  <sheetFormatPr defaultRowHeight="12.75" x14ac:dyDescent="0.2"/>
  <cols>
    <col min="2" max="2" width="25.7109375" bestFit="1" customWidth="1"/>
    <col min="3" max="6" width="12.7109375" customWidth="1"/>
    <col min="7" max="9" width="12.7109375" hidden="1" customWidth="1"/>
    <col min="10" max="10" width="12.7109375" customWidth="1"/>
  </cols>
  <sheetData>
    <row r="1" spans="1:10" ht="15.75" thickBot="1" x14ac:dyDescent="0.25">
      <c r="A1" s="89" t="str">
        <f>'Resultatkontrol side 402'!A27</f>
        <v>note 13</v>
      </c>
      <c r="B1" s="247" t="str">
        <f>'Resultatkontrol side 402'!B27</f>
        <v>Råvarerlagerafvigelse</v>
      </c>
      <c r="C1" s="247"/>
      <c r="D1" s="247"/>
      <c r="E1" s="247"/>
      <c r="F1" s="247"/>
      <c r="G1" s="248"/>
      <c r="H1" s="248"/>
      <c r="I1" s="249"/>
      <c r="J1" s="69" t="s">
        <v>77</v>
      </c>
    </row>
    <row r="2" spans="1:10" ht="13.5" thickBot="1" x14ac:dyDescent="0.25">
      <c r="A2" s="4"/>
      <c r="B2" s="111"/>
      <c r="C2" s="108" t="s">
        <v>105</v>
      </c>
      <c r="D2" s="106" t="s">
        <v>106</v>
      </c>
      <c r="E2" s="106" t="s">
        <v>107</v>
      </c>
      <c r="F2" s="104" t="s">
        <v>108</v>
      </c>
      <c r="G2" s="113"/>
      <c r="H2" s="62"/>
      <c r="I2" s="1"/>
      <c r="J2" s="56"/>
    </row>
    <row r="3" spans="1:10" ht="13.5" thickBot="1" x14ac:dyDescent="0.25">
      <c r="A3" s="7"/>
      <c r="B3" s="112"/>
      <c r="C3" s="109" t="s">
        <v>110</v>
      </c>
      <c r="D3" s="107" t="s">
        <v>110</v>
      </c>
      <c r="E3" s="107" t="s">
        <v>110</v>
      </c>
      <c r="F3" s="105" t="s">
        <v>111</v>
      </c>
      <c r="G3" s="113"/>
      <c r="H3" s="62"/>
      <c r="I3" s="1"/>
      <c r="J3" s="57"/>
    </row>
    <row r="4" spans="1:10" ht="13.5" thickBot="1" x14ac:dyDescent="0.25">
      <c r="A4" s="30"/>
      <c r="B4" s="110" t="s">
        <v>109</v>
      </c>
      <c r="C4" s="182">
        <v>8000</v>
      </c>
      <c r="D4" s="183">
        <v>5000</v>
      </c>
      <c r="E4" s="182">
        <v>2500</v>
      </c>
      <c r="F4" s="183">
        <v>4276</v>
      </c>
      <c r="G4" s="63">
        <v>0</v>
      </c>
      <c r="H4" s="63">
        <v>0</v>
      </c>
      <c r="I4" s="64">
        <v>0</v>
      </c>
      <c r="J4" s="57"/>
    </row>
    <row r="5" spans="1:10" ht="13.5" thickBot="1" x14ac:dyDescent="0.25">
      <c r="A5" s="30"/>
      <c r="B5" s="21" t="s">
        <v>14</v>
      </c>
      <c r="C5" s="184">
        <v>70000</v>
      </c>
      <c r="D5" s="185">
        <v>24000</v>
      </c>
      <c r="E5" s="184">
        <v>10000</v>
      </c>
      <c r="F5" s="185">
        <v>12000</v>
      </c>
      <c r="G5" s="59">
        <v>0</v>
      </c>
      <c r="H5" s="59">
        <v>0</v>
      </c>
      <c r="I5" s="20">
        <v>0</v>
      </c>
      <c r="J5" s="57"/>
    </row>
    <row r="6" spans="1:10" ht="13.5" thickBot="1" x14ac:dyDescent="0.25">
      <c r="A6" s="30"/>
      <c r="B6" s="103" t="s">
        <v>112</v>
      </c>
      <c r="C6" s="186">
        <f>C5+C4</f>
        <v>78000</v>
      </c>
      <c r="D6" s="186">
        <f>D5+D4</f>
        <v>29000</v>
      </c>
      <c r="E6" s="186">
        <f>E5+E4</f>
        <v>12500</v>
      </c>
      <c r="F6" s="186">
        <f>F5+F4</f>
        <v>16276</v>
      </c>
      <c r="G6" s="59"/>
      <c r="H6" s="59"/>
      <c r="I6" s="20"/>
      <c r="J6" s="57"/>
    </row>
    <row r="7" spans="1:10" ht="13.5" thickBot="1" x14ac:dyDescent="0.25">
      <c r="A7" s="30"/>
      <c r="B7" s="65" t="s">
        <v>15</v>
      </c>
      <c r="C7" s="66">
        <v>59000</v>
      </c>
      <c r="D7" s="67">
        <v>23000</v>
      </c>
      <c r="E7" s="66">
        <v>9000</v>
      </c>
      <c r="F7" s="67">
        <v>12176</v>
      </c>
      <c r="G7" s="63">
        <v>0</v>
      </c>
      <c r="H7" s="63">
        <v>0</v>
      </c>
      <c r="I7" s="64">
        <v>0</v>
      </c>
      <c r="J7" s="57"/>
    </row>
    <row r="8" spans="1:10" ht="13.5" thickBot="1" x14ac:dyDescent="0.25">
      <c r="A8" s="30"/>
      <c r="B8" s="21" t="s">
        <v>16</v>
      </c>
      <c r="C8" s="187">
        <f>C6-C7</f>
        <v>19000</v>
      </c>
      <c r="D8" s="187">
        <f>D6-D7</f>
        <v>6000</v>
      </c>
      <c r="E8" s="187">
        <f>E6-E7</f>
        <v>3500</v>
      </c>
      <c r="F8" s="187">
        <f>F6-F7</f>
        <v>4100</v>
      </c>
      <c r="G8" s="60">
        <f>G4+G5-G7</f>
        <v>0</v>
      </c>
      <c r="H8" s="60">
        <f>H4+H5-H7</f>
        <v>0</v>
      </c>
      <c r="I8" s="22">
        <f>I4+I5-I7</f>
        <v>0</v>
      </c>
      <c r="J8" s="57"/>
    </row>
    <row r="9" spans="1:10" ht="13.5" thickBot="1" x14ac:dyDescent="0.25">
      <c r="A9" s="30"/>
      <c r="B9" s="65" t="s">
        <v>17</v>
      </c>
      <c r="C9" s="66">
        <v>19000</v>
      </c>
      <c r="D9" s="67">
        <v>6000</v>
      </c>
      <c r="E9" s="66">
        <v>3500</v>
      </c>
      <c r="F9" s="67">
        <v>3900</v>
      </c>
      <c r="G9" s="63">
        <v>0</v>
      </c>
      <c r="H9" s="63">
        <v>0</v>
      </c>
      <c r="I9" s="64">
        <v>0</v>
      </c>
      <c r="J9" s="57"/>
    </row>
    <row r="10" spans="1:10" ht="13.5" thickBot="1" x14ac:dyDescent="0.25">
      <c r="A10" s="30"/>
      <c r="B10" s="91" t="s">
        <v>118</v>
      </c>
      <c r="C10" s="187">
        <f t="shared" ref="C10:I10" si="0">C9-C8</f>
        <v>0</v>
      </c>
      <c r="D10" s="188">
        <f t="shared" si="0"/>
        <v>0</v>
      </c>
      <c r="E10" s="187">
        <f t="shared" si="0"/>
        <v>0</v>
      </c>
      <c r="F10" s="188">
        <f t="shared" si="0"/>
        <v>-200</v>
      </c>
      <c r="G10" s="60">
        <f t="shared" si="0"/>
        <v>0</v>
      </c>
      <c r="H10" s="60">
        <f t="shared" si="0"/>
        <v>0</v>
      </c>
      <c r="I10" s="22">
        <f t="shared" si="0"/>
        <v>0</v>
      </c>
      <c r="J10" s="57"/>
    </row>
    <row r="11" spans="1:10" ht="13.5" thickBot="1" x14ac:dyDescent="0.25">
      <c r="A11" s="30"/>
      <c r="B11" s="65" t="s">
        <v>18</v>
      </c>
      <c r="C11" s="66">
        <v>0</v>
      </c>
      <c r="D11" s="67">
        <v>0</v>
      </c>
      <c r="E11" s="66">
        <v>0</v>
      </c>
      <c r="F11" s="67">
        <v>0</v>
      </c>
      <c r="G11" s="66">
        <v>0</v>
      </c>
      <c r="H11" s="66">
        <v>0</v>
      </c>
      <c r="I11" s="68">
        <v>0</v>
      </c>
      <c r="J11" s="57"/>
    </row>
    <row r="12" spans="1:10" ht="13.5" thickBot="1" x14ac:dyDescent="0.25">
      <c r="A12" s="31"/>
      <c r="B12" s="23" t="s">
        <v>19</v>
      </c>
      <c r="C12" s="189">
        <f t="shared" ref="C12:I12" si="1">C11*C10</f>
        <v>0</v>
      </c>
      <c r="D12" s="190">
        <f t="shared" si="1"/>
        <v>0</v>
      </c>
      <c r="E12" s="189">
        <f t="shared" si="1"/>
        <v>0</v>
      </c>
      <c r="F12" s="190">
        <f t="shared" si="1"/>
        <v>0</v>
      </c>
      <c r="G12" s="61">
        <f t="shared" si="1"/>
        <v>0</v>
      </c>
      <c r="H12" s="61">
        <f t="shared" si="1"/>
        <v>0</v>
      </c>
      <c r="I12" s="24">
        <f t="shared" si="1"/>
        <v>0</v>
      </c>
      <c r="J12" s="58">
        <f>SUM(C12:I12)</f>
        <v>0</v>
      </c>
    </row>
    <row r="13" spans="1:10" x14ac:dyDescent="0.2">
      <c r="A13" s="8"/>
      <c r="B13" s="92"/>
      <c r="C13" s="8"/>
      <c r="D13" s="8"/>
      <c r="E13" s="93"/>
      <c r="F13" s="94"/>
      <c r="G13" s="94"/>
      <c r="H13" s="94"/>
      <c r="I13" s="94"/>
      <c r="J13" s="95"/>
    </row>
    <row r="14" spans="1:10" x14ac:dyDescent="0.2">
      <c r="A14" s="8"/>
      <c r="B14" s="8"/>
      <c r="C14" s="90"/>
      <c r="D14" s="90"/>
      <c r="E14" s="90"/>
      <c r="F14" s="90"/>
      <c r="G14" s="90"/>
      <c r="H14" s="90"/>
      <c r="I14" s="90"/>
      <c r="J14" s="95"/>
    </row>
    <row r="15" spans="1:10" x14ac:dyDescent="0.2">
      <c r="A15" s="8"/>
      <c r="B15" s="96"/>
      <c r="C15" s="90"/>
      <c r="D15" s="90"/>
      <c r="E15" s="90"/>
      <c r="F15" s="90"/>
      <c r="G15" s="90"/>
      <c r="H15" s="90"/>
      <c r="I15" s="90"/>
      <c r="J15" s="95"/>
    </row>
    <row r="16" spans="1:10" x14ac:dyDescent="0.2">
      <c r="A16" s="8"/>
      <c r="B16" s="96"/>
      <c r="C16" s="90"/>
      <c r="D16" s="90"/>
      <c r="E16" s="90"/>
      <c r="F16" s="90"/>
      <c r="G16" s="90"/>
      <c r="H16" s="90"/>
      <c r="I16" s="90"/>
      <c r="J16" s="95"/>
    </row>
    <row r="17" spans="1:10" x14ac:dyDescent="0.2">
      <c r="A17" s="8"/>
      <c r="B17" s="96"/>
      <c r="C17" s="90"/>
      <c r="D17" s="90"/>
      <c r="E17" s="90"/>
      <c r="F17" s="90"/>
      <c r="G17" s="90"/>
      <c r="H17" s="90"/>
      <c r="I17" s="90"/>
      <c r="J17" s="95"/>
    </row>
    <row r="18" spans="1:10" x14ac:dyDescent="0.2">
      <c r="A18" s="8"/>
      <c r="B18" s="96"/>
      <c r="C18" s="90"/>
      <c r="D18" s="90"/>
      <c r="E18" s="90"/>
      <c r="F18" s="90"/>
      <c r="G18" s="90"/>
      <c r="H18" s="90"/>
      <c r="I18" s="90"/>
      <c r="J18" s="95"/>
    </row>
    <row r="19" spans="1:10" x14ac:dyDescent="0.2">
      <c r="A19" s="8"/>
      <c r="B19" s="96"/>
      <c r="C19" s="90"/>
      <c r="D19" s="90"/>
      <c r="E19" s="90"/>
      <c r="F19" s="90"/>
      <c r="G19" s="90"/>
      <c r="H19" s="90"/>
      <c r="I19" s="90"/>
      <c r="J19" s="95"/>
    </row>
    <row r="20" spans="1:10" x14ac:dyDescent="0.2">
      <c r="A20" s="8"/>
      <c r="B20" s="96"/>
      <c r="C20" s="90"/>
      <c r="D20" s="90"/>
      <c r="E20" s="97"/>
      <c r="F20" s="97"/>
      <c r="G20" s="97"/>
      <c r="H20" s="97"/>
      <c r="I20" s="97"/>
      <c r="J20" s="95"/>
    </row>
    <row r="21" spans="1:10" x14ac:dyDescent="0.2">
      <c r="A21" s="8"/>
      <c r="B21" s="96"/>
      <c r="C21" s="90"/>
      <c r="D21" s="90"/>
      <c r="E21" s="90"/>
      <c r="F21" s="90"/>
      <c r="G21" s="90"/>
      <c r="H21" s="90"/>
      <c r="I21" s="90"/>
      <c r="J21" s="95"/>
    </row>
    <row r="22" spans="1:10" x14ac:dyDescent="0.2">
      <c r="A22" s="8"/>
      <c r="B22" s="98"/>
      <c r="C22" s="99"/>
      <c r="D22" s="99"/>
      <c r="E22" s="8"/>
      <c r="F22" s="8"/>
      <c r="G22" s="8"/>
      <c r="H22" s="8"/>
      <c r="I22" s="8"/>
      <c r="J22" s="95"/>
    </row>
    <row r="23" spans="1:10" x14ac:dyDescent="0.2">
      <c r="A23" s="8"/>
      <c r="B23" s="100"/>
      <c r="C23" s="90"/>
      <c r="D23" s="8"/>
      <c r="E23" s="8"/>
      <c r="F23" s="8"/>
      <c r="G23" s="8"/>
      <c r="H23" s="8"/>
      <c r="I23" s="8"/>
      <c r="J23" s="95"/>
    </row>
    <row r="24" spans="1:10" x14ac:dyDescent="0.2">
      <c r="A24" s="8"/>
      <c r="B24" s="100"/>
      <c r="C24" s="90"/>
      <c r="D24" s="8"/>
      <c r="E24" s="8"/>
      <c r="F24" s="8"/>
      <c r="G24" s="8"/>
      <c r="H24" s="8"/>
      <c r="I24" s="8"/>
      <c r="J24" s="95"/>
    </row>
    <row r="25" spans="1:10" x14ac:dyDescent="0.2">
      <c r="A25" s="8"/>
      <c r="B25" s="101"/>
      <c r="C25" s="90"/>
      <c r="D25" s="8"/>
      <c r="E25" s="8"/>
      <c r="F25" s="8"/>
      <c r="G25" s="8"/>
      <c r="H25" s="8"/>
      <c r="I25" s="8"/>
      <c r="J25" s="95"/>
    </row>
    <row r="26" spans="1:10" x14ac:dyDescent="0.2">
      <c r="A26" s="8"/>
      <c r="B26" s="100"/>
      <c r="C26" s="90"/>
      <c r="D26" s="8"/>
      <c r="E26" s="8"/>
      <c r="F26" s="8"/>
      <c r="G26" s="8"/>
      <c r="H26" s="8"/>
      <c r="I26" s="8"/>
      <c r="J26" s="95"/>
    </row>
    <row r="27" spans="1:10" x14ac:dyDescent="0.2">
      <c r="A27" s="8"/>
      <c r="B27" s="100"/>
      <c r="C27" s="90"/>
      <c r="D27" s="8"/>
      <c r="E27" s="8"/>
      <c r="F27" s="8"/>
      <c r="G27" s="8"/>
      <c r="H27" s="8"/>
      <c r="I27" s="8"/>
      <c r="J27" s="95"/>
    </row>
    <row r="28" spans="1:10" x14ac:dyDescent="0.2">
      <c r="A28" s="8"/>
      <c r="B28" s="100"/>
      <c r="C28" s="90"/>
      <c r="D28" s="8"/>
      <c r="E28" s="8"/>
      <c r="F28" s="8"/>
      <c r="G28" s="8"/>
      <c r="H28" s="8"/>
      <c r="I28" s="8"/>
      <c r="J28" s="95"/>
    </row>
    <row r="29" spans="1:10" x14ac:dyDescent="0.2">
      <c r="A29" s="8"/>
      <c r="B29" s="100"/>
      <c r="C29" s="102"/>
      <c r="D29" s="8"/>
      <c r="E29" s="8"/>
      <c r="F29" s="8"/>
      <c r="G29" s="8"/>
      <c r="H29" s="8"/>
      <c r="I29" s="8"/>
      <c r="J29" s="95"/>
    </row>
    <row r="30" spans="1:10" x14ac:dyDescent="0.2">
      <c r="A30" s="8"/>
      <c r="B30" s="100"/>
      <c r="C30" s="90"/>
      <c r="D30" s="8"/>
      <c r="E30" s="8"/>
      <c r="F30" s="8"/>
      <c r="G30" s="8"/>
      <c r="H30" s="8"/>
      <c r="I30" s="8"/>
      <c r="J30" s="95"/>
    </row>
    <row r="31" spans="1:10" x14ac:dyDescent="0.2">
      <c r="A31" s="8"/>
      <c r="B31" s="8"/>
      <c r="C31" s="8"/>
      <c r="D31" s="8"/>
      <c r="E31" s="8"/>
      <c r="F31" s="8"/>
      <c r="G31" s="8"/>
      <c r="H31" s="8"/>
      <c r="I31" s="8"/>
      <c r="J31" s="8"/>
    </row>
    <row r="32" spans="1:10" x14ac:dyDescent="0.2">
      <c r="A32" s="8"/>
      <c r="B32" s="8"/>
      <c r="C32" s="8"/>
      <c r="D32" s="8"/>
      <c r="E32" s="8"/>
      <c r="F32" s="8"/>
      <c r="G32" s="8"/>
      <c r="H32" s="8"/>
      <c r="I32" s="8"/>
      <c r="J32" s="8"/>
    </row>
  </sheetData>
  <mergeCells count="1">
    <mergeCell ref="B1:I1"/>
  </mergeCells>
  <phoneticPr fontId="2" type="noConversion"/>
  <pageMargins left="0.75" right="0.75" top="1" bottom="1" header="0.5" footer="0.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zoomScale="130" zoomScaleNormal="130" workbookViewId="0"/>
  </sheetViews>
  <sheetFormatPr defaultRowHeight="12.75" x14ac:dyDescent="0.2"/>
  <cols>
    <col min="2" max="2" width="25.7109375" bestFit="1" customWidth="1"/>
    <col min="3" max="6" width="12.7109375" customWidth="1"/>
    <col min="7" max="9" width="12.7109375" hidden="1" customWidth="1"/>
    <col min="10" max="10" width="12.7109375" customWidth="1"/>
  </cols>
  <sheetData>
    <row r="1" spans="1:10" ht="15.75" thickBot="1" x14ac:dyDescent="0.25">
      <c r="A1" s="89" t="str">
        <f>'Resultatkontrol side 402'!A28</f>
        <v>note 14</v>
      </c>
      <c r="B1" s="247" t="str">
        <f>'Resultatkontrol side 402'!B28</f>
        <v>Færdigvarelagerafvigelse</v>
      </c>
      <c r="C1" s="247"/>
      <c r="D1" s="247"/>
      <c r="E1" s="247"/>
      <c r="F1" s="247"/>
      <c r="G1" s="248"/>
      <c r="H1" s="248"/>
      <c r="I1" s="249"/>
      <c r="J1" s="69" t="s">
        <v>77</v>
      </c>
    </row>
    <row r="2" spans="1:10" ht="13.5" thickBot="1" x14ac:dyDescent="0.25">
      <c r="A2" s="4"/>
      <c r="B2" s="111"/>
      <c r="C2" s="108" t="s">
        <v>113</v>
      </c>
      <c r="D2" s="106" t="s">
        <v>115</v>
      </c>
      <c r="E2" s="106"/>
      <c r="F2" s="104"/>
      <c r="G2" s="113"/>
      <c r="H2" s="62"/>
      <c r="I2" s="1"/>
      <c r="J2" s="56"/>
    </row>
    <row r="3" spans="1:10" ht="13.5" thickBot="1" x14ac:dyDescent="0.25">
      <c r="A3" s="7"/>
      <c r="B3" s="112"/>
      <c r="C3" s="109" t="s">
        <v>114</v>
      </c>
      <c r="D3" s="107" t="s">
        <v>114</v>
      </c>
      <c r="E3" s="107"/>
      <c r="F3" s="105"/>
      <c r="G3" s="113"/>
      <c r="H3" s="62"/>
      <c r="I3" s="1"/>
      <c r="J3" s="57"/>
    </row>
    <row r="4" spans="1:10" ht="13.5" thickBot="1" x14ac:dyDescent="0.25">
      <c r="A4" s="30"/>
      <c r="B4" s="110" t="s">
        <v>109</v>
      </c>
      <c r="C4" s="182">
        <v>1200</v>
      </c>
      <c r="D4" s="183">
        <v>800</v>
      </c>
      <c r="E4" s="182">
        <v>0</v>
      </c>
      <c r="F4" s="183">
        <v>0</v>
      </c>
      <c r="G4" s="63">
        <v>0</v>
      </c>
      <c r="H4" s="63">
        <v>0</v>
      </c>
      <c r="I4" s="64">
        <v>0</v>
      </c>
      <c r="J4" s="57"/>
    </row>
    <row r="5" spans="1:10" ht="13.5" thickBot="1" x14ac:dyDescent="0.25">
      <c r="A5" s="30"/>
      <c r="B5" s="21" t="s">
        <v>14</v>
      </c>
      <c r="C5" s="184">
        <v>4400</v>
      </c>
      <c r="D5" s="185">
        <v>7400</v>
      </c>
      <c r="E5" s="184">
        <v>0</v>
      </c>
      <c r="F5" s="185">
        <v>0</v>
      </c>
      <c r="G5" s="59">
        <v>0</v>
      </c>
      <c r="H5" s="59">
        <v>0</v>
      </c>
      <c r="I5" s="20">
        <v>0</v>
      </c>
      <c r="J5" s="57"/>
    </row>
    <row r="6" spans="1:10" ht="13.5" thickBot="1" x14ac:dyDescent="0.25">
      <c r="A6" s="30"/>
      <c r="B6" s="103" t="s">
        <v>112</v>
      </c>
      <c r="C6" s="186">
        <f>C5+C4</f>
        <v>5600</v>
      </c>
      <c r="D6" s="186">
        <f>D5+D4</f>
        <v>8200</v>
      </c>
      <c r="E6" s="186">
        <f>E5+E4</f>
        <v>0</v>
      </c>
      <c r="F6" s="186">
        <f>F5+F4</f>
        <v>0</v>
      </c>
      <c r="G6" s="59"/>
      <c r="H6" s="59"/>
      <c r="I6" s="20"/>
      <c r="J6" s="57"/>
    </row>
    <row r="7" spans="1:10" ht="13.5" thickBot="1" x14ac:dyDescent="0.25">
      <c r="A7" s="30"/>
      <c r="B7" s="65" t="s">
        <v>15</v>
      </c>
      <c r="C7" s="66">
        <v>5000</v>
      </c>
      <c r="D7" s="67">
        <v>7000</v>
      </c>
      <c r="E7" s="66">
        <v>0</v>
      </c>
      <c r="F7" s="67">
        <v>0</v>
      </c>
      <c r="G7" s="63">
        <v>0</v>
      </c>
      <c r="H7" s="63">
        <v>0</v>
      </c>
      <c r="I7" s="64">
        <v>0</v>
      </c>
      <c r="J7" s="57"/>
    </row>
    <row r="8" spans="1:10" ht="13.5" thickBot="1" x14ac:dyDescent="0.25">
      <c r="A8" s="30"/>
      <c r="B8" s="91" t="s">
        <v>116</v>
      </c>
      <c r="C8" s="187">
        <f>C6-C7</f>
        <v>600</v>
      </c>
      <c r="D8" s="187">
        <f>D6-D7</f>
        <v>1200</v>
      </c>
      <c r="E8" s="187">
        <f>E6-E7</f>
        <v>0</v>
      </c>
      <c r="F8" s="187">
        <f>F6-F7</f>
        <v>0</v>
      </c>
      <c r="G8" s="60">
        <f>G4+G5-G7</f>
        <v>0</v>
      </c>
      <c r="H8" s="60">
        <f>H4+H5-H7</f>
        <v>0</v>
      </c>
      <c r="I8" s="22">
        <f>I4+I5-I7</f>
        <v>0</v>
      </c>
      <c r="J8" s="57"/>
    </row>
    <row r="9" spans="1:10" ht="13.5" thickBot="1" x14ac:dyDescent="0.25">
      <c r="A9" s="30"/>
      <c r="B9" s="65" t="s">
        <v>17</v>
      </c>
      <c r="C9" s="66">
        <v>600</v>
      </c>
      <c r="D9" s="67">
        <v>1140</v>
      </c>
      <c r="E9" s="66">
        <v>0</v>
      </c>
      <c r="F9" s="67">
        <v>0</v>
      </c>
      <c r="G9" s="63">
        <v>0</v>
      </c>
      <c r="H9" s="63">
        <v>0</v>
      </c>
      <c r="I9" s="64">
        <v>0</v>
      </c>
      <c r="J9" s="57"/>
    </row>
    <row r="10" spans="1:10" ht="13.5" thickBot="1" x14ac:dyDescent="0.25">
      <c r="A10" s="30"/>
      <c r="B10" s="91" t="s">
        <v>117</v>
      </c>
      <c r="C10" s="187">
        <f t="shared" ref="C10:I10" si="0">C9-C8</f>
        <v>0</v>
      </c>
      <c r="D10" s="188">
        <f t="shared" si="0"/>
        <v>-60</v>
      </c>
      <c r="E10" s="187">
        <f t="shared" si="0"/>
        <v>0</v>
      </c>
      <c r="F10" s="188">
        <f t="shared" si="0"/>
        <v>0</v>
      </c>
      <c r="G10" s="60">
        <f t="shared" si="0"/>
        <v>0</v>
      </c>
      <c r="H10" s="60">
        <f t="shared" si="0"/>
        <v>0</v>
      </c>
      <c r="I10" s="22">
        <f t="shared" si="0"/>
        <v>0</v>
      </c>
      <c r="J10" s="57"/>
    </row>
    <row r="11" spans="1:10" ht="13.5" thickBot="1" x14ac:dyDescent="0.25">
      <c r="A11" s="30"/>
      <c r="B11" s="65" t="s">
        <v>18</v>
      </c>
      <c r="C11" s="66">
        <v>0</v>
      </c>
      <c r="D11" s="67">
        <v>0</v>
      </c>
      <c r="E11" s="66">
        <v>0</v>
      </c>
      <c r="F11" s="67">
        <v>0</v>
      </c>
      <c r="G11" s="66">
        <v>0</v>
      </c>
      <c r="H11" s="66">
        <v>0</v>
      </c>
      <c r="I11" s="68">
        <v>0</v>
      </c>
      <c r="J11" s="57"/>
    </row>
    <row r="12" spans="1:10" ht="13.5" thickBot="1" x14ac:dyDescent="0.25">
      <c r="A12" s="31"/>
      <c r="B12" s="23" t="s">
        <v>19</v>
      </c>
      <c r="C12" s="189">
        <f t="shared" ref="C12:I12" si="1">C11*C10</f>
        <v>0</v>
      </c>
      <c r="D12" s="190">
        <f t="shared" si="1"/>
        <v>0</v>
      </c>
      <c r="E12" s="189">
        <f t="shared" si="1"/>
        <v>0</v>
      </c>
      <c r="F12" s="190">
        <f t="shared" si="1"/>
        <v>0</v>
      </c>
      <c r="G12" s="61">
        <f t="shared" si="1"/>
        <v>0</v>
      </c>
      <c r="H12" s="61">
        <f t="shared" si="1"/>
        <v>0</v>
      </c>
      <c r="I12" s="24">
        <f t="shared" si="1"/>
        <v>0</v>
      </c>
      <c r="J12" s="58">
        <f>SUM(C12:I12)</f>
        <v>0</v>
      </c>
    </row>
    <row r="13" spans="1:10" x14ac:dyDescent="0.2">
      <c r="A13" s="8"/>
      <c r="B13" s="92"/>
      <c r="C13" s="8"/>
      <c r="D13" s="8"/>
      <c r="E13" s="93"/>
      <c r="F13" s="94"/>
      <c r="G13" s="94"/>
      <c r="H13" s="94"/>
      <c r="I13" s="94"/>
      <c r="J13" s="95"/>
    </row>
    <row r="14" spans="1:10" x14ac:dyDescent="0.2">
      <c r="A14" s="8"/>
      <c r="B14" s="8"/>
      <c r="C14" s="90"/>
      <c r="D14" s="90"/>
      <c r="E14" s="90"/>
      <c r="F14" s="90"/>
      <c r="G14" s="90"/>
      <c r="H14" s="90"/>
      <c r="I14" s="90"/>
      <c r="J14" s="95"/>
    </row>
    <row r="15" spans="1:10" x14ac:dyDescent="0.2">
      <c r="A15" s="8"/>
      <c r="B15" s="96"/>
      <c r="C15" s="90"/>
      <c r="D15" s="90"/>
      <c r="E15" s="90"/>
      <c r="F15" s="90"/>
      <c r="G15" s="90"/>
      <c r="H15" s="90"/>
      <c r="I15" s="90"/>
      <c r="J15" s="95"/>
    </row>
    <row r="16" spans="1:10" x14ac:dyDescent="0.2">
      <c r="A16" s="8"/>
      <c r="B16" s="96"/>
      <c r="C16" s="90"/>
      <c r="D16" s="90"/>
      <c r="E16" s="90"/>
      <c r="F16" s="90"/>
      <c r="G16" s="90"/>
      <c r="H16" s="90"/>
      <c r="I16" s="90"/>
      <c r="J16" s="95"/>
    </row>
    <row r="17" spans="1:10" x14ac:dyDescent="0.2">
      <c r="A17" s="8"/>
      <c r="B17" s="96"/>
      <c r="C17" s="90"/>
      <c r="D17" s="90"/>
      <c r="E17" s="90"/>
      <c r="F17" s="90"/>
      <c r="G17" s="90"/>
      <c r="H17" s="90"/>
      <c r="I17" s="90"/>
      <c r="J17" s="95"/>
    </row>
    <row r="18" spans="1:10" x14ac:dyDescent="0.2">
      <c r="A18" s="8"/>
      <c r="B18" s="96"/>
      <c r="C18" s="90"/>
      <c r="D18" s="90"/>
      <c r="E18" s="90"/>
      <c r="F18" s="90"/>
      <c r="G18" s="90"/>
      <c r="H18" s="90"/>
      <c r="I18" s="90"/>
      <c r="J18" s="95"/>
    </row>
    <row r="19" spans="1:10" x14ac:dyDescent="0.2">
      <c r="A19" s="8"/>
      <c r="B19" s="96"/>
      <c r="C19" s="90"/>
      <c r="D19" s="90"/>
      <c r="E19" s="90"/>
      <c r="F19" s="90"/>
      <c r="G19" s="90"/>
      <c r="H19" s="90"/>
      <c r="I19" s="90"/>
      <c r="J19" s="95"/>
    </row>
    <row r="20" spans="1:10" x14ac:dyDescent="0.2">
      <c r="A20" s="8"/>
      <c r="B20" s="96"/>
      <c r="C20" s="90"/>
      <c r="D20" s="90"/>
      <c r="E20" s="97"/>
      <c r="F20" s="97"/>
      <c r="G20" s="97"/>
      <c r="H20" s="97"/>
      <c r="I20" s="97"/>
      <c r="J20" s="95"/>
    </row>
    <row r="21" spans="1:10" x14ac:dyDescent="0.2">
      <c r="A21" s="8"/>
      <c r="B21" s="96"/>
      <c r="C21" s="90"/>
      <c r="D21" s="90"/>
      <c r="E21" s="90"/>
      <c r="F21" s="90"/>
      <c r="G21" s="90"/>
      <c r="H21" s="90"/>
      <c r="I21" s="90"/>
      <c r="J21" s="95"/>
    </row>
    <row r="22" spans="1:10" x14ac:dyDescent="0.2">
      <c r="A22" s="8"/>
      <c r="B22" s="98"/>
      <c r="C22" s="99"/>
      <c r="D22" s="99"/>
      <c r="E22" s="8"/>
      <c r="F22" s="8"/>
      <c r="G22" s="8"/>
      <c r="H22" s="8"/>
      <c r="I22" s="8"/>
      <c r="J22" s="95"/>
    </row>
    <row r="23" spans="1:10" x14ac:dyDescent="0.2">
      <c r="A23" s="8"/>
      <c r="B23" s="100"/>
      <c r="C23" s="90"/>
      <c r="D23" s="8"/>
      <c r="E23" s="8"/>
      <c r="F23" s="8"/>
      <c r="G23" s="8"/>
      <c r="H23" s="8"/>
      <c r="I23" s="8"/>
      <c r="J23" s="95"/>
    </row>
    <row r="24" spans="1:10" x14ac:dyDescent="0.2">
      <c r="A24" s="8"/>
      <c r="B24" s="100"/>
      <c r="C24" s="90"/>
      <c r="D24" s="8"/>
      <c r="E24" s="8"/>
      <c r="F24" s="8"/>
      <c r="G24" s="8"/>
      <c r="H24" s="8"/>
      <c r="I24" s="8"/>
      <c r="J24" s="95"/>
    </row>
    <row r="25" spans="1:10" x14ac:dyDescent="0.2">
      <c r="A25" s="8"/>
      <c r="B25" s="101"/>
      <c r="C25" s="90"/>
      <c r="D25" s="8"/>
      <c r="E25" s="8"/>
      <c r="F25" s="8"/>
      <c r="G25" s="8"/>
      <c r="H25" s="8"/>
      <c r="I25" s="8"/>
      <c r="J25" s="95"/>
    </row>
    <row r="26" spans="1:10" x14ac:dyDescent="0.2">
      <c r="A26" s="8"/>
      <c r="B26" s="100"/>
      <c r="C26" s="90"/>
      <c r="D26" s="8"/>
      <c r="E26" s="8"/>
      <c r="F26" s="8"/>
      <c r="G26" s="8"/>
      <c r="H26" s="8"/>
      <c r="I26" s="8"/>
      <c r="J26" s="95"/>
    </row>
    <row r="27" spans="1:10" x14ac:dyDescent="0.2">
      <c r="A27" s="8"/>
      <c r="B27" s="100"/>
      <c r="C27" s="90"/>
      <c r="D27" s="8"/>
      <c r="E27" s="8"/>
      <c r="F27" s="8"/>
      <c r="G27" s="8"/>
      <c r="H27" s="8"/>
      <c r="I27" s="8"/>
      <c r="J27" s="95"/>
    </row>
    <row r="28" spans="1:10" x14ac:dyDescent="0.2">
      <c r="A28" s="8"/>
      <c r="B28" s="100"/>
      <c r="C28" s="90"/>
      <c r="D28" s="8"/>
      <c r="E28" s="8"/>
      <c r="F28" s="8"/>
      <c r="G28" s="8"/>
      <c r="H28" s="8"/>
      <c r="I28" s="8"/>
      <c r="J28" s="95"/>
    </row>
    <row r="29" spans="1:10" x14ac:dyDescent="0.2">
      <c r="A29" s="8"/>
      <c r="B29" s="100"/>
      <c r="C29" s="102"/>
      <c r="D29" s="8"/>
      <c r="E29" s="8"/>
      <c r="F29" s="8"/>
      <c r="G29" s="8"/>
      <c r="H29" s="8"/>
      <c r="I29" s="8"/>
      <c r="J29" s="95"/>
    </row>
    <row r="30" spans="1:10" x14ac:dyDescent="0.2">
      <c r="A30" s="8"/>
      <c r="B30" s="100"/>
      <c r="C30" s="90"/>
      <c r="D30" s="8"/>
      <c r="E30" s="8"/>
      <c r="F30" s="8"/>
      <c r="G30" s="8"/>
      <c r="H30" s="8"/>
      <c r="I30" s="8"/>
      <c r="J30" s="95"/>
    </row>
    <row r="31" spans="1:10" x14ac:dyDescent="0.2">
      <c r="A31" s="8"/>
      <c r="B31" s="8"/>
      <c r="C31" s="8"/>
      <c r="D31" s="8"/>
      <c r="E31" s="8"/>
      <c r="F31" s="8"/>
      <c r="G31" s="8"/>
      <c r="H31" s="8"/>
      <c r="I31" s="8"/>
      <c r="J31" s="8"/>
    </row>
    <row r="32" spans="1:10" x14ac:dyDescent="0.2">
      <c r="A32" s="8"/>
      <c r="B32" s="8"/>
      <c r="C32" s="8"/>
      <c r="D32" s="8"/>
      <c r="E32" s="8"/>
      <c r="F32" s="8"/>
      <c r="G32" s="8"/>
      <c r="H32" s="8"/>
      <c r="I32" s="8"/>
      <c r="J32" s="8"/>
    </row>
  </sheetData>
  <mergeCells count="1">
    <mergeCell ref="B1:I1"/>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Resultatkontrol side 402</vt:lpstr>
      <vt:lpstr>Salgsprisafvigelse side 367</vt:lpstr>
      <vt:lpstr>Indkøbsprisafvigelse side 370</vt:lpstr>
      <vt:lpstr>Lønsatsafvigelse side 371</vt:lpstr>
      <vt:lpstr>Produktionsafdeling 1 side 393</vt:lpstr>
      <vt:lpstr>Produktionsafdeling 2 side 393</vt:lpstr>
      <vt:lpstr>Pakkeafdelingen side 396</vt:lpstr>
      <vt:lpstr>Råvarelagerafgivelse side 398</vt:lpstr>
      <vt:lpstr>Færdiglagerafgivelse side 399</vt:lpstr>
      <vt:lpstr>Salgsprovisionsafvig. side 376</vt:lpstr>
      <vt:lpstr>Samlet konklusion</vt:lpstr>
    </vt:vector>
  </TitlesOfParts>
  <Company>Roskilde Handelsskole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Roskilde Handelsskole</dc:creator>
  <cp:lastModifiedBy>Jesper Brygger</cp:lastModifiedBy>
  <cp:lastPrinted>2018-10-30T12:21:22Z</cp:lastPrinted>
  <dcterms:created xsi:type="dcterms:W3CDTF">2010-11-11T10:29:47Z</dcterms:created>
  <dcterms:modified xsi:type="dcterms:W3CDTF">2018-10-30T12:21:32Z</dcterms:modified>
</cp:coreProperties>
</file>