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4.xml" ContentType="application/vnd.openxmlformats-officedocument.spreadsheetml.comments+xml"/>
  <Override PartName="/xl/worksheets/sheet4.xml" ContentType="application/vnd.openxmlformats-officedocument.spreadsheetml.worksheet+xml"/>
  <Override PartName="/xl/comments5.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7.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2.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4.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6.xml" ContentType="application/vnd.openxmlformats-officedocument.spreadsheetml.comments+xml"/>
  <Override PartName="/xl/worksheets/sheet16.xml" ContentType="application/vnd.openxmlformats-officedocument.spreadsheetml.worksheet+xml"/>
  <Override PartName="/xl/comments17.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9.xml" ContentType="application/vnd.openxmlformats-officedocument.spreadsheetml.comments+xml"/>
  <Override PartName="/xl/worksheets/sheet19.xml" ContentType="application/vnd.openxmlformats-officedocument.spreadsheetml.worksheet+xml"/>
  <Override PartName="/xl/comments20.xml" ContentType="application/vnd.openxmlformats-officedocument.spreadsheetml.comments+xml"/>
  <Override PartName="/xl/worksheets/sheet20.xml" ContentType="application/vnd.openxmlformats-officedocument.spreadsheetml.worksheet+xml"/>
  <Override PartName="/xl/comments21.xml" ContentType="application/vnd.openxmlformats-officedocument.spreadsheetml.comments+xml"/>
  <Override PartName="/xl/worksheets/sheet21.xml" ContentType="application/vnd.openxmlformats-officedocument.spreadsheetml.worksheet+xml"/>
  <Override PartName="/xl/comments22.xml" ContentType="application/vnd.openxmlformats-officedocument.spreadsheetml.comments+xml"/>
  <Override PartName="/xl/worksheets/sheet22.xml" ContentType="application/vnd.openxmlformats-officedocument.spreadsheetml.worksheet+xml"/>
  <Override PartName="/xl/comments23.xml" ContentType="application/vnd.openxmlformats-officedocument.spreadsheetml.comments+xml"/>
  <Override PartName="/xl/worksheets/sheet23.xml" ContentType="application/vnd.openxmlformats-officedocument.spreadsheetml.worksheet+xml"/>
  <Override PartName="/xl/comments24.xml" ContentType="application/vnd.openxmlformats-officedocument.spreadsheetml.comments+xml"/>
  <Override PartName="/xl/worksheets/sheet24.xml" ContentType="application/vnd.openxmlformats-officedocument.spreadsheetml.worksheet+xml"/>
  <Override PartName="/xl/comments25.xml" ContentType="application/vnd.openxmlformats-officedocument.spreadsheetml.comments+xml"/>
  <Override PartName="/xl/worksheets/sheet25.xml" ContentType="application/vnd.openxmlformats-officedocument.spreadsheetml.worksheet+xml"/>
  <Override PartName="/xl/comments26.xml" ContentType="application/vnd.openxmlformats-officedocument.spreadsheetml.comments+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tabRatio="960" activeTab="0"/>
  </bookViews>
  <sheets>
    <sheet name="investering 50 år" sheetId="1" r:id="rId1"/>
    <sheet name="Net cash-flow diagram" sheetId="2" r:id="rId2"/>
    <sheet name="Analyse af balance uden lån" sheetId="3" r:id="rId3"/>
    <sheet name="Analyse af balance med lån" sheetId="4" r:id="rId4"/>
    <sheet name="Effektiv rente annuitetslån 2.2" sheetId="5" r:id="rId5"/>
    <sheet name="note annuitetslån  2.2" sheetId="6" r:id="rId6"/>
    <sheet name="Effektiv rente stående lån 2.2" sheetId="7" r:id="rId7"/>
    <sheet name="note stående lån 2.2" sheetId="8" r:id="rId8"/>
    <sheet name="Lommeregneren TI-83 2.3" sheetId="9" r:id="rId9"/>
    <sheet name="2.4" sheetId="10" r:id="rId10"/>
    <sheet name="cash flow incl lån 2.4" sheetId="11" r:id="rId11"/>
    <sheet name="Prisoptimering 3.1&amp;3.2" sheetId="12" r:id="rId12"/>
    <sheet name="løsningstabel" sheetId="13" r:id="rId13"/>
    <sheet name="Prisoptimering 3.3" sheetId="14" r:id="rId14"/>
    <sheet name="løsningstabel (2)" sheetId="15" r:id="rId15"/>
    <sheet name=" opgave 4 Resultatkontrol " sheetId="16" r:id="rId16"/>
    <sheet name="Resultatkontrol side 402" sheetId="17" r:id="rId17"/>
    <sheet name="Salgsprisafvigelse side 367" sheetId="18" r:id="rId18"/>
    <sheet name="Indkøbsprisafvigelse side 370" sheetId="19" r:id="rId19"/>
    <sheet name="Lønsatsafvigelse side 371" sheetId="20" r:id="rId20"/>
    <sheet name="Produktionsafdeling 1 side 393" sheetId="21" r:id="rId21"/>
    <sheet name="Produktionsafdeling 2 side 393" sheetId="22" r:id="rId22"/>
    <sheet name="Pakkeafdelingen side 396" sheetId="23" r:id="rId23"/>
    <sheet name="Råvarelagerafgivelse side 398" sheetId="24" r:id="rId24"/>
    <sheet name="Færdiglagerafgivelse side 399" sheetId="25" r:id="rId25"/>
    <sheet name="Salgsprovisionsafvig. side 376" sheetId="26" r:id="rId26"/>
    <sheet name="4.2" sheetId="27" r:id="rId27"/>
  </sheets>
  <definedNames/>
  <calcPr fullCalcOnLoad="1"/>
</workbook>
</file>

<file path=xl/comments12.xml><?xml version="1.0" encoding="utf-8"?>
<comments xmlns="http://schemas.openxmlformats.org/spreadsheetml/2006/main">
  <authors>
    <author>Roskilde Handelsskole</author>
  </authors>
  <commentList>
    <comment ref="C115" authorId="0">
      <text>
        <r>
          <rPr>
            <sz val="20"/>
            <rFont val="Tahoma"/>
            <family val="2"/>
          </rPr>
          <t>Find prisen ud fra ovenstående tabeller via en cellereference. 
Træk derefter formlen ud til
kolonne J (celle J115)</t>
        </r>
        <r>
          <rPr>
            <sz val="8"/>
            <rFont val="Tahoma"/>
            <family val="0"/>
          </rPr>
          <t xml:space="preserve">
</t>
        </r>
      </text>
    </comment>
  </commentList>
</comments>
</file>

<file path=xl/comments14.xml><?xml version="1.0" encoding="utf-8"?>
<comments xmlns="http://schemas.openxmlformats.org/spreadsheetml/2006/main">
  <authors>
    <author>Roskilde Handelsskole</author>
  </authors>
  <commentList>
    <comment ref="C115" authorId="0">
      <text>
        <r>
          <rPr>
            <sz val="20"/>
            <rFont val="Tahoma"/>
            <family val="2"/>
          </rPr>
          <t>Find prisen ud fra ovenstående tabeller via en cellereference. 
Træk derefter formlen ud til
kolonne J (celle J115)</t>
        </r>
        <r>
          <rPr>
            <sz val="8"/>
            <rFont val="Tahoma"/>
            <family val="0"/>
          </rPr>
          <t xml:space="preserve">
</t>
        </r>
      </text>
    </comment>
  </commentList>
</comments>
</file>

<file path=xl/comments16.xml><?xml version="1.0" encoding="utf-8"?>
<comments xmlns="http://schemas.openxmlformats.org/spreadsheetml/2006/main">
  <authors>
    <author>Roskilde Handelsskole</author>
  </authors>
  <commentList>
    <comment ref="F5" authorId="0">
      <text>
        <r>
          <rPr>
            <b/>
            <sz val="8"/>
            <rFont val="Tahoma"/>
            <family val="0"/>
          </rPr>
          <t xml:space="preserve">Faktisk afsætning gange budget pris
</t>
        </r>
      </text>
    </comment>
    <comment ref="E30" authorId="0">
      <text>
        <r>
          <rPr>
            <sz val="8"/>
            <rFont val="Tahoma"/>
            <family val="0"/>
          </rPr>
          <t xml:space="preserve">Der er mulighed for at indsætte 4 råvarer
</t>
        </r>
      </text>
    </comment>
    <comment ref="H37" authorId="0">
      <text>
        <r>
          <rPr>
            <b/>
            <sz val="8"/>
            <rFont val="Tahoma"/>
            <family val="0"/>
          </rPr>
          <t>Standardpris i produktionen, dvs. hvad det koster ifølge forkalkulationen at producere 1 stk.</t>
        </r>
        <r>
          <rPr>
            <sz val="8"/>
            <rFont val="Tahoma"/>
            <family val="0"/>
          </rPr>
          <t xml:space="preserve">
</t>
        </r>
      </text>
    </comment>
    <comment ref="B37" authorId="0">
      <text>
        <r>
          <rPr>
            <b/>
            <sz val="8"/>
            <rFont val="Tahoma"/>
            <family val="0"/>
          </rPr>
          <t>Standardpris, dvs. hvad prisen er pr. stk/meter/kilo 
ifølge forkalkulationen</t>
        </r>
      </text>
    </comment>
    <comment ref="H9" authorId="0">
      <text>
        <r>
          <rPr>
            <b/>
            <sz val="14"/>
            <rFont val="Tahoma"/>
            <family val="2"/>
          </rPr>
          <t xml:space="preserve">Kan regnes som budgetteret DB gange med mængde afvigelsen (differencen mellem faktisk afsætning og budget afsætning)
</t>
        </r>
      </text>
    </comment>
  </commentList>
</comments>
</file>

<file path=xl/comments17.xml><?xml version="1.0" encoding="utf-8"?>
<comments xmlns="http://schemas.openxmlformats.org/spreadsheetml/2006/main">
  <authors>
    <author>jesper</author>
    <author>Jesper</author>
    <author>Roskilde Handelsskole</author>
  </authors>
  <commentList>
    <comment ref="H4" authorId="0">
      <text>
        <r>
          <rPr>
            <sz val="16"/>
            <rFont val="Tahoma"/>
            <family val="2"/>
          </rPr>
          <t xml:space="preserve">Det samme som standard
</t>
        </r>
      </text>
    </comment>
    <comment ref="G5" authorId="1">
      <text>
        <r>
          <rPr>
            <b/>
            <sz val="9"/>
            <rFont val="Tahoma"/>
            <family val="2"/>
          </rPr>
          <t>Budgetteret Salgspris</t>
        </r>
      </text>
    </comment>
    <comment ref="H5" authorId="2">
      <text>
        <r>
          <rPr>
            <b/>
            <sz val="12"/>
            <rFont val="Tahoma"/>
            <family val="2"/>
          </rPr>
          <t>Budget pris* Faktisk afsætning</t>
        </r>
      </text>
    </comment>
    <comment ref="I5" authorId="2">
      <text>
        <r>
          <rPr>
            <b/>
            <sz val="12"/>
            <rFont val="Tahoma"/>
            <family val="2"/>
          </rPr>
          <t>Budget pris *
Budget afsætning</t>
        </r>
      </text>
    </comment>
    <comment ref="J5" authorId="2">
      <text>
        <r>
          <rPr>
            <b/>
            <sz val="8"/>
            <rFont val="Tahoma"/>
            <family val="2"/>
          </rPr>
          <t>Mængdeafvigelsen underlagt forudsætningen at den aktuelle salgspris er den samme som den budgetterede</t>
        </r>
      </text>
    </comment>
    <comment ref="G6" authorId="1">
      <text>
        <r>
          <rPr>
            <b/>
            <sz val="9"/>
            <rFont val="Tahoma"/>
            <family val="2"/>
          </rPr>
          <t>Variable enhedsomk (VE)</t>
        </r>
        <r>
          <rPr>
            <sz val="9"/>
            <rFont val="Tahoma"/>
            <family val="2"/>
          </rPr>
          <t xml:space="preserve">
</t>
        </r>
      </text>
    </comment>
    <comment ref="H6" authorId="1">
      <text>
        <r>
          <rPr>
            <sz val="9"/>
            <rFont val="Tahoma"/>
            <family val="2"/>
          </rPr>
          <t xml:space="preserve">Budget VE * faktisk afsætning
</t>
        </r>
      </text>
    </comment>
    <comment ref="I6" authorId="1">
      <text>
        <r>
          <rPr>
            <sz val="9"/>
            <rFont val="Tahoma"/>
            <family val="2"/>
          </rPr>
          <t>Budget VE * budget afsætning</t>
        </r>
      </text>
    </comment>
    <comment ref="B8" authorId="0">
      <text>
        <r>
          <rPr>
            <sz val="16"/>
            <rFont val="Tahoma"/>
            <family val="2"/>
          </rPr>
          <t xml:space="preserve">Bogen har ikke denne række, den er indbygget i standard variable omkostninger. Der kan være enkelte opgaver hvor de variable omkostninger er opdelt på vareforbrug og salgsprovision, derfor har jeg lavet opdelingen så der er mulighed for at lave beregningen standard salgsprovision. 90% af opgaverne bør denne række skjules.
</t>
        </r>
      </text>
    </comment>
    <comment ref="B9" authorId="0">
      <text>
        <r>
          <rPr>
            <b/>
            <sz val="14"/>
            <rFont val="Tahoma"/>
            <family val="2"/>
          </rPr>
          <t xml:space="preserve">Forskellen mellem periodens standarddækningsbidrag og budgetterede dækningsbidrag viser dækningsbidragsvirkningen af, at periodens faktiske afsætning afviger fra den planlagte afsætning. Årsagen er altså en mængde ændring.
</t>
        </r>
      </text>
    </comment>
    <comment ref="B12" authorId="1">
      <text>
        <r>
          <rPr>
            <sz val="9"/>
            <rFont val="Tahoma"/>
            <family val="2"/>
          </rPr>
          <t xml:space="preserve">Der er mulighed for at indsætte op til 4 indkøbsafvigelser på forskellige råvarer
</t>
        </r>
      </text>
    </comment>
  </commentList>
</comments>
</file>

<file path=xl/comments19.xml><?xml version="1.0" encoding="utf-8"?>
<comments xmlns="http://schemas.openxmlformats.org/spreadsheetml/2006/main">
  <authors>
    <author>Jesper</author>
  </authors>
  <commentList>
    <comment ref="B4" authorId="0">
      <text>
        <r>
          <rPr>
            <b/>
            <sz val="9"/>
            <rFont val="Tahoma"/>
            <family val="2"/>
          </rPr>
          <t xml:space="preserve">Her skal du indtaste de samlede indkøb i form af mængde, f.eks. Kg, stk.
</t>
        </r>
      </text>
    </comment>
    <comment ref="F4" authorId="0">
      <text>
        <r>
          <rPr>
            <sz val="12"/>
            <rFont val="Tahoma"/>
            <family val="2"/>
          </rPr>
          <t xml:space="preserve">Her skal du indtaste den faktiske omkostning til indkøb af denne "råvarer"/varer.
</t>
        </r>
        <r>
          <rPr>
            <sz val="9"/>
            <rFont val="Tahoma"/>
            <family val="2"/>
          </rPr>
          <t xml:space="preserve">
</t>
        </r>
      </text>
    </comment>
    <comment ref="D7" authorId="0">
      <text>
        <r>
          <rPr>
            <sz val="9"/>
            <rFont val="Tahoma"/>
            <family val="2"/>
          </rPr>
          <t xml:space="preserve">Den budgetterede pris som man har sat som standardpris
</t>
        </r>
      </text>
    </comment>
  </commentList>
</comments>
</file>

<file path=xl/comments20.xml><?xml version="1.0" encoding="utf-8"?>
<comments xmlns="http://schemas.openxmlformats.org/spreadsheetml/2006/main">
  <authors>
    <author>jesper</author>
  </authors>
  <commentList>
    <comment ref="B4" authorId="0">
      <text>
        <r>
          <rPr>
            <sz val="14"/>
            <rFont val="Tahoma"/>
            <family val="2"/>
          </rPr>
          <t>Indtast faktiske timer</t>
        </r>
      </text>
    </comment>
    <comment ref="F4" authorId="0">
      <text>
        <r>
          <rPr>
            <sz val="14"/>
            <rFont val="Tahoma"/>
            <family val="2"/>
          </rPr>
          <t>Indtast den faktiske løn</t>
        </r>
      </text>
    </comment>
    <comment ref="D7" authorId="0">
      <text>
        <r>
          <rPr>
            <sz val="14"/>
            <rFont val="Tahoma"/>
            <family val="2"/>
          </rPr>
          <t>Indtast standardlønsatsen</t>
        </r>
      </text>
    </comment>
  </commentList>
</comments>
</file>

<file path=xl/comments21.xml><?xml version="1.0" encoding="utf-8"?>
<comments xmlns="http://schemas.openxmlformats.org/spreadsheetml/2006/main">
  <authors>
    <author>jesper</author>
  </authors>
  <commentList>
    <comment ref="B26" authorId="0">
      <text>
        <r>
          <rPr>
            <sz val="9"/>
            <rFont val="Tahoma"/>
            <family val="2"/>
          </rPr>
          <t xml:space="preserve">Procenten er udregnet i forhold til standardforbruget
</t>
        </r>
      </text>
    </comment>
  </commentList>
</comments>
</file>

<file path=xl/comments22.xml><?xml version="1.0" encoding="utf-8"?>
<comments xmlns="http://schemas.openxmlformats.org/spreadsheetml/2006/main">
  <authors>
    <author>jesper</author>
  </authors>
  <commentList>
    <comment ref="B26" authorId="0">
      <text>
        <r>
          <rPr>
            <sz val="9"/>
            <rFont val="Tahoma"/>
            <family val="2"/>
          </rPr>
          <t xml:space="preserve">Procenten er udregnet i forhold til standardforbruget
</t>
        </r>
      </text>
    </comment>
  </commentList>
</comments>
</file>

<file path=xl/comments23.xml><?xml version="1.0" encoding="utf-8"?>
<comments xmlns="http://schemas.openxmlformats.org/spreadsheetml/2006/main">
  <authors>
    <author>jesper</author>
  </authors>
  <commentList>
    <comment ref="B27" authorId="0">
      <text>
        <r>
          <rPr>
            <sz val="9"/>
            <rFont val="Tahoma"/>
            <family val="2"/>
          </rPr>
          <t xml:space="preserve">Procenten er udregnet i forhold til standardforbruget
</t>
        </r>
      </text>
    </comment>
  </commentList>
</comments>
</file>

<file path=xl/comments24.xml><?xml version="1.0" encoding="utf-8"?>
<comments xmlns="http://schemas.openxmlformats.org/spreadsheetml/2006/main">
  <authors>
    <author>Roskilde Handelsskole</author>
  </authors>
  <commentList>
    <comment ref="G2" authorId="0">
      <text>
        <r>
          <rPr>
            <sz val="8"/>
            <rFont val="Tahoma"/>
            <family val="2"/>
          </rPr>
          <t xml:space="preserve">Der er mulighed for at indsætte 4 råvarer
</t>
        </r>
      </text>
    </comment>
    <comment ref="C11" authorId="0">
      <text>
        <r>
          <rPr>
            <b/>
            <sz val="8"/>
            <rFont val="Tahoma"/>
            <family val="2"/>
          </rPr>
          <t>Standardpris, dvs. hvad prisen er pr. stk/meter/kilo 
ifølge forkalkulationen</t>
        </r>
      </text>
    </comment>
    <comment ref="G13" authorId="0">
      <text>
        <r>
          <rPr>
            <sz val="8"/>
            <rFont val="Tahoma"/>
            <family val="2"/>
          </rPr>
          <t xml:space="preserve">Der er mulighed for at indsætte 4 råvarer
</t>
        </r>
      </text>
    </comment>
    <comment ref="C20" authorId="0">
      <text>
        <r>
          <rPr>
            <b/>
            <sz val="8"/>
            <rFont val="Tahoma"/>
            <family val="2"/>
          </rPr>
          <t>Standardpris, dvs. hvad prisen er pr. stk/meter/kilo 
ifølge forkalkulationen</t>
        </r>
      </text>
    </comment>
    <comment ref="C29" authorId="0">
      <text>
        <r>
          <rPr>
            <b/>
            <sz val="8"/>
            <rFont val="Tahoma"/>
            <family val="2"/>
          </rPr>
          <t>Standardpris i produktionen, dvs. hvad det koster ifølge forkalkulationen at producere 1 stk.</t>
        </r>
        <r>
          <rPr>
            <sz val="8"/>
            <rFont val="Tahoma"/>
            <family val="2"/>
          </rPr>
          <t xml:space="preserve">
</t>
        </r>
      </text>
    </comment>
  </commentList>
</comments>
</file>

<file path=xl/comments25.xml><?xml version="1.0" encoding="utf-8"?>
<comments xmlns="http://schemas.openxmlformats.org/spreadsheetml/2006/main">
  <authors>
    <author>Roskilde Handelsskole</author>
  </authors>
  <commentList>
    <comment ref="G2" authorId="0">
      <text>
        <r>
          <rPr>
            <sz val="8"/>
            <rFont val="Tahoma"/>
            <family val="2"/>
          </rPr>
          <t xml:space="preserve">Der er mulighed for at indsætte 4 råvarer
</t>
        </r>
      </text>
    </comment>
    <comment ref="C11" authorId="0">
      <text>
        <r>
          <rPr>
            <b/>
            <sz val="8"/>
            <rFont val="Tahoma"/>
            <family val="2"/>
          </rPr>
          <t>Standardpris, dvs. hvad prisen er pr. stk/meter/kilo 
ifølge forkalkulationen</t>
        </r>
      </text>
    </comment>
    <comment ref="G13" authorId="0">
      <text>
        <r>
          <rPr>
            <sz val="8"/>
            <rFont val="Tahoma"/>
            <family val="2"/>
          </rPr>
          <t xml:space="preserve">Der er mulighed for at indsætte 4 råvarer
</t>
        </r>
      </text>
    </comment>
    <comment ref="C20" authorId="0">
      <text>
        <r>
          <rPr>
            <b/>
            <sz val="8"/>
            <rFont val="Tahoma"/>
            <family val="2"/>
          </rPr>
          <t>Standardpris, dvs. hvad prisen er pr. stk/meter/kilo 
ifølge forkalkulationen</t>
        </r>
      </text>
    </comment>
    <comment ref="C29" authorId="0">
      <text>
        <r>
          <rPr>
            <b/>
            <sz val="8"/>
            <rFont val="Tahoma"/>
            <family val="2"/>
          </rPr>
          <t>Standardpris i produktionen, dvs. hvad det koster ifølge forkalkulationen at producere 1 stk.</t>
        </r>
        <r>
          <rPr>
            <sz val="8"/>
            <rFont val="Tahoma"/>
            <family val="2"/>
          </rPr>
          <t xml:space="preserve">
</t>
        </r>
      </text>
    </comment>
  </commentList>
</comments>
</file>

<file path=xl/comments26.xml><?xml version="1.0" encoding="utf-8"?>
<comments xmlns="http://schemas.openxmlformats.org/spreadsheetml/2006/main">
  <authors>
    <author>jesper</author>
  </authors>
  <commentList>
    <comment ref="F4" authorId="0">
      <text>
        <r>
          <rPr>
            <sz val="16"/>
            <rFont val="Tahoma"/>
            <family val="2"/>
          </rPr>
          <t>indtast den faktiske salgsprovision 
i kr. total</t>
        </r>
      </text>
    </comment>
    <comment ref="D7" authorId="0">
      <text>
        <r>
          <rPr>
            <sz val="14"/>
            <rFont val="Tahoma"/>
            <family val="2"/>
          </rPr>
          <t>indtast standardprovisionssatsen</t>
        </r>
        <r>
          <rPr>
            <sz val="9"/>
            <rFont val="Tahoma"/>
            <family val="2"/>
          </rPr>
          <t xml:space="preserve">
</t>
        </r>
      </text>
    </comment>
  </commentList>
</comments>
</file>

<file path=xl/comments3.xml><?xml version="1.0" encoding="utf-8"?>
<comments xmlns="http://schemas.openxmlformats.org/spreadsheetml/2006/main">
  <authors>
    <author>Roskilde Handelsskole</author>
  </authors>
  <commentList>
    <comment ref="I15" authorId="0">
      <text>
        <r>
          <rPr>
            <b/>
            <sz val="20"/>
            <rFont val="Tahoma"/>
            <family val="2"/>
          </rPr>
          <t>Du skal selv indsætte et krav enten fra opgave teksten eller f.eks. fra Danmarks statistik</t>
        </r>
      </text>
    </comment>
    <comment ref="D9" authorId="0">
      <text>
        <r>
          <rPr>
            <sz val="8"/>
            <rFont val="Tahoma"/>
            <family val="0"/>
          </rPr>
          <t xml:space="preserve">Egenkapitalen betragtes som langfristet kapital
</t>
        </r>
      </text>
    </comment>
    <comment ref="I32" authorId="0">
      <text>
        <r>
          <rPr>
            <sz val="8"/>
            <rFont val="Tahoma"/>
            <family val="0"/>
          </rPr>
          <t xml:space="preserve">Mindre end 100 da anlægsaktiverne som minimum bør være finansieret af lang gæld
</t>
        </r>
      </text>
    </comment>
    <comment ref="A16" authorId="0">
      <text>
        <r>
          <rPr>
            <sz val="20"/>
            <rFont val="Tahoma"/>
            <family val="2"/>
          </rPr>
          <t>Vertikal</t>
        </r>
        <r>
          <rPr>
            <sz val="8"/>
            <rFont val="Tahoma"/>
            <family val="0"/>
          </rPr>
          <t xml:space="preserve">
</t>
        </r>
      </text>
    </comment>
    <comment ref="A20" authorId="0">
      <text>
        <r>
          <rPr>
            <sz val="20"/>
            <rFont val="Tahoma"/>
            <family val="2"/>
          </rPr>
          <t>Vertikal</t>
        </r>
      </text>
    </comment>
    <comment ref="A22" authorId="0">
      <text>
        <r>
          <rPr>
            <sz val="20"/>
            <rFont val="Tahoma"/>
            <family val="2"/>
          </rPr>
          <t>Vertikal</t>
        </r>
      </text>
    </comment>
    <comment ref="A24" authorId="0">
      <text>
        <r>
          <rPr>
            <sz val="20"/>
            <rFont val="Tahoma"/>
            <family val="2"/>
          </rPr>
          <t>Vertikal</t>
        </r>
        <r>
          <rPr>
            <sz val="8"/>
            <rFont val="Tahoma"/>
            <family val="0"/>
          </rPr>
          <t xml:space="preserve">
</t>
        </r>
      </text>
    </comment>
    <comment ref="A32" authorId="0">
      <text>
        <r>
          <rPr>
            <sz val="20"/>
            <rFont val="Tahoma"/>
            <family val="2"/>
          </rPr>
          <t>Horisontal</t>
        </r>
      </text>
    </comment>
    <comment ref="A34" authorId="0">
      <text>
        <r>
          <rPr>
            <sz val="20"/>
            <rFont val="Tahoma"/>
            <family val="2"/>
          </rPr>
          <t>Horisontal</t>
        </r>
        <r>
          <rPr>
            <sz val="8"/>
            <rFont val="Tahoma"/>
            <family val="0"/>
          </rPr>
          <t xml:space="preserve">
</t>
        </r>
      </text>
    </comment>
    <comment ref="A36" authorId="0">
      <text>
        <r>
          <rPr>
            <sz val="20"/>
            <rFont val="Tahoma"/>
            <family val="2"/>
          </rPr>
          <t xml:space="preserve">Horisontal
</t>
        </r>
        <r>
          <rPr>
            <sz val="8"/>
            <rFont val="Tahoma"/>
            <family val="0"/>
          </rPr>
          <t xml:space="preserve">
</t>
        </r>
      </text>
    </comment>
    <comment ref="A18" authorId="0">
      <text>
        <r>
          <rPr>
            <sz val="20"/>
            <rFont val="Tahoma"/>
            <family val="2"/>
          </rPr>
          <t>Vertikal</t>
        </r>
        <r>
          <rPr>
            <sz val="8"/>
            <rFont val="Tahoma"/>
            <family val="0"/>
          </rPr>
          <t xml:space="preserve">
</t>
        </r>
      </text>
    </comment>
    <comment ref="B1" authorId="0">
      <text>
        <r>
          <rPr>
            <b/>
            <sz val="8"/>
            <rFont val="Tahoma"/>
            <family val="0"/>
          </rPr>
          <t xml:space="preserve">indsæt firmanavn
</t>
        </r>
      </text>
    </comment>
  </commentList>
</comments>
</file>

<file path=xl/comments4.xml><?xml version="1.0" encoding="utf-8"?>
<comments xmlns="http://schemas.openxmlformats.org/spreadsheetml/2006/main">
  <authors>
    <author>Roskilde Handelsskole</author>
  </authors>
  <commentList>
    <comment ref="I15" authorId="0">
      <text>
        <r>
          <rPr>
            <b/>
            <sz val="20"/>
            <rFont val="Tahoma"/>
            <family val="2"/>
          </rPr>
          <t>Du skal selv indsætte et krav enten fra opgave teksten eller f.eks. fra Danmarks statistik</t>
        </r>
      </text>
    </comment>
    <comment ref="D9" authorId="0">
      <text>
        <r>
          <rPr>
            <sz val="8"/>
            <rFont val="Tahoma"/>
            <family val="0"/>
          </rPr>
          <t xml:space="preserve">Egenkapitalen betragtes som langfristet kapital
</t>
        </r>
      </text>
    </comment>
    <comment ref="I32" authorId="0">
      <text>
        <r>
          <rPr>
            <sz val="8"/>
            <rFont val="Tahoma"/>
            <family val="0"/>
          </rPr>
          <t xml:space="preserve">Mindre end 100 da anlægsaktiverne som minimum bør være finansieret af lang gæld
</t>
        </r>
      </text>
    </comment>
    <comment ref="A16" authorId="0">
      <text>
        <r>
          <rPr>
            <sz val="20"/>
            <rFont val="Tahoma"/>
            <family val="2"/>
          </rPr>
          <t>Vertikal</t>
        </r>
        <r>
          <rPr>
            <sz val="8"/>
            <rFont val="Tahoma"/>
            <family val="0"/>
          </rPr>
          <t xml:space="preserve">
</t>
        </r>
      </text>
    </comment>
    <comment ref="A20" authorId="0">
      <text>
        <r>
          <rPr>
            <sz val="20"/>
            <rFont val="Tahoma"/>
            <family val="2"/>
          </rPr>
          <t>Vertikal</t>
        </r>
      </text>
    </comment>
    <comment ref="A22" authorId="0">
      <text>
        <r>
          <rPr>
            <sz val="20"/>
            <rFont val="Tahoma"/>
            <family val="2"/>
          </rPr>
          <t>Vertikal</t>
        </r>
      </text>
    </comment>
    <comment ref="A24" authorId="0">
      <text>
        <r>
          <rPr>
            <sz val="20"/>
            <rFont val="Tahoma"/>
            <family val="2"/>
          </rPr>
          <t>Vertikal</t>
        </r>
        <r>
          <rPr>
            <sz val="8"/>
            <rFont val="Tahoma"/>
            <family val="0"/>
          </rPr>
          <t xml:space="preserve">
</t>
        </r>
      </text>
    </comment>
    <comment ref="A32" authorId="0">
      <text>
        <r>
          <rPr>
            <sz val="20"/>
            <rFont val="Tahoma"/>
            <family val="2"/>
          </rPr>
          <t>Horisontal</t>
        </r>
      </text>
    </comment>
    <comment ref="A34" authorId="0">
      <text>
        <r>
          <rPr>
            <sz val="20"/>
            <rFont val="Tahoma"/>
            <family val="2"/>
          </rPr>
          <t>Horisontal</t>
        </r>
        <r>
          <rPr>
            <sz val="8"/>
            <rFont val="Tahoma"/>
            <family val="0"/>
          </rPr>
          <t xml:space="preserve">
</t>
        </r>
      </text>
    </comment>
    <comment ref="A36" authorId="0">
      <text>
        <r>
          <rPr>
            <sz val="20"/>
            <rFont val="Tahoma"/>
            <family val="2"/>
          </rPr>
          <t xml:space="preserve">Horisontal
</t>
        </r>
        <r>
          <rPr>
            <sz val="8"/>
            <rFont val="Tahoma"/>
            <family val="0"/>
          </rPr>
          <t xml:space="preserve">
</t>
        </r>
      </text>
    </comment>
    <comment ref="A18" authorId="0">
      <text>
        <r>
          <rPr>
            <sz val="20"/>
            <rFont val="Tahoma"/>
            <family val="2"/>
          </rPr>
          <t>Vertikal</t>
        </r>
        <r>
          <rPr>
            <sz val="8"/>
            <rFont val="Tahoma"/>
            <family val="0"/>
          </rPr>
          <t xml:space="preserve">
</t>
        </r>
      </text>
    </comment>
    <comment ref="B1" authorId="0">
      <text>
        <r>
          <rPr>
            <b/>
            <sz val="8"/>
            <rFont val="Tahoma"/>
            <family val="0"/>
          </rPr>
          <t xml:space="preserve">indsæt firmanavn
</t>
        </r>
      </text>
    </comment>
  </commentList>
</comments>
</file>

<file path=xl/comments5.xml><?xml version="1.0" encoding="utf-8"?>
<comments xmlns="http://schemas.openxmlformats.org/spreadsheetml/2006/main">
  <authors>
    <author>Brygger</author>
    <author>IT afdelingen</author>
  </authors>
  <commentList>
    <comment ref="A381" authorId="0">
      <text>
        <r>
          <rPr>
            <b/>
            <sz val="8"/>
            <rFont val="Tahoma"/>
            <family val="0"/>
          </rPr>
          <t>Marker de 2 rækker 59 og 380,
højre klik på musen,
vælg vis. 
Lånet får dermed 360 terminer. 
(30 år af 12 terminer)</t>
        </r>
      </text>
    </comment>
    <comment ref="D3" authorId="1">
      <text>
        <r>
          <rPr>
            <b/>
            <sz val="14"/>
            <rFont val="Tahoma"/>
            <family val="2"/>
          </rPr>
          <t xml:space="preserve">Hvis lånet er et obligationslån er det typisk at kursen er under 100 når lånet optagets. Indtastningen kan være
f.eks. 90 eller 95.  Kursen angiver hvor mange % af hovedstolen låntager får udbetalt.
</t>
        </r>
        <r>
          <rPr>
            <sz val="14"/>
            <rFont val="Tahoma"/>
            <family val="2"/>
          </rPr>
          <t xml:space="preserve">
</t>
        </r>
      </text>
    </comment>
    <comment ref="D10" authorId="1">
      <text>
        <r>
          <rPr>
            <sz val="14"/>
            <rFont val="Tahoma"/>
            <family val="2"/>
          </rPr>
          <t xml:space="preserve">Nominel rente pr. termin er, nominel rente pr. år divideret med terminer pr år. 
F.eks hvis renten er 10% med 2 terminer pr. år 
er det 5% (10%/2) pr. halvår.
Excel udregner selv de 5%.
</t>
        </r>
      </text>
    </comment>
    <comment ref="D9" authorId="1">
      <text>
        <r>
          <rPr>
            <sz val="14"/>
            <rFont val="Tahoma"/>
            <family val="2"/>
          </rPr>
          <t>Hvis lånet er 10 årigt med halvårlige terminer udregner excel selv at der skal stå 10*2= 20 i dette felt (20 terminer á et ½ år)</t>
        </r>
      </text>
    </comment>
    <comment ref="D2" authorId="1">
      <text>
        <r>
          <rPr>
            <b/>
            <sz val="16"/>
            <rFont val="Tahoma"/>
            <family val="2"/>
          </rPr>
          <t>Der må kun tastes i de farvede celler. Indtast hovedstolen her</t>
        </r>
      </text>
    </comment>
    <comment ref="D5" authorId="1">
      <text>
        <r>
          <rPr>
            <b/>
            <sz val="14"/>
            <rFont val="Tahoma"/>
            <family val="2"/>
          </rPr>
          <t>Dette tal kaldes for nettoprovenuet og er de penge som låntager får udbetalt</t>
        </r>
        <r>
          <rPr>
            <b/>
            <sz val="8"/>
            <rFont val="Tahoma"/>
            <family val="0"/>
          </rPr>
          <t xml:space="preserve">
</t>
        </r>
      </text>
    </comment>
    <comment ref="D4" authorId="1">
      <text>
        <r>
          <rPr>
            <b/>
            <sz val="14"/>
            <rFont val="Tahoma"/>
            <family val="2"/>
          </rPr>
          <t xml:space="preserve">De fleste lån har stiftelsesomkostninger / etableringsomkostninger når lånet skal optages. For et lån på 1.000.000 kan det f.eks. være kr. 10.000.
</t>
        </r>
      </text>
    </comment>
    <comment ref="D8" authorId="1">
      <text>
        <r>
          <rPr>
            <b/>
            <sz val="14"/>
            <rFont val="Tahoma"/>
            <family val="2"/>
          </rPr>
          <t>Hvis lånet har årlige ydelser tastes 1
Hvis der er halv årlige ydelser tastes 2 
Hvis der er kvartårlige ydelser tastes 4
Hvis der er måndelige ydelser tastes 12</t>
        </r>
        <r>
          <rPr>
            <sz val="14"/>
            <rFont val="Tahoma"/>
            <family val="2"/>
          </rPr>
          <t xml:space="preserve">
</t>
        </r>
      </text>
    </comment>
    <comment ref="D12" authorId="1">
      <text>
        <r>
          <rPr>
            <b/>
            <sz val="14"/>
            <rFont val="Tahoma"/>
            <family val="2"/>
          </rPr>
          <t xml:space="preserve">Normalt er der ikke noget gebyr i opgaverne,
derfor skal der normalt stå 0
</t>
        </r>
      </text>
    </comment>
    <comment ref="D16" authorId="1">
      <text>
        <r>
          <rPr>
            <b/>
            <sz val="14"/>
            <rFont val="Tahoma"/>
            <family val="2"/>
          </rPr>
          <t>Husk den effektive rente er den rigtige rente som låntager betaler for lånet. 
Ved forbruger køb skal den effektive rente oplyses. Den benævnes som ÅOP (Årlige Omkostninger i Procent).</t>
        </r>
      </text>
    </comment>
  </commentList>
</comments>
</file>

<file path=xl/comments7.xml><?xml version="1.0" encoding="utf-8"?>
<comments xmlns="http://schemas.openxmlformats.org/spreadsheetml/2006/main">
  <authors>
    <author>Brygger</author>
  </authors>
  <commentList>
    <comment ref="A380" authorId="0">
      <text>
        <r>
          <rPr>
            <b/>
            <sz val="8"/>
            <rFont val="Tahoma"/>
            <family val="2"/>
          </rPr>
          <t>Marker de 2 rækker 59 og 380,
højre klik på musen,
vælg vis. 
Lånet får dermed 360 terminer. 
(30 år af 12 terminer)</t>
        </r>
      </text>
    </comment>
  </commentList>
</comments>
</file>

<file path=xl/sharedStrings.xml><?xml version="1.0" encoding="utf-8"?>
<sst xmlns="http://schemas.openxmlformats.org/spreadsheetml/2006/main" count="978" uniqueCount="413">
  <si>
    <t>Kurs</t>
  </si>
  <si>
    <t>Ydelse</t>
  </si>
  <si>
    <t>Termin</t>
  </si>
  <si>
    <t>Restgæld primo</t>
  </si>
  <si>
    <t>Rente</t>
  </si>
  <si>
    <t>Afdrag</t>
  </si>
  <si>
    <t>Restgæld ultimo</t>
  </si>
  <si>
    <t>Beregning af effektiv rente på annuitetslån:</t>
  </si>
  <si>
    <t>Ydelse (rente og afdrag)</t>
  </si>
  <si>
    <t>FV</t>
  </si>
  <si>
    <t>Beregning af effektiv rente på stående lån:</t>
  </si>
  <si>
    <t>Evt. omk ved låneoptagelse</t>
  </si>
  <si>
    <t>Total</t>
  </si>
  <si>
    <t>Gebyr pr. termin</t>
  </si>
  <si>
    <t>total</t>
  </si>
  <si>
    <t>Ydelse incl gebyr</t>
  </si>
  <si>
    <t xml:space="preserve">Ydelse </t>
  </si>
  <si>
    <t>Ydelse incl. gebyr</t>
  </si>
  <si>
    <t>Til udbetaling / nettoprovenuet</t>
  </si>
  <si>
    <t>1-(1+ r)</t>
  </si>
  <si>
    <t>-n</t>
  </si>
  <si>
    <t>*</t>
  </si>
  <si>
    <t>b</t>
  </si>
  <si>
    <t>r</t>
  </si>
  <si>
    <t>=</t>
  </si>
  <si>
    <t>Ved at indsætte tallene får man:</t>
  </si>
  <si>
    <t>Isolering af diskonteringsfaktoren:</t>
  </si>
  <si>
    <t>Ved at prøve sig frem kan r findes til:</t>
  </si>
  <si>
    <t>Eller udtrykt i procent:</t>
  </si>
  <si>
    <t>Nettoprovenuet</t>
  </si>
  <si>
    <t>+</t>
  </si>
  <si>
    <t>(1+r)</t>
  </si>
  <si>
    <t>Afbetalingsbeløbet</t>
  </si>
  <si>
    <t>(</t>
  </si>
  <si>
    <t>)</t>
  </si>
  <si>
    <t>Antal år</t>
  </si>
  <si>
    <t>Terminer pr. år</t>
  </si>
  <si>
    <t>Antal terminer i alt</t>
  </si>
  <si>
    <t xml:space="preserve">Årlig effektiv rente </t>
  </si>
  <si>
    <t>Nominel rente pr. år</t>
  </si>
  <si>
    <t>Nominel rente pr. termin</t>
  </si>
  <si>
    <t>Evt. omk.ved låneoptagelse</t>
  </si>
  <si>
    <t>Effektiv rente pr år</t>
  </si>
  <si>
    <t>Nominel rente pr. pr. termin</t>
  </si>
  <si>
    <t>Først beregnes ydelsen (b) udfra hovedstolen:</t>
  </si>
  <si>
    <t>Hovedstolen ændres til nettoprovenuet og renten beregnes:</t>
  </si>
  <si>
    <t xml:space="preserve">Hovedstolen </t>
  </si>
  <si>
    <t>Ydelsen (b)</t>
  </si>
  <si>
    <t>Hovedstolen * renteprocenten pr termin</t>
  </si>
  <si>
    <t>Først beregnes ydelsen udfra hovedstolen:</t>
  </si>
  <si>
    <t xml:space="preserve">Ydelsen, nettoprovenuet og afbetalingsbeløbet indsættes i nedenstående ligning for at finde renten (r): </t>
  </si>
  <si>
    <t>Lånets størrelse, Hovedstol</t>
  </si>
  <si>
    <t>(Beregning: se note til stående lån)</t>
  </si>
  <si>
    <t>(Beregning: se note til annuitetslån)</t>
  </si>
  <si>
    <r>
      <t xml:space="preserve">Note til beregningen af den effektive rente på annuitetslån: </t>
    </r>
    <r>
      <rPr>
        <sz val="12"/>
        <rFont val="Arial"/>
        <family val="0"/>
      </rPr>
      <t xml:space="preserve">                                           Den effektive rente på et annuitetslån beregnes ved at bruge nedenstående formel. Først findes ydelsen (b). Derefter ændres hovedstolen til nettoprovenuet som sættes lig med annuitets-diskonteringsfaktoren (rentetabel 4) ganget med betalingen/ydelsen pr termin (b). Renten (r) er den ubekendte som skal findes. </t>
    </r>
  </si>
  <si>
    <t>Skærmbillede 1:</t>
  </si>
  <si>
    <t>Værdier</t>
  </si>
  <si>
    <t>Resultat</t>
  </si>
  <si>
    <t>N</t>
  </si>
  <si>
    <t>antal terminer, f.eks år</t>
  </si>
  <si>
    <t>I%</t>
  </si>
  <si>
    <t>renten</t>
  </si>
  <si>
    <t>PV</t>
  </si>
  <si>
    <t>Present value, nutidsværdi</t>
  </si>
  <si>
    <t>PMT</t>
  </si>
  <si>
    <t>Betaling pr. termin, ydelsen</t>
  </si>
  <si>
    <t>Future value</t>
  </si>
  <si>
    <t>Skærmbillede 2:</t>
  </si>
  <si>
    <t>Skærmbillede 3:</t>
  </si>
  <si>
    <t>Nutidsværdi af annuitetslån:</t>
  </si>
  <si>
    <t>Nutidsværdi af stående lån:</t>
  </si>
  <si>
    <t>kapitalværdi af "investeringen"</t>
  </si>
  <si>
    <t>år</t>
  </si>
  <si>
    <t>rente</t>
  </si>
  <si>
    <t>Tid / År</t>
  </si>
  <si>
    <t>Indbetalinger</t>
  </si>
  <si>
    <t>Udbetalinger</t>
  </si>
  <si>
    <t>Net Cash-Flow</t>
  </si>
  <si>
    <t>NPV, nutidsværdimetoden, kapitalværdienmetoden</t>
  </si>
  <si>
    <t>Annuitetsmetoden (Det årlige resultat)/PMT</t>
  </si>
  <si>
    <t>Tilbagebetalingstiden i år (pay -back)</t>
  </si>
  <si>
    <t>nutidsværdi</t>
  </si>
  <si>
    <t>omregnet til en annuitet</t>
  </si>
  <si>
    <t>Kommentarer:</t>
  </si>
  <si>
    <r>
      <t>Diskonteringsfaktoren Rentetabel 2  (1+r)</t>
    </r>
    <r>
      <rPr>
        <b/>
        <vertAlign val="superscript"/>
        <sz val="12"/>
        <rFont val="Arial"/>
        <family val="2"/>
      </rPr>
      <t>-n</t>
    </r>
  </si>
  <si>
    <r>
      <t xml:space="preserve">Nutidsværdi </t>
    </r>
    <r>
      <rPr>
        <b/>
        <vertAlign val="superscript"/>
        <sz val="12"/>
        <rFont val="Arial"/>
        <family val="2"/>
      </rPr>
      <t xml:space="preserve"> Diskonteringsfaktoren * Net cash-flow</t>
    </r>
  </si>
  <si>
    <r>
      <t>Diskonteringsfaktoren   (1+r)</t>
    </r>
    <r>
      <rPr>
        <b/>
        <vertAlign val="superscript"/>
        <sz val="12"/>
        <rFont val="Arial"/>
        <family val="2"/>
      </rPr>
      <t xml:space="preserve">-n </t>
    </r>
    <r>
      <rPr>
        <b/>
        <sz val="12"/>
        <rFont val="Arial"/>
        <family val="2"/>
      </rPr>
      <t>ved IRR</t>
    </r>
  </si>
  <si>
    <r>
      <t>NPV omregnet til en  annuitet = ((1+r)</t>
    </r>
    <r>
      <rPr>
        <b/>
        <vertAlign val="superscript"/>
        <sz val="12"/>
        <rFont val="Arial"/>
        <family val="2"/>
      </rPr>
      <t xml:space="preserve">n </t>
    </r>
    <r>
      <rPr>
        <b/>
        <sz val="12"/>
        <rFont val="Arial"/>
        <family val="2"/>
      </rPr>
      <t>*r) / ((1+r)</t>
    </r>
    <r>
      <rPr>
        <b/>
        <vertAlign val="superscript"/>
        <sz val="12"/>
        <rFont val="Arial"/>
        <family val="2"/>
      </rPr>
      <t>n</t>
    </r>
    <r>
      <rPr>
        <b/>
        <sz val="12"/>
        <rFont val="Arial"/>
        <family val="2"/>
      </rPr>
      <t>-1)</t>
    </r>
  </si>
  <si>
    <t>Opgave 1</t>
  </si>
  <si>
    <r>
      <t>Note til beregning af den effektive rente på såtende lån:</t>
    </r>
    <r>
      <rPr>
        <sz val="12"/>
        <rFont val="Arial"/>
        <family val="0"/>
      </rPr>
      <t xml:space="preserve">                                                                                                                 Den effektive rente på et stående lån beregnes ved at bruge nedenstående formel. Formlen er en kombination af annuitets-diskonteringsfaktoren og den almindelige diskonteringsfaktor. Renten (r) er den ubekendte, b er ydelsen, da ydelsen på et stående lån kun består af rente er b lig med rentebetalingen pr. termin. Afbetalingsbeløbet er afdraget ved lånets udløb. </t>
    </r>
  </si>
  <si>
    <t>1.1 Den interne rente (IRR)</t>
  </si>
  <si>
    <t>Resultatopgørelse</t>
  </si>
  <si>
    <t>Resultat før renter</t>
  </si>
  <si>
    <t>Renter</t>
  </si>
  <si>
    <t>Resultat efter renter</t>
  </si>
  <si>
    <t xml:space="preserve">Balance </t>
  </si>
  <si>
    <t>Aktiver (kapitalanvendelse)</t>
  </si>
  <si>
    <t>Passiver (kapitalfremskaffelse)</t>
  </si>
  <si>
    <t>Anlægsaktiver</t>
  </si>
  <si>
    <t>Langfristet kapital</t>
  </si>
  <si>
    <t>Omsætningsaktiver</t>
  </si>
  <si>
    <t>Egenkapital</t>
  </si>
  <si>
    <t xml:space="preserve">Varelager </t>
  </si>
  <si>
    <t>Langfristet gæld</t>
  </si>
  <si>
    <t>Varedebitorer</t>
  </si>
  <si>
    <t>Varekreditorer</t>
  </si>
  <si>
    <t>Likvider</t>
  </si>
  <si>
    <t>Kortfristet gæld</t>
  </si>
  <si>
    <t>Aktiver i alt</t>
  </si>
  <si>
    <t>Passiver i alt</t>
  </si>
  <si>
    <t>Beregning af nøgletal:</t>
  </si>
  <si>
    <t>krav</t>
  </si>
  <si>
    <t>Anlægsgrad</t>
  </si>
  <si>
    <t>*100</t>
  </si>
  <si>
    <t>Aktiver</t>
  </si>
  <si>
    <t>Langfristet kapitalgrad</t>
  </si>
  <si>
    <t xml:space="preserve">Passiver </t>
  </si>
  <si>
    <t>Gældsætningsgrad</t>
  </si>
  <si>
    <t>Gæld</t>
  </si>
  <si>
    <t>Soliditetsgrad</t>
  </si>
  <si>
    <t>Gearing</t>
  </si>
  <si>
    <t>Afkastningsgrad</t>
  </si>
  <si>
    <t>Gældsrente</t>
  </si>
  <si>
    <t>Lavest</t>
  </si>
  <si>
    <t>Gældsforpligtelser</t>
  </si>
  <si>
    <t>Egenkapitalens forrentning</t>
  </si>
  <si>
    <t>Kapitalbindingsgrad</t>
  </si>
  <si>
    <t>&lt;100</t>
  </si>
  <si>
    <t>Lang gæld</t>
  </si>
  <si>
    <t>Likviditetsgrad 1</t>
  </si>
  <si>
    <t>Mest likvide aktiver</t>
  </si>
  <si>
    <t>Kort gæld</t>
  </si>
  <si>
    <t>Likviditetsgrad 2</t>
  </si>
  <si>
    <t>SUNKIST</t>
  </si>
  <si>
    <t xml:space="preserve">1.2 Den interne rente er den rente investor får ved investeringen. Kalkulationsrenten er den rente som investor kræver af investeringen. Når IRR er over kalkulationsrenten bør investeringen dermed foretages. Målet for afkastningsgraden (den rente som virksomhedens samlede investeringer tilbagebringer er 15% ifølge virksomhedsbeskrivelsen og bør der med ikke foretages. Men ved udregning af AG er AG kun på 4% så hvis investeringen foretages trækker det den faktiske afkastningsgraden op hvilket kan indikere at SUNKIST bør foretage investeringen. </t>
  </si>
  <si>
    <t xml:space="preserve">Det påvirker dermed ikke soliditeten væsentligt i negativ retning at finansiere investeringen med et langfristet lån. Virksomheden bør nedbringe kapitalbindingsgraden, derfor skal lånet være langfristet. Da beløbet 11 mil. er så lille vil der være for mange omkostninger forbundet med at foretage en aktieemmision, så langfristet gæld vil være at foretrkække. </t>
  </si>
  <si>
    <t>Alt er afspejlet i den effektive rente og man bør derfor vælge det stående lån. Eller lånet med den laveste nutidsværdi, det er det lån som man betaler mindst for.</t>
  </si>
  <si>
    <t xml:space="preserve">Fast/variabel rente, Valutarisiko, opsigelighed/indrielsesvilkår, osv. </t>
  </si>
  <si>
    <t>Prisoptimering</t>
  </si>
  <si>
    <t>Produkt :</t>
  </si>
  <si>
    <t>Produktionstid:</t>
  </si>
  <si>
    <t>stk. pr. time</t>
  </si>
  <si>
    <t>Navn</t>
  </si>
  <si>
    <t>Nr.</t>
  </si>
  <si>
    <t>Pris</t>
  </si>
  <si>
    <t>Afsætning</t>
  </si>
  <si>
    <t>Omsætning</t>
  </si>
  <si>
    <t>VE</t>
  </si>
  <si>
    <t>VO</t>
  </si>
  <si>
    <t>DB</t>
  </si>
  <si>
    <t>KO,faste</t>
  </si>
  <si>
    <t>Overskud</t>
  </si>
  <si>
    <t>DB pr stk.</t>
  </si>
  <si>
    <t xml:space="preserve">Tidsforbrug </t>
  </si>
  <si>
    <t>DB pr time</t>
  </si>
  <si>
    <t>Differensbidrag pr. time</t>
  </si>
  <si>
    <t>ekstra timer</t>
  </si>
  <si>
    <t xml:space="preserve">Optimum </t>
  </si>
  <si>
    <t>i overskud</t>
  </si>
  <si>
    <t>Optimal pris</t>
  </si>
  <si>
    <t>Optimal mængde</t>
  </si>
  <si>
    <t>Ekstra timer</t>
  </si>
  <si>
    <t>Optimeringstabel</t>
  </si>
  <si>
    <t>Maks kapacitet</t>
  </si>
  <si>
    <t>timer</t>
  </si>
  <si>
    <t>Prioritet</t>
  </si>
  <si>
    <t>Dif.bidrag</t>
  </si>
  <si>
    <t>Produkt</t>
  </si>
  <si>
    <t>Ekstra timeforbrug</t>
  </si>
  <si>
    <t>Akk. timeforbrug</t>
  </si>
  <si>
    <t>Produktion</t>
  </si>
  <si>
    <t>1 prioritet</t>
  </si>
  <si>
    <t>2 prioritet</t>
  </si>
  <si>
    <t>3 prioritet</t>
  </si>
  <si>
    <t>4 prioritet</t>
  </si>
  <si>
    <t>5 prioritet</t>
  </si>
  <si>
    <t>6 prioritet</t>
  </si>
  <si>
    <t>7 prioritet</t>
  </si>
  <si>
    <t>8 prioritet</t>
  </si>
  <si>
    <t>9 prioritet</t>
  </si>
  <si>
    <t>10 prioritet</t>
  </si>
  <si>
    <t>11 prioritet</t>
  </si>
  <si>
    <t>12 prioritet</t>
  </si>
  <si>
    <t>Produkt:</t>
  </si>
  <si>
    <t>FO</t>
  </si>
  <si>
    <t>I alt</t>
  </si>
  <si>
    <t>Mindste /sortering</t>
  </si>
  <si>
    <t>Største dif. Bidrag</t>
  </si>
  <si>
    <t>Akk time forbrug</t>
  </si>
  <si>
    <t>Danmark</t>
  </si>
  <si>
    <t>Tyskland</t>
  </si>
  <si>
    <t>England</t>
  </si>
  <si>
    <t xml:space="preserve"> 3.2 Afsætningsplan:</t>
  </si>
  <si>
    <t>3.1</t>
  </si>
  <si>
    <t>3.3</t>
  </si>
  <si>
    <t xml:space="preserve"> 3.3 Afsætningsplan:</t>
  </si>
  <si>
    <t xml:space="preserve">fortjeneste på 3.150.000, dette skal divideres med 2000 stk motorer. Max. Pris pr. motor er </t>
  </si>
  <si>
    <t>plus prisen på 1.900</t>
  </si>
  <si>
    <t>Dvs. i alt 3.475 pr. motor eller samlet</t>
  </si>
  <si>
    <t>3.4</t>
  </si>
  <si>
    <t>Lageromkostningerne stiger som følge af den øgede mængde (større pengebinding/likviditet)</t>
  </si>
  <si>
    <t>Faktisk afsætning</t>
  </si>
  <si>
    <t xml:space="preserve">Faktisk pris </t>
  </si>
  <si>
    <t>Budget afsætning</t>
  </si>
  <si>
    <t>Budget pris</t>
  </si>
  <si>
    <t>Aktuelt</t>
  </si>
  <si>
    <t>Budget</t>
  </si>
  <si>
    <t>Afvigelse</t>
  </si>
  <si>
    <t>Standard omsætning</t>
  </si>
  <si>
    <t>Standard vareforbrug</t>
  </si>
  <si>
    <t>Standard bruttofortjeneste</t>
  </si>
  <si>
    <t>Standard salgsprovision</t>
  </si>
  <si>
    <t>Faktisk oms - (faktisk afs. * budget pris)</t>
  </si>
  <si>
    <t>Salgsprisafvigelse:</t>
  </si>
  <si>
    <t>(F. køb. * B vareforbrug) - F. købsomk</t>
  </si>
  <si>
    <t>Indkøbsafvigelse:</t>
  </si>
  <si>
    <t>Lønsatsafvigelse</t>
  </si>
  <si>
    <t>F. salgsp - (faktisk afs. * B. salgsprov)</t>
  </si>
  <si>
    <t>Salgsprovision afvigelse</t>
  </si>
  <si>
    <t>Realiseret DB</t>
  </si>
  <si>
    <t>Afvigelse Markedsførings omk.</t>
  </si>
  <si>
    <t>Markedsføringsbidrag</t>
  </si>
  <si>
    <t>Afvigelse Kontante kap.</t>
  </si>
  <si>
    <t>Realiseret IB</t>
  </si>
  <si>
    <t>Varelager optalt</t>
  </si>
  <si>
    <t>beregnet lager ultimo</t>
  </si>
  <si>
    <t>Faktisk optalt lager</t>
  </si>
  <si>
    <t>kr</t>
  </si>
  <si>
    <t>Faktisk indkøbspris</t>
  </si>
  <si>
    <t>Faktisk salgsprovision pr stk.</t>
  </si>
  <si>
    <t>Opgave 4</t>
  </si>
  <si>
    <t>1 kvartal 2007</t>
  </si>
  <si>
    <t>Forbrugsafvigelse Varelager:</t>
  </si>
  <si>
    <t>Råvarelager</t>
  </si>
  <si>
    <t>Færdigvarerlager</t>
  </si>
  <si>
    <t>Primo</t>
  </si>
  <si>
    <t>+ tilgang</t>
  </si>
  <si>
    <t>- afgang</t>
  </si>
  <si>
    <t>Ultimo beholdning</t>
  </si>
  <si>
    <t>Faktisk ultimobeholdning</t>
  </si>
  <si>
    <t>Afvigelse i mængde</t>
  </si>
  <si>
    <t>Afvigelse i kr.</t>
  </si>
  <si>
    <t>Gardinstof</t>
  </si>
  <si>
    <t>Glidestang</t>
  </si>
  <si>
    <t>Glidere</t>
  </si>
  <si>
    <t>Bånd</t>
  </si>
  <si>
    <t>Resultatbudget og Resultatkontrol for SUNKIST A/S</t>
  </si>
  <si>
    <t>Noter:</t>
  </si>
  <si>
    <t>Ultimo behold.</t>
  </si>
  <si>
    <t>Faktisk behold.</t>
  </si>
  <si>
    <t>Afvigelse i stk.</t>
  </si>
  <si>
    <t>Standard lønsats kr</t>
  </si>
  <si>
    <t>Standard løn forbrug</t>
  </si>
  <si>
    <t>Timer</t>
  </si>
  <si>
    <t>løn andel i VUF</t>
  </si>
  <si>
    <t>Afvigelse i kr. / total</t>
  </si>
  <si>
    <t>Faktisk indkøb i kr</t>
  </si>
  <si>
    <t>Faktisk indkøb i mængde</t>
  </si>
  <si>
    <t>Faktisk indkøb * standardpris</t>
  </si>
  <si>
    <t>Standardpris</t>
  </si>
  <si>
    <t xml:space="preserve">Standardforbrug </t>
  </si>
  <si>
    <t>Faktisk løn udbetalt</t>
  </si>
  <si>
    <t>Forbrugt arbejdsløn i timer</t>
  </si>
  <si>
    <t>Faktisk løn * standardpris</t>
  </si>
  <si>
    <t>Afvigelse i kr / total</t>
  </si>
  <si>
    <t>Stk.</t>
  </si>
  <si>
    <t>+Indkøb</t>
  </si>
  <si>
    <t>-afgang</t>
  </si>
  <si>
    <t>Afsætningen er 600 stk. mindre end budgettet, hvilket bevirker at vi taber 138.600</t>
  </si>
  <si>
    <t>Salgsprisen er derimod steget fra 638 i budgettet til 645 i regnskabet hvilket har medført at vi har tjent 65.800</t>
  </si>
  <si>
    <t>Faktisk forbrug</t>
  </si>
  <si>
    <t>Faktisk pris</t>
  </si>
  <si>
    <t>Indkøbet af gardinstof har været 2 kr. dyrere end forventet. En ekstra omk. På 48.000</t>
  </si>
  <si>
    <t>Forbruget af gardinstof har ikke været 2,3 meter som i budgettet men 2.5 meter, merudgift 132.480</t>
  </si>
  <si>
    <t>Lønnen har været 242 kr. pr time og ikke som i budgettet 250, besparelse 38.400</t>
  </si>
  <si>
    <t>uheldigvis er timeforbruget steget fra 0,5 i budgettet til 0,51 i regnskabet, vi taber 26.250</t>
  </si>
  <si>
    <t xml:space="preserve">Tabet på ca. 300.000 ifht. Budgettet skyldes primært følgende forhold: </t>
  </si>
  <si>
    <t>Konklusionen er at vi sælger 17.000 stk. motorer og tjener 39.000.000, dette skal sammen holdes med 15.000 stk og et DB på 35.850.000 dvs. en mer-</t>
  </si>
  <si>
    <t>Standard DB (mængdeafvigelsen)</t>
  </si>
  <si>
    <t>Investeringen i tid 0</t>
  </si>
  <si>
    <t>Oprettelse af salgskontorer</t>
  </si>
  <si>
    <t>Lagerfaciliteter</t>
  </si>
  <si>
    <t>Lageret</t>
  </si>
  <si>
    <t>Markedsføringskampagne</t>
  </si>
  <si>
    <t>i alt</t>
  </si>
  <si>
    <t>Salge af lager til kostpris</t>
  </si>
  <si>
    <t>Depositium lokaler</t>
  </si>
  <si>
    <t>i alt i 2013</t>
  </si>
  <si>
    <t>Indbetaling i 2013:</t>
  </si>
  <si>
    <t>2.4</t>
  </si>
  <si>
    <t>Cash flowet fra investeringen passer bedst til det stående lån, da hovedparten af indbetalingerne først kommer i år 3-6. Hvis man vælger annuitetslånet skal der betales ydelser på (533.353 pr. kv.) ca. 2.133.412 pr. år det vil give et likviditetsmæssigt underskud de første 3 år af investeringen.</t>
  </si>
  <si>
    <t>Man foretager et samlet vurdering af lånet ud fra mange variable. F.eks. Om lånet har variabel rente eller fast rente, hvilken valuta lånet optages i. Man vurderer også om det er fornuftigt at låne "mange" penge af den samme kreditor. Lånetypen, banklån eller obligationslån.</t>
  </si>
  <si>
    <t xml:space="preserve">Resultatkontrol </t>
  </si>
  <si>
    <t>1 kvartal 2005</t>
  </si>
  <si>
    <t>faktisk afsætning</t>
  </si>
  <si>
    <t>faktisk oms</t>
  </si>
  <si>
    <t xml:space="preserve">faktisk pris </t>
  </si>
  <si>
    <t>budget afsætning</t>
  </si>
  <si>
    <t>budget pris</t>
  </si>
  <si>
    <t>Standard Bruttofortjeneste</t>
  </si>
  <si>
    <t>Standard Dækningsbidrag</t>
  </si>
  <si>
    <t>+/- Afvigelser:</t>
  </si>
  <si>
    <t>note 1</t>
  </si>
  <si>
    <t>Salgsprisafvigelse</t>
  </si>
  <si>
    <t>Indkøbsprisafvigels:</t>
  </si>
  <si>
    <t>note 2</t>
  </si>
  <si>
    <t>note 3</t>
  </si>
  <si>
    <t>note 4</t>
  </si>
  <si>
    <t>note 5</t>
  </si>
  <si>
    <t>note 6</t>
  </si>
  <si>
    <t>note 7</t>
  </si>
  <si>
    <t>note 8</t>
  </si>
  <si>
    <t>note 9</t>
  </si>
  <si>
    <t>Forbrugsafvigelser:</t>
  </si>
  <si>
    <t>note 10</t>
  </si>
  <si>
    <t>Produktionsafdeling 1</t>
  </si>
  <si>
    <t>note 11</t>
  </si>
  <si>
    <t>Produktionsafdeling 2</t>
  </si>
  <si>
    <t>note 12</t>
  </si>
  <si>
    <t>Pakkeafdelingen</t>
  </si>
  <si>
    <t>Lagerafvigelser:</t>
  </si>
  <si>
    <t>note 13</t>
  </si>
  <si>
    <t>Råvarerlagerafvigelse</t>
  </si>
  <si>
    <t>note 14</t>
  </si>
  <si>
    <t>Færdigvarelagerafvigelse</t>
  </si>
  <si>
    <t>note 15</t>
  </si>
  <si>
    <t>Salgsprovisionsafvigelse</t>
  </si>
  <si>
    <t>-Salgsfremmende omkostninger</t>
  </si>
  <si>
    <t>-kontante kapacititetsomk.</t>
  </si>
  <si>
    <t>Indtjeningsbidrag</t>
  </si>
  <si>
    <t>Faktisk omsætning:</t>
  </si>
  <si>
    <t>ganget med</t>
  </si>
  <si>
    <t>faktisk pris</t>
  </si>
  <si>
    <t>Standardomsætning:</t>
  </si>
  <si>
    <t>budgetteret salgspris</t>
  </si>
  <si>
    <t>Indkøbsprisafvigelse:</t>
  </si>
  <si>
    <t>Faktisk indkøb:</t>
  </si>
  <si>
    <t xml:space="preserve">Faktisk  indkøb </t>
  </si>
  <si>
    <t>faktisk indkøbspris</t>
  </si>
  <si>
    <t>Standardindkøb:</t>
  </si>
  <si>
    <t>Standardindkøbspris</t>
  </si>
  <si>
    <t>Råvare X</t>
  </si>
  <si>
    <t>Lønsatsafvigelse:</t>
  </si>
  <si>
    <t>Afdeling 1</t>
  </si>
  <si>
    <t>Faktisk løn:</t>
  </si>
  <si>
    <t>Faktisk udbetalet timer</t>
  </si>
  <si>
    <t>faktisk timeløn</t>
  </si>
  <si>
    <t>Standardlønafregning:</t>
  </si>
  <si>
    <t>Standardlønsats</t>
  </si>
  <si>
    <t>Afdeling 2</t>
  </si>
  <si>
    <t>Afdeling 3</t>
  </si>
  <si>
    <t>Afdeling 4</t>
  </si>
  <si>
    <t>Standardomkostningskontrol i produktionsafdeling 1</t>
  </si>
  <si>
    <t>gardin stof</t>
  </si>
  <si>
    <t>Glide stang</t>
  </si>
  <si>
    <t>Arbejdstid</t>
  </si>
  <si>
    <t>Faktisk forbrug:</t>
  </si>
  <si>
    <t>m2</t>
  </si>
  <si>
    <t>m</t>
  </si>
  <si>
    <t>stk</t>
  </si>
  <si>
    <t>meter</t>
  </si>
  <si>
    <t>Tilgang af råvarer og arbejdstid</t>
  </si>
  <si>
    <t>+ubehandlede råvarer primo</t>
  </si>
  <si>
    <t>-ubehandlede råvarer ultimo</t>
  </si>
  <si>
    <t>Faktisk forbrug i alt</t>
  </si>
  <si>
    <t>Standardforbrug:</t>
  </si>
  <si>
    <t>Produktionen til Færdigvarelager:</t>
  </si>
  <si>
    <t>9300 * 2,3m2/1m/10stk/½ time</t>
  </si>
  <si>
    <t>-</t>
  </si>
  <si>
    <t>+VUF ultimo:</t>
  </si>
  <si>
    <t>980  * 2,3m2/1m/10stk/0,25time</t>
  </si>
  <si>
    <t>-VUF primo:</t>
  </si>
  <si>
    <t>1000 *2,3m2/1m/10stk/0,25 time</t>
  </si>
  <si>
    <t xml:space="preserve">Standardforbrug i alt </t>
  </si>
  <si>
    <t>Afvigelse ved idealstandards</t>
  </si>
  <si>
    <t xml:space="preserve">Kalkuleret svind </t>
  </si>
  <si>
    <t>Afvigelse ved normalstandards</t>
  </si>
  <si>
    <t>Standardpris og -lønsats</t>
  </si>
  <si>
    <t>Afvigelse i kr. ved normalstandard</t>
  </si>
  <si>
    <t>Afvigelse i alt</t>
  </si>
  <si>
    <t>Standardomkostningskontrol i produktionsafdeling 2</t>
  </si>
  <si>
    <t>Produktionen til pakkeafdelingen</t>
  </si>
  <si>
    <t>9300 * 6m</t>
  </si>
  <si>
    <t>7500 cosmo*4kg /1kg /3 timer</t>
  </si>
  <si>
    <t>4502 astro * 6kg /5kg /4 timer</t>
  </si>
  <si>
    <t>1000 cosmo * 2kg/½kg/1½time</t>
  </si>
  <si>
    <t>500 astro* 3kg/2½kg/2 timer</t>
  </si>
  <si>
    <t>Standardomkostningskontrol i pakkeafdelingen</t>
  </si>
  <si>
    <t xml:space="preserve">Fra produktions-afdelingen </t>
  </si>
  <si>
    <t>kasser</t>
  </si>
  <si>
    <t>Astro</t>
  </si>
  <si>
    <t>Cosmo</t>
  </si>
  <si>
    <t>Tilgang af produkter</t>
  </si>
  <si>
    <t>+primo</t>
  </si>
  <si>
    <t>-ultimo</t>
  </si>
  <si>
    <t>Standardforbrug</t>
  </si>
  <si>
    <t>Produktionen til færdigvarelager</t>
  </si>
  <si>
    <t>4400 astro * 1stk /1stk /½ time</t>
  </si>
  <si>
    <t>7400 cosmo*1stk /1stk /½ time</t>
  </si>
  <si>
    <t>+Færdigpakkede ultimo</t>
  </si>
  <si>
    <t>100 Astro * 1stk/ 1stk/½time</t>
  </si>
  <si>
    <t>-Færdigpakkede primo</t>
  </si>
  <si>
    <t>Primobeholdning</t>
  </si>
  <si>
    <t>Manko (Svind/spild)</t>
  </si>
  <si>
    <t>Lamengardiner</t>
  </si>
  <si>
    <t>Ultimo beholdning beregnet</t>
  </si>
  <si>
    <t>Manko (svind /spild)</t>
  </si>
  <si>
    <t>Faktisk Provision:</t>
  </si>
  <si>
    <t>faktisk salgsprovisionsats</t>
  </si>
  <si>
    <t>Standardprovision:</t>
  </si>
  <si>
    <t>Standardprovisionssats</t>
  </si>
  <si>
    <t>Salgsprovisionsafvigelse:</t>
  </si>
  <si>
    <t>Opgave4</t>
  </si>
</sst>
</file>

<file path=xl/styles.xml><?xml version="1.0" encoding="utf-8"?>
<styleSheet xmlns="http://schemas.openxmlformats.org/spreadsheetml/2006/main">
  <numFmts count="54">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0.000"/>
    <numFmt numFmtId="174" formatCode="0.0000"/>
    <numFmt numFmtId="175" formatCode="0.00000"/>
    <numFmt numFmtId="176" formatCode="0.000000"/>
    <numFmt numFmtId="177" formatCode="0.0000000"/>
    <numFmt numFmtId="178" formatCode="_(* #,##0.0_);_(* \(#,##0.0\);_(* &quot;-&quot;??_);_(@_)"/>
    <numFmt numFmtId="179" formatCode="_(* #,##0_);_(* \(#,##0\);_(* &quot;-&quot;??_);_(@_)"/>
    <numFmt numFmtId="180" formatCode="_(* #,##0.000_);_(* \(#,##0.000\);_(* &quot;-&quot;???_);_(@_)"/>
    <numFmt numFmtId="181" formatCode="_(* #,##0.00_);_(* \(#,##0.00\);_(* &quot;-&quot;???_);_(@_)"/>
    <numFmt numFmtId="182" formatCode="_(* #,##0.0_);_(* \(#,##0.0\);_(* &quot;-&quot;???_);_(@_)"/>
    <numFmt numFmtId="183" formatCode="_(* #,##0_);_(* \(#,##0\);_(* &quot;-&quot;???_);_(@_)"/>
    <numFmt numFmtId="184" formatCode="0.0%"/>
    <numFmt numFmtId="185" formatCode="0.000%"/>
    <numFmt numFmtId="186" formatCode="0.0000%"/>
    <numFmt numFmtId="187" formatCode="0.00000%"/>
    <numFmt numFmtId="188" formatCode="#,##0.0"/>
    <numFmt numFmtId="189" formatCode="#,##0.000"/>
    <numFmt numFmtId="190" formatCode="0.000000%"/>
    <numFmt numFmtId="191" formatCode="#,##0.0000"/>
    <numFmt numFmtId="192" formatCode="#,##0.00000"/>
    <numFmt numFmtId="193" formatCode="#,##0.000000"/>
    <numFmt numFmtId="194" formatCode="#,##0.0000000"/>
    <numFmt numFmtId="195" formatCode="_(* #,##0.000_);_(* \(#,##0.000\);_(* &quot;-&quot;??_);_(@_)"/>
    <numFmt numFmtId="196" formatCode="_(* #,##0.0000_);_(* \(#,##0.0000\);_(* &quot;-&quot;??_);_(@_)"/>
    <numFmt numFmtId="197" formatCode="0.00000000"/>
    <numFmt numFmtId="198" formatCode="&quot;kr&quot;\ #,##0.0_);[Red]\(&quot;kr&quot;\ #,##0.0\)"/>
    <numFmt numFmtId="199" formatCode="&quot;kr&quot;\ #,##0.000_);[Red]\(&quot;kr&quot;\ #,##0.000\)"/>
    <numFmt numFmtId="200" formatCode="&quot;kr&quot;\ #,##0.0000_);[Red]\(&quot;kr&quot;\ #,##0.0000\)"/>
    <numFmt numFmtId="201" formatCode="####"/>
    <numFmt numFmtId="202" formatCode="#,##0.000_);\(#,##0.000\)"/>
    <numFmt numFmtId="203" formatCode="#,##0.0_);\(#,##0.0\)"/>
    <numFmt numFmtId="204" formatCode="&quot;Ja&quot;;&quot;Ja&quot;;&quot;Nej&quot;"/>
    <numFmt numFmtId="205" formatCode="&quot;Sand&quot;;&quot;Sand&quot;;&quot;Falsk&quot;"/>
    <numFmt numFmtId="206" formatCode="&quot;Til&quot;;&quot;Til&quot;;&quot;Fra&quot;"/>
    <numFmt numFmtId="207" formatCode="[$€-2]\ #.##000_);[Red]\([$€-2]\ #.##000\)"/>
    <numFmt numFmtId="208" formatCode="_(* #,##0.0_);_(* \(#,##0.0\);_(* &quot;-&quot;?_);_(@_)"/>
    <numFmt numFmtId="209" formatCode="_ * #,##0.0_ ;_ * \-#,##0.0_ ;_ * &quot;-&quot;?_ ;_ @_ "/>
  </numFmts>
  <fonts count="79">
    <font>
      <sz val="10"/>
      <name val="Arial"/>
      <family val="0"/>
    </font>
    <font>
      <b/>
      <sz val="10"/>
      <name val="Arial"/>
      <family val="2"/>
    </font>
    <font>
      <b/>
      <sz val="8"/>
      <name val="Tahoma"/>
      <family val="0"/>
    </font>
    <font>
      <sz val="14"/>
      <name val="Tahoma"/>
      <family val="2"/>
    </font>
    <font>
      <b/>
      <sz val="14"/>
      <name val="Tahoma"/>
      <family val="2"/>
    </font>
    <font>
      <sz val="14"/>
      <name val="Arial"/>
      <family val="0"/>
    </font>
    <font>
      <vertAlign val="superscript"/>
      <sz val="16"/>
      <name val="Arial"/>
      <family val="0"/>
    </font>
    <font>
      <sz val="16"/>
      <name val="Arial"/>
      <family val="0"/>
    </font>
    <font>
      <sz val="18"/>
      <name val="Arial"/>
      <family val="0"/>
    </font>
    <font>
      <sz val="8"/>
      <name val="Arial"/>
      <family val="0"/>
    </font>
    <font>
      <sz val="22"/>
      <name val="Arial"/>
      <family val="2"/>
    </font>
    <font>
      <sz val="20"/>
      <name val="Arial"/>
      <family val="0"/>
    </font>
    <font>
      <sz val="12"/>
      <name val="Arial"/>
      <family val="0"/>
    </font>
    <font>
      <u val="single"/>
      <sz val="10"/>
      <color indexed="12"/>
      <name val="Arial"/>
      <family val="0"/>
    </font>
    <font>
      <u val="single"/>
      <sz val="10"/>
      <color indexed="36"/>
      <name val="Arial"/>
      <family val="0"/>
    </font>
    <font>
      <sz val="36"/>
      <name val="Arial"/>
      <family val="0"/>
    </font>
    <font>
      <vertAlign val="superscript"/>
      <sz val="20"/>
      <name val="Arial"/>
      <family val="0"/>
    </font>
    <font>
      <b/>
      <sz val="12"/>
      <name val="Arial"/>
      <family val="2"/>
    </font>
    <font>
      <b/>
      <sz val="14"/>
      <name val="Arial"/>
      <family val="2"/>
    </font>
    <font>
      <b/>
      <sz val="16"/>
      <name val="Tahoma"/>
      <family val="2"/>
    </font>
    <font>
      <vertAlign val="superscript"/>
      <sz val="14"/>
      <name val="Arial"/>
      <family val="0"/>
    </font>
    <font>
      <b/>
      <sz val="18"/>
      <name val="Arial"/>
      <family val="2"/>
    </font>
    <font>
      <b/>
      <sz val="22"/>
      <name val="Arial"/>
      <family val="2"/>
    </font>
    <font>
      <b/>
      <sz val="16"/>
      <name val="Arial"/>
      <family val="2"/>
    </font>
    <font>
      <b/>
      <sz val="20"/>
      <name val="Arial"/>
      <family val="2"/>
    </font>
    <font>
      <b/>
      <vertAlign val="superscript"/>
      <sz val="12"/>
      <name val="Arial"/>
      <family val="2"/>
    </font>
    <font>
      <sz val="14"/>
      <color indexed="13"/>
      <name val="Arial"/>
      <family val="2"/>
    </font>
    <font>
      <b/>
      <sz val="20"/>
      <name val="Tahoma"/>
      <family val="2"/>
    </font>
    <font>
      <sz val="8"/>
      <name val="Tahoma"/>
      <family val="0"/>
    </font>
    <font>
      <sz val="20"/>
      <name val="Tahoma"/>
      <family val="2"/>
    </font>
    <font>
      <b/>
      <sz val="11"/>
      <name val="Arial"/>
      <family val="2"/>
    </font>
    <font>
      <vertAlign val="subscrip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8"/>
      <name val="Arial"/>
      <family val="2"/>
    </font>
    <font>
      <b/>
      <i/>
      <sz val="12"/>
      <name val="Arial"/>
      <family val="2"/>
    </font>
    <font>
      <sz val="16"/>
      <name val="Tahoma"/>
      <family val="2"/>
    </font>
    <font>
      <b/>
      <sz val="9"/>
      <name val="Tahoma"/>
      <family val="2"/>
    </font>
    <font>
      <b/>
      <sz val="12"/>
      <name val="Tahoma"/>
      <family val="2"/>
    </font>
    <font>
      <sz val="9"/>
      <name val="Tahoma"/>
      <family val="2"/>
    </font>
    <font>
      <vertAlign val="subscript"/>
      <sz val="22"/>
      <name val="Arial"/>
      <family val="2"/>
    </font>
    <font>
      <sz val="12"/>
      <name val="Tahoma"/>
      <family val="2"/>
    </font>
    <font>
      <b/>
      <i/>
      <sz val="10"/>
      <name val="Arial"/>
      <family val="2"/>
    </font>
    <font>
      <sz val="10"/>
      <color indexed="8"/>
      <name val="Arial"/>
      <family val="0"/>
    </font>
    <font>
      <b/>
      <sz val="10"/>
      <color indexed="8"/>
      <name val="Arial"/>
      <family val="0"/>
    </font>
    <font>
      <b/>
      <sz val="19.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7"/>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double"/>
    </border>
    <border>
      <left>
        <color indexed="63"/>
      </left>
      <right>
        <color indexed="63"/>
      </right>
      <top>
        <color indexed="63"/>
      </top>
      <bottom style="double"/>
    </border>
    <border>
      <left>
        <color indexed="63"/>
      </left>
      <right style="medium"/>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thin"/>
      <bottom style="medium"/>
    </border>
    <border>
      <left>
        <color indexed="63"/>
      </left>
      <right style="medium"/>
      <top>
        <color indexed="63"/>
      </top>
      <bottom style="thin"/>
    </border>
    <border>
      <left style="medium"/>
      <right style="medium"/>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color indexed="63"/>
      </bottom>
    </border>
    <border>
      <left style="medium"/>
      <right style="thin"/>
      <top style="thin"/>
      <bottom style="thin"/>
    </border>
    <border>
      <left style="thin"/>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medium"/>
      <top>
        <color indexed="63"/>
      </top>
      <bottom style="thin"/>
    </border>
    <border>
      <left style="thin"/>
      <right style="thin"/>
      <top>
        <color indexed="63"/>
      </top>
      <bottom style="thin"/>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14"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728">
    <xf numFmtId="0" fontId="0" fillId="0" borderId="0" xfId="0" applyAlignment="1">
      <alignment/>
    </xf>
    <xf numFmtId="0" fontId="0" fillId="0" borderId="0" xfId="0" applyFill="1" applyAlignment="1">
      <alignment/>
    </xf>
    <xf numFmtId="0" fontId="0" fillId="0" borderId="0" xfId="0" applyAlignment="1">
      <alignment wrapText="1"/>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0" xfId="0" applyFill="1" applyBorder="1" applyAlignment="1">
      <alignment/>
    </xf>
    <xf numFmtId="0" fontId="0" fillId="0" borderId="11" xfId="0" applyFill="1" applyBorder="1" applyAlignment="1">
      <alignment/>
    </xf>
    <xf numFmtId="0" fontId="0" fillId="0" borderId="0" xfId="0" applyFill="1" applyBorder="1" applyAlignment="1">
      <alignment/>
    </xf>
    <xf numFmtId="0" fontId="0" fillId="0" borderId="12" xfId="0" applyFill="1" applyBorder="1" applyAlignment="1">
      <alignment/>
    </xf>
    <xf numFmtId="10" fontId="0" fillId="0" borderId="13" xfId="0" applyNumberFormat="1" applyFill="1" applyBorder="1" applyAlignment="1">
      <alignment/>
    </xf>
    <xf numFmtId="0" fontId="0" fillId="0" borderId="14" xfId="0" applyFill="1" applyBorder="1" applyAlignment="1">
      <alignment/>
    </xf>
    <xf numFmtId="0" fontId="1" fillId="0" borderId="10" xfId="0" applyFont="1" applyFill="1" applyBorder="1" applyAlignment="1">
      <alignment/>
    </xf>
    <xf numFmtId="0" fontId="1" fillId="0" borderId="0" xfId="0" applyFont="1" applyFill="1" applyBorder="1" applyAlignment="1">
      <alignment/>
    </xf>
    <xf numFmtId="0" fontId="0" fillId="0" borderId="0" xfId="0" applyBorder="1" applyAlignment="1">
      <alignment wrapText="1"/>
    </xf>
    <xf numFmtId="0" fontId="0" fillId="0" borderId="11" xfId="0" applyBorder="1" applyAlignment="1">
      <alignment wrapText="1"/>
    </xf>
    <xf numFmtId="0" fontId="0" fillId="0" borderId="13" xfId="0" applyFill="1" applyBorder="1" applyAlignment="1">
      <alignment/>
    </xf>
    <xf numFmtId="3" fontId="0" fillId="0" borderId="0" xfId="0" applyNumberFormat="1" applyBorder="1" applyAlignment="1">
      <alignment/>
    </xf>
    <xf numFmtId="3" fontId="0" fillId="0" borderId="11" xfId="0" applyNumberFormat="1" applyBorder="1" applyAlignment="1">
      <alignment/>
    </xf>
    <xf numFmtId="3" fontId="0" fillId="33" borderId="11" xfId="0" applyNumberFormat="1" applyFill="1" applyBorder="1" applyAlignment="1" applyProtection="1">
      <alignment/>
      <protection locked="0"/>
    </xf>
    <xf numFmtId="3" fontId="0" fillId="0" borderId="0" xfId="42" applyNumberFormat="1" applyBorder="1" applyAlignment="1">
      <alignment/>
    </xf>
    <xf numFmtId="0" fontId="1" fillId="0" borderId="15" xfId="0" applyFont="1" applyFill="1" applyBorder="1" applyAlignment="1">
      <alignment/>
    </xf>
    <xf numFmtId="3" fontId="0" fillId="0" borderId="0" xfId="0" applyNumberFormat="1" applyFill="1" applyBorder="1" applyAlignment="1">
      <alignment/>
    </xf>
    <xf numFmtId="3" fontId="0" fillId="0" borderId="11" xfId="0" applyNumberFormat="1" applyFill="1" applyBorder="1" applyAlignment="1">
      <alignment/>
    </xf>
    <xf numFmtId="0" fontId="0" fillId="0" borderId="16" xfId="0" applyBorder="1" applyAlignment="1">
      <alignment/>
    </xf>
    <xf numFmtId="3" fontId="0" fillId="0" borderId="17" xfId="0" applyNumberFormat="1" applyBorder="1" applyAlignment="1">
      <alignment/>
    </xf>
    <xf numFmtId="3" fontId="0" fillId="0" borderId="18" xfId="0" applyNumberFormat="1" applyBorder="1" applyAlignment="1">
      <alignment/>
    </xf>
    <xf numFmtId="3" fontId="0" fillId="34" borderId="11" xfId="0" applyNumberFormat="1" applyFill="1" applyBorder="1" applyAlignment="1" applyProtection="1">
      <alignment/>
      <protection locked="0"/>
    </xf>
    <xf numFmtId="3" fontId="0" fillId="0" borderId="11" xfId="0" applyNumberFormat="1" applyBorder="1" applyAlignment="1" applyProtection="1">
      <alignment/>
      <protection locked="0"/>
    </xf>
    <xf numFmtId="0" fontId="0" fillId="34" borderId="11" xfId="0" applyFill="1" applyBorder="1" applyAlignment="1" applyProtection="1">
      <alignment/>
      <protection locked="0"/>
    </xf>
    <xf numFmtId="187" fontId="0" fillId="0" borderId="0" xfId="60" applyNumberFormat="1" applyFill="1" applyBorder="1" applyAlignment="1">
      <alignment/>
    </xf>
    <xf numFmtId="0" fontId="0" fillId="0" borderId="17" xfId="0" applyBorder="1" applyAlignment="1">
      <alignment/>
    </xf>
    <xf numFmtId="0" fontId="0" fillId="0" borderId="18" xfId="0" applyBorder="1" applyAlignment="1">
      <alignment/>
    </xf>
    <xf numFmtId="184" fontId="0" fillId="34" borderId="11" xfId="0" applyNumberFormat="1" applyFill="1" applyBorder="1" applyAlignment="1" applyProtection="1">
      <alignment/>
      <protection locked="0"/>
    </xf>
    <xf numFmtId="0" fontId="0" fillId="0" borderId="0" xfId="0" applyFill="1" applyBorder="1" applyAlignment="1">
      <alignment horizontal="center"/>
    </xf>
    <xf numFmtId="0" fontId="0" fillId="0" borderId="0" xfId="0" applyBorder="1" applyAlignment="1">
      <alignment horizontal="center" wrapText="1"/>
    </xf>
    <xf numFmtId="1" fontId="0" fillId="34" borderId="11" xfId="0" applyNumberFormat="1" applyFill="1" applyBorder="1" applyAlignment="1" applyProtection="1">
      <alignment/>
      <protection locked="0"/>
    </xf>
    <xf numFmtId="1" fontId="0" fillId="33" borderId="11" xfId="0" applyNumberFormat="1" applyFill="1" applyBorder="1" applyAlignment="1" applyProtection="1">
      <alignment/>
      <protection locked="0"/>
    </xf>
    <xf numFmtId="0" fontId="5" fillId="0" borderId="13" xfId="0" applyFont="1" applyBorder="1" applyAlignment="1">
      <alignment/>
    </xf>
    <xf numFmtId="49" fontId="6" fillId="0" borderId="13" xfId="0" applyNumberFormat="1" applyFont="1" applyBorder="1" applyAlignment="1">
      <alignment/>
    </xf>
    <xf numFmtId="0" fontId="0" fillId="0" borderId="0" xfId="0" applyAlignment="1">
      <alignment horizontal="center"/>
    </xf>
    <xf numFmtId="0" fontId="6" fillId="0" borderId="13" xfId="0" applyFont="1" applyBorder="1" applyAlignment="1">
      <alignment horizontal="left"/>
    </xf>
    <xf numFmtId="0" fontId="8" fillId="0" borderId="0" xfId="0" applyFont="1" applyAlignment="1">
      <alignment horizontal="right"/>
    </xf>
    <xf numFmtId="0" fontId="10" fillId="0" borderId="0" xfId="0" applyFont="1" applyAlignment="1">
      <alignment horizontal="center"/>
    </xf>
    <xf numFmtId="174" fontId="7" fillId="0" borderId="0" xfId="60" applyNumberFormat="1" applyFont="1" applyAlignment="1">
      <alignment/>
    </xf>
    <xf numFmtId="0" fontId="5" fillId="0" borderId="0" xfId="0" applyFont="1" applyAlignment="1">
      <alignment/>
    </xf>
    <xf numFmtId="0" fontId="5" fillId="0" borderId="0" xfId="0" applyFont="1" applyBorder="1" applyAlignment="1">
      <alignment horizontal="right"/>
    </xf>
    <xf numFmtId="0" fontId="5" fillId="0" borderId="0" xfId="0" applyFont="1" applyAlignment="1">
      <alignment horizontal="right"/>
    </xf>
    <xf numFmtId="0" fontId="0" fillId="0" borderId="11" xfId="0" applyFill="1" applyBorder="1" applyAlignment="1" applyProtection="1">
      <alignment/>
      <protection locked="0"/>
    </xf>
    <xf numFmtId="3" fontId="0" fillId="33" borderId="11" xfId="0" applyNumberFormat="1" applyFill="1" applyBorder="1" applyAlignment="1">
      <alignment/>
    </xf>
    <xf numFmtId="184" fontId="0" fillId="0" borderId="11" xfId="0" applyNumberFormat="1" applyFill="1" applyBorder="1" applyAlignment="1" applyProtection="1">
      <alignment/>
      <protection locked="0"/>
    </xf>
    <xf numFmtId="183" fontId="0" fillId="0" borderId="19" xfId="0" applyNumberFormat="1" applyBorder="1" applyAlignment="1">
      <alignment/>
    </xf>
    <xf numFmtId="184" fontId="0" fillId="33" borderId="11" xfId="60" applyNumberFormat="1" applyFont="1" applyFill="1" applyBorder="1" applyAlignment="1">
      <alignment/>
    </xf>
    <xf numFmtId="3" fontId="20" fillId="0" borderId="0" xfId="0" applyNumberFormat="1" applyFont="1" applyBorder="1" applyAlignment="1">
      <alignment horizontal="left"/>
    </xf>
    <xf numFmtId="0" fontId="20" fillId="0" borderId="0" xfId="0" applyFont="1" applyBorder="1" applyAlignment="1">
      <alignment horizontal="left"/>
    </xf>
    <xf numFmtId="10" fontId="5" fillId="0" borderId="0" xfId="0" applyNumberFormat="1" applyFont="1" applyAlignment="1">
      <alignment/>
    </xf>
    <xf numFmtId="10" fontId="5" fillId="0" borderId="0" xfId="60" applyNumberFormat="1" applyFont="1" applyBorder="1" applyAlignment="1">
      <alignment horizontal="left"/>
    </xf>
    <xf numFmtId="0" fontId="21" fillId="0" borderId="0" xfId="0" applyFont="1" applyAlignment="1">
      <alignment horizontal="right"/>
    </xf>
    <xf numFmtId="0" fontId="22" fillId="0" borderId="0" xfId="0" applyFont="1" applyAlignment="1">
      <alignment horizontal="center"/>
    </xf>
    <xf numFmtId="10" fontId="23" fillId="0" borderId="20" xfId="60" applyNumberFormat="1" applyFont="1" applyBorder="1" applyAlignment="1">
      <alignment horizontal="center"/>
    </xf>
    <xf numFmtId="174" fontId="7" fillId="0" borderId="0" xfId="60" applyNumberFormat="1" applyFont="1" applyAlignment="1">
      <alignment horizontal="center"/>
    </xf>
    <xf numFmtId="3" fontId="0" fillId="0" borderId="19" xfId="0" applyNumberFormat="1" applyBorder="1" applyAlignment="1">
      <alignment/>
    </xf>
    <xf numFmtId="0" fontId="12" fillId="0" borderId="0" xfId="0" applyFont="1" applyBorder="1" applyAlignment="1">
      <alignment/>
    </xf>
    <xf numFmtId="3" fontId="0" fillId="33" borderId="21" xfId="42" applyNumberFormat="1" applyFill="1" applyBorder="1" applyAlignment="1" applyProtection="1">
      <alignment/>
      <protection locked="0"/>
    </xf>
    <xf numFmtId="0" fontId="12" fillId="0" borderId="0" xfId="0" applyFont="1" applyAlignment="1">
      <alignment horizontal="left"/>
    </xf>
    <xf numFmtId="0" fontId="5" fillId="0" borderId="0" xfId="0" applyFont="1" applyAlignment="1">
      <alignment horizontal="left"/>
    </xf>
    <xf numFmtId="3" fontId="0" fillId="34" borderId="21" xfId="0" applyNumberFormat="1" applyFill="1" applyBorder="1" applyAlignment="1" applyProtection="1">
      <alignment/>
      <protection locked="0"/>
    </xf>
    <xf numFmtId="0" fontId="0" fillId="0" borderId="10" xfId="0" applyBorder="1" applyAlignment="1">
      <alignment horizontal="left"/>
    </xf>
    <xf numFmtId="0" fontId="0" fillId="0" borderId="0" xfId="0" applyBorder="1" applyAlignment="1">
      <alignment horizontal="left"/>
    </xf>
    <xf numFmtId="3" fontId="0" fillId="34" borderId="11" xfId="0" applyNumberFormat="1" applyFill="1" applyBorder="1" applyAlignment="1">
      <alignment/>
    </xf>
    <xf numFmtId="0" fontId="10" fillId="0" borderId="0" xfId="0" applyFont="1" applyAlignment="1" applyProtection="1">
      <alignment horizontal="center" vertical="center"/>
      <protection locked="0"/>
    </xf>
    <xf numFmtId="0" fontId="0" fillId="0" borderId="0" xfId="0" applyAlignment="1">
      <alignment horizontal="left"/>
    </xf>
    <xf numFmtId="3" fontId="20" fillId="0" borderId="0" xfId="0" applyNumberFormat="1" applyFont="1" applyAlignment="1">
      <alignment horizontal="left"/>
    </xf>
    <xf numFmtId="0" fontId="5" fillId="0" borderId="0" xfId="0" applyFont="1" applyBorder="1" applyAlignment="1">
      <alignment/>
    </xf>
    <xf numFmtId="10" fontId="18" fillId="0" borderId="11" xfId="60" applyNumberFormat="1" applyFont="1" applyBorder="1" applyAlignment="1">
      <alignment/>
    </xf>
    <xf numFmtId="10" fontId="23" fillId="0" borderId="20" xfId="60" applyNumberFormat="1" applyFont="1" applyBorder="1" applyAlignment="1">
      <alignment/>
    </xf>
    <xf numFmtId="0" fontId="1" fillId="0" borderId="0" xfId="0" applyFont="1" applyAlignment="1">
      <alignment/>
    </xf>
    <xf numFmtId="0" fontId="18" fillId="0" borderId="0" xfId="0" applyFont="1" applyAlignment="1">
      <alignment/>
    </xf>
    <xf numFmtId="10" fontId="18" fillId="0" borderId="11" xfId="60" applyNumberFormat="1" applyFont="1" applyFill="1" applyBorder="1" applyAlignment="1">
      <alignment/>
    </xf>
    <xf numFmtId="0" fontId="6" fillId="0" borderId="13" xfId="0" applyNumberFormat="1" applyFont="1" applyBorder="1" applyAlignment="1">
      <alignment horizontal="left"/>
    </xf>
    <xf numFmtId="0" fontId="8" fillId="0" borderId="0" xfId="0" applyFont="1" applyAlignment="1">
      <alignment horizontal="right" vertical="center"/>
    </xf>
    <xf numFmtId="179" fontId="7" fillId="0" borderId="0" xfId="42" applyNumberFormat="1" applyFont="1" applyBorder="1" applyAlignment="1">
      <alignment vertical="center" readingOrder="1"/>
    </xf>
    <xf numFmtId="0" fontId="17" fillId="0" borderId="0" xfId="0" applyFont="1" applyAlignment="1">
      <alignment horizontal="left" vertical="top" wrapText="1"/>
    </xf>
    <xf numFmtId="0" fontId="12" fillId="0" borderId="0" xfId="0" applyFont="1" applyAlignment="1">
      <alignment horizontal="left" vertical="top" wrapText="1"/>
    </xf>
    <xf numFmtId="0" fontId="7" fillId="0" borderId="0" xfId="0" applyFont="1" applyBorder="1" applyAlignment="1">
      <alignment horizontal="center" vertical="center"/>
    </xf>
    <xf numFmtId="0" fontId="8" fillId="0" borderId="0" xfId="0" applyFont="1" applyBorder="1" applyAlignment="1">
      <alignment horizontal="left" vertical="center"/>
    </xf>
    <xf numFmtId="0" fontId="17" fillId="0" borderId="0" xfId="0" applyFont="1" applyAlignment="1">
      <alignment horizontal="right" vertical="center" wrapText="1"/>
    </xf>
    <xf numFmtId="0" fontId="17" fillId="0" borderId="0" xfId="0" applyFont="1" applyAlignment="1">
      <alignment horizontal="left" vertical="center" wrapText="1"/>
    </xf>
    <xf numFmtId="0" fontId="10" fillId="0" borderId="0" xfId="0" applyFont="1" applyAlignment="1">
      <alignment horizontal="center" vertical="center"/>
    </xf>
    <xf numFmtId="3" fontId="7" fillId="0" borderId="0" xfId="0" applyNumberFormat="1" applyFont="1" applyAlignment="1">
      <alignment vertical="center"/>
    </xf>
    <xf numFmtId="0" fontId="0" fillId="0" borderId="11" xfId="0" applyBorder="1" applyAlignment="1">
      <alignment horizontal="left"/>
    </xf>
    <xf numFmtId="2" fontId="0" fillId="0" borderId="0" xfId="0" applyNumberFormat="1" applyBorder="1" applyAlignment="1">
      <alignment/>
    </xf>
    <xf numFmtId="0" fontId="12" fillId="0" borderId="15" xfId="0" applyFont="1" applyBorder="1" applyAlignment="1">
      <alignment/>
    </xf>
    <xf numFmtId="0" fontId="7" fillId="0" borderId="22" xfId="0" applyFont="1" applyBorder="1" applyAlignment="1">
      <alignment/>
    </xf>
    <xf numFmtId="0" fontId="7" fillId="0" borderId="23" xfId="0" applyFont="1" applyBorder="1" applyAlignment="1">
      <alignment/>
    </xf>
    <xf numFmtId="0" fontId="7" fillId="0" borderId="10" xfId="0" applyFont="1" applyBorder="1" applyAlignment="1">
      <alignment/>
    </xf>
    <xf numFmtId="0" fontId="7" fillId="0" borderId="0" xfId="0" applyFont="1" applyBorder="1" applyAlignment="1">
      <alignment/>
    </xf>
    <xf numFmtId="2" fontId="7" fillId="35" borderId="23" xfId="0" applyNumberFormat="1" applyFont="1" applyFill="1" applyBorder="1" applyAlignment="1">
      <alignment/>
    </xf>
    <xf numFmtId="2" fontId="7" fillId="36" borderId="23" xfId="0" applyNumberFormat="1" applyFont="1" applyFill="1" applyBorder="1" applyAlignment="1">
      <alignment/>
    </xf>
    <xf numFmtId="184" fontId="7" fillId="36" borderId="24" xfId="0" applyNumberFormat="1" applyFont="1" applyFill="1" applyBorder="1" applyAlignment="1">
      <alignment/>
    </xf>
    <xf numFmtId="4" fontId="7" fillId="35" borderId="24" xfId="0" applyNumberFormat="1" applyFont="1" applyFill="1" applyBorder="1" applyAlignment="1">
      <alignment/>
    </xf>
    <xf numFmtId="4" fontId="7" fillId="36" borderId="24" xfId="0" applyNumberFormat="1" applyFont="1" applyFill="1" applyBorder="1" applyAlignment="1">
      <alignment/>
    </xf>
    <xf numFmtId="4" fontId="7" fillId="35" borderId="25" xfId="0" applyNumberFormat="1" applyFont="1" applyFill="1" applyBorder="1" applyAlignment="1">
      <alignment/>
    </xf>
    <xf numFmtId="2" fontId="7" fillId="35" borderId="24" xfId="0" applyNumberFormat="1" applyFont="1" applyFill="1" applyBorder="1" applyAlignment="1">
      <alignment/>
    </xf>
    <xf numFmtId="2" fontId="7" fillId="36" borderId="11" xfId="0" applyNumberFormat="1" applyFont="1" applyFill="1" applyBorder="1" applyAlignment="1">
      <alignment/>
    </xf>
    <xf numFmtId="184" fontId="7" fillId="36" borderId="11" xfId="0" applyNumberFormat="1" applyFont="1" applyFill="1" applyBorder="1" applyAlignment="1">
      <alignment/>
    </xf>
    <xf numFmtId="4" fontId="7" fillId="36" borderId="11" xfId="0" applyNumberFormat="1" applyFont="1" applyFill="1" applyBorder="1" applyAlignment="1">
      <alignment/>
    </xf>
    <xf numFmtId="0" fontId="7" fillId="0" borderId="12" xfId="0" applyFont="1" applyBorder="1" applyAlignment="1">
      <alignment/>
    </xf>
    <xf numFmtId="0" fontId="7" fillId="0" borderId="13" xfId="0" applyFont="1" applyBorder="1" applyAlignment="1">
      <alignment/>
    </xf>
    <xf numFmtId="4" fontId="7" fillId="36" borderId="14" xfId="0" applyNumberFormat="1" applyFont="1" applyFill="1" applyBorder="1" applyAlignment="1">
      <alignment/>
    </xf>
    <xf numFmtId="0" fontId="5" fillId="0" borderId="0" xfId="0" applyFont="1" applyAlignment="1">
      <alignment/>
    </xf>
    <xf numFmtId="184" fontId="7" fillId="35" borderId="24" xfId="60" applyNumberFormat="1" applyFont="1" applyFill="1" applyBorder="1" applyAlignment="1">
      <alignment/>
    </xf>
    <xf numFmtId="0" fontId="7" fillId="0" borderId="10" xfId="0" applyFont="1" applyFill="1" applyBorder="1" applyAlignment="1">
      <alignment/>
    </xf>
    <xf numFmtId="0" fontId="7" fillId="0" borderId="0" xfId="0" applyFont="1" applyFill="1" applyBorder="1" applyAlignment="1">
      <alignment/>
    </xf>
    <xf numFmtId="4" fontId="7" fillId="0" borderId="24" xfId="0" applyNumberFormat="1" applyFont="1" applyFill="1" applyBorder="1" applyAlignment="1">
      <alignment/>
    </xf>
    <xf numFmtId="4" fontId="7" fillId="0" borderId="11" xfId="0" applyNumberFormat="1" applyFont="1" applyFill="1" applyBorder="1" applyAlignment="1">
      <alignment/>
    </xf>
    <xf numFmtId="0" fontId="7" fillId="0" borderId="16" xfId="0" applyFont="1" applyFill="1" applyBorder="1" applyAlignment="1">
      <alignment/>
    </xf>
    <xf numFmtId="0" fontId="7" fillId="0" borderId="17" xfId="0" applyFont="1" applyFill="1" applyBorder="1" applyAlignment="1">
      <alignment/>
    </xf>
    <xf numFmtId="4" fontId="7" fillId="0" borderId="18" xfId="0" applyNumberFormat="1" applyFont="1" applyFill="1" applyBorder="1" applyAlignment="1">
      <alignment/>
    </xf>
    <xf numFmtId="0" fontId="12" fillId="0" borderId="10" xfId="0" applyFont="1" applyBorder="1" applyAlignment="1">
      <alignment/>
    </xf>
    <xf numFmtId="0" fontId="7" fillId="0" borderId="25" xfId="0" applyFont="1" applyBorder="1" applyAlignment="1">
      <alignment/>
    </xf>
    <xf numFmtId="0" fontId="7" fillId="0" borderId="14" xfId="0" applyFont="1" applyBorder="1" applyAlignment="1">
      <alignment/>
    </xf>
    <xf numFmtId="4" fontId="7" fillId="0" borderId="17" xfId="0" applyNumberFormat="1" applyFont="1" applyFill="1" applyBorder="1" applyAlignment="1">
      <alignment/>
    </xf>
    <xf numFmtId="0" fontId="7" fillId="0" borderId="16" xfId="0" applyFont="1" applyBorder="1" applyAlignment="1">
      <alignment/>
    </xf>
    <xf numFmtId="0" fontId="7" fillId="0" borderId="17" xfId="0" applyFont="1" applyBorder="1" applyAlignment="1">
      <alignment/>
    </xf>
    <xf numFmtId="4" fontId="7" fillId="0" borderId="18" xfId="0" applyNumberFormat="1" applyFont="1" applyBorder="1" applyAlignment="1">
      <alignment/>
    </xf>
    <xf numFmtId="0" fontId="17" fillId="0" borderId="0" xfId="0" applyFont="1" applyAlignment="1">
      <alignment/>
    </xf>
    <xf numFmtId="0" fontId="12" fillId="37" borderId="0" xfId="0" applyFont="1" applyFill="1" applyAlignment="1">
      <alignment horizontal="left" indent="1"/>
    </xf>
    <xf numFmtId="10" fontId="12" fillId="37" borderId="0" xfId="0" applyNumberFormat="1" applyFont="1" applyFill="1" applyAlignment="1">
      <alignment horizontal="left" indent="1"/>
    </xf>
    <xf numFmtId="0" fontId="17" fillId="0" borderId="26" xfId="0" applyFont="1" applyBorder="1" applyAlignment="1">
      <alignment wrapText="1"/>
    </xf>
    <xf numFmtId="0" fontId="17" fillId="37" borderId="18" xfId="0" applyFont="1" applyFill="1" applyBorder="1" applyAlignment="1">
      <alignment/>
    </xf>
    <xf numFmtId="0" fontId="17" fillId="37" borderId="26" xfId="0" applyFont="1" applyFill="1" applyBorder="1" applyAlignment="1">
      <alignment/>
    </xf>
    <xf numFmtId="0" fontId="17" fillId="0" borderId="18" xfId="0" applyFont="1" applyBorder="1" applyAlignment="1">
      <alignment wrapText="1"/>
    </xf>
    <xf numFmtId="0" fontId="5" fillId="0" borderId="23" xfId="0" applyFont="1" applyBorder="1" applyAlignment="1">
      <alignment/>
    </xf>
    <xf numFmtId="3" fontId="5" fillId="37" borderId="22" xfId="0" applyNumberFormat="1" applyFont="1" applyFill="1" applyBorder="1" applyAlignment="1">
      <alignment/>
    </xf>
    <xf numFmtId="3" fontId="5" fillId="37" borderId="23" xfId="0" applyNumberFormat="1" applyFont="1" applyFill="1" applyBorder="1" applyAlignment="1">
      <alignment/>
    </xf>
    <xf numFmtId="3" fontId="5" fillId="0" borderId="23" xfId="0" applyNumberFormat="1" applyFont="1" applyBorder="1" applyAlignment="1">
      <alignment/>
    </xf>
    <xf numFmtId="192" fontId="5" fillId="0" borderId="23" xfId="0" applyNumberFormat="1" applyFont="1" applyBorder="1" applyAlignment="1">
      <alignment horizontal="right"/>
    </xf>
    <xf numFmtId="4" fontId="5" fillId="0" borderId="23" xfId="0" applyNumberFormat="1" applyFont="1" applyBorder="1" applyAlignment="1">
      <alignment/>
    </xf>
    <xf numFmtId="0" fontId="5" fillId="0" borderId="24" xfId="0" applyFont="1" applyBorder="1" applyAlignment="1">
      <alignment/>
    </xf>
    <xf numFmtId="3" fontId="5" fillId="37" borderId="0" xfId="0" applyNumberFormat="1" applyFont="1" applyFill="1" applyBorder="1" applyAlignment="1">
      <alignment/>
    </xf>
    <xf numFmtId="3" fontId="5" fillId="37" borderId="24" xfId="0" applyNumberFormat="1" applyFont="1" applyFill="1" applyBorder="1" applyAlignment="1">
      <alignment/>
    </xf>
    <xf numFmtId="3" fontId="5" fillId="0" borderId="24" xfId="0" applyNumberFormat="1" applyFont="1" applyBorder="1" applyAlignment="1">
      <alignment/>
    </xf>
    <xf numFmtId="192" fontId="5" fillId="0" borderId="24" xfId="0" applyNumberFormat="1" applyFont="1" applyBorder="1" applyAlignment="1">
      <alignment horizontal="right"/>
    </xf>
    <xf numFmtId="4" fontId="5" fillId="0" borderId="24" xfId="0" applyNumberFormat="1" applyFont="1" applyBorder="1" applyAlignment="1">
      <alignment/>
    </xf>
    <xf numFmtId="9" fontId="0" fillId="0" borderId="0" xfId="0" applyNumberFormat="1" applyAlignment="1">
      <alignment/>
    </xf>
    <xf numFmtId="0" fontId="5" fillId="0" borderId="25" xfId="0" applyFont="1" applyBorder="1" applyAlignment="1">
      <alignment/>
    </xf>
    <xf numFmtId="3" fontId="5" fillId="37" borderId="13" xfId="0" applyNumberFormat="1" applyFont="1" applyFill="1" applyBorder="1" applyAlignment="1">
      <alignment/>
    </xf>
    <xf numFmtId="3" fontId="5" fillId="37" borderId="25" xfId="0" applyNumberFormat="1" applyFont="1" applyFill="1" applyBorder="1" applyAlignment="1">
      <alignment/>
    </xf>
    <xf numFmtId="3" fontId="5" fillId="0" borderId="25" xfId="0" applyNumberFormat="1" applyFont="1" applyBorder="1" applyAlignment="1">
      <alignment/>
    </xf>
    <xf numFmtId="192" fontId="5" fillId="0" borderId="25" xfId="0" applyNumberFormat="1" applyFont="1" applyBorder="1" applyAlignment="1">
      <alignment horizontal="right"/>
    </xf>
    <xf numFmtId="4" fontId="5" fillId="0" borderId="25" xfId="0" applyNumberFormat="1" applyFont="1" applyBorder="1" applyAlignment="1">
      <alignment/>
    </xf>
    <xf numFmtId="0" fontId="5" fillId="38" borderId="12" xfId="0" applyFont="1" applyFill="1" applyBorder="1" applyAlignment="1">
      <alignment/>
    </xf>
    <xf numFmtId="0" fontId="5" fillId="38" borderId="13" xfId="0" applyFont="1" applyFill="1" applyBorder="1" applyAlignment="1">
      <alignment/>
    </xf>
    <xf numFmtId="4" fontId="5" fillId="38" borderId="14" xfId="0" applyNumberFormat="1" applyFont="1" applyFill="1" applyBorder="1" applyAlignment="1">
      <alignment/>
    </xf>
    <xf numFmtId="40" fontId="5" fillId="0" borderId="0" xfId="0" applyNumberFormat="1" applyFont="1" applyFill="1" applyBorder="1" applyAlignment="1">
      <alignment/>
    </xf>
    <xf numFmtId="40" fontId="5" fillId="38" borderId="25" xfId="0" applyNumberFormat="1" applyFont="1" applyFill="1" applyBorder="1" applyAlignment="1">
      <alignment/>
    </xf>
    <xf numFmtId="0" fontId="5" fillId="38" borderId="10" xfId="0" applyFont="1" applyFill="1" applyBorder="1" applyAlignment="1">
      <alignment/>
    </xf>
    <xf numFmtId="0" fontId="26" fillId="38" borderId="0" xfId="0" applyFont="1" applyFill="1" applyBorder="1" applyAlignment="1">
      <alignment/>
    </xf>
    <xf numFmtId="4" fontId="5" fillId="38" borderId="11" xfId="0" applyNumberFormat="1" applyFont="1" applyFill="1" applyBorder="1" applyAlignment="1">
      <alignment/>
    </xf>
    <xf numFmtId="4" fontId="5" fillId="0" borderId="0" xfId="0" applyNumberFormat="1" applyFont="1" applyFill="1" applyBorder="1" applyAlignment="1">
      <alignment/>
    </xf>
    <xf numFmtId="0" fontId="5" fillId="38" borderId="16" xfId="0" applyFont="1" applyFill="1" applyBorder="1" applyAlignment="1">
      <alignment/>
    </xf>
    <xf numFmtId="0" fontId="5" fillId="38" borderId="17" xfId="0" applyFont="1" applyFill="1" applyBorder="1" applyAlignment="1">
      <alignment/>
    </xf>
    <xf numFmtId="10" fontId="5" fillId="38" borderId="18" xfId="0" applyNumberFormat="1" applyFont="1" applyFill="1" applyBorder="1" applyAlignment="1">
      <alignment/>
    </xf>
    <xf numFmtId="2" fontId="5" fillId="38" borderId="14" xfId="0" applyNumberFormat="1" applyFont="1" applyFill="1" applyBorder="1" applyAlignment="1">
      <alignment/>
    </xf>
    <xf numFmtId="2" fontId="5" fillId="0" borderId="0" xfId="0" applyNumberFormat="1" applyFont="1" applyFill="1" applyBorder="1" applyAlignment="1">
      <alignment/>
    </xf>
    <xf numFmtId="4" fontId="0" fillId="0" borderId="0" xfId="0" applyNumberFormat="1" applyAlignment="1">
      <alignment/>
    </xf>
    <xf numFmtId="167" fontId="0" fillId="0" borderId="0" xfId="0" applyNumberFormat="1" applyAlignment="1">
      <alignment/>
    </xf>
    <xf numFmtId="0" fontId="0" fillId="0" borderId="0" xfId="0" applyAlignment="1">
      <alignment/>
    </xf>
    <xf numFmtId="0" fontId="0" fillId="0" borderId="22" xfId="0" applyBorder="1" applyAlignment="1">
      <alignment horizontal="left"/>
    </xf>
    <xf numFmtId="10" fontId="5" fillId="0" borderId="17" xfId="0" applyNumberFormat="1" applyFont="1" applyFill="1" applyBorder="1" applyAlignment="1">
      <alignment/>
    </xf>
    <xf numFmtId="2" fontId="5" fillId="0" borderId="18" xfId="0" applyNumberFormat="1" applyFont="1" applyFill="1" applyBorder="1" applyAlignment="1">
      <alignment/>
    </xf>
    <xf numFmtId="179" fontId="0" fillId="0" borderId="0" xfId="42" applyNumberFormat="1" applyFont="1" applyBorder="1" applyAlignment="1">
      <alignment/>
    </xf>
    <xf numFmtId="0" fontId="0" fillId="36" borderId="0" xfId="0" applyFill="1" applyAlignment="1">
      <alignment/>
    </xf>
    <xf numFmtId="0" fontId="0" fillId="0" borderId="12" xfId="0" applyBorder="1" applyAlignment="1">
      <alignment/>
    </xf>
    <xf numFmtId="0" fontId="0" fillId="0" borderId="13" xfId="0" applyBorder="1" applyAlignment="1">
      <alignment/>
    </xf>
    <xf numFmtId="0" fontId="0" fillId="36" borderId="11" xfId="0" applyFill="1" applyBorder="1" applyAlignment="1">
      <alignment/>
    </xf>
    <xf numFmtId="0" fontId="0" fillId="0" borderId="27" xfId="0" applyBorder="1" applyAlignment="1">
      <alignment/>
    </xf>
    <xf numFmtId="0" fontId="0" fillId="0" borderId="17" xfId="0" applyBorder="1" applyAlignment="1">
      <alignment horizontal="right"/>
    </xf>
    <xf numFmtId="0" fontId="0" fillId="0" borderId="13" xfId="0" applyBorder="1" applyAlignment="1">
      <alignment horizontal="center"/>
    </xf>
    <xf numFmtId="0" fontId="0" fillId="0" borderId="13" xfId="0" applyBorder="1" applyAlignment="1">
      <alignment horizontal="left"/>
    </xf>
    <xf numFmtId="0" fontId="0" fillId="0" borderId="13" xfId="0" applyBorder="1" applyAlignment="1">
      <alignment horizontal="right"/>
    </xf>
    <xf numFmtId="0" fontId="0" fillId="0" borderId="17" xfId="0" applyBorder="1" applyAlignment="1">
      <alignment horizontal="center"/>
    </xf>
    <xf numFmtId="0" fontId="0" fillId="0" borderId="17" xfId="0" applyBorder="1" applyAlignment="1">
      <alignment horizontal="left"/>
    </xf>
    <xf numFmtId="179" fontId="0" fillId="0" borderId="17" xfId="0" applyNumberFormat="1" applyBorder="1" applyAlignment="1">
      <alignment horizontal="center"/>
    </xf>
    <xf numFmtId="179" fontId="0" fillId="0" borderId="22" xfId="0" applyNumberFormat="1" applyBorder="1" applyAlignment="1">
      <alignment horizontal="center"/>
    </xf>
    <xf numFmtId="0" fontId="12" fillId="38" borderId="0" xfId="0" applyFont="1" applyFill="1" applyAlignment="1">
      <alignment horizontal="center"/>
    </xf>
    <xf numFmtId="0" fontId="1" fillId="0" borderId="26" xfId="0" applyFont="1" applyBorder="1" applyAlignment="1">
      <alignment/>
    </xf>
    <xf numFmtId="0" fontId="30" fillId="0" borderId="28" xfId="0" applyFont="1" applyBorder="1" applyAlignment="1">
      <alignment/>
    </xf>
    <xf numFmtId="0" fontId="30" fillId="0" borderId="29" xfId="0" applyFont="1" applyBorder="1" applyAlignment="1">
      <alignment/>
    </xf>
    <xf numFmtId="0" fontId="30" fillId="0" borderId="30" xfId="0" applyFont="1" applyBorder="1" applyAlignment="1">
      <alignment/>
    </xf>
    <xf numFmtId="0" fontId="30" fillId="0" borderId="28" xfId="0" applyFont="1" applyFill="1" applyBorder="1" applyAlignment="1">
      <alignment/>
    </xf>
    <xf numFmtId="0" fontId="30" fillId="0" borderId="29" xfId="0" applyFont="1" applyFill="1" applyBorder="1" applyAlignment="1">
      <alignment/>
    </xf>
    <xf numFmtId="0" fontId="30" fillId="0" borderId="30" xfId="0" applyFont="1" applyFill="1" applyBorder="1" applyAlignment="1">
      <alignment/>
    </xf>
    <xf numFmtId="0" fontId="30" fillId="0" borderId="31" xfId="0" applyFont="1" applyFill="1" applyBorder="1" applyAlignment="1">
      <alignment wrapText="1"/>
    </xf>
    <xf numFmtId="0" fontId="30" fillId="0" borderId="26" xfId="0" applyFont="1" applyFill="1" applyBorder="1" applyAlignment="1">
      <alignment wrapText="1"/>
    </xf>
    <xf numFmtId="179" fontId="0" fillId="0" borderId="25" xfId="42" applyNumberFormat="1" applyBorder="1" applyAlignment="1">
      <alignment/>
    </xf>
    <xf numFmtId="179" fontId="0" fillId="0" borderId="26" xfId="42" applyNumberFormat="1" applyBorder="1" applyAlignment="1">
      <alignment/>
    </xf>
    <xf numFmtId="179" fontId="0" fillId="0" borderId="0" xfId="0" applyNumberFormat="1" applyAlignment="1">
      <alignment/>
    </xf>
    <xf numFmtId="171" fontId="20" fillId="0" borderId="0" xfId="42" applyFont="1" applyBorder="1" applyAlignment="1">
      <alignment/>
    </xf>
    <xf numFmtId="179" fontId="31" fillId="0" borderId="0" xfId="42" applyNumberFormat="1" applyFont="1" applyBorder="1" applyAlignment="1">
      <alignment/>
    </xf>
    <xf numFmtId="171" fontId="0" fillId="0" borderId="0" xfId="42" applyBorder="1" applyAlignment="1">
      <alignment/>
    </xf>
    <xf numFmtId="171" fontId="31" fillId="0" borderId="0" xfId="42" applyFont="1" applyBorder="1" applyAlignment="1">
      <alignment/>
    </xf>
    <xf numFmtId="0" fontId="12" fillId="37" borderId="0" xfId="0" applyFont="1" applyFill="1" applyAlignment="1">
      <alignment horizontal="center"/>
    </xf>
    <xf numFmtId="0" fontId="1" fillId="0" borderId="26" xfId="0" applyFont="1" applyBorder="1" applyAlignment="1">
      <alignment horizontal="center"/>
    </xf>
    <xf numFmtId="0" fontId="12" fillId="34" borderId="0" xfId="0" applyFont="1" applyFill="1" applyAlignment="1">
      <alignment horizontal="center"/>
    </xf>
    <xf numFmtId="0" fontId="5" fillId="0" borderId="0" xfId="0" applyFont="1" applyAlignment="1">
      <alignment horizontal="center"/>
    </xf>
    <xf numFmtId="0" fontId="5" fillId="0" borderId="0" xfId="0" applyFont="1" applyAlignment="1">
      <alignment/>
    </xf>
    <xf numFmtId="179" fontId="31" fillId="39" borderId="0" xfId="42" applyNumberFormat="1" applyFont="1" applyFill="1" applyBorder="1" applyAlignment="1">
      <alignment/>
    </xf>
    <xf numFmtId="0" fontId="5" fillId="0" borderId="0" xfId="0" applyFont="1" applyAlignment="1">
      <alignment horizontal="center" wrapText="1"/>
    </xf>
    <xf numFmtId="2" fontId="0" fillId="0" borderId="0" xfId="0" applyNumberFormat="1" applyAlignment="1">
      <alignment/>
    </xf>
    <xf numFmtId="0" fontId="0" fillId="0" borderId="0" xfId="0" applyFont="1" applyAlignment="1">
      <alignment/>
    </xf>
    <xf numFmtId="179" fontId="0" fillId="36" borderId="0" xfId="42" applyNumberFormat="1" applyFill="1" applyAlignment="1">
      <alignment/>
    </xf>
    <xf numFmtId="179" fontId="0" fillId="0" borderId="0" xfId="42" applyNumberFormat="1" applyFill="1" applyAlignment="1">
      <alignment/>
    </xf>
    <xf numFmtId="179" fontId="0" fillId="0" borderId="0" xfId="42" applyNumberFormat="1" applyAlignment="1">
      <alignment/>
    </xf>
    <xf numFmtId="0" fontId="0" fillId="0" borderId="26" xfId="0" applyBorder="1" applyAlignment="1">
      <alignment/>
    </xf>
    <xf numFmtId="0" fontId="0" fillId="0" borderId="26" xfId="0" applyBorder="1" applyAlignment="1">
      <alignment wrapText="1"/>
    </xf>
    <xf numFmtId="0" fontId="0" fillId="0" borderId="18" xfId="0" applyBorder="1" applyAlignment="1">
      <alignment wrapText="1"/>
    </xf>
    <xf numFmtId="0" fontId="0" fillId="0" borderId="26" xfId="0" applyFill="1" applyBorder="1" applyAlignment="1">
      <alignment/>
    </xf>
    <xf numFmtId="0" fontId="0" fillId="0" borderId="15" xfId="0" applyBorder="1" applyAlignment="1">
      <alignment/>
    </xf>
    <xf numFmtId="0" fontId="0" fillId="0" borderId="22" xfId="0" applyBorder="1" applyAlignment="1">
      <alignment/>
    </xf>
    <xf numFmtId="2" fontId="0" fillId="0" borderId="22" xfId="42" applyNumberFormat="1" applyBorder="1" applyAlignment="1">
      <alignment/>
    </xf>
    <xf numFmtId="0" fontId="0" fillId="0" borderId="21" xfId="0" applyBorder="1" applyAlignment="1">
      <alignment/>
    </xf>
    <xf numFmtId="2" fontId="0" fillId="0" borderId="22" xfId="0" applyNumberFormat="1" applyBorder="1" applyAlignment="1">
      <alignment/>
    </xf>
    <xf numFmtId="179" fontId="0" fillId="0" borderId="23" xfId="42" applyNumberFormat="1" applyBorder="1" applyAlignment="1">
      <alignment/>
    </xf>
    <xf numFmtId="179" fontId="0" fillId="0" borderId="21" xfId="42" applyNumberFormat="1" applyBorder="1" applyAlignment="1">
      <alignment/>
    </xf>
    <xf numFmtId="0" fontId="0" fillId="0" borderId="24" xfId="0" applyBorder="1" applyAlignment="1">
      <alignment/>
    </xf>
    <xf numFmtId="2" fontId="0" fillId="0" borderId="0" xfId="42" applyNumberFormat="1" applyBorder="1" applyAlignment="1">
      <alignment/>
    </xf>
    <xf numFmtId="179" fontId="0" fillId="0" borderId="24" xfId="42" applyNumberFormat="1" applyBorder="1" applyAlignment="1">
      <alignment/>
    </xf>
    <xf numFmtId="179" fontId="0" fillId="0" borderId="11" xfId="42" applyNumberFormat="1" applyBorder="1" applyAlignment="1">
      <alignment/>
    </xf>
    <xf numFmtId="179" fontId="0" fillId="0" borderId="14" xfId="42" applyNumberFormat="1" applyBorder="1" applyAlignment="1">
      <alignment/>
    </xf>
    <xf numFmtId="0" fontId="0" fillId="0" borderId="25" xfId="0" applyBorder="1" applyAlignment="1">
      <alignment/>
    </xf>
    <xf numFmtId="2" fontId="0" fillId="0" borderId="13" xfId="42" applyNumberFormat="1" applyBorder="1" applyAlignment="1">
      <alignment/>
    </xf>
    <xf numFmtId="0" fontId="0" fillId="0" borderId="14" xfId="0" applyBorder="1" applyAlignment="1">
      <alignment/>
    </xf>
    <xf numFmtId="2" fontId="0" fillId="0" borderId="13" xfId="0" applyNumberFormat="1" applyBorder="1" applyAlignment="1">
      <alignment/>
    </xf>
    <xf numFmtId="0" fontId="23" fillId="0" borderId="0" xfId="0" applyFont="1" applyAlignment="1">
      <alignment/>
    </xf>
    <xf numFmtId="179" fontId="0" fillId="0" borderId="0" xfId="0" applyNumberFormat="1" applyAlignment="1">
      <alignment/>
    </xf>
    <xf numFmtId="179" fontId="5" fillId="0" borderId="0" xfId="0" applyNumberFormat="1" applyFont="1" applyAlignment="1">
      <alignment/>
    </xf>
    <xf numFmtId="0" fontId="0" fillId="38" borderId="0" xfId="0" applyFill="1" applyAlignment="1">
      <alignment/>
    </xf>
    <xf numFmtId="3" fontId="0" fillId="0" borderId="0" xfId="0" applyNumberFormat="1" applyAlignment="1">
      <alignment/>
    </xf>
    <xf numFmtId="179" fontId="0" fillId="0" borderId="0" xfId="42" applyNumberFormat="1" applyAlignment="1">
      <alignment/>
    </xf>
    <xf numFmtId="0" fontId="0" fillId="38" borderId="22" xfId="0" applyFill="1" applyBorder="1" applyAlignment="1">
      <alignment/>
    </xf>
    <xf numFmtId="0" fontId="0" fillId="38" borderId="21" xfId="0" applyFill="1" applyBorder="1" applyAlignment="1">
      <alignment/>
    </xf>
    <xf numFmtId="49" fontId="0" fillId="0" borderId="10" xfId="0" applyNumberFormat="1" applyBorder="1" applyAlignment="1">
      <alignment/>
    </xf>
    <xf numFmtId="49" fontId="0" fillId="0" borderId="12" xfId="0" applyNumberFormat="1" applyBorder="1" applyAlignment="1">
      <alignment/>
    </xf>
    <xf numFmtId="3" fontId="0" fillId="0" borderId="14" xfId="0" applyNumberFormat="1" applyBorder="1" applyAlignment="1">
      <alignment/>
    </xf>
    <xf numFmtId="0" fontId="0" fillId="0" borderId="13" xfId="0" applyBorder="1" applyAlignment="1">
      <alignment wrapText="1"/>
    </xf>
    <xf numFmtId="0" fontId="0" fillId="0" borderId="22" xfId="0" applyBorder="1" applyAlignment="1">
      <alignment wrapText="1"/>
    </xf>
    <xf numFmtId="49" fontId="0" fillId="0" borderId="22" xfId="0" applyNumberFormat="1" applyFill="1" applyBorder="1" applyAlignment="1">
      <alignment horizontal="center"/>
    </xf>
    <xf numFmtId="0" fontId="0" fillId="38" borderId="0" xfId="0" applyFill="1" applyBorder="1" applyAlignment="1">
      <alignment/>
    </xf>
    <xf numFmtId="3" fontId="0" fillId="0" borderId="13" xfId="0" applyNumberFormat="1" applyBorder="1" applyAlignment="1">
      <alignment/>
    </xf>
    <xf numFmtId="3" fontId="0" fillId="0" borderId="22" xfId="0" applyNumberFormat="1" applyBorder="1" applyAlignment="1">
      <alignment/>
    </xf>
    <xf numFmtId="3" fontId="0" fillId="0" borderId="21" xfId="0" applyNumberFormat="1" applyBorder="1" applyAlignment="1">
      <alignment/>
    </xf>
    <xf numFmtId="179" fontId="0" fillId="0" borderId="13" xfId="42" applyNumberFormat="1" applyBorder="1" applyAlignment="1">
      <alignment/>
    </xf>
    <xf numFmtId="0" fontId="9" fillId="0" borderId="12" xfId="0" applyFont="1" applyBorder="1" applyAlignment="1">
      <alignment/>
    </xf>
    <xf numFmtId="0" fontId="0" fillId="38" borderId="13" xfId="0" applyFill="1" applyBorder="1" applyAlignment="1">
      <alignment/>
    </xf>
    <xf numFmtId="188" fontId="0" fillId="0" borderId="0" xfId="0" applyNumberFormat="1" applyBorder="1" applyAlignment="1">
      <alignment horizontal="right"/>
    </xf>
    <xf numFmtId="3" fontId="0" fillId="38" borderId="0" xfId="0" applyNumberFormat="1" applyFill="1" applyBorder="1" applyAlignment="1">
      <alignment/>
    </xf>
    <xf numFmtId="3" fontId="0" fillId="0" borderId="22" xfId="0" applyNumberFormat="1" applyBorder="1" applyAlignment="1">
      <alignment/>
    </xf>
    <xf numFmtId="188" fontId="0" fillId="38" borderId="11" xfId="0" applyNumberFormat="1" applyFill="1" applyBorder="1" applyAlignment="1">
      <alignment/>
    </xf>
    <xf numFmtId="188" fontId="0" fillId="0" borderId="11" xfId="0" applyNumberFormat="1" applyBorder="1" applyAlignment="1">
      <alignment/>
    </xf>
    <xf numFmtId="188" fontId="0" fillId="0" borderId="11" xfId="0" applyNumberFormat="1" applyFill="1" applyBorder="1" applyAlignment="1">
      <alignment/>
    </xf>
    <xf numFmtId="188" fontId="0" fillId="0" borderId="14" xfId="0" applyNumberFormat="1" applyBorder="1" applyAlignment="1">
      <alignment/>
    </xf>
    <xf numFmtId="0" fontId="0" fillId="0" borderId="10" xfId="0" applyNumberFormat="1" applyBorder="1" applyAlignment="1">
      <alignment/>
    </xf>
    <xf numFmtId="188" fontId="0" fillId="0" borderId="0" xfId="0" applyNumberFormat="1" applyBorder="1" applyAlignment="1">
      <alignment/>
    </xf>
    <xf numFmtId="188" fontId="0" fillId="0" borderId="0" xfId="0" applyNumberFormat="1" applyBorder="1" applyAlignment="1">
      <alignment horizontal="left"/>
    </xf>
    <xf numFmtId="188" fontId="0" fillId="0" borderId="13" xfId="0" applyNumberFormat="1" applyBorder="1" applyAlignment="1">
      <alignment/>
    </xf>
    <xf numFmtId="188" fontId="0" fillId="0" borderId="13" xfId="0" applyNumberFormat="1" applyBorder="1" applyAlignment="1">
      <alignment horizontal="left"/>
    </xf>
    <xf numFmtId="188" fontId="0" fillId="0" borderId="13" xfId="0" applyNumberFormat="1" applyBorder="1" applyAlignment="1">
      <alignment horizontal="right"/>
    </xf>
    <xf numFmtId="188" fontId="0" fillId="38" borderId="0" xfId="0" applyNumberFormat="1" applyFill="1" applyBorder="1" applyAlignment="1">
      <alignment horizontal="right"/>
    </xf>
    <xf numFmtId="9" fontId="0" fillId="38" borderId="11" xfId="60" applyFont="1" applyFill="1" applyBorder="1" applyAlignment="1">
      <alignment/>
    </xf>
    <xf numFmtId="178" fontId="0" fillId="0" borderId="0" xfId="42" applyNumberFormat="1" applyFont="1" applyBorder="1" applyAlignment="1">
      <alignment horizontal="right"/>
    </xf>
    <xf numFmtId="179" fontId="0" fillId="0" borderId="0" xfId="42" applyNumberFormat="1" applyFont="1" applyBorder="1" applyAlignment="1">
      <alignment horizontal="right"/>
    </xf>
    <xf numFmtId="179" fontId="0" fillId="38" borderId="0" xfId="42" applyNumberFormat="1" applyFont="1" applyFill="1" applyBorder="1" applyAlignment="1">
      <alignment horizontal="right"/>
    </xf>
    <xf numFmtId="179" fontId="0" fillId="38" borderId="0" xfId="42" applyNumberFormat="1" applyFont="1" applyFill="1" applyAlignment="1">
      <alignment/>
    </xf>
    <xf numFmtId="179" fontId="0" fillId="0" borderId="0" xfId="42" applyNumberFormat="1" applyFont="1" applyAlignment="1">
      <alignment/>
    </xf>
    <xf numFmtId="0" fontId="0" fillId="0" borderId="10" xfId="0" applyNumberFormat="1" applyFill="1" applyBorder="1" applyAlignment="1">
      <alignment/>
    </xf>
    <xf numFmtId="0" fontId="0" fillId="0" borderId="15" xfId="0" applyNumberFormat="1" applyBorder="1" applyAlignment="1">
      <alignment/>
    </xf>
    <xf numFmtId="172" fontId="0" fillId="0" borderId="15" xfId="0" applyNumberFormat="1" applyBorder="1" applyAlignment="1">
      <alignment/>
    </xf>
    <xf numFmtId="188" fontId="0" fillId="38" borderId="0" xfId="42" applyNumberFormat="1" applyFont="1" applyFill="1" applyBorder="1" applyAlignment="1">
      <alignment horizontal="right"/>
    </xf>
    <xf numFmtId="188" fontId="0" fillId="0" borderId="0" xfId="42" applyNumberFormat="1" applyFont="1" applyBorder="1" applyAlignment="1">
      <alignment horizontal="right"/>
    </xf>
    <xf numFmtId="188" fontId="0" fillId="0" borderId="13" xfId="42" applyNumberFormat="1" applyFont="1" applyBorder="1" applyAlignment="1">
      <alignment horizontal="right"/>
    </xf>
    <xf numFmtId="0" fontId="0" fillId="0" borderId="15" xfId="0" applyNumberFormat="1" applyFill="1" applyBorder="1" applyAlignment="1">
      <alignment/>
    </xf>
    <xf numFmtId="3" fontId="0" fillId="0" borderId="22" xfId="0" applyNumberFormat="1" applyBorder="1" applyAlignment="1">
      <alignment horizontal="left"/>
    </xf>
    <xf numFmtId="188" fontId="0" fillId="0" borderId="11" xfId="0" applyNumberFormat="1" applyBorder="1" applyAlignment="1">
      <alignment horizontal="right"/>
    </xf>
    <xf numFmtId="0" fontId="0" fillId="0" borderId="12" xfId="0" applyNumberFormat="1" applyFill="1" applyBorder="1" applyAlignment="1">
      <alignment/>
    </xf>
    <xf numFmtId="188" fontId="0" fillId="0" borderId="14" xfId="0" applyNumberFormat="1" applyBorder="1" applyAlignment="1">
      <alignment horizontal="right"/>
    </xf>
    <xf numFmtId="188" fontId="0" fillId="0" borderId="0" xfId="42" applyNumberFormat="1" applyFont="1" applyBorder="1" applyAlignment="1">
      <alignment/>
    </xf>
    <xf numFmtId="188" fontId="0" fillId="38" borderId="0" xfId="42" applyNumberFormat="1" applyFont="1" applyFill="1" applyBorder="1" applyAlignment="1">
      <alignment/>
    </xf>
    <xf numFmtId="188" fontId="0" fillId="38" borderId="0" xfId="0" applyNumberFormat="1" applyFill="1" applyBorder="1" applyAlignment="1">
      <alignment/>
    </xf>
    <xf numFmtId="188" fontId="0" fillId="0" borderId="10" xfId="0" applyNumberFormat="1" applyBorder="1" applyAlignment="1">
      <alignment/>
    </xf>
    <xf numFmtId="188" fontId="0" fillId="0" borderId="0" xfId="0" applyNumberFormat="1" applyBorder="1" applyAlignment="1">
      <alignment/>
    </xf>
    <xf numFmtId="188" fontId="0" fillId="38" borderId="0" xfId="0" applyNumberFormat="1" applyFill="1" applyBorder="1" applyAlignment="1">
      <alignment/>
    </xf>
    <xf numFmtId="188" fontId="0" fillId="0" borderId="10" xfId="0" applyNumberFormat="1" applyBorder="1" applyAlignment="1">
      <alignment horizontal="left"/>
    </xf>
    <xf numFmtId="188" fontId="0" fillId="0" borderId="12" xfId="0" applyNumberFormat="1" applyBorder="1" applyAlignment="1">
      <alignment/>
    </xf>
    <xf numFmtId="188" fontId="0" fillId="0" borderId="13" xfId="0" applyNumberFormat="1" applyBorder="1" applyAlignment="1">
      <alignment/>
    </xf>
    <xf numFmtId="0" fontId="9" fillId="0" borderId="10" xfId="0" applyFont="1" applyBorder="1" applyAlignment="1">
      <alignment/>
    </xf>
    <xf numFmtId="0" fontId="0" fillId="0" borderId="10" xfId="0" applyFont="1" applyBorder="1" applyAlignment="1">
      <alignment/>
    </xf>
    <xf numFmtId="0" fontId="11" fillId="0" borderId="0" xfId="0" applyFont="1" applyAlignment="1">
      <alignment/>
    </xf>
    <xf numFmtId="3" fontId="0" fillId="0" borderId="0" xfId="0" applyNumberFormat="1" applyBorder="1" applyAlignment="1">
      <alignment horizontal="right"/>
    </xf>
    <xf numFmtId="4" fontId="0" fillId="0" borderId="0" xfId="42" applyNumberFormat="1" applyFont="1" applyBorder="1" applyAlignment="1">
      <alignment horizontal="right"/>
    </xf>
    <xf numFmtId="0" fontId="24" fillId="0" borderId="0" xfId="0" applyFont="1" applyAlignment="1">
      <alignment/>
    </xf>
    <xf numFmtId="0" fontId="0" fillId="0" borderId="0" xfId="0" applyBorder="1" applyAlignment="1">
      <alignment horizontal="center"/>
    </xf>
    <xf numFmtId="0" fontId="0" fillId="38" borderId="22" xfId="0" applyFill="1" applyBorder="1" applyAlignment="1">
      <alignment horizontal="center"/>
    </xf>
    <xf numFmtId="0" fontId="0" fillId="38" borderId="21" xfId="0" applyFill="1" applyBorder="1" applyAlignment="1">
      <alignment horizontal="center"/>
    </xf>
    <xf numFmtId="179" fontId="0" fillId="0" borderId="0" xfId="42" applyNumberFormat="1" applyFont="1" applyAlignment="1">
      <alignment/>
    </xf>
    <xf numFmtId="0" fontId="0" fillId="0" borderId="0" xfId="0" applyFont="1" applyAlignment="1">
      <alignment/>
    </xf>
    <xf numFmtId="0" fontId="0" fillId="0" borderId="0" xfId="0" applyFont="1" applyAlignment="1">
      <alignment/>
    </xf>
    <xf numFmtId="179" fontId="0" fillId="0" borderId="20" xfId="42" applyNumberFormat="1" applyFont="1" applyBorder="1" applyAlignment="1">
      <alignment/>
    </xf>
    <xf numFmtId="0" fontId="7" fillId="0" borderId="0" xfId="0" applyFont="1" applyAlignment="1">
      <alignment/>
    </xf>
    <xf numFmtId="192" fontId="5" fillId="0" borderId="21" xfId="0" applyNumberFormat="1" applyFont="1" applyBorder="1" applyAlignment="1">
      <alignment horizontal="right"/>
    </xf>
    <xf numFmtId="192" fontId="5" fillId="0" borderId="11" xfId="0" applyNumberFormat="1" applyFont="1" applyBorder="1" applyAlignment="1">
      <alignment horizontal="right"/>
    </xf>
    <xf numFmtId="192" fontId="5" fillId="0" borderId="14" xfId="0" applyNumberFormat="1" applyFont="1" applyBorder="1" applyAlignment="1">
      <alignment horizontal="right"/>
    </xf>
    <xf numFmtId="0" fontId="5" fillId="38" borderId="14" xfId="0" applyFont="1" applyFill="1" applyBorder="1" applyAlignment="1">
      <alignment/>
    </xf>
    <xf numFmtId="0" fontId="26" fillId="38" borderId="11" xfId="0" applyFont="1" applyFill="1" applyBorder="1" applyAlignment="1">
      <alignment/>
    </xf>
    <xf numFmtId="0" fontId="5" fillId="38" borderId="18" xfId="0" applyFont="1" applyFill="1" applyBorder="1" applyAlignment="1">
      <alignment/>
    </xf>
    <xf numFmtId="0" fontId="5" fillId="0" borderId="0" xfId="0" applyFont="1" applyBorder="1" applyAlignment="1">
      <alignment horizontal="left" vertical="top" wrapText="1"/>
    </xf>
    <xf numFmtId="0" fontId="0" fillId="36" borderId="23" xfId="0" applyFill="1" applyBorder="1" applyAlignment="1">
      <alignment horizontal="right" vertical="center"/>
    </xf>
    <xf numFmtId="0" fontId="0" fillId="36" borderId="25" xfId="0" applyFill="1" applyBorder="1" applyAlignment="1">
      <alignment horizontal="right" vertical="center"/>
    </xf>
    <xf numFmtId="0" fontId="0" fillId="0" borderId="22"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xf>
    <xf numFmtId="9" fontId="0" fillId="0" borderId="21" xfId="60" applyNumberFormat="1" applyBorder="1" applyAlignment="1">
      <alignment horizontal="center" vertical="center"/>
    </xf>
    <xf numFmtId="9" fontId="0" fillId="0" borderId="14" xfId="60" applyNumberFormat="1" applyBorder="1" applyAlignment="1">
      <alignment horizontal="center" vertical="center"/>
    </xf>
    <xf numFmtId="9" fontId="0" fillId="0" borderId="21" xfId="60" applyFill="1" applyBorder="1" applyAlignment="1">
      <alignment horizontal="right" vertical="center"/>
    </xf>
    <xf numFmtId="9" fontId="0" fillId="0" borderId="14" xfId="60" applyFill="1" applyBorder="1" applyAlignment="1">
      <alignment horizontal="right" vertical="center"/>
    </xf>
    <xf numFmtId="172" fontId="0" fillId="0" borderId="21" xfId="0" applyNumberFormat="1" applyFill="1" applyBorder="1" applyAlignment="1">
      <alignment horizontal="right" vertical="center"/>
    </xf>
    <xf numFmtId="172" fontId="0" fillId="0" borderId="14" xfId="0" applyNumberFormat="1" applyFill="1" applyBorder="1" applyAlignment="1">
      <alignment horizontal="right"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xf>
    <xf numFmtId="2" fontId="0" fillId="0" borderId="21" xfId="60" applyNumberFormat="1" applyBorder="1" applyAlignment="1">
      <alignment horizontal="center" vertical="center"/>
    </xf>
    <xf numFmtId="2" fontId="0" fillId="0" borderId="14" xfId="60" applyNumberFormat="1" applyBorder="1" applyAlignment="1">
      <alignment horizontal="center" vertical="center"/>
    </xf>
    <xf numFmtId="0" fontId="0" fillId="36" borderId="13" xfId="0" applyFill="1" applyBorder="1" applyAlignment="1">
      <alignment horizontal="center"/>
    </xf>
    <xf numFmtId="0" fontId="0" fillId="0" borderId="15" xfId="0" applyBorder="1" applyAlignment="1">
      <alignment horizontal="center"/>
    </xf>
    <xf numFmtId="0" fontId="0" fillId="0" borderId="22" xfId="0" applyBorder="1" applyAlignment="1">
      <alignment horizontal="center"/>
    </xf>
    <xf numFmtId="0" fontId="0" fillId="0" borderId="21" xfId="0" applyBorder="1" applyAlignment="1">
      <alignment horizontal="center"/>
    </xf>
    <xf numFmtId="9" fontId="0" fillId="36" borderId="21" xfId="60" applyFill="1" applyBorder="1" applyAlignment="1">
      <alignment horizontal="right" vertical="center"/>
    </xf>
    <xf numFmtId="9" fontId="0" fillId="36" borderId="14" xfId="60" applyFill="1" applyBorder="1" applyAlignment="1">
      <alignment horizontal="right" vertical="center"/>
    </xf>
    <xf numFmtId="0" fontId="0" fillId="0" borderId="21" xfId="0" applyFill="1" applyBorder="1" applyAlignment="1">
      <alignment horizontal="right" vertical="center"/>
    </xf>
    <xf numFmtId="0" fontId="0" fillId="0" borderId="14" xfId="0" applyFill="1" applyBorder="1" applyAlignment="1">
      <alignment horizontal="right" vertical="center"/>
    </xf>
    <xf numFmtId="9" fontId="0" fillId="36" borderId="21" xfId="0" applyNumberFormat="1" applyFill="1" applyBorder="1" applyAlignment="1">
      <alignment horizontal="right" vertical="center"/>
    </xf>
    <xf numFmtId="0" fontId="0" fillId="36" borderId="14" xfId="0" applyFill="1" applyBorder="1" applyAlignment="1">
      <alignment horizontal="right" vertical="center"/>
    </xf>
    <xf numFmtId="9" fontId="0" fillId="36" borderId="11" xfId="60" applyFill="1" applyBorder="1" applyAlignment="1">
      <alignment horizontal="right" vertical="center"/>
    </xf>
    <xf numFmtId="0" fontId="5" fillId="0" borderId="15" xfId="0" applyFont="1" applyBorder="1" applyAlignment="1">
      <alignment horizontal="left" vertical="top" wrapText="1"/>
    </xf>
    <xf numFmtId="0" fontId="5" fillId="0" borderId="22" xfId="0" applyFont="1" applyBorder="1" applyAlignment="1">
      <alignment horizontal="left" vertical="top" wrapText="1"/>
    </xf>
    <xf numFmtId="0" fontId="5" fillId="0" borderId="21"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12" fillId="0" borderId="15" xfId="0" applyFont="1" applyBorder="1" applyAlignment="1">
      <alignment horizontal="center"/>
    </xf>
    <xf numFmtId="0" fontId="12" fillId="0" borderId="22" xfId="0" applyFont="1" applyBorder="1" applyAlignment="1">
      <alignment horizontal="center"/>
    </xf>
    <xf numFmtId="0" fontId="12" fillId="0" borderId="21" xfId="0" applyFont="1" applyBorder="1" applyAlignment="1">
      <alignment horizontal="center"/>
    </xf>
    <xf numFmtId="179" fontId="0" fillId="36" borderId="0" xfId="42" applyNumberFormat="1" applyFill="1" applyBorder="1" applyAlignment="1">
      <alignment horizontal="right"/>
    </xf>
    <xf numFmtId="179" fontId="0" fillId="36" borderId="11" xfId="42" applyNumberFormat="1" applyFill="1" applyBorder="1" applyAlignment="1">
      <alignment horizontal="right"/>
    </xf>
    <xf numFmtId="179" fontId="0" fillId="36" borderId="0" xfId="42" applyNumberFormat="1" applyFill="1" applyBorder="1" applyAlignment="1">
      <alignment horizontal="center"/>
    </xf>
    <xf numFmtId="179" fontId="0" fillId="36" borderId="11" xfId="42" applyNumberFormat="1" applyFill="1" applyBorder="1" applyAlignment="1">
      <alignment horizontal="center"/>
    </xf>
    <xf numFmtId="179" fontId="0" fillId="0" borderId="32" xfId="0" applyNumberFormat="1" applyBorder="1" applyAlignment="1">
      <alignment horizontal="center"/>
    </xf>
    <xf numFmtId="0" fontId="0" fillId="0" borderId="27" xfId="0"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10" fontId="0" fillId="0" borderId="21" xfId="60" applyNumberFormat="1" applyBorder="1" applyAlignment="1">
      <alignment horizontal="center" vertical="center"/>
    </xf>
    <xf numFmtId="10" fontId="0" fillId="0" borderId="14" xfId="60" applyNumberFormat="1" applyBorder="1" applyAlignment="1">
      <alignment horizontal="center" vertical="center"/>
    </xf>
    <xf numFmtId="0" fontId="0" fillId="36" borderId="21" xfId="0" applyFill="1" applyBorder="1" applyAlignment="1">
      <alignment horizontal="right" vertical="center"/>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9" fontId="0" fillId="0" borderId="21" xfId="60" applyBorder="1" applyAlignment="1">
      <alignment horizontal="center" vertical="center"/>
    </xf>
    <xf numFmtId="9" fontId="0" fillId="0" borderId="14" xfId="60" applyBorder="1" applyAlignment="1">
      <alignment horizontal="center" vertical="center"/>
    </xf>
    <xf numFmtId="0" fontId="0" fillId="0" borderId="10" xfId="0" applyBorder="1" applyAlignment="1">
      <alignment horizontal="left"/>
    </xf>
    <xf numFmtId="0" fontId="0" fillId="0" borderId="0" xfId="0" applyBorder="1" applyAlignment="1">
      <alignment horizontal="left"/>
    </xf>
    <xf numFmtId="0" fontId="24" fillId="0" borderId="15" xfId="0" applyFont="1" applyBorder="1" applyAlignment="1">
      <alignment horizontal="left"/>
    </xf>
    <xf numFmtId="0" fontId="24" fillId="0" borderId="22" xfId="0" applyFont="1" applyBorder="1" applyAlignment="1">
      <alignment horizontal="left"/>
    </xf>
    <xf numFmtId="0" fontId="24" fillId="0" borderId="21" xfId="0" applyFont="1" applyBorder="1" applyAlignment="1">
      <alignment horizontal="left"/>
    </xf>
    <xf numFmtId="0" fontId="0" fillId="0" borderId="15" xfId="0" applyBorder="1" applyAlignment="1">
      <alignment horizontal="left"/>
    </xf>
    <xf numFmtId="0" fontId="0" fillId="0" borderId="22" xfId="0" applyBorder="1" applyAlignment="1">
      <alignment horizontal="left"/>
    </xf>
    <xf numFmtId="0" fontId="0" fillId="0" borderId="10" xfId="0" applyFill="1" applyBorder="1" applyAlignment="1">
      <alignment horizontal="left"/>
    </xf>
    <xf numFmtId="0" fontId="0" fillId="0" borderId="0" xfId="0" applyFill="1" applyBorder="1" applyAlignment="1">
      <alignment horizontal="left"/>
    </xf>
    <xf numFmtId="0" fontId="0" fillId="0" borderId="11" xfId="0" applyFill="1" applyBorder="1" applyAlignment="1">
      <alignment horizontal="lef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10" fillId="0" borderId="0" xfId="0" applyFont="1" applyAlignment="1" applyProtection="1">
      <alignment horizontal="center" vertical="center"/>
      <protection locked="0"/>
    </xf>
    <xf numFmtId="0" fontId="8" fillId="0" borderId="22" xfId="0" applyFont="1" applyBorder="1" applyAlignment="1">
      <alignment horizontal="center"/>
    </xf>
    <xf numFmtId="0" fontId="7" fillId="0" borderId="0" xfId="0" applyFont="1" applyBorder="1" applyAlignment="1">
      <alignment horizontal="center" vertical="center"/>
    </xf>
    <xf numFmtId="0" fontId="8" fillId="0" borderId="0" xfId="0" applyFont="1" applyAlignment="1">
      <alignment horizontal="center"/>
    </xf>
    <xf numFmtId="174" fontId="5" fillId="0" borderId="0" xfId="0" applyNumberFormat="1" applyFont="1" applyAlignment="1">
      <alignment horizontal="right"/>
    </xf>
    <xf numFmtId="196" fontId="7" fillId="0" borderId="0" xfId="0" applyNumberFormat="1" applyFont="1" applyAlignment="1">
      <alignment horizontal="center" vertical="center"/>
    </xf>
    <xf numFmtId="0" fontId="17" fillId="0" borderId="0" xfId="0" applyFont="1" applyAlignment="1">
      <alignment horizontal="left"/>
    </xf>
    <xf numFmtId="3" fontId="7" fillId="0" borderId="0" xfId="0" applyNumberFormat="1" applyFont="1" applyBorder="1" applyAlignment="1">
      <alignment horizontal="left" vertical="center"/>
    </xf>
    <xf numFmtId="0" fontId="10" fillId="0" borderId="0" xfId="0" applyFont="1" applyAlignment="1">
      <alignment horizontal="center" vertical="center"/>
    </xf>
    <xf numFmtId="10" fontId="18" fillId="0" borderId="0" xfId="60" applyNumberFormat="1" applyFont="1" applyBorder="1" applyAlignment="1">
      <alignment horizontal="center"/>
    </xf>
    <xf numFmtId="0" fontId="17" fillId="0" borderId="0" xfId="0" applyFont="1" applyBorder="1" applyAlignment="1">
      <alignment horizontal="left"/>
    </xf>
    <xf numFmtId="0" fontId="5" fillId="0" borderId="0" xfId="0" applyFont="1" applyAlignment="1">
      <alignment horizontal="left"/>
    </xf>
    <xf numFmtId="195" fontId="17" fillId="0" borderId="0" xfId="0" applyNumberFormat="1" applyFont="1" applyAlignment="1">
      <alignment horizontal="left"/>
    </xf>
    <xf numFmtId="0" fontId="7" fillId="0" borderId="0" xfId="0" applyFont="1" applyAlignment="1" applyProtection="1">
      <alignment vertical="center"/>
      <protection locked="0"/>
    </xf>
    <xf numFmtId="0" fontId="7" fillId="0" borderId="0" xfId="0" applyFont="1" applyAlignment="1">
      <alignment vertical="center"/>
    </xf>
    <xf numFmtId="179" fontId="7" fillId="0" borderId="0" xfId="42" applyNumberFormat="1" applyFont="1" applyAlignment="1">
      <alignment horizontal="right" vertical="center"/>
    </xf>
    <xf numFmtId="0" fontId="8" fillId="0" borderId="0" xfId="0" applyFont="1" applyBorder="1" applyAlignment="1">
      <alignment horizontal="left" vertical="center"/>
    </xf>
    <xf numFmtId="174" fontId="5" fillId="0" borderId="0" xfId="0" applyNumberFormat="1" applyFont="1" applyBorder="1" applyAlignment="1">
      <alignment horizontal="center" vertical="center"/>
    </xf>
    <xf numFmtId="0" fontId="17" fillId="0" borderId="0" xfId="0" applyFont="1" applyAlignment="1">
      <alignment horizontal="left" vertical="top" wrapText="1"/>
    </xf>
    <xf numFmtId="0" fontId="12" fillId="0" borderId="0" xfId="0" applyFont="1" applyAlignment="1">
      <alignment horizontal="left" vertical="top" wrapText="1"/>
    </xf>
    <xf numFmtId="0" fontId="17" fillId="0" borderId="0" xfId="0" applyFont="1" applyAlignment="1" applyProtection="1">
      <alignment horizontal="left" vertical="center"/>
      <protection locked="0"/>
    </xf>
    <xf numFmtId="3" fontId="7" fillId="0" borderId="0" xfId="0" applyNumberFormat="1" applyFont="1" applyAlignment="1" applyProtection="1">
      <alignment vertical="center"/>
      <protection locked="0"/>
    </xf>
    <xf numFmtId="0" fontId="5" fillId="0" borderId="22" xfId="0" applyFont="1" applyBorder="1" applyAlignment="1">
      <alignment horizontal="center"/>
    </xf>
    <xf numFmtId="0" fontId="17" fillId="0" borderId="0" xfId="0" applyFont="1" applyAlignment="1">
      <alignment horizontal="left" vertical="center"/>
    </xf>
    <xf numFmtId="0" fontId="7" fillId="0" borderId="0" xfId="0" applyFont="1" applyAlignment="1" applyProtection="1">
      <alignment horizontal="right" vertical="center"/>
      <protection locked="0"/>
    </xf>
    <xf numFmtId="0" fontId="7" fillId="0" borderId="0" xfId="0" applyFont="1" applyAlignment="1">
      <alignment horizontal="right" vertical="center"/>
    </xf>
    <xf numFmtId="0" fontId="7" fillId="0" borderId="13" xfId="0" applyFont="1" applyBorder="1" applyAlignment="1">
      <alignment vertical="center"/>
    </xf>
    <xf numFmtId="0" fontId="0" fillId="0" borderId="0" xfId="0" applyAlignment="1">
      <alignment vertical="center"/>
    </xf>
    <xf numFmtId="0" fontId="0" fillId="0" borderId="10" xfId="0" applyBorder="1" applyAlignment="1">
      <alignment/>
    </xf>
    <xf numFmtId="0" fontId="0" fillId="0" borderId="0" xfId="0" applyBorder="1" applyAlignment="1">
      <alignment/>
    </xf>
    <xf numFmtId="0" fontId="0" fillId="0" borderId="10" xfId="0" applyFill="1" applyBorder="1" applyAlignment="1">
      <alignment horizontal="center"/>
    </xf>
    <xf numFmtId="0" fontId="0" fillId="0" borderId="0" xfId="0" applyFill="1" applyBorder="1" applyAlignment="1">
      <alignment horizontal="center"/>
    </xf>
    <xf numFmtId="0" fontId="0" fillId="0" borderId="11" xfId="0" applyFill="1" applyBorder="1" applyAlignment="1">
      <alignment horizontal="center"/>
    </xf>
    <xf numFmtId="10" fontId="5" fillId="0" borderId="0" xfId="60" applyNumberFormat="1" applyFont="1" applyBorder="1" applyAlignment="1">
      <alignment horizontal="left"/>
    </xf>
    <xf numFmtId="174" fontId="5" fillId="0" borderId="0" xfId="60" applyNumberFormat="1" applyFont="1" applyBorder="1" applyAlignment="1">
      <alignment horizontal="right"/>
    </xf>
    <xf numFmtId="0" fontId="7" fillId="0" borderId="0" xfId="0" applyFont="1" applyAlignment="1">
      <alignment horizontal="left" vertical="center" wrapText="1"/>
    </xf>
    <xf numFmtId="0" fontId="8" fillId="0" borderId="0" xfId="0" applyFont="1" applyAlignment="1">
      <alignment horizontal="center" vertical="center"/>
    </xf>
    <xf numFmtId="0" fontId="5" fillId="0" borderId="0" xfId="0" applyFont="1" applyAlignment="1" applyProtection="1">
      <alignment horizontal="left" vertical="center"/>
      <protection locked="0"/>
    </xf>
    <xf numFmtId="0" fontId="11" fillId="0" borderId="0" xfId="0" applyFont="1" applyAlignment="1">
      <alignment horizontal="center" vertical="center"/>
    </xf>
    <xf numFmtId="0" fontId="6" fillId="0" borderId="0" xfId="0" applyFont="1" applyAlignment="1">
      <alignment horizontal="left" vertical="top"/>
    </xf>
    <xf numFmtId="3" fontId="17" fillId="0" borderId="0" xfId="0" applyNumberFormat="1" applyFont="1" applyAlignment="1">
      <alignment horizontal="center" vertical="center" wrapText="1"/>
    </xf>
    <xf numFmtId="0" fontId="17" fillId="0" borderId="0" xfId="0" applyFont="1" applyAlignment="1">
      <alignment horizontal="center" vertical="center" wrapText="1"/>
    </xf>
    <xf numFmtId="3" fontId="17" fillId="0" borderId="0" xfId="42" applyNumberFormat="1" applyFont="1" applyAlignment="1">
      <alignment horizontal="center" vertical="center" wrapText="1"/>
    </xf>
    <xf numFmtId="0" fontId="17" fillId="0" borderId="0" xfId="0" applyFont="1" applyAlignment="1">
      <alignment horizontal="left" vertical="center" wrapText="1"/>
    </xf>
    <xf numFmtId="3" fontId="7" fillId="0" borderId="0" xfId="0" applyNumberFormat="1" applyFont="1" applyAlignment="1">
      <alignment horizontal="center" vertical="center"/>
    </xf>
    <xf numFmtId="0" fontId="7" fillId="0" borderId="0" xfId="0" applyFont="1" applyAlignment="1">
      <alignment horizontal="center" vertical="center"/>
    </xf>
    <xf numFmtId="0" fontId="15" fillId="0" borderId="0" xfId="0" applyFont="1" applyAlignment="1">
      <alignment horizontal="center" vertical="top"/>
    </xf>
    <xf numFmtId="49" fontId="16" fillId="0" borderId="0" xfId="0" applyNumberFormat="1" applyFont="1" applyAlignment="1">
      <alignment horizontal="left" vertical="top"/>
    </xf>
    <xf numFmtId="0" fontId="7" fillId="0" borderId="15"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8" fillId="0" borderId="0" xfId="0" applyFont="1" applyAlignment="1">
      <alignment horizontal="left" vertical="top" wrapText="1"/>
    </xf>
    <xf numFmtId="0" fontId="0" fillId="0" borderId="0" xfId="0" applyAlignment="1">
      <alignment horizontal="left" vertical="top" wrapText="1"/>
    </xf>
    <xf numFmtId="179" fontId="0" fillId="0" borderId="23" xfId="42" applyNumberFormat="1" applyBorder="1" applyAlignment="1">
      <alignment horizontal="center"/>
    </xf>
    <xf numFmtId="179" fontId="0" fillId="0" borderId="25" xfId="42" applyNumberFormat="1" applyBorder="1" applyAlignment="1">
      <alignment horizontal="center"/>
    </xf>
    <xf numFmtId="0" fontId="0" fillId="0" borderId="0" xfId="0" applyAlignment="1">
      <alignment horizontal="center"/>
    </xf>
    <xf numFmtId="2" fontId="0" fillId="0" borderId="0" xfId="0" applyNumberFormat="1" applyAlignment="1">
      <alignment horizontal="right"/>
    </xf>
    <xf numFmtId="0" fontId="0" fillId="0" borderId="23" xfId="0" applyBorder="1" applyAlignment="1">
      <alignment horizontal="center"/>
    </xf>
    <xf numFmtId="0" fontId="0" fillId="0" borderId="25" xfId="0" applyBorder="1" applyAlignment="1">
      <alignment horizontal="center"/>
    </xf>
    <xf numFmtId="171" fontId="0" fillId="0" borderId="0" xfId="0" applyNumberFormat="1" applyFill="1" applyBorder="1" applyAlignment="1">
      <alignment horizontal="center"/>
    </xf>
    <xf numFmtId="179" fontId="0" fillId="0" borderId="0" xfId="0" applyNumberFormat="1" applyFill="1" applyBorder="1" applyAlignment="1">
      <alignment horizontal="center"/>
    </xf>
    <xf numFmtId="171" fontId="12" fillId="0" borderId="0" xfId="42" applyFont="1" applyFill="1" applyBorder="1" applyAlignment="1">
      <alignment horizontal="center"/>
    </xf>
    <xf numFmtId="179" fontId="12" fillId="0" borderId="0" xfId="42" applyNumberFormat="1" applyFont="1" applyFill="1" applyBorder="1" applyAlignment="1">
      <alignment horizontal="center"/>
    </xf>
    <xf numFmtId="179" fontId="12" fillId="0" borderId="23" xfId="42" applyNumberFormat="1" applyFont="1" applyFill="1" applyBorder="1" applyAlignment="1">
      <alignment horizontal="center"/>
    </xf>
    <xf numFmtId="179" fontId="12" fillId="0" borderId="25" xfId="42" applyNumberFormat="1" applyFont="1" applyFill="1" applyBorder="1" applyAlignment="1">
      <alignment horizontal="center"/>
    </xf>
    <xf numFmtId="179" fontId="12" fillId="0" borderId="21" xfId="42" applyNumberFormat="1" applyFont="1" applyBorder="1" applyAlignment="1">
      <alignment horizontal="center"/>
    </xf>
    <xf numFmtId="179" fontId="12" fillId="0" borderId="14" xfId="42" applyNumberFormat="1" applyFont="1" applyBorder="1" applyAlignment="1">
      <alignment horizontal="center"/>
    </xf>
    <xf numFmtId="171" fontId="0" fillId="0" borderId="23" xfId="0" applyNumberFormat="1" applyBorder="1" applyAlignment="1">
      <alignment horizontal="center"/>
    </xf>
    <xf numFmtId="179" fontId="0" fillId="0" borderId="24" xfId="0" applyNumberFormat="1" applyBorder="1" applyAlignment="1">
      <alignment horizontal="center"/>
    </xf>
    <xf numFmtId="179" fontId="0" fillId="0" borderId="23" xfId="0" applyNumberFormat="1" applyBorder="1" applyAlignment="1">
      <alignment horizontal="center"/>
    </xf>
    <xf numFmtId="179" fontId="0" fillId="0" borderId="25" xfId="0" applyNumberFormat="1" applyBorder="1" applyAlignment="1">
      <alignment horizontal="center"/>
    </xf>
    <xf numFmtId="171" fontId="0" fillId="0" borderId="24" xfId="0" applyNumberFormat="1" applyBorder="1" applyAlignment="1">
      <alignment horizontal="center"/>
    </xf>
    <xf numFmtId="179" fontId="0" fillId="0" borderId="14" xfId="42" applyNumberFormat="1" applyBorder="1" applyAlignment="1">
      <alignment horizontal="center"/>
    </xf>
    <xf numFmtId="171" fontId="12" fillId="34" borderId="23" xfId="42" applyFont="1" applyFill="1" applyBorder="1" applyAlignment="1">
      <alignment horizontal="center"/>
    </xf>
    <xf numFmtId="171" fontId="12" fillId="34" borderId="25" xfId="42" applyFont="1" applyFill="1" applyBorder="1" applyAlignment="1">
      <alignment horizontal="center"/>
    </xf>
    <xf numFmtId="179" fontId="12" fillId="34" borderId="22" xfId="42" applyNumberFormat="1" applyFont="1" applyFill="1" applyBorder="1" applyAlignment="1">
      <alignment horizontal="center"/>
    </xf>
    <xf numFmtId="179" fontId="12" fillId="34" borderId="13" xfId="42" applyNumberFormat="1" applyFont="1" applyFill="1" applyBorder="1" applyAlignment="1">
      <alignment horizontal="center"/>
    </xf>
    <xf numFmtId="179" fontId="12" fillId="0" borderId="23" xfId="42" applyNumberFormat="1" applyFont="1" applyBorder="1" applyAlignment="1">
      <alignment horizontal="center"/>
    </xf>
    <xf numFmtId="179" fontId="12" fillId="0" borderId="25" xfId="42" applyNumberFormat="1" applyFont="1" applyBorder="1" applyAlignment="1">
      <alignment horizontal="center"/>
    </xf>
    <xf numFmtId="171" fontId="12" fillId="0" borderId="23" xfId="42" applyFont="1" applyFill="1" applyBorder="1" applyAlignment="1">
      <alignment horizontal="center"/>
    </xf>
    <xf numFmtId="171" fontId="12" fillId="0" borderId="25" xfId="42" applyFont="1" applyFill="1" applyBorder="1" applyAlignment="1">
      <alignment horizontal="center"/>
    </xf>
    <xf numFmtId="179" fontId="12" fillId="0" borderId="22" xfId="42" applyNumberFormat="1" applyFont="1" applyBorder="1" applyAlignment="1">
      <alignment horizontal="center"/>
    </xf>
    <xf numFmtId="179" fontId="12" fillId="0" borderId="13" xfId="42" applyNumberFormat="1" applyFont="1" applyBorder="1" applyAlignment="1">
      <alignment horizontal="center"/>
    </xf>
    <xf numFmtId="179" fontId="12" fillId="0" borderId="33" xfId="42" applyNumberFormat="1" applyFont="1" applyBorder="1" applyAlignment="1">
      <alignment horizontal="center"/>
    </xf>
    <xf numFmtId="171" fontId="12" fillId="0" borderId="34" xfId="42" applyFont="1" applyFill="1" applyBorder="1" applyAlignment="1">
      <alignment horizontal="center"/>
    </xf>
    <xf numFmtId="171" fontId="12" fillId="34" borderId="34" xfId="42" applyFont="1" applyFill="1" applyBorder="1" applyAlignment="1">
      <alignment horizontal="center"/>
    </xf>
    <xf numFmtId="179" fontId="12" fillId="34" borderId="35" xfId="42" applyNumberFormat="1" applyFont="1" applyFill="1" applyBorder="1" applyAlignment="1">
      <alignment horizontal="center"/>
    </xf>
    <xf numFmtId="179" fontId="12" fillId="0" borderId="34" xfId="42" applyNumberFormat="1" applyFont="1" applyBorder="1" applyAlignment="1">
      <alignment horizontal="center"/>
    </xf>
    <xf numFmtId="179" fontId="12" fillId="0" borderId="35" xfId="42" applyNumberFormat="1" applyFont="1" applyBorder="1" applyAlignment="1">
      <alignment horizontal="center"/>
    </xf>
    <xf numFmtId="179" fontId="12" fillId="0" borderId="34" xfId="42" applyNumberFormat="1" applyFont="1" applyFill="1" applyBorder="1" applyAlignment="1">
      <alignment horizontal="center"/>
    </xf>
    <xf numFmtId="179" fontId="12" fillId="0" borderId="0" xfId="42" applyNumberFormat="1" applyFont="1" applyBorder="1" applyAlignment="1">
      <alignment horizontal="center"/>
    </xf>
    <xf numFmtId="179" fontId="12" fillId="34" borderId="24" xfId="42" applyNumberFormat="1" applyFont="1" applyFill="1" applyBorder="1" applyAlignment="1">
      <alignment horizontal="center"/>
    </xf>
    <xf numFmtId="179" fontId="12" fillId="34" borderId="34" xfId="42" applyNumberFormat="1" applyFont="1" applyFill="1" applyBorder="1" applyAlignment="1">
      <alignment horizontal="center"/>
    </xf>
    <xf numFmtId="179" fontId="12" fillId="0" borderId="11" xfId="42" applyNumberFormat="1" applyFont="1" applyBorder="1" applyAlignment="1">
      <alignment horizontal="center"/>
    </xf>
    <xf numFmtId="171" fontId="12" fillId="34" borderId="24" xfId="42" applyFont="1" applyFill="1" applyBorder="1" applyAlignment="1">
      <alignment horizontal="center"/>
    </xf>
    <xf numFmtId="179" fontId="12" fillId="34" borderId="0" xfId="42" applyNumberFormat="1" applyFont="1" applyFill="1" applyBorder="1" applyAlignment="1">
      <alignment horizontal="center"/>
    </xf>
    <xf numFmtId="179" fontId="12" fillId="0" borderId="24" xfId="42" applyNumberFormat="1" applyFont="1" applyBorder="1" applyAlignment="1">
      <alignment horizontal="center"/>
    </xf>
    <xf numFmtId="171" fontId="12" fillId="37" borderId="23" xfId="42" applyFont="1" applyFill="1" applyBorder="1" applyAlignment="1">
      <alignment horizontal="center"/>
    </xf>
    <xf numFmtId="171" fontId="12" fillId="37" borderId="25" xfId="42" applyFont="1" applyFill="1" applyBorder="1" applyAlignment="1">
      <alignment horizontal="center"/>
    </xf>
    <xf numFmtId="179" fontId="12" fillId="37" borderId="22" xfId="42" applyNumberFormat="1" applyFont="1" applyFill="1" applyBorder="1" applyAlignment="1">
      <alignment horizontal="center"/>
    </xf>
    <xf numFmtId="179" fontId="12" fillId="37" borderId="13" xfId="42" applyNumberFormat="1" applyFont="1" applyFill="1" applyBorder="1" applyAlignment="1">
      <alignment horizontal="center"/>
    </xf>
    <xf numFmtId="171" fontId="12" fillId="37" borderId="34" xfId="42" applyFont="1" applyFill="1" applyBorder="1" applyAlignment="1">
      <alignment horizontal="center"/>
    </xf>
    <xf numFmtId="179" fontId="12" fillId="37" borderId="35" xfId="42" applyNumberFormat="1" applyFont="1" applyFill="1" applyBorder="1" applyAlignment="1">
      <alignment horizontal="center"/>
    </xf>
    <xf numFmtId="179" fontId="12" fillId="37" borderId="23" xfId="42" applyNumberFormat="1" applyFont="1" applyFill="1" applyBorder="1" applyAlignment="1">
      <alignment horizontal="center"/>
    </xf>
    <xf numFmtId="179" fontId="12" fillId="37" borderId="34" xfId="42" applyNumberFormat="1" applyFont="1" applyFill="1" applyBorder="1" applyAlignment="1">
      <alignment horizontal="center"/>
    </xf>
    <xf numFmtId="171" fontId="12" fillId="37" borderId="24" xfId="42" applyFont="1" applyFill="1" applyBorder="1" applyAlignment="1">
      <alignment horizontal="center"/>
    </xf>
    <xf numFmtId="179" fontId="12" fillId="37" borderId="0" xfId="42" applyNumberFormat="1" applyFont="1" applyFill="1" applyBorder="1" applyAlignment="1">
      <alignment horizontal="center"/>
    </xf>
    <xf numFmtId="179" fontId="12" fillId="38" borderId="22" xfId="42" applyNumberFormat="1" applyFont="1" applyFill="1" applyBorder="1" applyAlignment="1">
      <alignment horizontal="center"/>
    </xf>
    <xf numFmtId="179" fontId="12" fillId="38" borderId="13" xfId="42" applyNumberFormat="1" applyFont="1" applyFill="1" applyBorder="1" applyAlignment="1">
      <alignment horizontal="center"/>
    </xf>
    <xf numFmtId="171" fontId="12" fillId="38" borderId="23" xfId="42" applyFont="1" applyFill="1" applyBorder="1" applyAlignment="1">
      <alignment horizontal="center"/>
    </xf>
    <xf numFmtId="171" fontId="12" fillId="38" borderId="34" xfId="42" applyFont="1" applyFill="1" applyBorder="1" applyAlignment="1">
      <alignment horizontal="center"/>
    </xf>
    <xf numFmtId="171" fontId="12" fillId="38" borderId="25" xfId="42" applyFont="1" applyFill="1" applyBorder="1" applyAlignment="1">
      <alignment horizontal="center"/>
    </xf>
    <xf numFmtId="179" fontId="12" fillId="38" borderId="35" xfId="42" applyNumberFormat="1" applyFont="1" applyFill="1" applyBorder="1" applyAlignment="1">
      <alignment horizontal="center"/>
    </xf>
    <xf numFmtId="179" fontId="12" fillId="38" borderId="23" xfId="42" applyNumberFormat="1" applyFont="1" applyFill="1" applyBorder="1" applyAlignment="1">
      <alignment horizontal="center"/>
    </xf>
    <xf numFmtId="179" fontId="12" fillId="38" borderId="34" xfId="42" applyNumberFormat="1" applyFont="1" applyFill="1" applyBorder="1" applyAlignment="1">
      <alignment horizontal="center"/>
    </xf>
    <xf numFmtId="179" fontId="12" fillId="38" borderId="0" xfId="42" applyNumberFormat="1" applyFont="1" applyFill="1" applyBorder="1" applyAlignment="1">
      <alignment horizontal="center"/>
    </xf>
    <xf numFmtId="171" fontId="12" fillId="38" borderId="24" xfId="42" applyFont="1" applyFill="1" applyBorder="1" applyAlignment="1">
      <alignment horizontal="center"/>
    </xf>
    <xf numFmtId="0" fontId="5" fillId="0" borderId="0" xfId="0" applyFont="1" applyAlignment="1">
      <alignment horizontal="center"/>
    </xf>
    <xf numFmtId="0" fontId="0" fillId="38" borderId="15" xfId="0" applyFill="1" applyBorder="1" applyAlignment="1">
      <alignment horizontal="center"/>
    </xf>
    <xf numFmtId="0" fontId="0" fillId="38" borderId="22" xfId="0" applyFill="1" applyBorder="1" applyAlignment="1">
      <alignment horizontal="center"/>
    </xf>
    <xf numFmtId="0" fontId="0" fillId="38" borderId="21" xfId="0" applyFill="1" applyBorder="1" applyAlignment="1">
      <alignment horizontal="center"/>
    </xf>
    <xf numFmtId="49" fontId="0" fillId="38" borderId="13" xfId="0" applyNumberFormat="1" applyFill="1" applyBorder="1" applyAlignment="1">
      <alignment horizontal="center"/>
    </xf>
    <xf numFmtId="49" fontId="0" fillId="38" borderId="14" xfId="0" applyNumberFormat="1" applyFill="1" applyBorder="1" applyAlignment="1">
      <alignment horizontal="center"/>
    </xf>
    <xf numFmtId="3" fontId="0" fillId="0" borderId="15" xfId="0" applyNumberFormat="1" applyBorder="1" applyAlignment="1">
      <alignment horizontal="center"/>
    </xf>
    <xf numFmtId="3" fontId="0" fillId="0" borderId="22" xfId="0" applyNumberFormat="1" applyBorder="1" applyAlignment="1">
      <alignment horizontal="center"/>
    </xf>
    <xf numFmtId="3" fontId="0" fillId="0" borderId="21" xfId="0" applyNumberFormat="1" applyBorder="1" applyAlignment="1">
      <alignment horizontal="center"/>
    </xf>
    <xf numFmtId="0" fontId="49" fillId="38" borderId="0" xfId="0" applyFont="1" applyFill="1" applyAlignment="1">
      <alignment/>
    </xf>
    <xf numFmtId="0" fontId="0" fillId="0" borderId="23" xfId="0" applyBorder="1" applyAlignment="1">
      <alignment/>
    </xf>
    <xf numFmtId="0" fontId="49" fillId="40" borderId="15" xfId="0" applyFont="1" applyFill="1" applyBorder="1" applyAlignment="1">
      <alignment horizontal="center"/>
    </xf>
    <xf numFmtId="0" fontId="49" fillId="40" borderId="22" xfId="0" applyFont="1" applyFill="1" applyBorder="1" applyAlignment="1">
      <alignment horizontal="center"/>
    </xf>
    <xf numFmtId="0" fontId="49" fillId="40" borderId="21" xfId="0" applyFont="1" applyFill="1" applyBorder="1" applyAlignment="1">
      <alignment horizontal="center"/>
    </xf>
    <xf numFmtId="49" fontId="0" fillId="38" borderId="16" xfId="0" applyNumberFormat="1" applyFill="1" applyBorder="1" applyAlignment="1">
      <alignment horizontal="center"/>
    </xf>
    <xf numFmtId="49" fontId="0" fillId="38" borderId="17" xfId="0" applyNumberFormat="1" applyFill="1" applyBorder="1" applyAlignment="1">
      <alignment horizontal="center"/>
    </xf>
    <xf numFmtId="49" fontId="0" fillId="38" borderId="18" xfId="0" applyNumberFormat="1" applyFill="1" applyBorder="1" applyAlignment="1">
      <alignment horizontal="center"/>
    </xf>
    <xf numFmtId="0" fontId="0" fillId="0" borderId="23" xfId="0" applyBorder="1" applyAlignment="1">
      <alignment wrapText="1"/>
    </xf>
    <xf numFmtId="49" fontId="0" fillId="0" borderId="23" xfId="0" applyNumberFormat="1" applyFill="1" applyBorder="1" applyAlignment="1">
      <alignment horizontal="center"/>
    </xf>
    <xf numFmtId="179" fontId="0" fillId="38" borderId="26" xfId="44" applyNumberFormat="1" applyFont="1" applyFill="1" applyBorder="1" applyAlignment="1">
      <alignment/>
    </xf>
    <xf numFmtId="179" fontId="0" fillId="38" borderId="17" xfId="44" applyNumberFormat="1" applyFont="1" applyFill="1" applyBorder="1" applyAlignment="1">
      <alignment/>
    </xf>
    <xf numFmtId="171" fontId="0" fillId="0" borderId="26" xfId="44" applyFont="1" applyFill="1" applyBorder="1" applyAlignment="1">
      <alignment/>
    </xf>
    <xf numFmtId="179" fontId="0" fillId="38" borderId="26" xfId="44" applyNumberFormat="1" applyFill="1" applyBorder="1" applyAlignment="1">
      <alignment/>
    </xf>
    <xf numFmtId="171" fontId="0" fillId="38" borderId="18" xfId="44" applyFont="1" applyFill="1" applyBorder="1" applyAlignment="1">
      <alignment/>
    </xf>
    <xf numFmtId="3" fontId="0" fillId="0" borderId="26" xfId="0" applyNumberFormat="1" applyBorder="1" applyAlignment="1">
      <alignment/>
    </xf>
    <xf numFmtId="3" fontId="0" fillId="0" borderId="26" xfId="44" applyNumberFormat="1" applyBorder="1" applyAlignment="1">
      <alignment/>
    </xf>
    <xf numFmtId="179" fontId="0" fillId="0" borderId="24" xfId="44" applyNumberFormat="1" applyFont="1" applyBorder="1" applyAlignment="1">
      <alignment/>
    </xf>
    <xf numFmtId="179" fontId="0" fillId="0" borderId="23" xfId="44" applyNumberFormat="1" applyFont="1" applyBorder="1" applyAlignment="1">
      <alignment/>
    </xf>
    <xf numFmtId="171" fontId="0" fillId="0" borderId="24" xfId="44" applyFont="1" applyBorder="1" applyAlignment="1">
      <alignment/>
    </xf>
    <xf numFmtId="179" fontId="0" fillId="0" borderId="24" xfId="44" applyNumberFormat="1" applyBorder="1" applyAlignment="1">
      <alignment/>
    </xf>
    <xf numFmtId="171" fontId="0" fillId="38" borderId="23" xfId="44" applyFont="1" applyFill="1" applyBorder="1" applyAlignment="1">
      <alignment/>
    </xf>
    <xf numFmtId="3" fontId="0" fillId="0" borderId="24" xfId="0" applyNumberFormat="1" applyBorder="1" applyAlignment="1">
      <alignment/>
    </xf>
    <xf numFmtId="3" fontId="0" fillId="0" borderId="24" xfId="44" applyNumberFormat="1" applyBorder="1" applyAlignment="1">
      <alignment/>
    </xf>
    <xf numFmtId="0" fontId="50" fillId="0" borderId="16" xfId="0" applyFont="1" applyBorder="1" applyAlignment="1">
      <alignment/>
    </xf>
    <xf numFmtId="179" fontId="0" fillId="0" borderId="17" xfId="44" applyNumberFormat="1" applyFont="1" applyBorder="1" applyAlignment="1">
      <alignment/>
    </xf>
    <xf numFmtId="171" fontId="0" fillId="0" borderId="17" xfId="44" applyFont="1" applyBorder="1" applyAlignment="1">
      <alignment/>
    </xf>
    <xf numFmtId="179" fontId="0" fillId="0" borderId="17" xfId="44" applyNumberFormat="1" applyBorder="1" applyAlignment="1">
      <alignment/>
    </xf>
    <xf numFmtId="171" fontId="0" fillId="0" borderId="17" xfId="44" applyFont="1" applyFill="1" applyBorder="1" applyAlignment="1">
      <alignment/>
    </xf>
    <xf numFmtId="3" fontId="1" fillId="0" borderId="26" xfId="44" applyNumberFormat="1" applyFont="1" applyBorder="1" applyAlignment="1">
      <alignment/>
    </xf>
    <xf numFmtId="179" fontId="0" fillId="0" borderId="25" xfId="44" applyNumberFormat="1" applyFont="1" applyBorder="1" applyAlignment="1">
      <alignment/>
    </xf>
    <xf numFmtId="171" fontId="0" fillId="0" borderId="25" xfId="44" applyFont="1" applyBorder="1" applyAlignment="1">
      <alignment/>
    </xf>
    <xf numFmtId="171" fontId="0" fillId="40" borderId="24" xfId="44" applyFont="1" applyFill="1" applyBorder="1" applyAlignment="1">
      <alignment/>
    </xf>
    <xf numFmtId="43" fontId="0" fillId="0" borderId="18" xfId="0" applyNumberFormat="1" applyBorder="1" applyAlignment="1">
      <alignment/>
    </xf>
    <xf numFmtId="0" fontId="0" fillId="0" borderId="10" xfId="0" applyBorder="1" applyAlignment="1" quotePrefix="1">
      <alignment/>
    </xf>
    <xf numFmtId="0" fontId="0" fillId="38" borderId="24" xfId="0" applyFill="1" applyBorder="1" applyAlignment="1">
      <alignment/>
    </xf>
    <xf numFmtId="0" fontId="50" fillId="0" borderId="10" xfId="0" applyFont="1" applyBorder="1" applyAlignment="1">
      <alignment/>
    </xf>
    <xf numFmtId="3" fontId="1" fillId="0" borderId="24" xfId="44" applyNumberFormat="1" applyFont="1" applyBorder="1" applyAlignment="1">
      <alignment/>
    </xf>
    <xf numFmtId="0" fontId="0" fillId="38" borderId="24" xfId="0" applyFont="1" applyFill="1" applyBorder="1" applyAlignment="1">
      <alignment/>
    </xf>
    <xf numFmtId="3" fontId="0" fillId="38" borderId="24" xfId="0" applyNumberFormat="1" applyFill="1" applyBorder="1" applyAlignment="1">
      <alignment/>
    </xf>
    <xf numFmtId="0" fontId="0" fillId="0" borderId="0" xfId="0" applyBorder="1" applyAlignment="1" quotePrefix="1">
      <alignment/>
    </xf>
    <xf numFmtId="3" fontId="0" fillId="0" borderId="0" xfId="44" applyNumberFormat="1" applyBorder="1" applyAlignment="1">
      <alignment/>
    </xf>
    <xf numFmtId="0" fontId="50" fillId="0" borderId="15" xfId="0" applyFont="1" applyBorder="1" applyAlignment="1">
      <alignment/>
    </xf>
    <xf numFmtId="3" fontId="0" fillId="0" borderId="21" xfId="44" applyNumberFormat="1" applyBorder="1" applyAlignment="1">
      <alignment/>
    </xf>
    <xf numFmtId="0" fontId="1" fillId="0" borderId="10" xfId="0" applyFont="1" applyBorder="1" applyAlignment="1">
      <alignment/>
    </xf>
    <xf numFmtId="3" fontId="0" fillId="0" borderId="11" xfId="44" applyNumberFormat="1" applyBorder="1" applyAlignment="1">
      <alignment/>
    </xf>
    <xf numFmtId="0" fontId="0" fillId="0" borderId="10" xfId="0" applyBorder="1" applyAlignment="1">
      <alignment horizontal="right"/>
    </xf>
    <xf numFmtId="179" fontId="0" fillId="0" borderId="10" xfId="44" applyNumberFormat="1" applyFont="1" applyBorder="1" applyAlignment="1">
      <alignment/>
    </xf>
    <xf numFmtId="0" fontId="55" fillId="0" borderId="0" xfId="0" applyFont="1" applyBorder="1" applyAlignment="1">
      <alignment horizontal="center"/>
    </xf>
    <xf numFmtId="171" fontId="0" fillId="0" borderId="0" xfId="44" applyNumberFormat="1" applyFont="1" applyBorder="1" applyAlignment="1">
      <alignment horizontal="left"/>
    </xf>
    <xf numFmtId="0" fontId="5" fillId="0" borderId="0" xfId="0" applyFont="1" applyBorder="1" applyAlignment="1" applyProtection="1" quotePrefix="1">
      <alignment horizontal="center"/>
      <protection locked="0"/>
    </xf>
    <xf numFmtId="179" fontId="0" fillId="0" borderId="0" xfId="44" applyNumberFormat="1" applyFont="1" applyBorder="1" applyAlignment="1">
      <alignment horizontal="center"/>
    </xf>
    <xf numFmtId="0" fontId="55" fillId="0" borderId="0" xfId="0" applyFont="1" applyFill="1" applyBorder="1" applyAlignment="1" applyProtection="1">
      <alignment horizontal="center"/>
      <protection locked="0"/>
    </xf>
    <xf numFmtId="171" fontId="0" fillId="0" borderId="0" xfId="44" applyFont="1" applyBorder="1" applyAlignment="1">
      <alignment/>
    </xf>
    <xf numFmtId="0" fontId="5" fillId="0" borderId="0" xfId="0" applyFont="1" applyBorder="1" applyAlignment="1" quotePrefix="1">
      <alignment horizontal="center"/>
    </xf>
    <xf numFmtId="179" fontId="0" fillId="0" borderId="35" xfId="44" applyNumberFormat="1" applyFont="1" applyBorder="1" applyAlignment="1">
      <alignment horizontal="center"/>
    </xf>
    <xf numFmtId="179" fontId="0" fillId="0" borderId="36" xfId="44" applyNumberFormat="1" applyFont="1" applyBorder="1" applyAlignment="1">
      <alignment horizontal="center"/>
    </xf>
    <xf numFmtId="3" fontId="0" fillId="0" borderId="37" xfId="44" applyNumberFormat="1" applyBorder="1" applyAlignment="1">
      <alignment/>
    </xf>
    <xf numFmtId="0" fontId="9" fillId="0" borderId="12" xfId="0" applyFont="1" applyBorder="1" applyAlignment="1">
      <alignment/>
    </xf>
    <xf numFmtId="179" fontId="0" fillId="0" borderId="13" xfId="44" applyNumberFormat="1" applyBorder="1" applyAlignment="1">
      <alignment/>
    </xf>
    <xf numFmtId="3" fontId="0" fillId="0" borderId="14" xfId="44" applyNumberFormat="1" applyBorder="1" applyAlignment="1">
      <alignment/>
    </xf>
    <xf numFmtId="0" fontId="0" fillId="38" borderId="22" xfId="0" applyFont="1" applyFill="1" applyBorder="1" applyAlignment="1">
      <alignment/>
    </xf>
    <xf numFmtId="179" fontId="0" fillId="38" borderId="10" xfId="44" applyNumberFormat="1" applyFont="1" applyFill="1" applyBorder="1" applyAlignment="1">
      <alignment/>
    </xf>
    <xf numFmtId="179" fontId="0" fillId="38" borderId="0" xfId="44" applyNumberFormat="1" applyFont="1" applyFill="1" applyBorder="1" applyAlignment="1">
      <alignment horizontal="center"/>
    </xf>
    <xf numFmtId="171" fontId="0" fillId="38" borderId="0" xfId="44" applyFont="1" applyFill="1" applyBorder="1" applyAlignment="1">
      <alignment/>
    </xf>
    <xf numFmtId="0" fontId="5" fillId="40" borderId="38" xfId="0" applyFont="1" applyFill="1" applyBorder="1" applyAlignment="1">
      <alignment horizontal="center"/>
    </xf>
    <xf numFmtId="0" fontId="5" fillId="40" borderId="39" xfId="0" applyFont="1" applyFill="1" applyBorder="1" applyAlignment="1">
      <alignment horizontal="center"/>
    </xf>
    <xf numFmtId="0" fontId="5" fillId="40" borderId="40" xfId="0" applyFont="1" applyFill="1" applyBorder="1" applyAlignment="1">
      <alignment horizontal="center"/>
    </xf>
    <xf numFmtId="0" fontId="12" fillId="0" borderId="0" xfId="0" applyFont="1" applyBorder="1" applyAlignment="1">
      <alignment/>
    </xf>
    <xf numFmtId="0" fontId="12" fillId="40" borderId="41" xfId="0" applyFont="1" applyFill="1" applyBorder="1" applyAlignment="1">
      <alignment horizontal="center" wrapText="1"/>
    </xf>
    <xf numFmtId="0" fontId="12" fillId="40" borderId="42" xfId="0" applyFont="1" applyFill="1" applyBorder="1" applyAlignment="1">
      <alignment horizontal="center" wrapText="1"/>
    </xf>
    <xf numFmtId="0" fontId="12" fillId="40" borderId="43" xfId="0" applyFont="1" applyFill="1" applyBorder="1" applyAlignment="1">
      <alignment horizontal="center" wrapText="1"/>
    </xf>
    <xf numFmtId="0" fontId="12" fillId="0" borderId="44" xfId="0" applyFont="1" applyBorder="1" applyAlignment="1">
      <alignment horizontal="left"/>
    </xf>
    <xf numFmtId="0" fontId="12" fillId="0" borderId="45" xfId="0" applyFont="1" applyBorder="1" applyAlignment="1">
      <alignment horizontal="left"/>
    </xf>
    <xf numFmtId="0" fontId="12" fillId="40" borderId="46" xfId="0" applyFont="1" applyFill="1" applyBorder="1" applyAlignment="1">
      <alignment/>
    </xf>
    <xf numFmtId="0" fontId="12" fillId="40" borderId="47" xfId="0" applyFont="1" applyFill="1" applyBorder="1" applyAlignment="1">
      <alignment/>
    </xf>
    <xf numFmtId="0" fontId="12" fillId="40" borderId="48" xfId="0" applyFont="1" applyFill="1" applyBorder="1" applyAlignment="1">
      <alignment/>
    </xf>
    <xf numFmtId="0" fontId="12" fillId="0" borderId="44" xfId="0" applyFont="1" applyBorder="1" applyAlignment="1" quotePrefix="1">
      <alignment horizontal="left"/>
    </xf>
    <xf numFmtId="0" fontId="12" fillId="0" borderId="45" xfId="0" applyFont="1" applyBorder="1" applyAlignment="1" quotePrefix="1">
      <alignment horizontal="left"/>
    </xf>
    <xf numFmtId="0" fontId="12" fillId="0" borderId="10" xfId="0" applyFont="1" applyBorder="1" applyAlignment="1" quotePrefix="1">
      <alignment horizontal="left"/>
    </xf>
    <xf numFmtId="0" fontId="12" fillId="0" borderId="0" xfId="0" applyFont="1" applyBorder="1" applyAlignment="1" quotePrefix="1">
      <alignment horizontal="left"/>
    </xf>
    <xf numFmtId="0" fontId="12" fillId="40" borderId="41" xfId="0" applyFont="1" applyFill="1" applyBorder="1" applyAlignment="1">
      <alignment/>
    </xf>
    <xf numFmtId="0" fontId="12" fillId="40" borderId="42" xfId="0" applyFont="1" applyFill="1" applyBorder="1" applyAlignment="1">
      <alignment/>
    </xf>
    <xf numFmtId="0" fontId="12" fillId="40" borderId="43" xfId="0" applyFont="1" applyFill="1" applyBorder="1" applyAlignment="1">
      <alignment/>
    </xf>
    <xf numFmtId="0" fontId="12" fillId="0" borderId="44" xfId="0" applyFont="1" applyBorder="1" applyAlignment="1">
      <alignment/>
    </xf>
    <xf numFmtId="0" fontId="12" fillId="0" borderId="45" xfId="0" applyFont="1" applyBorder="1" applyAlignment="1">
      <alignment/>
    </xf>
    <xf numFmtId="0" fontId="12" fillId="0" borderId="46" xfId="0" applyFont="1" applyBorder="1" applyAlignment="1">
      <alignment/>
    </xf>
    <xf numFmtId="0" fontId="12" fillId="0" borderId="48" xfId="0" applyFont="1"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50" fillId="0" borderId="10" xfId="0" applyFont="1" applyBorder="1" applyAlignment="1">
      <alignment horizontal="left"/>
    </xf>
    <xf numFmtId="0" fontId="50" fillId="0" borderId="0" xfId="0" applyFont="1" applyBorder="1" applyAlignment="1">
      <alignment horizontal="left"/>
    </xf>
    <xf numFmtId="0" fontId="12" fillId="40" borderId="44" xfId="0" applyFont="1" applyFill="1" applyBorder="1" applyAlignment="1">
      <alignment/>
    </xf>
    <xf numFmtId="0" fontId="12" fillId="40" borderId="36" xfId="0" applyFont="1" applyFill="1" applyBorder="1" applyAlignment="1">
      <alignment/>
    </xf>
    <xf numFmtId="0" fontId="12" fillId="0" borderId="47" xfId="0" applyFont="1" applyBorder="1" applyAlignment="1">
      <alignment/>
    </xf>
    <xf numFmtId="0" fontId="12" fillId="40" borderId="44" xfId="0" applyFont="1" applyFill="1" applyBorder="1" applyAlignment="1">
      <alignment/>
    </xf>
    <xf numFmtId="0" fontId="12" fillId="40" borderId="36" xfId="0" applyFont="1" applyFill="1" applyBorder="1" applyAlignment="1">
      <alignment/>
    </xf>
    <xf numFmtId="0" fontId="12" fillId="0" borderId="44" xfId="0" applyFont="1" applyBorder="1" applyAlignment="1" quotePrefix="1">
      <alignment/>
    </xf>
    <xf numFmtId="0" fontId="12" fillId="0" borderId="36" xfId="0" applyFont="1" applyBorder="1" applyAlignment="1">
      <alignment/>
    </xf>
    <xf numFmtId="0" fontId="17" fillId="0" borderId="44" xfId="0" applyFont="1" applyBorder="1" applyAlignment="1">
      <alignment/>
    </xf>
    <xf numFmtId="0" fontId="12" fillId="0" borderId="41" xfId="0" applyFont="1" applyBorder="1" applyAlignment="1">
      <alignment/>
    </xf>
    <xf numFmtId="0" fontId="12" fillId="0" borderId="42" xfId="0" applyFont="1" applyBorder="1" applyAlignment="1">
      <alignment/>
    </xf>
    <xf numFmtId="0" fontId="12" fillId="0" borderId="43" xfId="0" applyFont="1" applyBorder="1" applyAlignment="1">
      <alignment/>
    </xf>
    <xf numFmtId="9" fontId="12" fillId="40" borderId="36" xfId="0" applyNumberFormat="1" applyFont="1" applyFill="1" applyBorder="1" applyAlignment="1">
      <alignment/>
    </xf>
    <xf numFmtId="0" fontId="50" fillId="0" borderId="44" xfId="0" applyFont="1" applyBorder="1" applyAlignment="1">
      <alignment/>
    </xf>
    <xf numFmtId="0" fontId="50" fillId="0" borderId="12" xfId="0" applyFont="1" applyBorder="1" applyAlignment="1">
      <alignment/>
    </xf>
    <xf numFmtId="0" fontId="12" fillId="0" borderId="13" xfId="0" applyFont="1" applyBorder="1" applyAlignment="1">
      <alignment/>
    </xf>
    <xf numFmtId="0" fontId="12" fillId="0" borderId="49" xfId="0" applyFont="1"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xf>
    <xf numFmtId="0" fontId="5" fillId="40" borderId="50" xfId="0" applyFont="1" applyFill="1" applyBorder="1" applyAlignment="1">
      <alignment horizontal="center"/>
    </xf>
    <xf numFmtId="0" fontId="5" fillId="40" borderId="51" xfId="0" applyFont="1" applyFill="1" applyBorder="1" applyAlignment="1">
      <alignment horizontal="center"/>
    </xf>
    <xf numFmtId="0" fontId="5" fillId="40" borderId="52" xfId="0" applyFont="1" applyFill="1" applyBorder="1" applyAlignment="1">
      <alignment horizontal="center"/>
    </xf>
    <xf numFmtId="0" fontId="12" fillId="0" borderId="53" xfId="0" applyFont="1" applyBorder="1" applyAlignment="1">
      <alignment/>
    </xf>
    <xf numFmtId="0" fontId="12" fillId="0" borderId="54" xfId="0" applyFont="1" applyBorder="1" applyAlignment="1">
      <alignment/>
    </xf>
    <xf numFmtId="0" fontId="12" fillId="40" borderId="46" xfId="0" applyFont="1" applyFill="1" applyBorder="1" applyAlignment="1">
      <alignment horizontal="center" wrapText="1"/>
    </xf>
    <xf numFmtId="0" fontId="12" fillId="40" borderId="48" xfId="0" applyFont="1" applyFill="1" applyBorder="1" applyAlignment="1">
      <alignment horizontal="center" wrapText="1"/>
    </xf>
    <xf numFmtId="0" fontId="50" fillId="0" borderId="55" xfId="0" applyFont="1" applyBorder="1" applyAlignment="1">
      <alignment/>
    </xf>
    <xf numFmtId="0" fontId="12" fillId="0" borderId="56" xfId="0" applyFont="1" applyBorder="1" applyAlignment="1">
      <alignment/>
    </xf>
    <xf numFmtId="0" fontId="12" fillId="0" borderId="57" xfId="0" applyFont="1" applyBorder="1" applyAlignment="1">
      <alignment horizontal="left"/>
    </xf>
    <xf numFmtId="0" fontId="12" fillId="0" borderId="46" xfId="0" applyFont="1" applyBorder="1" applyAlignment="1">
      <alignment horizontal="left"/>
    </xf>
    <xf numFmtId="0" fontId="12" fillId="0" borderId="57" xfId="0" applyFont="1" applyBorder="1" applyAlignment="1" quotePrefix="1">
      <alignment horizontal="left"/>
    </xf>
    <xf numFmtId="0" fontId="12" fillId="0" borderId="46" xfId="0" applyFont="1" applyBorder="1" applyAlignment="1" quotePrefix="1">
      <alignment horizontal="left"/>
    </xf>
    <xf numFmtId="0" fontId="12" fillId="0" borderId="57" xfId="0" applyFont="1" applyBorder="1" applyAlignment="1">
      <alignment/>
    </xf>
    <xf numFmtId="0" fontId="12" fillId="0" borderId="58" xfId="0" applyFont="1" applyBorder="1" applyAlignment="1">
      <alignment/>
    </xf>
    <xf numFmtId="0" fontId="12" fillId="0" borderId="59" xfId="0" applyFont="1" applyBorder="1" applyAlignment="1">
      <alignment/>
    </xf>
    <xf numFmtId="0" fontId="0" fillId="0" borderId="53" xfId="0" applyBorder="1" applyAlignment="1">
      <alignment/>
    </xf>
    <xf numFmtId="0" fontId="0" fillId="0" borderId="60" xfId="0" applyBorder="1" applyAlignment="1">
      <alignment/>
    </xf>
    <xf numFmtId="0" fontId="0" fillId="0" borderId="61" xfId="0" applyBorder="1" applyAlignment="1">
      <alignment/>
    </xf>
    <xf numFmtId="0" fontId="0" fillId="0" borderId="59" xfId="0" applyBorder="1" applyAlignment="1">
      <alignment/>
    </xf>
    <xf numFmtId="0" fontId="50" fillId="0" borderId="55" xfId="0" applyFont="1" applyBorder="1" applyAlignment="1">
      <alignment horizontal="left"/>
    </xf>
    <xf numFmtId="0" fontId="50" fillId="0" borderId="35" xfId="0" applyFont="1" applyBorder="1" applyAlignment="1">
      <alignment horizontal="left"/>
    </xf>
    <xf numFmtId="0" fontId="0" fillId="0" borderId="62" xfId="0" applyBorder="1" applyAlignment="1">
      <alignment/>
    </xf>
    <xf numFmtId="0" fontId="0" fillId="0" borderId="63" xfId="0" applyBorder="1" applyAlignment="1">
      <alignment/>
    </xf>
    <xf numFmtId="0" fontId="12" fillId="0" borderId="64" xfId="0" applyFont="1" applyBorder="1" applyAlignment="1">
      <alignment/>
    </xf>
    <xf numFmtId="0" fontId="12" fillId="0" borderId="63" xfId="0" applyFont="1" applyBorder="1" applyAlignment="1">
      <alignment/>
    </xf>
    <xf numFmtId="0" fontId="12" fillId="40" borderId="57" xfId="0" applyFont="1" applyFill="1" applyBorder="1" applyAlignment="1">
      <alignment/>
    </xf>
    <xf numFmtId="0" fontId="12" fillId="40" borderId="46" xfId="0" applyFont="1" applyFill="1" applyBorder="1" applyAlignment="1">
      <alignment/>
    </xf>
    <xf numFmtId="0" fontId="12" fillId="40" borderId="57" xfId="0" applyFont="1" applyFill="1" applyBorder="1" applyAlignment="1">
      <alignment/>
    </xf>
    <xf numFmtId="0" fontId="17" fillId="0" borderId="57" xfId="0" applyFont="1" applyBorder="1" applyAlignment="1">
      <alignment/>
    </xf>
    <xf numFmtId="9" fontId="12" fillId="40" borderId="45" xfId="0" applyNumberFormat="1" applyFont="1" applyFill="1" applyBorder="1" applyAlignment="1">
      <alignment/>
    </xf>
    <xf numFmtId="0" fontId="50" fillId="0" borderId="57" xfId="0" applyFont="1" applyBorder="1" applyAlignment="1">
      <alignment/>
    </xf>
    <xf numFmtId="0" fontId="50" fillId="0" borderId="65" xfId="0" applyFont="1" applyBorder="1" applyAlignment="1">
      <alignment/>
    </xf>
    <xf numFmtId="0" fontId="12" fillId="0" borderId="66" xfId="0" applyFont="1" applyBorder="1" applyAlignment="1">
      <alignment/>
    </xf>
    <xf numFmtId="0" fontId="12" fillId="0" borderId="67" xfId="0" applyFont="1" applyBorder="1" applyAlignment="1">
      <alignment horizontal="center"/>
    </xf>
    <xf numFmtId="0" fontId="12" fillId="0" borderId="68" xfId="0" applyFont="1" applyBorder="1" applyAlignment="1">
      <alignment horizontal="center"/>
    </xf>
    <xf numFmtId="0" fontId="12" fillId="40" borderId="46" xfId="0" applyFont="1" applyFill="1" applyBorder="1" applyAlignment="1">
      <alignment horizontal="left" vertical="top" wrapText="1"/>
    </xf>
    <xf numFmtId="0" fontId="12" fillId="40" borderId="58" xfId="0" applyFont="1" applyFill="1" applyBorder="1" applyAlignment="1">
      <alignment horizontal="center" vertical="center" wrapText="1"/>
    </xf>
    <xf numFmtId="0" fontId="12" fillId="40" borderId="59" xfId="0" applyFont="1" applyFill="1" applyBorder="1" applyAlignment="1">
      <alignment horizontal="center" vertical="center" wrapText="1"/>
    </xf>
    <xf numFmtId="0" fontId="12" fillId="40" borderId="64" xfId="0" applyFont="1" applyFill="1" applyBorder="1" applyAlignment="1">
      <alignment horizontal="center" vertical="center" wrapText="1"/>
    </xf>
    <xf numFmtId="0" fontId="12" fillId="40" borderId="63" xfId="0" applyFont="1" applyFill="1" applyBorder="1" applyAlignment="1">
      <alignment horizontal="center" vertical="center" wrapText="1"/>
    </xf>
    <xf numFmtId="0" fontId="12" fillId="0" borderId="69" xfId="0" applyFont="1"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8" xfId="0" applyBorder="1" applyAlignment="1">
      <alignment/>
    </xf>
    <xf numFmtId="0" fontId="50" fillId="0" borderId="57" xfId="0" applyFont="1" applyBorder="1" applyAlignment="1">
      <alignment horizontal="left"/>
    </xf>
    <xf numFmtId="0" fontId="50" fillId="0" borderId="46" xfId="0" applyFont="1" applyBorder="1" applyAlignment="1">
      <alignment horizontal="left"/>
    </xf>
    <xf numFmtId="0" fontId="12" fillId="0" borderId="57" xfId="0" applyFont="1" applyBorder="1" applyAlignment="1">
      <alignment/>
    </xf>
    <xf numFmtId="0" fontId="12" fillId="0" borderId="46" xfId="0" applyFont="1" applyBorder="1" applyAlignment="1">
      <alignment/>
    </xf>
    <xf numFmtId="0" fontId="12" fillId="0" borderId="57" xfId="0" applyFont="1" applyBorder="1" applyAlignment="1" quotePrefix="1">
      <alignment/>
    </xf>
    <xf numFmtId="0" fontId="0" fillId="0" borderId="16" xfId="0" applyFont="1" applyBorder="1" applyAlignment="1">
      <alignment/>
    </xf>
    <xf numFmtId="0" fontId="50" fillId="0" borderId="22" xfId="0" applyFont="1" applyBorder="1" applyAlignment="1">
      <alignment horizontal="center"/>
    </xf>
    <xf numFmtId="0" fontId="50" fillId="0" borderId="17" xfId="0" applyFont="1" applyBorder="1" applyAlignment="1">
      <alignment horizontal="center"/>
    </xf>
    <xf numFmtId="0" fontId="50" fillId="0" borderId="18" xfId="0" applyFont="1" applyBorder="1" applyAlignment="1">
      <alignment horizontal="center"/>
    </xf>
    <xf numFmtId="0" fontId="0" fillId="0" borderId="26" xfId="0" applyBorder="1" applyAlignment="1">
      <alignment horizontal="right"/>
    </xf>
    <xf numFmtId="0" fontId="57" fillId="0" borderId="23" xfId="0" applyFont="1" applyBorder="1" applyAlignment="1">
      <alignment/>
    </xf>
    <xf numFmtId="0" fontId="0" fillId="38" borderId="22" xfId="0" applyFont="1" applyFill="1" applyBorder="1" applyAlignment="1">
      <alignment horizontal="center"/>
    </xf>
    <xf numFmtId="0" fontId="0" fillId="38" borderId="15" xfId="0" applyFont="1" applyFill="1" applyBorder="1" applyAlignment="1">
      <alignment horizontal="center"/>
    </xf>
    <xf numFmtId="0" fontId="0" fillId="38" borderId="23" xfId="0" applyFont="1" applyFill="1" applyBorder="1" applyAlignment="1">
      <alignment horizontal="center"/>
    </xf>
    <xf numFmtId="0" fontId="0" fillId="38" borderId="23" xfId="0" applyFill="1" applyBorder="1" applyAlignment="1">
      <alignment horizontal="center"/>
    </xf>
    <xf numFmtId="3" fontId="0" fillId="0" borderId="23" xfId="44" applyNumberFormat="1" applyBorder="1" applyAlignment="1">
      <alignment/>
    </xf>
    <xf numFmtId="0" fontId="57" fillId="0" borderId="25" xfId="0" applyFont="1" applyBorder="1" applyAlignment="1">
      <alignment/>
    </xf>
    <xf numFmtId="0" fontId="0" fillId="38" borderId="13" xfId="0" applyFont="1" applyFill="1" applyBorder="1" applyAlignment="1">
      <alignment horizontal="center"/>
    </xf>
    <xf numFmtId="0" fontId="0" fillId="38" borderId="12" xfId="0" applyFont="1" applyFill="1" applyBorder="1" applyAlignment="1">
      <alignment horizontal="center"/>
    </xf>
    <xf numFmtId="0" fontId="0" fillId="38" borderId="25" xfId="0" applyFont="1" applyFill="1" applyBorder="1" applyAlignment="1">
      <alignment horizontal="center"/>
    </xf>
    <xf numFmtId="0" fontId="0" fillId="0" borderId="12" xfId="0" applyFont="1" applyBorder="1" applyAlignment="1">
      <alignment/>
    </xf>
    <xf numFmtId="188" fontId="0" fillId="38" borderId="25" xfId="0" applyNumberFormat="1" applyFill="1" applyBorder="1" applyAlignment="1">
      <alignment/>
    </xf>
    <xf numFmtId="188" fontId="0" fillId="38" borderId="13" xfId="0" applyNumberFormat="1" applyFill="1" applyBorder="1" applyAlignment="1">
      <alignment/>
    </xf>
    <xf numFmtId="188" fontId="0" fillId="38" borderId="26" xfId="0" applyNumberFormat="1" applyFill="1" applyBorder="1" applyAlignment="1">
      <alignment/>
    </xf>
    <xf numFmtId="188" fontId="0" fillId="38" borderId="18" xfId="0" applyNumberFormat="1" applyFill="1" applyBorder="1" applyAlignment="1">
      <alignment/>
    </xf>
    <xf numFmtId="188" fontId="0" fillId="38" borderId="24" xfId="0" applyNumberFormat="1" applyFill="1" applyBorder="1" applyAlignment="1">
      <alignment/>
    </xf>
    <xf numFmtId="49" fontId="0" fillId="0" borderId="26" xfId="0" applyNumberFormat="1" applyFont="1" applyBorder="1" applyAlignment="1">
      <alignment/>
    </xf>
    <xf numFmtId="188" fontId="0" fillId="0" borderId="24" xfId="0" applyNumberFormat="1" applyFill="1" applyBorder="1" applyAlignment="1">
      <alignment/>
    </xf>
    <xf numFmtId="49" fontId="0" fillId="0" borderId="16" xfId="0" applyNumberFormat="1" applyBorder="1" applyAlignment="1">
      <alignment/>
    </xf>
    <xf numFmtId="188" fontId="0" fillId="38" borderId="17" xfId="0" applyNumberFormat="1" applyFill="1" applyBorder="1" applyAlignment="1">
      <alignment/>
    </xf>
    <xf numFmtId="188" fontId="0" fillId="0" borderId="24" xfId="0" applyNumberFormat="1" applyBorder="1" applyAlignment="1">
      <alignment/>
    </xf>
    <xf numFmtId="49" fontId="0" fillId="0" borderId="10" xfId="0" applyNumberFormat="1" applyFont="1" applyBorder="1" applyAlignment="1">
      <alignment/>
    </xf>
    <xf numFmtId="4" fontId="0" fillId="38" borderId="26" xfId="0" applyNumberFormat="1" applyFill="1" applyBorder="1" applyAlignment="1">
      <alignment/>
    </xf>
    <xf numFmtId="4" fontId="0" fillId="38" borderId="17" xfId="0" applyNumberFormat="1" applyFill="1" applyBorder="1" applyAlignment="1">
      <alignment/>
    </xf>
    <xf numFmtId="4" fontId="0" fillId="38" borderId="18" xfId="0" applyNumberFormat="1" applyFill="1" applyBorder="1" applyAlignment="1">
      <alignment/>
    </xf>
    <xf numFmtId="188" fontId="0" fillId="0" borderId="25" xfId="0" applyNumberFormat="1" applyBorder="1" applyAlignment="1">
      <alignment/>
    </xf>
    <xf numFmtId="3" fontId="0" fillId="0" borderId="25" xfId="44" applyNumberFormat="1" applyBorder="1" applyAlignment="1">
      <alignment/>
    </xf>
    <xf numFmtId="0" fontId="57" fillId="0" borderId="0" xfId="0" applyFont="1" applyFill="1" applyBorder="1" applyAlignment="1">
      <alignment/>
    </xf>
    <xf numFmtId="179" fontId="0" fillId="0" borderId="0" xfId="0" applyNumberFormat="1" applyFill="1" applyBorder="1" applyAlignment="1">
      <alignment/>
    </xf>
    <xf numFmtId="3" fontId="0" fillId="0" borderId="0" xfId="44" applyNumberFormat="1" applyFill="1" applyBorder="1" applyAlignment="1">
      <alignment/>
    </xf>
    <xf numFmtId="188" fontId="0" fillId="0" borderId="0" xfId="0" applyNumberFormat="1" applyFill="1" applyBorder="1" applyAlignment="1">
      <alignment/>
    </xf>
    <xf numFmtId="49" fontId="0" fillId="0" borderId="0" xfId="0" applyNumberFormat="1" applyFill="1" applyBorder="1" applyAlignment="1">
      <alignment/>
    </xf>
    <xf numFmtId="4" fontId="0" fillId="0" borderId="0" xfId="0" applyNumberFormat="1" applyFill="1" applyBorder="1" applyAlignment="1">
      <alignment/>
    </xf>
    <xf numFmtId="3" fontId="57" fillId="0" borderId="0" xfId="0" applyNumberFormat="1" applyFont="1" applyFill="1" applyBorder="1" applyAlignment="1">
      <alignment/>
    </xf>
    <xf numFmtId="3" fontId="0" fillId="0" borderId="0" xfId="0" applyNumberFormat="1" applyFill="1" applyBorder="1" applyAlignment="1">
      <alignment/>
    </xf>
    <xf numFmtId="188" fontId="0" fillId="0" borderId="0" xfId="0" applyNumberFormat="1" applyFill="1" applyBorder="1" applyAlignment="1">
      <alignment/>
    </xf>
    <xf numFmtId="188" fontId="0" fillId="0" borderId="0" xfId="0" applyNumberFormat="1" applyFill="1" applyBorder="1" applyAlignment="1" quotePrefix="1">
      <alignment/>
    </xf>
    <xf numFmtId="189" fontId="0" fillId="0" borderId="0" xfId="0" applyNumberForma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latin typeface="Arial"/>
                <a:ea typeface="Arial"/>
                <a:cs typeface="Arial"/>
              </a:rPr>
              <a:t>Net Cash-Flow</a:t>
            </a:r>
          </a:p>
        </c:rich>
      </c:tx>
      <c:layout>
        <c:manualLayout>
          <c:xMode val="factor"/>
          <c:yMode val="factor"/>
          <c:x val="0"/>
          <c:y val="0"/>
        </c:manualLayout>
      </c:layout>
      <c:spPr>
        <a:noFill/>
        <a:ln>
          <a:noFill/>
        </a:ln>
      </c:spPr>
    </c:title>
    <c:plotArea>
      <c:layout>
        <c:manualLayout>
          <c:xMode val="edge"/>
          <c:yMode val="edge"/>
          <c:x val="0.02425"/>
          <c:y val="0.09"/>
          <c:w val="0.851"/>
          <c:h val="0.8725"/>
        </c:manualLayout>
      </c:layout>
      <c:barChart>
        <c:barDir val="col"/>
        <c:grouping val="clustered"/>
        <c:varyColors val="0"/>
        <c:ser>
          <c:idx val="0"/>
          <c:order val="0"/>
          <c:tx>
            <c:strRef>
              <c:f>'investering 50 år'!$D$15</c:f>
              <c:strCache>
                <c:ptCount val="1"/>
                <c:pt idx="0">
                  <c:v>Net Cash-Flow</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'investering 50 år'!$A$16:$A$66</c:f>
              <c:numCache>
                <c:ptCount val="7"/>
                <c:pt idx="0">
                  <c:v>0</c:v>
                </c:pt>
                <c:pt idx="1">
                  <c:v>1</c:v>
                </c:pt>
                <c:pt idx="2">
                  <c:v>2</c:v>
                </c:pt>
                <c:pt idx="3">
                  <c:v>3</c:v>
                </c:pt>
                <c:pt idx="4">
                  <c:v>4</c:v>
                </c:pt>
                <c:pt idx="5">
                  <c:v>5</c:v>
                </c:pt>
                <c:pt idx="6">
                  <c:v>6</c:v>
                </c:pt>
              </c:numCache>
            </c:numRef>
          </c:cat>
          <c:val>
            <c:numRef>
              <c:f>'investering 50 år'!$D$16:$D$66</c:f>
              <c:numCache>
                <c:ptCount val="7"/>
                <c:pt idx="0">
                  <c:v>-11000000</c:v>
                </c:pt>
                <c:pt idx="1">
                  <c:v>500000</c:v>
                </c:pt>
                <c:pt idx="2">
                  <c:v>1700000</c:v>
                </c:pt>
                <c:pt idx="3">
                  <c:v>2500000</c:v>
                </c:pt>
                <c:pt idx="4">
                  <c:v>3000000</c:v>
                </c:pt>
                <c:pt idx="5">
                  <c:v>3000000</c:v>
                </c:pt>
                <c:pt idx="6">
                  <c:v>8250000</c:v>
                </c:pt>
              </c:numCache>
            </c:numRef>
          </c:val>
        </c:ser>
        <c:axId val="2742650"/>
        <c:axId val="24683851"/>
      </c:barChart>
      <c:catAx>
        <c:axId val="274265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år</a:t>
                </a:r>
              </a:p>
            </c:rich>
          </c:tx>
          <c:layout>
            <c:manualLayout>
              <c:xMode val="factor"/>
              <c:yMode val="factor"/>
              <c:x val="0.004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4683851"/>
        <c:crosses val="autoZero"/>
        <c:auto val="1"/>
        <c:lblOffset val="100"/>
        <c:tickLblSkip val="1"/>
        <c:noMultiLvlLbl val="0"/>
      </c:catAx>
      <c:valAx>
        <c:axId val="2468385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kr.</a:t>
                </a:r>
              </a:p>
            </c:rich>
          </c:tx>
          <c:layout>
            <c:manualLayout>
              <c:xMode val="factor"/>
              <c:yMode val="factor"/>
              <c:x val="-0.0197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42650"/>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 footer="0"/>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9.vml" /><Relationship Id="rId3"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0.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1.vml" /><Relationship Id="rId3"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2.vml" /><Relationship Id="rId3"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3.vml" /><Relationship Id="rId3"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4.vml" /><Relationship Id="rId3"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5.vml" /><Relationship Id="rId3"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6.vml" /><Relationship Id="rId3"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80"/>
  <sheetViews>
    <sheetView tabSelected="1" zoomScale="90" zoomScaleNormal="90" zoomScalePageLayoutView="0" workbookViewId="0" topLeftCell="A1">
      <selection activeCell="D22" sqref="D22"/>
    </sheetView>
  </sheetViews>
  <sheetFormatPr defaultColWidth="9.140625" defaultRowHeight="12.75"/>
  <cols>
    <col min="1" max="1" width="9.28125" style="0" customWidth="1"/>
    <col min="2" max="2" width="16.140625" style="0" customWidth="1"/>
    <col min="3" max="3" width="20.7109375" style="0" customWidth="1"/>
    <col min="4" max="4" width="28.28125" style="0" customWidth="1"/>
    <col min="5" max="5" width="27.7109375" style="0" customWidth="1"/>
    <col min="6" max="6" width="28.28125" style="0" customWidth="1"/>
    <col min="7" max="7" width="24.7109375" style="0" hidden="1" customWidth="1"/>
    <col min="8" max="8" width="24.8515625" style="0" customWidth="1"/>
    <col min="9" max="9" width="24.140625" style="0" hidden="1" customWidth="1"/>
  </cols>
  <sheetData>
    <row r="1" ht="12.75">
      <c r="A1" t="s">
        <v>88</v>
      </c>
    </row>
    <row r="2" ht="12.75">
      <c r="A2" t="s">
        <v>279</v>
      </c>
    </row>
    <row r="3" spans="1:3" ht="12.75">
      <c r="A3" t="s">
        <v>280</v>
      </c>
      <c r="C3" s="275">
        <v>3000000</v>
      </c>
    </row>
    <row r="4" spans="1:3" ht="12.75">
      <c r="A4" t="s">
        <v>281</v>
      </c>
      <c r="C4" s="275">
        <v>1000000</v>
      </c>
    </row>
    <row r="5" spans="1:3" ht="12.75">
      <c r="A5" t="s">
        <v>282</v>
      </c>
      <c r="C5" s="275">
        <v>5000000</v>
      </c>
    </row>
    <row r="6" spans="1:3" ht="12.75">
      <c r="A6" t="s">
        <v>283</v>
      </c>
      <c r="C6" s="275">
        <v>2000000</v>
      </c>
    </row>
    <row r="7" spans="1:3" ht="13.5" thickBot="1">
      <c r="A7" t="s">
        <v>284</v>
      </c>
      <c r="C7" s="308">
        <f>SUM(C3:C6)</f>
        <v>11000000</v>
      </c>
    </row>
    <row r="8" ht="13.5" thickTop="1">
      <c r="A8" s="307" t="s">
        <v>288</v>
      </c>
    </row>
    <row r="9" spans="1:3" ht="12.75">
      <c r="A9" t="s">
        <v>149</v>
      </c>
      <c r="C9" s="275">
        <v>4500000</v>
      </c>
    </row>
    <row r="10" spans="1:3" ht="12.75">
      <c r="A10" t="s">
        <v>285</v>
      </c>
      <c r="C10" s="275">
        <v>5000000</v>
      </c>
    </row>
    <row r="11" spans="1:3" ht="12.75">
      <c r="A11" t="s">
        <v>286</v>
      </c>
      <c r="B11" s="306"/>
      <c r="C11" s="305">
        <f>500000/2</f>
        <v>250000</v>
      </c>
    </row>
    <row r="12" spans="1:3" ht="13.5" thickBot="1">
      <c r="A12" t="s">
        <v>287</v>
      </c>
      <c r="B12" s="307"/>
      <c r="C12" s="308">
        <f>SUM(C9:C11)</f>
        <v>9750000</v>
      </c>
    </row>
    <row r="13" spans="1:2" ht="16.5" thickTop="1">
      <c r="A13" s="126" t="s">
        <v>72</v>
      </c>
      <c r="B13" s="127">
        <v>6</v>
      </c>
    </row>
    <row r="14" spans="1:2" ht="16.5" thickBot="1">
      <c r="A14" s="126" t="s">
        <v>73</v>
      </c>
      <c r="B14" s="128">
        <v>0.1</v>
      </c>
    </row>
    <row r="15" spans="1:9" ht="64.5" customHeight="1" thickBot="1">
      <c r="A15" s="129" t="s">
        <v>74</v>
      </c>
      <c r="B15" s="130" t="s">
        <v>75</v>
      </c>
      <c r="C15" s="131" t="s">
        <v>76</v>
      </c>
      <c r="D15" s="129" t="s">
        <v>77</v>
      </c>
      <c r="E15" s="132" t="s">
        <v>84</v>
      </c>
      <c r="F15" s="129" t="s">
        <v>85</v>
      </c>
      <c r="G15" s="129" t="s">
        <v>86</v>
      </c>
      <c r="H15" s="132" t="str">
        <f>CONCATENATE("Nutidsværdien ved den interne rente (IRR) ",(ROUND(F69,4)*100)," %")</f>
        <v>Nutidsværdien ved den interne rente (IRR) 12,85 %</v>
      </c>
      <c r="I15" s="132" t="s">
        <v>87</v>
      </c>
    </row>
    <row r="16" spans="1:9" ht="18">
      <c r="A16" s="133">
        <v>0</v>
      </c>
      <c r="B16" s="134">
        <v>0</v>
      </c>
      <c r="C16" s="135">
        <f>C7</f>
        <v>11000000</v>
      </c>
      <c r="D16" s="136">
        <f>B16-C16</f>
        <v>-11000000</v>
      </c>
      <c r="E16" s="137">
        <f aca="true" t="shared" si="0" ref="E16:E47">IF(A16&lt;=$B$13,POWER((1+$B$14),(A16*-1)),"-")</f>
        <v>1</v>
      </c>
      <c r="F16" s="138">
        <f>D16</f>
        <v>-11000000</v>
      </c>
      <c r="G16" s="137">
        <f aca="true" t="shared" si="1" ref="G16:G47">IF(A16&lt;=$B$13,POWER((1+$F$69),(A16*-1)),"-")</f>
        <v>1</v>
      </c>
      <c r="H16" s="138">
        <f>F16</f>
        <v>-11000000</v>
      </c>
      <c r="I16" s="133"/>
    </row>
    <row r="17" spans="1:9" ht="18">
      <c r="A17" s="139">
        <f aca="true" t="shared" si="2" ref="A17:A48">A16+1</f>
        <v>1</v>
      </c>
      <c r="B17" s="140">
        <v>2000000</v>
      </c>
      <c r="C17" s="141">
        <v>1500000</v>
      </c>
      <c r="D17" s="142">
        <f>B17-C17</f>
        <v>500000</v>
      </c>
      <c r="E17" s="143">
        <f t="shared" si="0"/>
        <v>0.9090909090909091</v>
      </c>
      <c r="F17" s="144">
        <f aca="true" t="shared" si="3" ref="F17:F48">PV($B$14,A17,0,D17)*-1</f>
        <v>454545.45454545453</v>
      </c>
      <c r="G17" s="143">
        <f t="shared" si="1"/>
        <v>0.8861186215025804</v>
      </c>
      <c r="H17" s="144">
        <f aca="true" t="shared" si="4" ref="H17:H48">PV($F$69,A17,0,D17)*-1</f>
        <v>443059.3107512902</v>
      </c>
      <c r="I17" s="144">
        <f>PMT($B$14,$B$13,$F$67)*-1</f>
        <v>299983.2806479325</v>
      </c>
    </row>
    <row r="18" spans="1:9" ht="18">
      <c r="A18" s="139">
        <f t="shared" si="2"/>
        <v>2</v>
      </c>
      <c r="B18" s="140">
        <v>3200000</v>
      </c>
      <c r="C18" s="141">
        <v>1500000</v>
      </c>
      <c r="D18" s="142">
        <f>B18-C18</f>
        <v>1700000</v>
      </c>
      <c r="E18" s="143">
        <f t="shared" si="0"/>
        <v>0.8264462809917354</v>
      </c>
      <c r="F18" s="144">
        <f t="shared" si="3"/>
        <v>1404958.6776859502</v>
      </c>
      <c r="G18" s="143">
        <f t="shared" si="1"/>
        <v>0.7852062113736332</v>
      </c>
      <c r="H18" s="144">
        <f t="shared" si="4"/>
        <v>1334850.5593351766</v>
      </c>
      <c r="I18" s="144">
        <f aca="true" t="shared" si="5" ref="I18:I23">IF(A18&lt;=$B$13,$I$17,0)</f>
        <v>299983.2806479325</v>
      </c>
    </row>
    <row r="19" spans="1:9" ht="18">
      <c r="A19" s="139">
        <f t="shared" si="2"/>
        <v>3</v>
      </c>
      <c r="B19" s="140">
        <v>4000000</v>
      </c>
      <c r="C19" s="141">
        <v>1500000</v>
      </c>
      <c r="D19" s="142">
        <f>B19-C19</f>
        <v>2500000</v>
      </c>
      <c r="E19" s="143">
        <f t="shared" si="0"/>
        <v>0.7513148009015775</v>
      </c>
      <c r="F19" s="144">
        <f t="shared" si="3"/>
        <v>1878287.0022539438</v>
      </c>
      <c r="G19" s="143">
        <f t="shared" si="1"/>
        <v>0.6957858456176677</v>
      </c>
      <c r="H19" s="144">
        <f t="shared" si="4"/>
        <v>1739464.614044169</v>
      </c>
      <c r="I19" s="144">
        <f t="shared" si="5"/>
        <v>299983.2806479325</v>
      </c>
    </row>
    <row r="20" spans="1:9" ht="18">
      <c r="A20" s="139">
        <f t="shared" si="2"/>
        <v>4</v>
      </c>
      <c r="B20" s="140">
        <v>4500000</v>
      </c>
      <c r="C20" s="141">
        <v>1500000</v>
      </c>
      <c r="D20" s="142">
        <f>B20-C20</f>
        <v>3000000</v>
      </c>
      <c r="E20" s="143">
        <f t="shared" si="0"/>
        <v>0.6830134553650705</v>
      </c>
      <c r="F20" s="144">
        <f t="shared" si="3"/>
        <v>2049040.3660952116</v>
      </c>
      <c r="G20" s="143">
        <f t="shared" si="1"/>
        <v>0.6165487943797348</v>
      </c>
      <c r="H20" s="144">
        <f t="shared" si="4"/>
        <v>1849646.3831392042</v>
      </c>
      <c r="I20" s="144">
        <f t="shared" si="5"/>
        <v>299983.2806479325</v>
      </c>
    </row>
    <row r="21" spans="1:9" ht="18">
      <c r="A21" s="139">
        <f t="shared" si="2"/>
        <v>5</v>
      </c>
      <c r="B21" s="140">
        <v>4500000</v>
      </c>
      <c r="C21" s="141">
        <v>1500000</v>
      </c>
      <c r="D21" s="142">
        <f>(B21-C21)</f>
        <v>3000000</v>
      </c>
      <c r="E21" s="143">
        <f t="shared" si="0"/>
        <v>0.6209213230591549</v>
      </c>
      <c r="F21" s="144">
        <f t="shared" si="3"/>
        <v>1862763.969177465</v>
      </c>
      <c r="G21" s="143">
        <f t="shared" si="1"/>
        <v>0.5463353677648484</v>
      </c>
      <c r="H21" s="144">
        <f t="shared" si="4"/>
        <v>1639006.103294545</v>
      </c>
      <c r="I21" s="144">
        <f t="shared" si="5"/>
        <v>299983.2806479325</v>
      </c>
    </row>
    <row r="22" spans="1:9" ht="18.75" thickBot="1">
      <c r="A22" s="139">
        <f t="shared" si="2"/>
        <v>6</v>
      </c>
      <c r="B22" s="140">
        <f>C12</f>
        <v>9750000</v>
      </c>
      <c r="C22" s="141">
        <v>1500000</v>
      </c>
      <c r="D22" s="142">
        <f aca="true" t="shared" si="6" ref="D22:D66">B22-C22</f>
        <v>8250000</v>
      </c>
      <c r="E22" s="143">
        <f t="shared" si="0"/>
        <v>0.5644739300537772</v>
      </c>
      <c r="F22" s="144">
        <f t="shared" si="3"/>
        <v>4656909.922943662</v>
      </c>
      <c r="G22" s="143">
        <f t="shared" si="1"/>
        <v>0.4841179429618928</v>
      </c>
      <c r="H22" s="144">
        <f t="shared" si="4"/>
        <v>3993973.0294356155</v>
      </c>
      <c r="I22" s="144">
        <f t="shared" si="5"/>
        <v>299983.2806479325</v>
      </c>
    </row>
    <row r="23" spans="1:9" ht="18" hidden="1">
      <c r="A23" s="139">
        <f t="shared" si="2"/>
        <v>7</v>
      </c>
      <c r="B23" s="140">
        <v>0</v>
      </c>
      <c r="C23" s="141">
        <v>0</v>
      </c>
      <c r="D23" s="142">
        <f t="shared" si="6"/>
        <v>0</v>
      </c>
      <c r="E23" s="143" t="str">
        <f t="shared" si="0"/>
        <v>-</v>
      </c>
      <c r="F23" s="144">
        <f t="shared" si="3"/>
        <v>0</v>
      </c>
      <c r="G23" s="143" t="str">
        <f t="shared" si="1"/>
        <v>-</v>
      </c>
      <c r="H23" s="144">
        <f t="shared" si="4"/>
        <v>0</v>
      </c>
      <c r="I23" s="144">
        <f t="shared" si="5"/>
        <v>0</v>
      </c>
    </row>
    <row r="24" spans="1:11" ht="18" hidden="1">
      <c r="A24" s="139">
        <f t="shared" si="2"/>
        <v>8</v>
      </c>
      <c r="B24" s="140">
        <v>0</v>
      </c>
      <c r="C24" s="141">
        <v>0</v>
      </c>
      <c r="D24" s="142">
        <f t="shared" si="6"/>
        <v>0</v>
      </c>
      <c r="E24" s="143" t="str">
        <f t="shared" si="0"/>
        <v>-</v>
      </c>
      <c r="F24" s="144">
        <f t="shared" si="3"/>
        <v>0</v>
      </c>
      <c r="G24" s="143" t="str">
        <f t="shared" si="1"/>
        <v>-</v>
      </c>
      <c r="H24" s="144">
        <f t="shared" si="4"/>
        <v>0</v>
      </c>
      <c r="I24" s="144">
        <f aca="true" t="shared" si="7" ref="I24:I66">IF(A23&lt;=$B$13,$I$17,0)</f>
        <v>0</v>
      </c>
      <c r="K24" s="145"/>
    </row>
    <row r="25" spans="1:9" ht="18" hidden="1">
      <c r="A25" s="139">
        <f t="shared" si="2"/>
        <v>9</v>
      </c>
      <c r="B25" s="140">
        <v>0</v>
      </c>
      <c r="C25" s="141">
        <v>0</v>
      </c>
      <c r="D25" s="142">
        <f t="shared" si="6"/>
        <v>0</v>
      </c>
      <c r="E25" s="143" t="str">
        <f t="shared" si="0"/>
        <v>-</v>
      </c>
      <c r="F25" s="144">
        <f t="shared" si="3"/>
        <v>0</v>
      </c>
      <c r="G25" s="143" t="str">
        <f t="shared" si="1"/>
        <v>-</v>
      </c>
      <c r="H25" s="144">
        <f t="shared" si="4"/>
        <v>0</v>
      </c>
      <c r="I25" s="144">
        <f t="shared" si="7"/>
        <v>0</v>
      </c>
    </row>
    <row r="26" spans="1:9" ht="18" hidden="1">
      <c r="A26" s="139">
        <f t="shared" si="2"/>
        <v>10</v>
      </c>
      <c r="B26" s="140">
        <v>0</v>
      </c>
      <c r="C26" s="141">
        <v>0</v>
      </c>
      <c r="D26" s="142">
        <f t="shared" si="6"/>
        <v>0</v>
      </c>
      <c r="E26" s="143" t="str">
        <f t="shared" si="0"/>
        <v>-</v>
      </c>
      <c r="F26" s="144">
        <f t="shared" si="3"/>
        <v>0</v>
      </c>
      <c r="G26" s="143" t="str">
        <f t="shared" si="1"/>
        <v>-</v>
      </c>
      <c r="H26" s="144">
        <f t="shared" si="4"/>
        <v>0</v>
      </c>
      <c r="I26" s="144">
        <f t="shared" si="7"/>
        <v>0</v>
      </c>
    </row>
    <row r="27" spans="1:9" ht="18" hidden="1">
      <c r="A27" s="139">
        <f t="shared" si="2"/>
        <v>11</v>
      </c>
      <c r="B27" s="140">
        <v>0</v>
      </c>
      <c r="C27" s="141">
        <v>0</v>
      </c>
      <c r="D27" s="142">
        <f t="shared" si="6"/>
        <v>0</v>
      </c>
      <c r="E27" s="143" t="str">
        <f t="shared" si="0"/>
        <v>-</v>
      </c>
      <c r="F27" s="144">
        <f t="shared" si="3"/>
        <v>0</v>
      </c>
      <c r="G27" s="143" t="str">
        <f t="shared" si="1"/>
        <v>-</v>
      </c>
      <c r="H27" s="144">
        <f t="shared" si="4"/>
        <v>0</v>
      </c>
      <c r="I27" s="144">
        <f t="shared" si="7"/>
        <v>0</v>
      </c>
    </row>
    <row r="28" spans="1:9" ht="18" hidden="1">
      <c r="A28" s="139">
        <f t="shared" si="2"/>
        <v>12</v>
      </c>
      <c r="B28" s="140">
        <v>0</v>
      </c>
      <c r="C28" s="141">
        <v>0</v>
      </c>
      <c r="D28" s="142">
        <f t="shared" si="6"/>
        <v>0</v>
      </c>
      <c r="E28" s="143" t="str">
        <f t="shared" si="0"/>
        <v>-</v>
      </c>
      <c r="F28" s="144">
        <f t="shared" si="3"/>
        <v>0</v>
      </c>
      <c r="G28" s="143" t="str">
        <f t="shared" si="1"/>
        <v>-</v>
      </c>
      <c r="H28" s="144">
        <f t="shared" si="4"/>
        <v>0</v>
      </c>
      <c r="I28" s="144">
        <f t="shared" si="7"/>
        <v>0</v>
      </c>
    </row>
    <row r="29" spans="1:11" ht="18" hidden="1">
      <c r="A29" s="139">
        <f t="shared" si="2"/>
        <v>13</v>
      </c>
      <c r="B29" s="140">
        <v>0</v>
      </c>
      <c r="C29" s="141">
        <v>0</v>
      </c>
      <c r="D29" s="142">
        <f t="shared" si="6"/>
        <v>0</v>
      </c>
      <c r="E29" s="143" t="str">
        <f t="shared" si="0"/>
        <v>-</v>
      </c>
      <c r="F29" s="144">
        <f t="shared" si="3"/>
        <v>0</v>
      </c>
      <c r="G29" s="143" t="str">
        <f t="shared" si="1"/>
        <v>-</v>
      </c>
      <c r="H29" s="144">
        <f t="shared" si="4"/>
        <v>0</v>
      </c>
      <c r="I29" s="144">
        <f t="shared" si="7"/>
        <v>0</v>
      </c>
      <c r="K29" s="145"/>
    </row>
    <row r="30" spans="1:9" ht="18" hidden="1">
      <c r="A30" s="139">
        <f t="shared" si="2"/>
        <v>14</v>
      </c>
      <c r="B30" s="140">
        <v>0</v>
      </c>
      <c r="C30" s="141">
        <v>0</v>
      </c>
      <c r="D30" s="142">
        <f t="shared" si="6"/>
        <v>0</v>
      </c>
      <c r="E30" s="143" t="str">
        <f t="shared" si="0"/>
        <v>-</v>
      </c>
      <c r="F30" s="144">
        <f t="shared" si="3"/>
        <v>0</v>
      </c>
      <c r="G30" s="143" t="str">
        <f t="shared" si="1"/>
        <v>-</v>
      </c>
      <c r="H30" s="144">
        <f t="shared" si="4"/>
        <v>0</v>
      </c>
      <c r="I30" s="144">
        <f t="shared" si="7"/>
        <v>0</v>
      </c>
    </row>
    <row r="31" spans="1:9" ht="18.75" hidden="1" thickBot="1">
      <c r="A31" s="146">
        <f t="shared" si="2"/>
        <v>15</v>
      </c>
      <c r="B31" s="147">
        <v>0</v>
      </c>
      <c r="C31" s="148">
        <v>0</v>
      </c>
      <c r="D31" s="149">
        <f t="shared" si="6"/>
        <v>0</v>
      </c>
      <c r="E31" s="150" t="str">
        <f t="shared" si="0"/>
        <v>-</v>
      </c>
      <c r="F31" s="151">
        <f t="shared" si="3"/>
        <v>0</v>
      </c>
      <c r="G31" s="150" t="str">
        <f t="shared" si="1"/>
        <v>-</v>
      </c>
      <c r="H31" s="151">
        <f t="shared" si="4"/>
        <v>0</v>
      </c>
      <c r="I31" s="151">
        <f t="shared" si="7"/>
        <v>0</v>
      </c>
    </row>
    <row r="32" spans="1:9" ht="18" hidden="1">
      <c r="A32" s="139">
        <f t="shared" si="2"/>
        <v>16</v>
      </c>
      <c r="B32" s="140">
        <v>0</v>
      </c>
      <c r="C32" s="141">
        <v>0</v>
      </c>
      <c r="D32" s="142">
        <f t="shared" si="6"/>
        <v>0</v>
      </c>
      <c r="E32" s="143" t="str">
        <f t="shared" si="0"/>
        <v>-</v>
      </c>
      <c r="F32" s="144">
        <f t="shared" si="3"/>
        <v>0</v>
      </c>
      <c r="G32" s="143" t="str">
        <f t="shared" si="1"/>
        <v>-</v>
      </c>
      <c r="H32" s="144">
        <f t="shared" si="4"/>
        <v>0</v>
      </c>
      <c r="I32" s="144">
        <f t="shared" si="7"/>
        <v>0</v>
      </c>
    </row>
    <row r="33" spans="1:9" ht="18" hidden="1">
      <c r="A33" s="139">
        <f t="shared" si="2"/>
        <v>17</v>
      </c>
      <c r="B33" s="140">
        <v>0</v>
      </c>
      <c r="C33" s="141">
        <v>0</v>
      </c>
      <c r="D33" s="142">
        <f t="shared" si="6"/>
        <v>0</v>
      </c>
      <c r="E33" s="143" t="str">
        <f t="shared" si="0"/>
        <v>-</v>
      </c>
      <c r="F33" s="144">
        <f t="shared" si="3"/>
        <v>0</v>
      </c>
      <c r="G33" s="143" t="str">
        <f t="shared" si="1"/>
        <v>-</v>
      </c>
      <c r="H33" s="144">
        <f t="shared" si="4"/>
        <v>0</v>
      </c>
      <c r="I33" s="144">
        <f t="shared" si="7"/>
        <v>0</v>
      </c>
    </row>
    <row r="34" spans="1:9" ht="18" hidden="1">
      <c r="A34" s="139">
        <f t="shared" si="2"/>
        <v>18</v>
      </c>
      <c r="B34" s="140">
        <v>0</v>
      </c>
      <c r="C34" s="141">
        <v>0</v>
      </c>
      <c r="D34" s="142">
        <f t="shared" si="6"/>
        <v>0</v>
      </c>
      <c r="E34" s="143" t="str">
        <f t="shared" si="0"/>
        <v>-</v>
      </c>
      <c r="F34" s="144">
        <f t="shared" si="3"/>
        <v>0</v>
      </c>
      <c r="G34" s="143" t="str">
        <f t="shared" si="1"/>
        <v>-</v>
      </c>
      <c r="H34" s="144">
        <f t="shared" si="4"/>
        <v>0</v>
      </c>
      <c r="I34" s="144">
        <f t="shared" si="7"/>
        <v>0</v>
      </c>
    </row>
    <row r="35" spans="1:9" ht="18" hidden="1">
      <c r="A35" s="139">
        <f t="shared" si="2"/>
        <v>19</v>
      </c>
      <c r="B35" s="140">
        <v>0</v>
      </c>
      <c r="C35" s="141">
        <v>0</v>
      </c>
      <c r="D35" s="142">
        <f t="shared" si="6"/>
        <v>0</v>
      </c>
      <c r="E35" s="143" t="str">
        <f t="shared" si="0"/>
        <v>-</v>
      </c>
      <c r="F35" s="144">
        <f t="shared" si="3"/>
        <v>0</v>
      </c>
      <c r="G35" s="143" t="str">
        <f t="shared" si="1"/>
        <v>-</v>
      </c>
      <c r="H35" s="144">
        <f t="shared" si="4"/>
        <v>0</v>
      </c>
      <c r="I35" s="144">
        <f t="shared" si="7"/>
        <v>0</v>
      </c>
    </row>
    <row r="36" spans="1:9" ht="18" hidden="1">
      <c r="A36" s="139">
        <f t="shared" si="2"/>
        <v>20</v>
      </c>
      <c r="B36" s="140">
        <v>0</v>
      </c>
      <c r="C36" s="141">
        <v>0</v>
      </c>
      <c r="D36" s="142">
        <f t="shared" si="6"/>
        <v>0</v>
      </c>
      <c r="E36" s="143" t="str">
        <f t="shared" si="0"/>
        <v>-</v>
      </c>
      <c r="F36" s="144">
        <f t="shared" si="3"/>
        <v>0</v>
      </c>
      <c r="G36" s="143" t="str">
        <f t="shared" si="1"/>
        <v>-</v>
      </c>
      <c r="H36" s="144">
        <f t="shared" si="4"/>
        <v>0</v>
      </c>
      <c r="I36" s="144">
        <f t="shared" si="7"/>
        <v>0</v>
      </c>
    </row>
    <row r="37" spans="1:9" ht="18" hidden="1">
      <c r="A37" s="139">
        <f t="shared" si="2"/>
        <v>21</v>
      </c>
      <c r="B37" s="140">
        <v>0</v>
      </c>
      <c r="C37" s="141">
        <v>0</v>
      </c>
      <c r="D37" s="142">
        <f t="shared" si="6"/>
        <v>0</v>
      </c>
      <c r="E37" s="143" t="str">
        <f t="shared" si="0"/>
        <v>-</v>
      </c>
      <c r="F37" s="144">
        <f t="shared" si="3"/>
        <v>0</v>
      </c>
      <c r="G37" s="143" t="str">
        <f t="shared" si="1"/>
        <v>-</v>
      </c>
      <c r="H37" s="144">
        <f t="shared" si="4"/>
        <v>0</v>
      </c>
      <c r="I37" s="144">
        <f t="shared" si="7"/>
        <v>0</v>
      </c>
    </row>
    <row r="38" spans="1:9" ht="18" hidden="1">
      <c r="A38" s="139">
        <f t="shared" si="2"/>
        <v>22</v>
      </c>
      <c r="B38" s="140">
        <v>0</v>
      </c>
      <c r="C38" s="141">
        <v>0</v>
      </c>
      <c r="D38" s="142">
        <f t="shared" si="6"/>
        <v>0</v>
      </c>
      <c r="E38" s="143" t="str">
        <f t="shared" si="0"/>
        <v>-</v>
      </c>
      <c r="F38" s="144">
        <f t="shared" si="3"/>
        <v>0</v>
      </c>
      <c r="G38" s="143" t="str">
        <f t="shared" si="1"/>
        <v>-</v>
      </c>
      <c r="H38" s="144">
        <f t="shared" si="4"/>
        <v>0</v>
      </c>
      <c r="I38" s="144">
        <f t="shared" si="7"/>
        <v>0</v>
      </c>
    </row>
    <row r="39" spans="1:9" ht="18" hidden="1">
      <c r="A39" s="139">
        <f t="shared" si="2"/>
        <v>23</v>
      </c>
      <c r="B39" s="140">
        <v>0</v>
      </c>
      <c r="C39" s="141">
        <v>0</v>
      </c>
      <c r="D39" s="142">
        <f t="shared" si="6"/>
        <v>0</v>
      </c>
      <c r="E39" s="143" t="str">
        <f t="shared" si="0"/>
        <v>-</v>
      </c>
      <c r="F39" s="144">
        <f t="shared" si="3"/>
        <v>0</v>
      </c>
      <c r="G39" s="143" t="str">
        <f t="shared" si="1"/>
        <v>-</v>
      </c>
      <c r="H39" s="144">
        <f t="shared" si="4"/>
        <v>0</v>
      </c>
      <c r="I39" s="144">
        <f t="shared" si="7"/>
        <v>0</v>
      </c>
    </row>
    <row r="40" spans="1:9" ht="18" hidden="1">
      <c r="A40" s="139">
        <f t="shared" si="2"/>
        <v>24</v>
      </c>
      <c r="B40" s="140">
        <v>0</v>
      </c>
      <c r="C40" s="141">
        <v>0</v>
      </c>
      <c r="D40" s="142">
        <f t="shared" si="6"/>
        <v>0</v>
      </c>
      <c r="E40" s="143" t="str">
        <f t="shared" si="0"/>
        <v>-</v>
      </c>
      <c r="F40" s="144">
        <f t="shared" si="3"/>
        <v>0</v>
      </c>
      <c r="G40" s="143" t="str">
        <f t="shared" si="1"/>
        <v>-</v>
      </c>
      <c r="H40" s="144">
        <f t="shared" si="4"/>
        <v>0</v>
      </c>
      <c r="I40" s="144">
        <f t="shared" si="7"/>
        <v>0</v>
      </c>
    </row>
    <row r="41" spans="1:9" ht="18" hidden="1">
      <c r="A41" s="139">
        <f t="shared" si="2"/>
        <v>25</v>
      </c>
      <c r="B41" s="140">
        <v>0</v>
      </c>
      <c r="C41" s="141">
        <v>0</v>
      </c>
      <c r="D41" s="142">
        <f t="shared" si="6"/>
        <v>0</v>
      </c>
      <c r="E41" s="143" t="str">
        <f t="shared" si="0"/>
        <v>-</v>
      </c>
      <c r="F41" s="144">
        <f t="shared" si="3"/>
        <v>0</v>
      </c>
      <c r="G41" s="143" t="str">
        <f t="shared" si="1"/>
        <v>-</v>
      </c>
      <c r="H41" s="144">
        <f t="shared" si="4"/>
        <v>0</v>
      </c>
      <c r="I41" s="144">
        <f t="shared" si="7"/>
        <v>0</v>
      </c>
    </row>
    <row r="42" spans="1:9" ht="18" hidden="1">
      <c r="A42" s="139">
        <f t="shared" si="2"/>
        <v>26</v>
      </c>
      <c r="B42" s="140">
        <v>0</v>
      </c>
      <c r="C42" s="141">
        <v>0</v>
      </c>
      <c r="D42" s="142">
        <f t="shared" si="6"/>
        <v>0</v>
      </c>
      <c r="E42" s="143" t="str">
        <f t="shared" si="0"/>
        <v>-</v>
      </c>
      <c r="F42" s="144">
        <f t="shared" si="3"/>
        <v>0</v>
      </c>
      <c r="G42" s="143" t="str">
        <f t="shared" si="1"/>
        <v>-</v>
      </c>
      <c r="H42" s="144">
        <f t="shared" si="4"/>
        <v>0</v>
      </c>
      <c r="I42" s="144">
        <f t="shared" si="7"/>
        <v>0</v>
      </c>
    </row>
    <row r="43" spans="1:9" ht="18" hidden="1">
      <c r="A43" s="139">
        <f t="shared" si="2"/>
        <v>27</v>
      </c>
      <c r="B43" s="140">
        <v>0</v>
      </c>
      <c r="C43" s="141">
        <v>0</v>
      </c>
      <c r="D43" s="142">
        <f t="shared" si="6"/>
        <v>0</v>
      </c>
      <c r="E43" s="143" t="str">
        <f t="shared" si="0"/>
        <v>-</v>
      </c>
      <c r="F43" s="144">
        <f t="shared" si="3"/>
        <v>0</v>
      </c>
      <c r="G43" s="143" t="str">
        <f t="shared" si="1"/>
        <v>-</v>
      </c>
      <c r="H43" s="144">
        <f t="shared" si="4"/>
        <v>0</v>
      </c>
      <c r="I43" s="144">
        <f t="shared" si="7"/>
        <v>0</v>
      </c>
    </row>
    <row r="44" spans="1:9" ht="18" hidden="1">
      <c r="A44" s="139">
        <f t="shared" si="2"/>
        <v>28</v>
      </c>
      <c r="B44" s="140">
        <v>0</v>
      </c>
      <c r="C44" s="141">
        <v>0</v>
      </c>
      <c r="D44" s="142">
        <f t="shared" si="6"/>
        <v>0</v>
      </c>
      <c r="E44" s="143" t="str">
        <f t="shared" si="0"/>
        <v>-</v>
      </c>
      <c r="F44" s="144">
        <f t="shared" si="3"/>
        <v>0</v>
      </c>
      <c r="G44" s="143" t="str">
        <f t="shared" si="1"/>
        <v>-</v>
      </c>
      <c r="H44" s="144">
        <f t="shared" si="4"/>
        <v>0</v>
      </c>
      <c r="I44" s="144">
        <f t="shared" si="7"/>
        <v>0</v>
      </c>
    </row>
    <row r="45" spans="1:9" ht="18" hidden="1">
      <c r="A45" s="139">
        <f t="shared" si="2"/>
        <v>29</v>
      </c>
      <c r="B45" s="140">
        <v>0</v>
      </c>
      <c r="C45" s="141">
        <v>0</v>
      </c>
      <c r="D45" s="142">
        <f t="shared" si="6"/>
        <v>0</v>
      </c>
      <c r="E45" s="143" t="str">
        <f t="shared" si="0"/>
        <v>-</v>
      </c>
      <c r="F45" s="144">
        <f t="shared" si="3"/>
        <v>0</v>
      </c>
      <c r="G45" s="143" t="str">
        <f t="shared" si="1"/>
        <v>-</v>
      </c>
      <c r="H45" s="144">
        <f t="shared" si="4"/>
        <v>0</v>
      </c>
      <c r="I45" s="144">
        <f t="shared" si="7"/>
        <v>0</v>
      </c>
    </row>
    <row r="46" spans="1:9" ht="18" hidden="1">
      <c r="A46" s="139">
        <f t="shared" si="2"/>
        <v>30</v>
      </c>
      <c r="B46" s="140">
        <v>0</v>
      </c>
      <c r="C46" s="141">
        <v>0</v>
      </c>
      <c r="D46" s="142">
        <f t="shared" si="6"/>
        <v>0</v>
      </c>
      <c r="E46" s="143" t="str">
        <f t="shared" si="0"/>
        <v>-</v>
      </c>
      <c r="F46" s="144">
        <f t="shared" si="3"/>
        <v>0</v>
      </c>
      <c r="G46" s="143" t="str">
        <f t="shared" si="1"/>
        <v>-</v>
      </c>
      <c r="H46" s="144">
        <f t="shared" si="4"/>
        <v>0</v>
      </c>
      <c r="I46" s="144">
        <f t="shared" si="7"/>
        <v>0</v>
      </c>
    </row>
    <row r="47" spans="1:9" ht="18" hidden="1">
      <c r="A47" s="139">
        <f t="shared" si="2"/>
        <v>31</v>
      </c>
      <c r="B47" s="140">
        <v>0</v>
      </c>
      <c r="C47" s="141">
        <v>0</v>
      </c>
      <c r="D47" s="142">
        <f t="shared" si="6"/>
        <v>0</v>
      </c>
      <c r="E47" s="143" t="str">
        <f t="shared" si="0"/>
        <v>-</v>
      </c>
      <c r="F47" s="144">
        <f t="shared" si="3"/>
        <v>0</v>
      </c>
      <c r="G47" s="143" t="str">
        <f t="shared" si="1"/>
        <v>-</v>
      </c>
      <c r="H47" s="144">
        <f t="shared" si="4"/>
        <v>0</v>
      </c>
      <c r="I47" s="144">
        <f t="shared" si="7"/>
        <v>0</v>
      </c>
    </row>
    <row r="48" spans="1:9" ht="18" hidden="1">
      <c r="A48" s="139">
        <f t="shared" si="2"/>
        <v>32</v>
      </c>
      <c r="B48" s="140">
        <v>0</v>
      </c>
      <c r="C48" s="141">
        <v>0</v>
      </c>
      <c r="D48" s="142">
        <f t="shared" si="6"/>
        <v>0</v>
      </c>
      <c r="E48" s="143" t="str">
        <f aca="true" t="shared" si="8" ref="E48:E66">IF(A48&lt;=$B$13,POWER((1+$B$14),(A48*-1)),"-")</f>
        <v>-</v>
      </c>
      <c r="F48" s="144">
        <f t="shared" si="3"/>
        <v>0</v>
      </c>
      <c r="G48" s="143" t="str">
        <f aca="true" t="shared" si="9" ref="G48:G66">IF(A48&lt;=$B$13,POWER((1+$F$69),(A48*-1)),"-")</f>
        <v>-</v>
      </c>
      <c r="H48" s="144">
        <f t="shared" si="4"/>
        <v>0</v>
      </c>
      <c r="I48" s="144">
        <f t="shared" si="7"/>
        <v>0</v>
      </c>
    </row>
    <row r="49" spans="1:9" ht="18" hidden="1">
      <c r="A49" s="139">
        <f aca="true" t="shared" si="10" ref="A49:A66">A48+1</f>
        <v>33</v>
      </c>
      <c r="B49" s="140">
        <v>0</v>
      </c>
      <c r="C49" s="141">
        <v>0</v>
      </c>
      <c r="D49" s="142">
        <f t="shared" si="6"/>
        <v>0</v>
      </c>
      <c r="E49" s="143" t="str">
        <f t="shared" si="8"/>
        <v>-</v>
      </c>
      <c r="F49" s="144">
        <f aca="true" t="shared" si="11" ref="F49:F66">PV($B$14,A49,0,D49)*-1</f>
        <v>0</v>
      </c>
      <c r="G49" s="143" t="str">
        <f t="shared" si="9"/>
        <v>-</v>
      </c>
      <c r="H49" s="144">
        <f aca="true" t="shared" si="12" ref="H49:H66">PV($F$69,A49,0,D49)*-1</f>
        <v>0</v>
      </c>
      <c r="I49" s="144">
        <f t="shared" si="7"/>
        <v>0</v>
      </c>
    </row>
    <row r="50" spans="1:9" ht="18" hidden="1">
      <c r="A50" s="139">
        <f t="shared" si="10"/>
        <v>34</v>
      </c>
      <c r="B50" s="140">
        <v>0</v>
      </c>
      <c r="C50" s="141">
        <v>0</v>
      </c>
      <c r="D50" s="142">
        <f t="shared" si="6"/>
        <v>0</v>
      </c>
      <c r="E50" s="143" t="str">
        <f t="shared" si="8"/>
        <v>-</v>
      </c>
      <c r="F50" s="144">
        <f t="shared" si="11"/>
        <v>0</v>
      </c>
      <c r="G50" s="143" t="str">
        <f t="shared" si="9"/>
        <v>-</v>
      </c>
      <c r="H50" s="144">
        <f t="shared" si="12"/>
        <v>0</v>
      </c>
      <c r="I50" s="144">
        <f t="shared" si="7"/>
        <v>0</v>
      </c>
    </row>
    <row r="51" spans="1:9" ht="18" hidden="1">
      <c r="A51" s="139">
        <f t="shared" si="10"/>
        <v>35</v>
      </c>
      <c r="B51" s="140">
        <v>0</v>
      </c>
      <c r="C51" s="141">
        <v>0</v>
      </c>
      <c r="D51" s="142">
        <f t="shared" si="6"/>
        <v>0</v>
      </c>
      <c r="E51" s="143" t="str">
        <f t="shared" si="8"/>
        <v>-</v>
      </c>
      <c r="F51" s="144">
        <f t="shared" si="11"/>
        <v>0</v>
      </c>
      <c r="G51" s="143" t="str">
        <f t="shared" si="9"/>
        <v>-</v>
      </c>
      <c r="H51" s="144">
        <f t="shared" si="12"/>
        <v>0</v>
      </c>
      <c r="I51" s="144">
        <f t="shared" si="7"/>
        <v>0</v>
      </c>
    </row>
    <row r="52" spans="1:9" ht="18" hidden="1">
      <c r="A52" s="139">
        <f t="shared" si="10"/>
        <v>36</v>
      </c>
      <c r="B52" s="140">
        <v>0</v>
      </c>
      <c r="C52" s="141">
        <v>0</v>
      </c>
      <c r="D52" s="142">
        <f t="shared" si="6"/>
        <v>0</v>
      </c>
      <c r="E52" s="143" t="str">
        <f t="shared" si="8"/>
        <v>-</v>
      </c>
      <c r="F52" s="144">
        <f t="shared" si="11"/>
        <v>0</v>
      </c>
      <c r="G52" s="143" t="str">
        <f t="shared" si="9"/>
        <v>-</v>
      </c>
      <c r="H52" s="144">
        <f t="shared" si="12"/>
        <v>0</v>
      </c>
      <c r="I52" s="144">
        <f t="shared" si="7"/>
        <v>0</v>
      </c>
    </row>
    <row r="53" spans="1:9" ht="18" hidden="1">
      <c r="A53" s="139">
        <f t="shared" si="10"/>
        <v>37</v>
      </c>
      <c r="B53" s="140">
        <v>0</v>
      </c>
      <c r="C53" s="141">
        <v>0</v>
      </c>
      <c r="D53" s="142">
        <f t="shared" si="6"/>
        <v>0</v>
      </c>
      <c r="E53" s="143" t="str">
        <f t="shared" si="8"/>
        <v>-</v>
      </c>
      <c r="F53" s="144">
        <f t="shared" si="11"/>
        <v>0</v>
      </c>
      <c r="G53" s="143" t="str">
        <f t="shared" si="9"/>
        <v>-</v>
      </c>
      <c r="H53" s="144">
        <f t="shared" si="12"/>
        <v>0</v>
      </c>
      <c r="I53" s="144">
        <f t="shared" si="7"/>
        <v>0</v>
      </c>
    </row>
    <row r="54" spans="1:9" ht="18" hidden="1">
      <c r="A54" s="139">
        <f t="shared" si="10"/>
        <v>38</v>
      </c>
      <c r="B54" s="140">
        <v>0</v>
      </c>
      <c r="C54" s="141">
        <v>0</v>
      </c>
      <c r="D54" s="142">
        <f t="shared" si="6"/>
        <v>0</v>
      </c>
      <c r="E54" s="143" t="str">
        <f t="shared" si="8"/>
        <v>-</v>
      </c>
      <c r="F54" s="144">
        <f t="shared" si="11"/>
        <v>0</v>
      </c>
      <c r="G54" s="143" t="str">
        <f t="shared" si="9"/>
        <v>-</v>
      </c>
      <c r="H54" s="144">
        <f t="shared" si="12"/>
        <v>0</v>
      </c>
      <c r="I54" s="144">
        <f t="shared" si="7"/>
        <v>0</v>
      </c>
    </row>
    <row r="55" spans="1:9" ht="18" hidden="1">
      <c r="A55" s="139">
        <f t="shared" si="10"/>
        <v>39</v>
      </c>
      <c r="B55" s="140">
        <v>0</v>
      </c>
      <c r="C55" s="141">
        <v>0</v>
      </c>
      <c r="D55" s="142">
        <f t="shared" si="6"/>
        <v>0</v>
      </c>
      <c r="E55" s="143" t="str">
        <f t="shared" si="8"/>
        <v>-</v>
      </c>
      <c r="F55" s="144">
        <f t="shared" si="11"/>
        <v>0</v>
      </c>
      <c r="G55" s="143" t="str">
        <f t="shared" si="9"/>
        <v>-</v>
      </c>
      <c r="H55" s="144">
        <f t="shared" si="12"/>
        <v>0</v>
      </c>
      <c r="I55" s="144">
        <f t="shared" si="7"/>
        <v>0</v>
      </c>
    </row>
    <row r="56" spans="1:9" ht="18" hidden="1">
      <c r="A56" s="139">
        <f t="shared" si="10"/>
        <v>40</v>
      </c>
      <c r="B56" s="140">
        <v>0</v>
      </c>
      <c r="C56" s="141">
        <v>0</v>
      </c>
      <c r="D56" s="142">
        <f t="shared" si="6"/>
        <v>0</v>
      </c>
      <c r="E56" s="143" t="str">
        <f t="shared" si="8"/>
        <v>-</v>
      </c>
      <c r="F56" s="144">
        <f t="shared" si="11"/>
        <v>0</v>
      </c>
      <c r="G56" s="143" t="str">
        <f t="shared" si="9"/>
        <v>-</v>
      </c>
      <c r="H56" s="144">
        <f t="shared" si="12"/>
        <v>0</v>
      </c>
      <c r="I56" s="144">
        <f t="shared" si="7"/>
        <v>0</v>
      </c>
    </row>
    <row r="57" spans="1:9" ht="18" hidden="1">
      <c r="A57" s="139">
        <f t="shared" si="10"/>
        <v>41</v>
      </c>
      <c r="B57" s="140">
        <v>0</v>
      </c>
      <c r="C57" s="141">
        <v>0</v>
      </c>
      <c r="D57" s="142">
        <f t="shared" si="6"/>
        <v>0</v>
      </c>
      <c r="E57" s="143" t="str">
        <f t="shared" si="8"/>
        <v>-</v>
      </c>
      <c r="F57" s="144">
        <f t="shared" si="11"/>
        <v>0</v>
      </c>
      <c r="G57" s="143" t="str">
        <f t="shared" si="9"/>
        <v>-</v>
      </c>
      <c r="H57" s="144">
        <f t="shared" si="12"/>
        <v>0</v>
      </c>
      <c r="I57" s="144">
        <f t="shared" si="7"/>
        <v>0</v>
      </c>
    </row>
    <row r="58" spans="1:9" ht="18" hidden="1">
      <c r="A58" s="139">
        <f t="shared" si="10"/>
        <v>42</v>
      </c>
      <c r="B58" s="140">
        <v>0</v>
      </c>
      <c r="C58" s="141">
        <v>0</v>
      </c>
      <c r="D58" s="142">
        <f t="shared" si="6"/>
        <v>0</v>
      </c>
      <c r="E58" s="143" t="str">
        <f t="shared" si="8"/>
        <v>-</v>
      </c>
      <c r="F58" s="144">
        <f t="shared" si="11"/>
        <v>0</v>
      </c>
      <c r="G58" s="143" t="str">
        <f t="shared" si="9"/>
        <v>-</v>
      </c>
      <c r="H58" s="144">
        <f t="shared" si="12"/>
        <v>0</v>
      </c>
      <c r="I58" s="144">
        <f t="shared" si="7"/>
        <v>0</v>
      </c>
    </row>
    <row r="59" spans="1:9" ht="18" hidden="1">
      <c r="A59" s="139">
        <f t="shared" si="10"/>
        <v>43</v>
      </c>
      <c r="B59" s="140">
        <v>0</v>
      </c>
      <c r="C59" s="141">
        <v>0</v>
      </c>
      <c r="D59" s="142">
        <f t="shared" si="6"/>
        <v>0</v>
      </c>
      <c r="E59" s="143" t="str">
        <f t="shared" si="8"/>
        <v>-</v>
      </c>
      <c r="F59" s="144">
        <f t="shared" si="11"/>
        <v>0</v>
      </c>
      <c r="G59" s="143" t="str">
        <f t="shared" si="9"/>
        <v>-</v>
      </c>
      <c r="H59" s="144">
        <f t="shared" si="12"/>
        <v>0</v>
      </c>
      <c r="I59" s="144">
        <f t="shared" si="7"/>
        <v>0</v>
      </c>
    </row>
    <row r="60" spans="1:9" ht="18" hidden="1">
      <c r="A60" s="139">
        <f t="shared" si="10"/>
        <v>44</v>
      </c>
      <c r="B60" s="140">
        <v>0</v>
      </c>
      <c r="C60" s="141">
        <v>0</v>
      </c>
      <c r="D60" s="142">
        <f t="shared" si="6"/>
        <v>0</v>
      </c>
      <c r="E60" s="143" t="str">
        <f t="shared" si="8"/>
        <v>-</v>
      </c>
      <c r="F60" s="144">
        <f t="shared" si="11"/>
        <v>0</v>
      </c>
      <c r="G60" s="143" t="str">
        <f t="shared" si="9"/>
        <v>-</v>
      </c>
      <c r="H60" s="144">
        <f t="shared" si="12"/>
        <v>0</v>
      </c>
      <c r="I60" s="144">
        <f t="shared" si="7"/>
        <v>0</v>
      </c>
    </row>
    <row r="61" spans="1:9" ht="18" hidden="1">
      <c r="A61" s="139">
        <f t="shared" si="10"/>
        <v>45</v>
      </c>
      <c r="B61" s="140">
        <v>0</v>
      </c>
      <c r="C61" s="141">
        <v>0</v>
      </c>
      <c r="D61" s="142">
        <f t="shared" si="6"/>
        <v>0</v>
      </c>
      <c r="E61" s="143" t="str">
        <f t="shared" si="8"/>
        <v>-</v>
      </c>
      <c r="F61" s="144">
        <f t="shared" si="11"/>
        <v>0</v>
      </c>
      <c r="G61" s="143" t="str">
        <f t="shared" si="9"/>
        <v>-</v>
      </c>
      <c r="H61" s="144">
        <f t="shared" si="12"/>
        <v>0</v>
      </c>
      <c r="I61" s="144">
        <f t="shared" si="7"/>
        <v>0</v>
      </c>
    </row>
    <row r="62" spans="1:9" ht="18" hidden="1">
      <c r="A62" s="139">
        <f t="shared" si="10"/>
        <v>46</v>
      </c>
      <c r="B62" s="140">
        <v>0</v>
      </c>
      <c r="C62" s="141">
        <v>0</v>
      </c>
      <c r="D62" s="142">
        <f t="shared" si="6"/>
        <v>0</v>
      </c>
      <c r="E62" s="143" t="str">
        <f t="shared" si="8"/>
        <v>-</v>
      </c>
      <c r="F62" s="144">
        <f t="shared" si="11"/>
        <v>0</v>
      </c>
      <c r="G62" s="143" t="str">
        <f t="shared" si="9"/>
        <v>-</v>
      </c>
      <c r="H62" s="144">
        <f t="shared" si="12"/>
        <v>0</v>
      </c>
      <c r="I62" s="144">
        <f t="shared" si="7"/>
        <v>0</v>
      </c>
    </row>
    <row r="63" spans="1:9" ht="18" hidden="1">
      <c r="A63" s="139">
        <f t="shared" si="10"/>
        <v>47</v>
      </c>
      <c r="B63" s="140">
        <v>0</v>
      </c>
      <c r="C63" s="141">
        <v>0</v>
      </c>
      <c r="D63" s="142">
        <f t="shared" si="6"/>
        <v>0</v>
      </c>
      <c r="E63" s="143" t="str">
        <f t="shared" si="8"/>
        <v>-</v>
      </c>
      <c r="F63" s="144">
        <f t="shared" si="11"/>
        <v>0</v>
      </c>
      <c r="G63" s="143" t="str">
        <f t="shared" si="9"/>
        <v>-</v>
      </c>
      <c r="H63" s="144">
        <f t="shared" si="12"/>
        <v>0</v>
      </c>
      <c r="I63" s="144">
        <f t="shared" si="7"/>
        <v>0</v>
      </c>
    </row>
    <row r="64" spans="1:9" ht="18" hidden="1">
      <c r="A64" s="139">
        <f t="shared" si="10"/>
        <v>48</v>
      </c>
      <c r="B64" s="140">
        <v>0</v>
      </c>
      <c r="C64" s="141">
        <v>0</v>
      </c>
      <c r="D64" s="142">
        <f t="shared" si="6"/>
        <v>0</v>
      </c>
      <c r="E64" s="143" t="str">
        <f t="shared" si="8"/>
        <v>-</v>
      </c>
      <c r="F64" s="144">
        <f t="shared" si="11"/>
        <v>0</v>
      </c>
      <c r="G64" s="143" t="str">
        <f t="shared" si="9"/>
        <v>-</v>
      </c>
      <c r="H64" s="144">
        <f t="shared" si="12"/>
        <v>0</v>
      </c>
      <c r="I64" s="144">
        <f t="shared" si="7"/>
        <v>0</v>
      </c>
    </row>
    <row r="65" spans="1:9" ht="18" hidden="1">
      <c r="A65" s="139">
        <f t="shared" si="10"/>
        <v>49</v>
      </c>
      <c r="B65" s="140">
        <v>0</v>
      </c>
      <c r="C65" s="141">
        <v>0</v>
      </c>
      <c r="D65" s="142">
        <f t="shared" si="6"/>
        <v>0</v>
      </c>
      <c r="E65" s="143" t="str">
        <f t="shared" si="8"/>
        <v>-</v>
      </c>
      <c r="F65" s="144">
        <f t="shared" si="11"/>
        <v>0</v>
      </c>
      <c r="G65" s="143" t="str">
        <f t="shared" si="9"/>
        <v>-</v>
      </c>
      <c r="H65" s="144">
        <f t="shared" si="12"/>
        <v>0</v>
      </c>
      <c r="I65" s="144">
        <f t="shared" si="7"/>
        <v>0</v>
      </c>
    </row>
    <row r="66" spans="1:9" ht="18.75" hidden="1" thickBot="1">
      <c r="A66" s="146">
        <f t="shared" si="10"/>
        <v>50</v>
      </c>
      <c r="B66" s="147">
        <v>0</v>
      </c>
      <c r="C66" s="148">
        <v>0</v>
      </c>
      <c r="D66" s="149">
        <f t="shared" si="6"/>
        <v>0</v>
      </c>
      <c r="E66" s="150" t="str">
        <f t="shared" si="8"/>
        <v>-</v>
      </c>
      <c r="F66" s="151">
        <f t="shared" si="11"/>
        <v>0</v>
      </c>
      <c r="G66" s="150" t="str">
        <f t="shared" si="9"/>
        <v>-</v>
      </c>
      <c r="H66" s="151">
        <f t="shared" si="12"/>
        <v>0</v>
      </c>
      <c r="I66" s="151">
        <f t="shared" si="7"/>
        <v>0</v>
      </c>
    </row>
    <row r="67" spans="1:9" ht="18.75" hidden="1" thickBot="1">
      <c r="A67" s="152" t="s">
        <v>78</v>
      </c>
      <c r="B67" s="153"/>
      <c r="C67" s="153"/>
      <c r="D67" s="153"/>
      <c r="E67" s="153"/>
      <c r="F67" s="154">
        <f>SUM(F16:F66)</f>
        <v>1306505.3927016873</v>
      </c>
      <c r="G67" s="155"/>
      <c r="H67" s="156">
        <f>SUM(H16:H66)</f>
        <v>4.656612873077393E-10</v>
      </c>
      <c r="I67" s="110"/>
    </row>
    <row r="68" spans="1:9" ht="18.75" hidden="1" thickBot="1">
      <c r="A68" s="157" t="s">
        <v>79</v>
      </c>
      <c r="B68" s="158"/>
      <c r="C68" s="158"/>
      <c r="D68" s="158"/>
      <c r="E68" s="158"/>
      <c r="F68" s="159">
        <f>I17</f>
        <v>299983.2806479325</v>
      </c>
      <c r="G68" s="160"/>
      <c r="H68" s="160"/>
      <c r="I68" s="110"/>
    </row>
    <row r="69" spans="1:9" ht="18.75" thickBot="1">
      <c r="A69" s="161" t="s">
        <v>90</v>
      </c>
      <c r="B69" s="162"/>
      <c r="C69" s="162"/>
      <c r="D69" s="162"/>
      <c r="E69" s="162"/>
      <c r="F69" s="163">
        <f>IRR(D16:D66)</f>
        <v>0.12851708082187963</v>
      </c>
      <c r="G69" s="170"/>
      <c r="H69" s="171">
        <f>SUM(H16:H22)</f>
        <v>0</v>
      </c>
      <c r="I69" s="110"/>
    </row>
    <row r="70" spans="1:9" ht="18.75" hidden="1" thickBot="1">
      <c r="A70" s="152" t="s">
        <v>80</v>
      </c>
      <c r="B70" s="153"/>
      <c r="C70" s="153"/>
      <c r="D70" s="153"/>
      <c r="E70" s="153"/>
      <c r="F70" s="164">
        <f>NPER(B14,F72,F16,0)</f>
        <v>5.173963300347607</v>
      </c>
      <c r="G70" s="165"/>
      <c r="H70" s="165"/>
      <c r="I70" s="110"/>
    </row>
    <row r="71" spans="1:8" ht="12.75" hidden="1">
      <c r="A71" s="6" t="s">
        <v>81</v>
      </c>
      <c r="F71" s="166">
        <f>SUM(F17:F66)</f>
        <v>12306505.392701687</v>
      </c>
      <c r="G71" s="166"/>
      <c r="H71" s="166"/>
    </row>
    <row r="72" spans="1:8" ht="12.75" hidden="1">
      <c r="A72" s="6" t="s">
        <v>82</v>
      </c>
      <c r="F72" s="167">
        <f>PMT(B14,B13,F71,0)*-1</f>
        <v>2825664.464637274</v>
      </c>
      <c r="G72" s="167"/>
      <c r="H72" s="167"/>
    </row>
    <row r="74" ht="18">
      <c r="A74" s="45" t="s">
        <v>83</v>
      </c>
    </row>
    <row r="75" spans="1:8" ht="78" customHeight="1">
      <c r="A75" s="316" t="str">
        <f>CONCATENATE("Da nutidsværdien er ",IF(F67&gt;=0,"positiv med ","negativ med "),"kr. ",ROUND(F67,0)," er investeringen ",IF(F67&gt;=0,"rentabel ","ikke rentabel "),"og bør ",IF(F67&gt;=0,"foretages. ","ikke foretages. "),"Den interne rente er på ",ROUND(F69,4)*100," hvilket er ",IF(ROUND((F69-B14),4)*100&gt;0,ROUND((F69-B14),4)*100,ROUND((F69-B14),4)*-100)," %-point ",IF(B14&lt;=F69,"over ","under "),"kalkulationsrenten på ",ROUND(B14,2)*100," %. ","Hvis man omregner nutidsværdien til en annuitet bliver det årlige ",IF(F67&gt;=0,"overskud ","underskud "),"på kr. ",ROUND(F68,0),". ","Både den ",IF(F67&gt;=0,"postive ","negative "),"nutidsværdi og det at den interne rente er ",IF(F67&gt;=0,"over ","under "),"kalkulationsrenten bekræfter os i at investeringen ",IF(F67&gt;=0,"bør foretages.","ikke bør foretages."))</f>
        <v>Da nutidsværdien er positiv med kr. 1306505 er investeringen rentabel og bør foretages. Den interne rente er på 12,85 hvilket er 2,85 %-point over kalkulationsrenten på 10 %. Hvis man omregner nutidsværdien til en annuitet bliver det årlige overskud på kr. 299983. Både den postive nutidsværdi og det at den interne rente er over kalkulationsrenten bekræfter os i at investeringen bør foretages.</v>
      </c>
      <c r="B75" s="316"/>
      <c r="C75" s="316"/>
      <c r="D75" s="316"/>
      <c r="E75" s="316"/>
      <c r="F75" s="316"/>
      <c r="G75" s="316"/>
      <c r="H75" s="316"/>
    </row>
    <row r="76" spans="1:8" ht="12.75">
      <c r="A76" s="316" t="s">
        <v>134</v>
      </c>
      <c r="B76" s="316"/>
      <c r="C76" s="316"/>
      <c r="D76" s="316"/>
      <c r="E76" s="316"/>
      <c r="F76" s="316"/>
      <c r="G76" s="316"/>
      <c r="H76" s="316"/>
    </row>
    <row r="77" spans="1:8" ht="12.75">
      <c r="A77" s="316"/>
      <c r="B77" s="316"/>
      <c r="C77" s="316"/>
      <c r="D77" s="316"/>
      <c r="E77" s="316"/>
      <c r="F77" s="316"/>
      <c r="G77" s="316"/>
      <c r="H77" s="316"/>
    </row>
    <row r="78" spans="1:8" ht="12.75">
      <c r="A78" s="316"/>
      <c r="B78" s="316"/>
      <c r="C78" s="316"/>
      <c r="D78" s="316"/>
      <c r="E78" s="316"/>
      <c r="F78" s="316"/>
      <c r="G78" s="316"/>
      <c r="H78" s="316"/>
    </row>
    <row r="79" spans="1:8" ht="12.75">
      <c r="A79" s="316"/>
      <c r="B79" s="316"/>
      <c r="C79" s="316"/>
      <c r="D79" s="316"/>
      <c r="E79" s="316"/>
      <c r="F79" s="316"/>
      <c r="G79" s="316"/>
      <c r="H79" s="316"/>
    </row>
    <row r="80" spans="1:8" ht="44.25" customHeight="1">
      <c r="A80" s="316"/>
      <c r="B80" s="316"/>
      <c r="C80" s="316"/>
      <c r="D80" s="316"/>
      <c r="E80" s="316"/>
      <c r="F80" s="316"/>
      <c r="G80" s="316"/>
      <c r="H80" s="316"/>
    </row>
  </sheetData>
  <sheetProtection/>
  <mergeCells count="2">
    <mergeCell ref="A75:H75"/>
    <mergeCell ref="A76:H80"/>
  </mergeCells>
  <printOptions/>
  <pageMargins left="0.7874015748031497" right="0.3937007874015748" top="0.984251968503937" bottom="0.984251968503937" header="0" footer="0"/>
  <pageSetup fitToHeight="1" fitToWidth="1" horizontalDpi="600" verticalDpi="600" orientation="landscape"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K80"/>
  <sheetViews>
    <sheetView zoomScale="90" zoomScaleNormal="90" zoomScalePageLayoutView="0" workbookViewId="0" topLeftCell="A13">
      <selection activeCell="K87" sqref="K87"/>
    </sheetView>
  </sheetViews>
  <sheetFormatPr defaultColWidth="9.140625" defaultRowHeight="12.75"/>
  <cols>
    <col min="1" max="1" width="9.28125" style="0" customWidth="1"/>
    <col min="2" max="2" width="16.140625" style="0" customWidth="1"/>
    <col min="3" max="3" width="20.7109375" style="0" customWidth="1"/>
    <col min="4" max="4" width="28.28125" style="0" customWidth="1"/>
    <col min="5" max="5" width="27.7109375" style="0" hidden="1" customWidth="1"/>
    <col min="6" max="6" width="28.28125" style="0" hidden="1" customWidth="1"/>
    <col min="7" max="7" width="24.7109375" style="0" hidden="1" customWidth="1"/>
    <col min="8" max="8" width="24.8515625" style="0" hidden="1" customWidth="1"/>
    <col min="9" max="9" width="24.140625" style="0" hidden="1" customWidth="1"/>
  </cols>
  <sheetData>
    <row r="1" ht="12.75" hidden="1">
      <c r="A1" t="s">
        <v>88</v>
      </c>
    </row>
    <row r="2" ht="12.75" hidden="1">
      <c r="A2" t="s">
        <v>279</v>
      </c>
    </row>
    <row r="3" spans="1:3" ht="12.75" hidden="1">
      <c r="A3" t="s">
        <v>280</v>
      </c>
      <c r="C3" s="275">
        <v>3000000</v>
      </c>
    </row>
    <row r="4" spans="1:3" ht="12.75" hidden="1">
      <c r="A4" t="s">
        <v>281</v>
      </c>
      <c r="C4" s="275">
        <v>1000000</v>
      </c>
    </row>
    <row r="5" spans="1:3" ht="12.75" hidden="1">
      <c r="A5" t="s">
        <v>282</v>
      </c>
      <c r="C5" s="275">
        <v>5000000</v>
      </c>
    </row>
    <row r="6" spans="1:3" ht="12.75" hidden="1">
      <c r="A6" t="s">
        <v>283</v>
      </c>
      <c r="C6" s="275">
        <v>2000000</v>
      </c>
    </row>
    <row r="7" spans="1:3" ht="13.5" hidden="1" thickBot="1">
      <c r="A7" t="s">
        <v>284</v>
      </c>
      <c r="C7" s="308">
        <f>SUM(C3:C6)</f>
        <v>11000000</v>
      </c>
    </row>
    <row r="8" ht="13.5" hidden="1" thickTop="1">
      <c r="A8" s="307" t="s">
        <v>288</v>
      </c>
    </row>
    <row r="9" spans="1:3" ht="12.75" hidden="1">
      <c r="A9" t="s">
        <v>149</v>
      </c>
      <c r="C9" s="275">
        <v>4500000</v>
      </c>
    </row>
    <row r="10" spans="1:3" ht="12.75" hidden="1">
      <c r="A10" t="s">
        <v>285</v>
      </c>
      <c r="C10" s="275">
        <v>5000000</v>
      </c>
    </row>
    <row r="11" spans="1:3" ht="12.75" hidden="1">
      <c r="A11" t="s">
        <v>286</v>
      </c>
      <c r="B11" s="306"/>
      <c r="C11" s="305">
        <f>500000/2</f>
        <v>250000</v>
      </c>
    </row>
    <row r="12" spans="1:3" ht="13.5" hidden="1" thickBot="1">
      <c r="A12" t="s">
        <v>287</v>
      </c>
      <c r="B12" s="307"/>
      <c r="C12" s="308">
        <f>SUM(C9:C11)</f>
        <v>9750000</v>
      </c>
    </row>
    <row r="13" spans="1:2" ht="15.75">
      <c r="A13" s="126" t="s">
        <v>72</v>
      </c>
      <c r="B13" s="127">
        <v>6</v>
      </c>
    </row>
    <row r="14" spans="1:2" ht="16.5" thickBot="1">
      <c r="A14" s="126" t="s">
        <v>73</v>
      </c>
      <c r="B14" s="128">
        <v>0.1</v>
      </c>
    </row>
    <row r="15" spans="1:9" ht="64.5" customHeight="1" thickBot="1">
      <c r="A15" s="129" t="s">
        <v>74</v>
      </c>
      <c r="B15" s="130" t="s">
        <v>75</v>
      </c>
      <c r="C15" s="131" t="s">
        <v>76</v>
      </c>
      <c r="D15" s="129" t="s">
        <v>77</v>
      </c>
      <c r="E15" s="132" t="s">
        <v>84</v>
      </c>
      <c r="F15" s="129" t="s">
        <v>85</v>
      </c>
      <c r="G15" s="129" t="s">
        <v>86</v>
      </c>
      <c r="H15" s="132" t="str">
        <f>CONCATENATE("Nutidsværdien ved den interne rente (IRR) ",(ROUND(F69,4)*100)," %")</f>
        <v>Nutidsværdien ved den interne rente (IRR) 30,89 %</v>
      </c>
      <c r="I15" s="132" t="s">
        <v>87</v>
      </c>
    </row>
    <row r="16" spans="1:9" ht="18">
      <c r="A16" s="133">
        <v>0</v>
      </c>
      <c r="B16" s="134">
        <v>10600000</v>
      </c>
      <c r="C16" s="135">
        <f>C7</f>
        <v>11000000</v>
      </c>
      <c r="D16" s="136">
        <f>B16-C16</f>
        <v>-400000</v>
      </c>
      <c r="E16" s="310">
        <f aca="true" t="shared" si="0" ref="E16:E66">IF(A16&lt;=$B$13,POWER((1+$B$14),(A16*-1)),"-")</f>
        <v>1</v>
      </c>
      <c r="F16" s="138">
        <f>D16</f>
        <v>-400000</v>
      </c>
      <c r="G16" s="137">
        <f aca="true" t="shared" si="1" ref="G16:G66">IF(A16&lt;=$B$13,POWER((1+$F$69),(A16*-1)),"-")</f>
        <v>1</v>
      </c>
      <c r="H16" s="138">
        <f>F16</f>
        <v>-400000</v>
      </c>
      <c r="I16" s="133"/>
    </row>
    <row r="17" spans="1:9" ht="18">
      <c r="A17" s="139">
        <f aca="true" t="shared" si="2" ref="A17:A66">A16+1</f>
        <v>1</v>
      </c>
      <c r="B17" s="140">
        <v>2000000</v>
      </c>
      <c r="C17" s="141">
        <f>1500000+'Effektiv rente annuitetslån 2.2'!$F$9</f>
        <v>3633412.514065845</v>
      </c>
      <c r="D17" s="142">
        <f>B17-C17</f>
        <v>-1633412.514065845</v>
      </c>
      <c r="E17" s="311">
        <f t="shared" si="0"/>
        <v>0.9090909090909091</v>
      </c>
      <c r="F17" s="144">
        <f aca="true" t="shared" si="3" ref="F17:F66">PV($B$14,A17,0,D17)*-1</f>
        <v>-1484920.4673325862</v>
      </c>
      <c r="G17" s="143">
        <f t="shared" si="1"/>
        <v>0.7640214780286997</v>
      </c>
      <c r="H17" s="144">
        <f aca="true" t="shared" si="4" ref="H17:H66">PV($F$69,A17,0,D17)*-1</f>
        <v>-1247962.2432271612</v>
      </c>
      <c r="I17" s="144">
        <f>PMT($B$14,$B$13,$F$67)*-1</f>
        <v>600408.9984263622</v>
      </c>
    </row>
    <row r="18" spans="1:9" ht="18">
      <c r="A18" s="139">
        <f t="shared" si="2"/>
        <v>2</v>
      </c>
      <c r="B18" s="140">
        <v>3200000</v>
      </c>
      <c r="C18" s="141">
        <f>1500000+'Effektiv rente annuitetslån 2.2'!$F$9</f>
        <v>3633412.514065845</v>
      </c>
      <c r="D18" s="142">
        <f>B18-C18</f>
        <v>-433412.51406584494</v>
      </c>
      <c r="E18" s="311">
        <f t="shared" si="0"/>
        <v>0.8264462809917354</v>
      </c>
      <c r="F18" s="144">
        <f t="shared" si="3"/>
        <v>-358192.16038499575</v>
      </c>
      <c r="G18" s="143">
        <f t="shared" si="1"/>
        <v>0.583728818889159</v>
      </c>
      <c r="H18" s="144">
        <f t="shared" si="4"/>
        <v>-252995.37492743664</v>
      </c>
      <c r="I18" s="144">
        <f aca="true" t="shared" si="5" ref="I18:I23">IF(A18&lt;=$B$13,$I$17,0)</f>
        <v>600408.9984263622</v>
      </c>
    </row>
    <row r="19" spans="1:9" ht="18">
      <c r="A19" s="139">
        <f t="shared" si="2"/>
        <v>3</v>
      </c>
      <c r="B19" s="140">
        <v>4000000</v>
      </c>
      <c r="C19" s="141">
        <f>1500000+'Effektiv rente annuitetslån 2.2'!$F$9</f>
        <v>3633412.514065845</v>
      </c>
      <c r="D19" s="142">
        <f>B19-C19</f>
        <v>366587.48593415506</v>
      </c>
      <c r="E19" s="311">
        <f t="shared" si="0"/>
        <v>0.7513148009015775</v>
      </c>
      <c r="F19" s="144">
        <f t="shared" si="3"/>
        <v>275422.60400762956</v>
      </c>
      <c r="G19" s="143">
        <f t="shared" si="1"/>
        <v>0.4459813549756424</v>
      </c>
      <c r="H19" s="144">
        <f t="shared" si="4"/>
        <v>163491.18369402873</v>
      </c>
      <c r="I19" s="144">
        <f t="shared" si="5"/>
        <v>600408.9984263622</v>
      </c>
    </row>
    <row r="20" spans="1:9" ht="18">
      <c r="A20" s="139">
        <f t="shared" si="2"/>
        <v>4</v>
      </c>
      <c r="B20" s="140">
        <v>4500000</v>
      </c>
      <c r="C20" s="141">
        <f>1500000+'Effektiv rente annuitetslån 2.2'!$F$9</f>
        <v>3633412.514065845</v>
      </c>
      <c r="D20" s="142">
        <f>B20-C20</f>
        <v>866587.4859341551</v>
      </c>
      <c r="E20" s="311">
        <f t="shared" si="0"/>
        <v>0.6830134553650705</v>
      </c>
      <c r="F20" s="144">
        <f t="shared" si="3"/>
        <v>591890.9131440166</v>
      </c>
      <c r="G20" s="143">
        <f t="shared" si="1"/>
        <v>0.3407393340017325</v>
      </c>
      <c r="H20" s="144">
        <f t="shared" si="4"/>
        <v>295280.44281143975</v>
      </c>
      <c r="I20" s="144">
        <f t="shared" si="5"/>
        <v>600408.9984263622</v>
      </c>
    </row>
    <row r="21" spans="1:9" ht="18">
      <c r="A21" s="139">
        <f t="shared" si="2"/>
        <v>5</v>
      </c>
      <c r="B21" s="140">
        <v>4500000</v>
      </c>
      <c r="C21" s="141">
        <f>1500000+'Effektiv rente annuitetslån 2.2'!$F$9</f>
        <v>3633412.514065845</v>
      </c>
      <c r="D21" s="142">
        <f>(B21-C21)</f>
        <v>866587.4859341551</v>
      </c>
      <c r="E21" s="311">
        <f t="shared" si="0"/>
        <v>0.6209213230591549</v>
      </c>
      <c r="F21" s="144">
        <f t="shared" si="3"/>
        <v>538082.6483127424</v>
      </c>
      <c r="G21" s="143">
        <f t="shared" si="1"/>
        <v>0.26033216958651845</v>
      </c>
      <c r="H21" s="144">
        <f t="shared" si="4"/>
        <v>225600.60034976513</v>
      </c>
      <c r="I21" s="144">
        <f t="shared" si="5"/>
        <v>600408.9984263622</v>
      </c>
    </row>
    <row r="22" spans="1:9" ht="18.75" thickBot="1">
      <c r="A22" s="139">
        <f t="shared" si="2"/>
        <v>6</v>
      </c>
      <c r="B22" s="140">
        <f>C12</f>
        <v>9750000</v>
      </c>
      <c r="C22" s="141">
        <f>1500000+'Effektiv rente annuitetslån 2.2'!$F$9</f>
        <v>3633412.514065845</v>
      </c>
      <c r="D22" s="142">
        <f aca="true" t="shared" si="6" ref="D22:D66">B22-C22</f>
        <v>6116587.485934155</v>
      </c>
      <c r="E22" s="311">
        <f t="shared" si="0"/>
        <v>0.5644739300537772</v>
      </c>
      <c r="F22" s="144">
        <f t="shared" si="3"/>
        <v>3452654.176703005</v>
      </c>
      <c r="G22" s="143">
        <f t="shared" si="1"/>
        <v>0.19889936898590996</v>
      </c>
      <c r="H22" s="144">
        <f t="shared" si="4"/>
        <v>1216585.3912994168</v>
      </c>
      <c r="I22" s="144">
        <f t="shared" si="5"/>
        <v>600408.9984263622</v>
      </c>
    </row>
    <row r="23" spans="1:9" ht="18.75" hidden="1" thickBot="1">
      <c r="A23" s="139">
        <f t="shared" si="2"/>
        <v>7</v>
      </c>
      <c r="B23" s="140">
        <v>0</v>
      </c>
      <c r="C23" s="141">
        <v>0</v>
      </c>
      <c r="D23" s="142">
        <f t="shared" si="6"/>
        <v>0</v>
      </c>
      <c r="E23" s="311" t="str">
        <f t="shared" si="0"/>
        <v>-</v>
      </c>
      <c r="F23" s="144">
        <f t="shared" si="3"/>
        <v>0</v>
      </c>
      <c r="G23" s="143" t="str">
        <f t="shared" si="1"/>
        <v>-</v>
      </c>
      <c r="H23" s="144">
        <f t="shared" si="4"/>
        <v>0</v>
      </c>
      <c r="I23" s="144">
        <f t="shared" si="5"/>
        <v>0</v>
      </c>
    </row>
    <row r="24" spans="1:11" ht="18.75" hidden="1" thickBot="1">
      <c r="A24" s="139">
        <f t="shared" si="2"/>
        <v>8</v>
      </c>
      <c r="B24" s="140">
        <v>0</v>
      </c>
      <c r="C24" s="141">
        <v>0</v>
      </c>
      <c r="D24" s="142">
        <f t="shared" si="6"/>
        <v>0</v>
      </c>
      <c r="E24" s="311" t="str">
        <f t="shared" si="0"/>
        <v>-</v>
      </c>
      <c r="F24" s="144">
        <f t="shared" si="3"/>
        <v>0</v>
      </c>
      <c r="G24" s="143" t="str">
        <f t="shared" si="1"/>
        <v>-</v>
      </c>
      <c r="H24" s="144">
        <f t="shared" si="4"/>
        <v>0</v>
      </c>
      <c r="I24" s="144">
        <f aca="true" t="shared" si="7" ref="I24:I66">IF(A23&lt;=$B$13,$I$17,0)</f>
        <v>0</v>
      </c>
      <c r="K24" s="145"/>
    </row>
    <row r="25" spans="1:9" ht="18.75" hidden="1" thickBot="1">
      <c r="A25" s="139">
        <f t="shared" si="2"/>
        <v>9</v>
      </c>
      <c r="B25" s="140">
        <v>0</v>
      </c>
      <c r="C25" s="141">
        <v>0</v>
      </c>
      <c r="D25" s="142">
        <f t="shared" si="6"/>
        <v>0</v>
      </c>
      <c r="E25" s="311" t="str">
        <f t="shared" si="0"/>
        <v>-</v>
      </c>
      <c r="F25" s="144">
        <f t="shared" si="3"/>
        <v>0</v>
      </c>
      <c r="G25" s="143" t="str">
        <f t="shared" si="1"/>
        <v>-</v>
      </c>
      <c r="H25" s="144">
        <f t="shared" si="4"/>
        <v>0</v>
      </c>
      <c r="I25" s="144">
        <f t="shared" si="7"/>
        <v>0</v>
      </c>
    </row>
    <row r="26" spans="1:9" ht="18.75" hidden="1" thickBot="1">
      <c r="A26" s="139">
        <f t="shared" si="2"/>
        <v>10</v>
      </c>
      <c r="B26" s="140">
        <v>0</v>
      </c>
      <c r="C26" s="141">
        <v>0</v>
      </c>
      <c r="D26" s="142">
        <f t="shared" si="6"/>
        <v>0</v>
      </c>
      <c r="E26" s="311" t="str">
        <f t="shared" si="0"/>
        <v>-</v>
      </c>
      <c r="F26" s="144">
        <f t="shared" si="3"/>
        <v>0</v>
      </c>
      <c r="G26" s="143" t="str">
        <f t="shared" si="1"/>
        <v>-</v>
      </c>
      <c r="H26" s="144">
        <f t="shared" si="4"/>
        <v>0</v>
      </c>
      <c r="I26" s="144">
        <f t="shared" si="7"/>
        <v>0</v>
      </c>
    </row>
    <row r="27" spans="1:9" ht="18.75" hidden="1" thickBot="1">
      <c r="A27" s="139">
        <f t="shared" si="2"/>
        <v>11</v>
      </c>
      <c r="B27" s="140">
        <v>0</v>
      </c>
      <c r="C27" s="141">
        <v>0</v>
      </c>
      <c r="D27" s="142">
        <f t="shared" si="6"/>
        <v>0</v>
      </c>
      <c r="E27" s="311" t="str">
        <f t="shared" si="0"/>
        <v>-</v>
      </c>
      <c r="F27" s="144">
        <f t="shared" si="3"/>
        <v>0</v>
      </c>
      <c r="G27" s="143" t="str">
        <f t="shared" si="1"/>
        <v>-</v>
      </c>
      <c r="H27" s="144">
        <f t="shared" si="4"/>
        <v>0</v>
      </c>
      <c r="I27" s="144">
        <f t="shared" si="7"/>
        <v>0</v>
      </c>
    </row>
    <row r="28" spans="1:9" ht="18.75" hidden="1" thickBot="1">
      <c r="A28" s="139">
        <f t="shared" si="2"/>
        <v>12</v>
      </c>
      <c r="B28" s="140">
        <v>0</v>
      </c>
      <c r="C28" s="141">
        <v>0</v>
      </c>
      <c r="D28" s="142">
        <f t="shared" si="6"/>
        <v>0</v>
      </c>
      <c r="E28" s="311" t="str">
        <f t="shared" si="0"/>
        <v>-</v>
      </c>
      <c r="F28" s="144">
        <f t="shared" si="3"/>
        <v>0</v>
      </c>
      <c r="G28" s="143" t="str">
        <f t="shared" si="1"/>
        <v>-</v>
      </c>
      <c r="H28" s="144">
        <f t="shared" si="4"/>
        <v>0</v>
      </c>
      <c r="I28" s="144">
        <f t="shared" si="7"/>
        <v>0</v>
      </c>
    </row>
    <row r="29" spans="1:11" ht="18.75" hidden="1" thickBot="1">
      <c r="A29" s="139">
        <f t="shared" si="2"/>
        <v>13</v>
      </c>
      <c r="B29" s="140">
        <v>0</v>
      </c>
      <c r="C29" s="141">
        <v>0</v>
      </c>
      <c r="D29" s="142">
        <f t="shared" si="6"/>
        <v>0</v>
      </c>
      <c r="E29" s="311" t="str">
        <f t="shared" si="0"/>
        <v>-</v>
      </c>
      <c r="F29" s="144">
        <f t="shared" si="3"/>
        <v>0</v>
      </c>
      <c r="G29" s="143" t="str">
        <f t="shared" si="1"/>
        <v>-</v>
      </c>
      <c r="H29" s="144">
        <f t="shared" si="4"/>
        <v>0</v>
      </c>
      <c r="I29" s="144">
        <f t="shared" si="7"/>
        <v>0</v>
      </c>
      <c r="K29" s="145"/>
    </row>
    <row r="30" spans="1:9" ht="18.75" hidden="1" thickBot="1">
      <c r="A30" s="139">
        <f t="shared" si="2"/>
        <v>14</v>
      </c>
      <c r="B30" s="140">
        <v>0</v>
      </c>
      <c r="C30" s="141">
        <v>0</v>
      </c>
      <c r="D30" s="142">
        <f t="shared" si="6"/>
        <v>0</v>
      </c>
      <c r="E30" s="311" t="str">
        <f t="shared" si="0"/>
        <v>-</v>
      </c>
      <c r="F30" s="144">
        <f t="shared" si="3"/>
        <v>0</v>
      </c>
      <c r="G30" s="143" t="str">
        <f t="shared" si="1"/>
        <v>-</v>
      </c>
      <c r="H30" s="144">
        <f t="shared" si="4"/>
        <v>0</v>
      </c>
      <c r="I30" s="144">
        <f t="shared" si="7"/>
        <v>0</v>
      </c>
    </row>
    <row r="31" spans="1:9" ht="18.75" hidden="1" thickBot="1">
      <c r="A31" s="146">
        <f t="shared" si="2"/>
        <v>15</v>
      </c>
      <c r="B31" s="147">
        <v>0</v>
      </c>
      <c r="C31" s="148">
        <v>0</v>
      </c>
      <c r="D31" s="149">
        <f t="shared" si="6"/>
        <v>0</v>
      </c>
      <c r="E31" s="312" t="str">
        <f t="shared" si="0"/>
        <v>-</v>
      </c>
      <c r="F31" s="151">
        <f t="shared" si="3"/>
        <v>0</v>
      </c>
      <c r="G31" s="150" t="str">
        <f t="shared" si="1"/>
        <v>-</v>
      </c>
      <c r="H31" s="151">
        <f t="shared" si="4"/>
        <v>0</v>
      </c>
      <c r="I31" s="151">
        <f t="shared" si="7"/>
        <v>0</v>
      </c>
    </row>
    <row r="32" spans="1:9" ht="18.75" hidden="1" thickBot="1">
      <c r="A32" s="139">
        <f t="shared" si="2"/>
        <v>16</v>
      </c>
      <c r="B32" s="140">
        <v>0</v>
      </c>
      <c r="C32" s="141">
        <v>0</v>
      </c>
      <c r="D32" s="142">
        <f t="shared" si="6"/>
        <v>0</v>
      </c>
      <c r="E32" s="311" t="str">
        <f t="shared" si="0"/>
        <v>-</v>
      </c>
      <c r="F32" s="144">
        <f t="shared" si="3"/>
        <v>0</v>
      </c>
      <c r="G32" s="143" t="str">
        <f t="shared" si="1"/>
        <v>-</v>
      </c>
      <c r="H32" s="144">
        <f t="shared" si="4"/>
        <v>0</v>
      </c>
      <c r="I32" s="144">
        <f t="shared" si="7"/>
        <v>0</v>
      </c>
    </row>
    <row r="33" spans="1:9" ht="18.75" hidden="1" thickBot="1">
      <c r="A33" s="139">
        <f t="shared" si="2"/>
        <v>17</v>
      </c>
      <c r="B33" s="140">
        <v>0</v>
      </c>
      <c r="C33" s="141">
        <v>0</v>
      </c>
      <c r="D33" s="142">
        <f t="shared" si="6"/>
        <v>0</v>
      </c>
      <c r="E33" s="311" t="str">
        <f t="shared" si="0"/>
        <v>-</v>
      </c>
      <c r="F33" s="144">
        <f t="shared" si="3"/>
        <v>0</v>
      </c>
      <c r="G33" s="143" t="str">
        <f t="shared" si="1"/>
        <v>-</v>
      </c>
      <c r="H33" s="144">
        <f t="shared" si="4"/>
        <v>0</v>
      </c>
      <c r="I33" s="144">
        <f t="shared" si="7"/>
        <v>0</v>
      </c>
    </row>
    <row r="34" spans="1:9" ht="18.75" hidden="1" thickBot="1">
      <c r="A34" s="139">
        <f t="shared" si="2"/>
        <v>18</v>
      </c>
      <c r="B34" s="140">
        <v>0</v>
      </c>
      <c r="C34" s="141">
        <v>0</v>
      </c>
      <c r="D34" s="142">
        <f t="shared" si="6"/>
        <v>0</v>
      </c>
      <c r="E34" s="311" t="str">
        <f t="shared" si="0"/>
        <v>-</v>
      </c>
      <c r="F34" s="144">
        <f t="shared" si="3"/>
        <v>0</v>
      </c>
      <c r="G34" s="143" t="str">
        <f t="shared" si="1"/>
        <v>-</v>
      </c>
      <c r="H34" s="144">
        <f t="shared" si="4"/>
        <v>0</v>
      </c>
      <c r="I34" s="144">
        <f t="shared" si="7"/>
        <v>0</v>
      </c>
    </row>
    <row r="35" spans="1:9" ht="18.75" hidden="1" thickBot="1">
      <c r="A35" s="139">
        <f t="shared" si="2"/>
        <v>19</v>
      </c>
      <c r="B35" s="140">
        <v>0</v>
      </c>
      <c r="C35" s="141">
        <v>0</v>
      </c>
      <c r="D35" s="142">
        <f t="shared" si="6"/>
        <v>0</v>
      </c>
      <c r="E35" s="311" t="str">
        <f t="shared" si="0"/>
        <v>-</v>
      </c>
      <c r="F35" s="144">
        <f t="shared" si="3"/>
        <v>0</v>
      </c>
      <c r="G35" s="143" t="str">
        <f t="shared" si="1"/>
        <v>-</v>
      </c>
      <c r="H35" s="144">
        <f t="shared" si="4"/>
        <v>0</v>
      </c>
      <c r="I35" s="144">
        <f t="shared" si="7"/>
        <v>0</v>
      </c>
    </row>
    <row r="36" spans="1:9" ht="18.75" hidden="1" thickBot="1">
      <c r="A36" s="139">
        <f t="shared" si="2"/>
        <v>20</v>
      </c>
      <c r="B36" s="140">
        <v>0</v>
      </c>
      <c r="C36" s="141">
        <v>0</v>
      </c>
      <c r="D36" s="142">
        <f t="shared" si="6"/>
        <v>0</v>
      </c>
      <c r="E36" s="311" t="str">
        <f t="shared" si="0"/>
        <v>-</v>
      </c>
      <c r="F36" s="144">
        <f t="shared" si="3"/>
        <v>0</v>
      </c>
      <c r="G36" s="143" t="str">
        <f t="shared" si="1"/>
        <v>-</v>
      </c>
      <c r="H36" s="144">
        <f t="shared" si="4"/>
        <v>0</v>
      </c>
      <c r="I36" s="144">
        <f t="shared" si="7"/>
        <v>0</v>
      </c>
    </row>
    <row r="37" spans="1:9" ht="18.75" hidden="1" thickBot="1">
      <c r="A37" s="139">
        <f t="shared" si="2"/>
        <v>21</v>
      </c>
      <c r="B37" s="140">
        <v>0</v>
      </c>
      <c r="C37" s="141">
        <v>0</v>
      </c>
      <c r="D37" s="142">
        <f t="shared" si="6"/>
        <v>0</v>
      </c>
      <c r="E37" s="311" t="str">
        <f t="shared" si="0"/>
        <v>-</v>
      </c>
      <c r="F37" s="144">
        <f t="shared" si="3"/>
        <v>0</v>
      </c>
      <c r="G37" s="143" t="str">
        <f t="shared" si="1"/>
        <v>-</v>
      </c>
      <c r="H37" s="144">
        <f t="shared" si="4"/>
        <v>0</v>
      </c>
      <c r="I37" s="144">
        <f t="shared" si="7"/>
        <v>0</v>
      </c>
    </row>
    <row r="38" spans="1:9" ht="18.75" hidden="1" thickBot="1">
      <c r="A38" s="139">
        <f t="shared" si="2"/>
        <v>22</v>
      </c>
      <c r="B38" s="140">
        <v>0</v>
      </c>
      <c r="C38" s="141">
        <v>0</v>
      </c>
      <c r="D38" s="142">
        <f t="shared" si="6"/>
        <v>0</v>
      </c>
      <c r="E38" s="311" t="str">
        <f t="shared" si="0"/>
        <v>-</v>
      </c>
      <c r="F38" s="144">
        <f t="shared" si="3"/>
        <v>0</v>
      </c>
      <c r="G38" s="143" t="str">
        <f t="shared" si="1"/>
        <v>-</v>
      </c>
      <c r="H38" s="144">
        <f t="shared" si="4"/>
        <v>0</v>
      </c>
      <c r="I38" s="144">
        <f t="shared" si="7"/>
        <v>0</v>
      </c>
    </row>
    <row r="39" spans="1:9" ht="18.75" hidden="1" thickBot="1">
      <c r="A39" s="139">
        <f t="shared" si="2"/>
        <v>23</v>
      </c>
      <c r="B39" s="140">
        <v>0</v>
      </c>
      <c r="C39" s="141">
        <v>0</v>
      </c>
      <c r="D39" s="142">
        <f t="shared" si="6"/>
        <v>0</v>
      </c>
      <c r="E39" s="311" t="str">
        <f t="shared" si="0"/>
        <v>-</v>
      </c>
      <c r="F39" s="144">
        <f t="shared" si="3"/>
        <v>0</v>
      </c>
      <c r="G39" s="143" t="str">
        <f t="shared" si="1"/>
        <v>-</v>
      </c>
      <c r="H39" s="144">
        <f t="shared" si="4"/>
        <v>0</v>
      </c>
      <c r="I39" s="144">
        <f t="shared" si="7"/>
        <v>0</v>
      </c>
    </row>
    <row r="40" spans="1:9" ht="18.75" hidden="1" thickBot="1">
      <c r="A40" s="139">
        <f t="shared" si="2"/>
        <v>24</v>
      </c>
      <c r="B40" s="140">
        <v>0</v>
      </c>
      <c r="C40" s="141">
        <v>0</v>
      </c>
      <c r="D40" s="142">
        <f t="shared" si="6"/>
        <v>0</v>
      </c>
      <c r="E40" s="311" t="str">
        <f t="shared" si="0"/>
        <v>-</v>
      </c>
      <c r="F40" s="144">
        <f t="shared" si="3"/>
        <v>0</v>
      </c>
      <c r="G40" s="143" t="str">
        <f t="shared" si="1"/>
        <v>-</v>
      </c>
      <c r="H40" s="144">
        <f t="shared" si="4"/>
        <v>0</v>
      </c>
      <c r="I40" s="144">
        <f t="shared" si="7"/>
        <v>0</v>
      </c>
    </row>
    <row r="41" spans="1:9" ht="18.75" hidden="1" thickBot="1">
      <c r="A41" s="139">
        <f t="shared" si="2"/>
        <v>25</v>
      </c>
      <c r="B41" s="140">
        <v>0</v>
      </c>
      <c r="C41" s="141">
        <v>0</v>
      </c>
      <c r="D41" s="142">
        <f t="shared" si="6"/>
        <v>0</v>
      </c>
      <c r="E41" s="311" t="str">
        <f t="shared" si="0"/>
        <v>-</v>
      </c>
      <c r="F41" s="144">
        <f t="shared" si="3"/>
        <v>0</v>
      </c>
      <c r="G41" s="143" t="str">
        <f t="shared" si="1"/>
        <v>-</v>
      </c>
      <c r="H41" s="144">
        <f t="shared" si="4"/>
        <v>0</v>
      </c>
      <c r="I41" s="144">
        <f t="shared" si="7"/>
        <v>0</v>
      </c>
    </row>
    <row r="42" spans="1:9" ht="18.75" hidden="1" thickBot="1">
      <c r="A42" s="139">
        <f t="shared" si="2"/>
        <v>26</v>
      </c>
      <c r="B42" s="140">
        <v>0</v>
      </c>
      <c r="C42" s="141">
        <v>0</v>
      </c>
      <c r="D42" s="142">
        <f t="shared" si="6"/>
        <v>0</v>
      </c>
      <c r="E42" s="311" t="str">
        <f t="shared" si="0"/>
        <v>-</v>
      </c>
      <c r="F42" s="144">
        <f t="shared" si="3"/>
        <v>0</v>
      </c>
      <c r="G42" s="143" t="str">
        <f t="shared" si="1"/>
        <v>-</v>
      </c>
      <c r="H42" s="144">
        <f t="shared" si="4"/>
        <v>0</v>
      </c>
      <c r="I42" s="144">
        <f t="shared" si="7"/>
        <v>0</v>
      </c>
    </row>
    <row r="43" spans="1:9" ht="18.75" hidden="1" thickBot="1">
      <c r="A43" s="139">
        <f t="shared" si="2"/>
        <v>27</v>
      </c>
      <c r="B43" s="140">
        <v>0</v>
      </c>
      <c r="C43" s="141">
        <v>0</v>
      </c>
      <c r="D43" s="142">
        <f t="shared" si="6"/>
        <v>0</v>
      </c>
      <c r="E43" s="311" t="str">
        <f t="shared" si="0"/>
        <v>-</v>
      </c>
      <c r="F43" s="144">
        <f t="shared" si="3"/>
        <v>0</v>
      </c>
      <c r="G43" s="143" t="str">
        <f t="shared" si="1"/>
        <v>-</v>
      </c>
      <c r="H43" s="144">
        <f t="shared" si="4"/>
        <v>0</v>
      </c>
      <c r="I43" s="144">
        <f t="shared" si="7"/>
        <v>0</v>
      </c>
    </row>
    <row r="44" spans="1:9" ht="18.75" hidden="1" thickBot="1">
      <c r="A44" s="139">
        <f t="shared" si="2"/>
        <v>28</v>
      </c>
      <c r="B44" s="140">
        <v>0</v>
      </c>
      <c r="C44" s="141">
        <v>0</v>
      </c>
      <c r="D44" s="142">
        <f t="shared" si="6"/>
        <v>0</v>
      </c>
      <c r="E44" s="311" t="str">
        <f t="shared" si="0"/>
        <v>-</v>
      </c>
      <c r="F44" s="144">
        <f t="shared" si="3"/>
        <v>0</v>
      </c>
      <c r="G44" s="143" t="str">
        <f t="shared" si="1"/>
        <v>-</v>
      </c>
      <c r="H44" s="144">
        <f t="shared" si="4"/>
        <v>0</v>
      </c>
      <c r="I44" s="144">
        <f t="shared" si="7"/>
        <v>0</v>
      </c>
    </row>
    <row r="45" spans="1:9" ht="18.75" hidden="1" thickBot="1">
      <c r="A45" s="139">
        <f t="shared" si="2"/>
        <v>29</v>
      </c>
      <c r="B45" s="140">
        <v>0</v>
      </c>
      <c r="C45" s="141">
        <v>0</v>
      </c>
      <c r="D45" s="142">
        <f t="shared" si="6"/>
        <v>0</v>
      </c>
      <c r="E45" s="311" t="str">
        <f t="shared" si="0"/>
        <v>-</v>
      </c>
      <c r="F45" s="144">
        <f t="shared" si="3"/>
        <v>0</v>
      </c>
      <c r="G45" s="143" t="str">
        <f t="shared" si="1"/>
        <v>-</v>
      </c>
      <c r="H45" s="144">
        <f t="shared" si="4"/>
        <v>0</v>
      </c>
      <c r="I45" s="144">
        <f t="shared" si="7"/>
        <v>0</v>
      </c>
    </row>
    <row r="46" spans="1:9" ht="18.75" hidden="1" thickBot="1">
      <c r="A46" s="139">
        <f t="shared" si="2"/>
        <v>30</v>
      </c>
      <c r="B46" s="140">
        <v>0</v>
      </c>
      <c r="C46" s="141">
        <v>0</v>
      </c>
      <c r="D46" s="142">
        <f t="shared" si="6"/>
        <v>0</v>
      </c>
      <c r="E46" s="311" t="str">
        <f t="shared" si="0"/>
        <v>-</v>
      </c>
      <c r="F46" s="144">
        <f t="shared" si="3"/>
        <v>0</v>
      </c>
      <c r="G46" s="143" t="str">
        <f t="shared" si="1"/>
        <v>-</v>
      </c>
      <c r="H46" s="144">
        <f t="shared" si="4"/>
        <v>0</v>
      </c>
      <c r="I46" s="144">
        <f t="shared" si="7"/>
        <v>0</v>
      </c>
    </row>
    <row r="47" spans="1:9" ht="18.75" hidden="1" thickBot="1">
      <c r="A47" s="139">
        <f t="shared" si="2"/>
        <v>31</v>
      </c>
      <c r="B47" s="140">
        <v>0</v>
      </c>
      <c r="C47" s="141">
        <v>0</v>
      </c>
      <c r="D47" s="142">
        <f t="shared" si="6"/>
        <v>0</v>
      </c>
      <c r="E47" s="311" t="str">
        <f t="shared" si="0"/>
        <v>-</v>
      </c>
      <c r="F47" s="144">
        <f t="shared" si="3"/>
        <v>0</v>
      </c>
      <c r="G47" s="143" t="str">
        <f t="shared" si="1"/>
        <v>-</v>
      </c>
      <c r="H47" s="144">
        <f t="shared" si="4"/>
        <v>0</v>
      </c>
      <c r="I47" s="144">
        <f t="shared" si="7"/>
        <v>0</v>
      </c>
    </row>
    <row r="48" spans="1:9" ht="18.75" hidden="1" thickBot="1">
      <c r="A48" s="139">
        <f t="shared" si="2"/>
        <v>32</v>
      </c>
      <c r="B48" s="140">
        <v>0</v>
      </c>
      <c r="C48" s="141">
        <v>0</v>
      </c>
      <c r="D48" s="142">
        <f t="shared" si="6"/>
        <v>0</v>
      </c>
      <c r="E48" s="311" t="str">
        <f t="shared" si="0"/>
        <v>-</v>
      </c>
      <c r="F48" s="144">
        <f t="shared" si="3"/>
        <v>0</v>
      </c>
      <c r="G48" s="143" t="str">
        <f t="shared" si="1"/>
        <v>-</v>
      </c>
      <c r="H48" s="144">
        <f t="shared" si="4"/>
        <v>0</v>
      </c>
      <c r="I48" s="144">
        <f t="shared" si="7"/>
        <v>0</v>
      </c>
    </row>
    <row r="49" spans="1:9" ht="18.75" hidden="1" thickBot="1">
      <c r="A49" s="139">
        <f t="shared" si="2"/>
        <v>33</v>
      </c>
      <c r="B49" s="140">
        <v>0</v>
      </c>
      <c r="C49" s="141">
        <v>0</v>
      </c>
      <c r="D49" s="142">
        <f t="shared" si="6"/>
        <v>0</v>
      </c>
      <c r="E49" s="311" t="str">
        <f t="shared" si="0"/>
        <v>-</v>
      </c>
      <c r="F49" s="144">
        <f t="shared" si="3"/>
        <v>0</v>
      </c>
      <c r="G49" s="143" t="str">
        <f t="shared" si="1"/>
        <v>-</v>
      </c>
      <c r="H49" s="144">
        <f t="shared" si="4"/>
        <v>0</v>
      </c>
      <c r="I49" s="144">
        <f t="shared" si="7"/>
        <v>0</v>
      </c>
    </row>
    <row r="50" spans="1:9" ht="18.75" hidden="1" thickBot="1">
      <c r="A50" s="139">
        <f t="shared" si="2"/>
        <v>34</v>
      </c>
      <c r="B50" s="140">
        <v>0</v>
      </c>
      <c r="C50" s="141">
        <v>0</v>
      </c>
      <c r="D50" s="142">
        <f t="shared" si="6"/>
        <v>0</v>
      </c>
      <c r="E50" s="311" t="str">
        <f t="shared" si="0"/>
        <v>-</v>
      </c>
      <c r="F50" s="144">
        <f t="shared" si="3"/>
        <v>0</v>
      </c>
      <c r="G50" s="143" t="str">
        <f t="shared" si="1"/>
        <v>-</v>
      </c>
      <c r="H50" s="144">
        <f t="shared" si="4"/>
        <v>0</v>
      </c>
      <c r="I50" s="144">
        <f t="shared" si="7"/>
        <v>0</v>
      </c>
    </row>
    <row r="51" spans="1:9" ht="18.75" hidden="1" thickBot="1">
      <c r="A51" s="139">
        <f t="shared" si="2"/>
        <v>35</v>
      </c>
      <c r="B51" s="140">
        <v>0</v>
      </c>
      <c r="C51" s="141">
        <v>0</v>
      </c>
      <c r="D51" s="142">
        <f t="shared" si="6"/>
        <v>0</v>
      </c>
      <c r="E51" s="311" t="str">
        <f t="shared" si="0"/>
        <v>-</v>
      </c>
      <c r="F51" s="144">
        <f t="shared" si="3"/>
        <v>0</v>
      </c>
      <c r="G51" s="143" t="str">
        <f t="shared" si="1"/>
        <v>-</v>
      </c>
      <c r="H51" s="144">
        <f t="shared" si="4"/>
        <v>0</v>
      </c>
      <c r="I51" s="144">
        <f t="shared" si="7"/>
        <v>0</v>
      </c>
    </row>
    <row r="52" spans="1:9" ht="18.75" hidden="1" thickBot="1">
      <c r="A52" s="139">
        <f t="shared" si="2"/>
        <v>36</v>
      </c>
      <c r="B52" s="140">
        <v>0</v>
      </c>
      <c r="C52" s="141">
        <v>0</v>
      </c>
      <c r="D52" s="142">
        <f t="shared" si="6"/>
        <v>0</v>
      </c>
      <c r="E52" s="311" t="str">
        <f t="shared" si="0"/>
        <v>-</v>
      </c>
      <c r="F52" s="144">
        <f t="shared" si="3"/>
        <v>0</v>
      </c>
      <c r="G52" s="143" t="str">
        <f t="shared" si="1"/>
        <v>-</v>
      </c>
      <c r="H52" s="144">
        <f t="shared" si="4"/>
        <v>0</v>
      </c>
      <c r="I52" s="144">
        <f t="shared" si="7"/>
        <v>0</v>
      </c>
    </row>
    <row r="53" spans="1:9" ht="18.75" hidden="1" thickBot="1">
      <c r="A53" s="139">
        <f t="shared" si="2"/>
        <v>37</v>
      </c>
      <c r="B53" s="140">
        <v>0</v>
      </c>
      <c r="C53" s="141">
        <v>0</v>
      </c>
      <c r="D53" s="142">
        <f t="shared" si="6"/>
        <v>0</v>
      </c>
      <c r="E53" s="311" t="str">
        <f t="shared" si="0"/>
        <v>-</v>
      </c>
      <c r="F53" s="144">
        <f t="shared" si="3"/>
        <v>0</v>
      </c>
      <c r="G53" s="143" t="str">
        <f t="shared" si="1"/>
        <v>-</v>
      </c>
      <c r="H53" s="144">
        <f t="shared" si="4"/>
        <v>0</v>
      </c>
      <c r="I53" s="144">
        <f t="shared" si="7"/>
        <v>0</v>
      </c>
    </row>
    <row r="54" spans="1:9" ht="18.75" hidden="1" thickBot="1">
      <c r="A54" s="139">
        <f t="shared" si="2"/>
        <v>38</v>
      </c>
      <c r="B54" s="140">
        <v>0</v>
      </c>
      <c r="C54" s="141">
        <v>0</v>
      </c>
      <c r="D54" s="142">
        <f t="shared" si="6"/>
        <v>0</v>
      </c>
      <c r="E54" s="311" t="str">
        <f t="shared" si="0"/>
        <v>-</v>
      </c>
      <c r="F54" s="144">
        <f t="shared" si="3"/>
        <v>0</v>
      </c>
      <c r="G54" s="143" t="str">
        <f t="shared" si="1"/>
        <v>-</v>
      </c>
      <c r="H54" s="144">
        <f t="shared" si="4"/>
        <v>0</v>
      </c>
      <c r="I54" s="144">
        <f t="shared" si="7"/>
        <v>0</v>
      </c>
    </row>
    <row r="55" spans="1:9" ht="18.75" hidden="1" thickBot="1">
      <c r="A55" s="139">
        <f t="shared" si="2"/>
        <v>39</v>
      </c>
      <c r="B55" s="140">
        <v>0</v>
      </c>
      <c r="C55" s="141">
        <v>0</v>
      </c>
      <c r="D55" s="142">
        <f t="shared" si="6"/>
        <v>0</v>
      </c>
      <c r="E55" s="311" t="str">
        <f t="shared" si="0"/>
        <v>-</v>
      </c>
      <c r="F55" s="144">
        <f t="shared" si="3"/>
        <v>0</v>
      </c>
      <c r="G55" s="143" t="str">
        <f t="shared" si="1"/>
        <v>-</v>
      </c>
      <c r="H55" s="144">
        <f t="shared" si="4"/>
        <v>0</v>
      </c>
      <c r="I55" s="144">
        <f t="shared" si="7"/>
        <v>0</v>
      </c>
    </row>
    <row r="56" spans="1:9" ht="18.75" hidden="1" thickBot="1">
      <c r="A56" s="139">
        <f t="shared" si="2"/>
        <v>40</v>
      </c>
      <c r="B56" s="140">
        <v>0</v>
      </c>
      <c r="C56" s="141">
        <v>0</v>
      </c>
      <c r="D56" s="142">
        <f t="shared" si="6"/>
        <v>0</v>
      </c>
      <c r="E56" s="311" t="str">
        <f t="shared" si="0"/>
        <v>-</v>
      </c>
      <c r="F56" s="144">
        <f t="shared" si="3"/>
        <v>0</v>
      </c>
      <c r="G56" s="143" t="str">
        <f t="shared" si="1"/>
        <v>-</v>
      </c>
      <c r="H56" s="144">
        <f t="shared" si="4"/>
        <v>0</v>
      </c>
      <c r="I56" s="144">
        <f t="shared" si="7"/>
        <v>0</v>
      </c>
    </row>
    <row r="57" spans="1:9" ht="18.75" hidden="1" thickBot="1">
      <c r="A57" s="139">
        <f t="shared" si="2"/>
        <v>41</v>
      </c>
      <c r="B57" s="140">
        <v>0</v>
      </c>
      <c r="C57" s="141">
        <v>0</v>
      </c>
      <c r="D57" s="142">
        <f t="shared" si="6"/>
        <v>0</v>
      </c>
      <c r="E57" s="311" t="str">
        <f t="shared" si="0"/>
        <v>-</v>
      </c>
      <c r="F57" s="144">
        <f t="shared" si="3"/>
        <v>0</v>
      </c>
      <c r="G57" s="143" t="str">
        <f t="shared" si="1"/>
        <v>-</v>
      </c>
      <c r="H57" s="144">
        <f t="shared" si="4"/>
        <v>0</v>
      </c>
      <c r="I57" s="144">
        <f t="shared" si="7"/>
        <v>0</v>
      </c>
    </row>
    <row r="58" spans="1:9" ht="18.75" hidden="1" thickBot="1">
      <c r="A58" s="139">
        <f t="shared" si="2"/>
        <v>42</v>
      </c>
      <c r="B58" s="140">
        <v>0</v>
      </c>
      <c r="C58" s="141">
        <v>0</v>
      </c>
      <c r="D58" s="142">
        <f t="shared" si="6"/>
        <v>0</v>
      </c>
      <c r="E58" s="311" t="str">
        <f t="shared" si="0"/>
        <v>-</v>
      </c>
      <c r="F58" s="144">
        <f t="shared" si="3"/>
        <v>0</v>
      </c>
      <c r="G58" s="143" t="str">
        <f t="shared" si="1"/>
        <v>-</v>
      </c>
      <c r="H58" s="144">
        <f t="shared" si="4"/>
        <v>0</v>
      </c>
      <c r="I58" s="144">
        <f t="shared" si="7"/>
        <v>0</v>
      </c>
    </row>
    <row r="59" spans="1:9" ht="18.75" hidden="1" thickBot="1">
      <c r="A59" s="139">
        <f t="shared" si="2"/>
        <v>43</v>
      </c>
      <c r="B59" s="140">
        <v>0</v>
      </c>
      <c r="C59" s="141">
        <v>0</v>
      </c>
      <c r="D59" s="142">
        <f t="shared" si="6"/>
        <v>0</v>
      </c>
      <c r="E59" s="311" t="str">
        <f t="shared" si="0"/>
        <v>-</v>
      </c>
      <c r="F59" s="144">
        <f t="shared" si="3"/>
        <v>0</v>
      </c>
      <c r="G59" s="143" t="str">
        <f t="shared" si="1"/>
        <v>-</v>
      </c>
      <c r="H59" s="144">
        <f t="shared" si="4"/>
        <v>0</v>
      </c>
      <c r="I59" s="144">
        <f t="shared" si="7"/>
        <v>0</v>
      </c>
    </row>
    <row r="60" spans="1:9" ht="18.75" hidden="1" thickBot="1">
      <c r="A60" s="139">
        <f t="shared" si="2"/>
        <v>44</v>
      </c>
      <c r="B60" s="140">
        <v>0</v>
      </c>
      <c r="C60" s="141">
        <v>0</v>
      </c>
      <c r="D60" s="142">
        <f t="shared" si="6"/>
        <v>0</v>
      </c>
      <c r="E60" s="311" t="str">
        <f t="shared" si="0"/>
        <v>-</v>
      </c>
      <c r="F60" s="144">
        <f t="shared" si="3"/>
        <v>0</v>
      </c>
      <c r="G60" s="143" t="str">
        <f t="shared" si="1"/>
        <v>-</v>
      </c>
      <c r="H60" s="144">
        <f t="shared" si="4"/>
        <v>0</v>
      </c>
      <c r="I60" s="144">
        <f t="shared" si="7"/>
        <v>0</v>
      </c>
    </row>
    <row r="61" spans="1:9" ht="18.75" hidden="1" thickBot="1">
      <c r="A61" s="139">
        <f t="shared" si="2"/>
        <v>45</v>
      </c>
      <c r="B61" s="140">
        <v>0</v>
      </c>
      <c r="C61" s="141">
        <v>0</v>
      </c>
      <c r="D61" s="142">
        <f t="shared" si="6"/>
        <v>0</v>
      </c>
      <c r="E61" s="311" t="str">
        <f t="shared" si="0"/>
        <v>-</v>
      </c>
      <c r="F61" s="144">
        <f t="shared" si="3"/>
        <v>0</v>
      </c>
      <c r="G61" s="143" t="str">
        <f t="shared" si="1"/>
        <v>-</v>
      </c>
      <c r="H61" s="144">
        <f t="shared" si="4"/>
        <v>0</v>
      </c>
      <c r="I61" s="144">
        <f t="shared" si="7"/>
        <v>0</v>
      </c>
    </row>
    <row r="62" spans="1:9" ht="18.75" hidden="1" thickBot="1">
      <c r="A62" s="139">
        <f t="shared" si="2"/>
        <v>46</v>
      </c>
      <c r="B62" s="140">
        <v>0</v>
      </c>
      <c r="C62" s="141">
        <v>0</v>
      </c>
      <c r="D62" s="142">
        <f t="shared" si="6"/>
        <v>0</v>
      </c>
      <c r="E62" s="311" t="str">
        <f t="shared" si="0"/>
        <v>-</v>
      </c>
      <c r="F62" s="144">
        <f t="shared" si="3"/>
        <v>0</v>
      </c>
      <c r="G62" s="143" t="str">
        <f t="shared" si="1"/>
        <v>-</v>
      </c>
      <c r="H62" s="144">
        <f t="shared" si="4"/>
        <v>0</v>
      </c>
      <c r="I62" s="144">
        <f t="shared" si="7"/>
        <v>0</v>
      </c>
    </row>
    <row r="63" spans="1:9" ht="18.75" hidden="1" thickBot="1">
      <c r="A63" s="139">
        <f t="shared" si="2"/>
        <v>47</v>
      </c>
      <c r="B63" s="140">
        <v>0</v>
      </c>
      <c r="C63" s="141">
        <v>0</v>
      </c>
      <c r="D63" s="142">
        <f t="shared" si="6"/>
        <v>0</v>
      </c>
      <c r="E63" s="311" t="str">
        <f t="shared" si="0"/>
        <v>-</v>
      </c>
      <c r="F63" s="144">
        <f t="shared" si="3"/>
        <v>0</v>
      </c>
      <c r="G63" s="143" t="str">
        <f t="shared" si="1"/>
        <v>-</v>
      </c>
      <c r="H63" s="144">
        <f t="shared" si="4"/>
        <v>0</v>
      </c>
      <c r="I63" s="144">
        <f t="shared" si="7"/>
        <v>0</v>
      </c>
    </row>
    <row r="64" spans="1:9" ht="18.75" hidden="1" thickBot="1">
      <c r="A64" s="139">
        <f t="shared" si="2"/>
        <v>48</v>
      </c>
      <c r="B64" s="140">
        <v>0</v>
      </c>
      <c r="C64" s="141">
        <v>0</v>
      </c>
      <c r="D64" s="142">
        <f t="shared" si="6"/>
        <v>0</v>
      </c>
      <c r="E64" s="311" t="str">
        <f t="shared" si="0"/>
        <v>-</v>
      </c>
      <c r="F64" s="144">
        <f t="shared" si="3"/>
        <v>0</v>
      </c>
      <c r="G64" s="143" t="str">
        <f t="shared" si="1"/>
        <v>-</v>
      </c>
      <c r="H64" s="144">
        <f t="shared" si="4"/>
        <v>0</v>
      </c>
      <c r="I64" s="144">
        <f t="shared" si="7"/>
        <v>0</v>
      </c>
    </row>
    <row r="65" spans="1:9" ht="18.75" hidden="1" thickBot="1">
      <c r="A65" s="139">
        <f t="shared" si="2"/>
        <v>49</v>
      </c>
      <c r="B65" s="140">
        <v>0</v>
      </c>
      <c r="C65" s="141">
        <v>0</v>
      </c>
      <c r="D65" s="142">
        <f t="shared" si="6"/>
        <v>0</v>
      </c>
      <c r="E65" s="311" t="str">
        <f t="shared" si="0"/>
        <v>-</v>
      </c>
      <c r="F65" s="144">
        <f t="shared" si="3"/>
        <v>0</v>
      </c>
      <c r="G65" s="143" t="str">
        <f t="shared" si="1"/>
        <v>-</v>
      </c>
      <c r="H65" s="144">
        <f t="shared" si="4"/>
        <v>0</v>
      </c>
      <c r="I65" s="144">
        <f t="shared" si="7"/>
        <v>0</v>
      </c>
    </row>
    <row r="66" spans="1:9" ht="18.75" hidden="1" thickBot="1">
      <c r="A66" s="146">
        <f t="shared" si="2"/>
        <v>50</v>
      </c>
      <c r="B66" s="147">
        <v>0</v>
      </c>
      <c r="C66" s="148">
        <v>0</v>
      </c>
      <c r="D66" s="149">
        <f t="shared" si="6"/>
        <v>0</v>
      </c>
      <c r="E66" s="312" t="str">
        <f t="shared" si="0"/>
        <v>-</v>
      </c>
      <c r="F66" s="151">
        <f t="shared" si="3"/>
        <v>0</v>
      </c>
      <c r="G66" s="150" t="str">
        <f t="shared" si="1"/>
        <v>-</v>
      </c>
      <c r="H66" s="151">
        <f t="shared" si="4"/>
        <v>0</v>
      </c>
      <c r="I66" s="151">
        <f t="shared" si="7"/>
        <v>0</v>
      </c>
    </row>
    <row r="67" spans="1:9" ht="18.75" hidden="1" thickBot="1">
      <c r="A67" s="152" t="s">
        <v>78</v>
      </c>
      <c r="B67" s="153"/>
      <c r="C67" s="153"/>
      <c r="D67" s="313"/>
      <c r="E67" s="153"/>
      <c r="F67" s="154">
        <f>SUM(F16:F66)</f>
        <v>2614937.7144498117</v>
      </c>
      <c r="G67" s="155"/>
      <c r="H67" s="156">
        <f>SUM(H16:H66)</f>
        <v>5.2386894822120667E-08</v>
      </c>
      <c r="I67" s="110"/>
    </row>
    <row r="68" spans="1:9" ht="18.75" hidden="1" thickBot="1">
      <c r="A68" s="157" t="s">
        <v>79</v>
      </c>
      <c r="B68" s="158"/>
      <c r="C68" s="158"/>
      <c r="D68" s="314"/>
      <c r="E68" s="158"/>
      <c r="F68" s="159">
        <f>I17</f>
        <v>600408.9984263622</v>
      </c>
      <c r="G68" s="160"/>
      <c r="H68" s="160"/>
      <c r="I68" s="110"/>
    </row>
    <row r="69" spans="1:9" ht="18.75" thickBot="1">
      <c r="A69" s="161"/>
      <c r="B69" s="162"/>
      <c r="C69" s="162"/>
      <c r="D69" s="315"/>
      <c r="E69" s="162"/>
      <c r="F69" s="163">
        <f>IRR(D16:D66)</f>
        <v>0.30886372799383</v>
      </c>
      <c r="G69" s="170"/>
      <c r="H69" s="171">
        <f>SUM(H16:H22)</f>
        <v>5.2386894822120667E-08</v>
      </c>
      <c r="I69" s="110"/>
    </row>
    <row r="70" spans="1:9" ht="18.75" hidden="1" thickBot="1">
      <c r="A70" s="152" t="s">
        <v>80</v>
      </c>
      <c r="B70" s="153"/>
      <c r="C70" s="153"/>
      <c r="D70" s="153"/>
      <c r="E70" s="153"/>
      <c r="F70" s="164">
        <f>NPER(B14,F72,F16,0)</f>
        <v>0.6244775254491007</v>
      </c>
      <c r="G70" s="165"/>
      <c r="H70" s="165"/>
      <c r="I70" s="110"/>
    </row>
    <row r="71" spans="1:8" ht="12.75" hidden="1">
      <c r="A71" s="6" t="s">
        <v>81</v>
      </c>
      <c r="F71" s="166">
        <f>SUM(F17:F66)</f>
        <v>3014937.7144498117</v>
      </c>
      <c r="G71" s="166"/>
      <c r="H71" s="166"/>
    </row>
    <row r="72" spans="1:8" ht="12.75" hidden="1">
      <c r="A72" s="6" t="s">
        <v>82</v>
      </c>
      <c r="F72" s="167">
        <f>PMT(B14,B13,F71,0)*-1</f>
        <v>692251.9505714291</v>
      </c>
      <c r="G72" s="167"/>
      <c r="H72" s="167"/>
    </row>
    <row r="74" ht="18" hidden="1">
      <c r="A74" s="45" t="s">
        <v>83</v>
      </c>
    </row>
    <row r="75" spans="1:8" ht="78" customHeight="1" hidden="1">
      <c r="A75" s="316" t="str">
        <f>CONCATENATE("Da nutidsværdien er ",IF(F67&gt;=0,"positiv med ","negativ med "),"kr. ",ROUND(F67,0)," er investeringen ",IF(F67&gt;=0,"rentabel ","ikke rentabel "),"og bør ",IF(F67&gt;=0,"foretages. ","ikke foretages. "),"Den interne rente er på ",ROUND(F69,4)*100," hvilket er ",IF(ROUND((F69-B14),4)*100&gt;0,ROUND((F69-B14),4)*100,ROUND((F69-B14),4)*-100)," %-point ",IF(B14&lt;=F69,"over ","under "),"kalkulationsrenten på ",ROUND(B14,2)*100," %. ","Hvis man omregner nutidsværdien til en annuitet bliver det årlige ",IF(F67&gt;=0,"overskud ","underskud "),"på kr. ",ROUND(F68,0),". ","Både den ",IF(F67&gt;=0,"postive ","negative "),"nutidsværdi og det at den interne rente er ",IF(F67&gt;=0,"over ","under "),"kalkulationsrenten bekræfter os i at investeringen ",IF(F67&gt;=0,"bør foretages.","ikke bør foretages."))</f>
        <v>Da nutidsværdien er positiv med kr. 2614938 er investeringen rentabel og bør foretages. Den interne rente er på 30,89 hvilket er 20,89 %-point over kalkulationsrenten på 10 %. Hvis man omregner nutidsværdien til en annuitet bliver det årlige overskud på kr. 600409. Både den postive nutidsværdi og det at den interne rente er over kalkulationsrenten bekræfter os i at investeringen bør foretages.</v>
      </c>
      <c r="B75" s="316"/>
      <c r="C75" s="316"/>
      <c r="D75" s="316"/>
      <c r="E75" s="316"/>
      <c r="F75" s="316"/>
      <c r="G75" s="316"/>
      <c r="H75" s="316"/>
    </row>
    <row r="76" spans="1:8" ht="12.75" hidden="1">
      <c r="A76" s="316" t="s">
        <v>134</v>
      </c>
      <c r="B76" s="316"/>
      <c r="C76" s="316"/>
      <c r="D76" s="316"/>
      <c r="E76" s="316"/>
      <c r="F76" s="316"/>
      <c r="G76" s="316"/>
      <c r="H76" s="316"/>
    </row>
    <row r="77" spans="1:8" ht="12.75" hidden="1">
      <c r="A77" s="316"/>
      <c r="B77" s="316"/>
      <c r="C77" s="316"/>
      <c r="D77" s="316"/>
      <c r="E77" s="316"/>
      <c r="F77" s="316"/>
      <c r="G77" s="316"/>
      <c r="H77" s="316"/>
    </row>
    <row r="78" spans="1:8" ht="12.75" hidden="1">
      <c r="A78" s="316"/>
      <c r="B78" s="316"/>
      <c r="C78" s="316"/>
      <c r="D78" s="316"/>
      <c r="E78" s="316"/>
      <c r="F78" s="316"/>
      <c r="G78" s="316"/>
      <c r="H78" s="316"/>
    </row>
    <row r="79" spans="1:8" ht="12.75" hidden="1">
      <c r="A79" s="316"/>
      <c r="B79" s="316"/>
      <c r="C79" s="316"/>
      <c r="D79" s="316"/>
      <c r="E79" s="316"/>
      <c r="F79" s="316"/>
      <c r="G79" s="316"/>
      <c r="H79" s="316"/>
    </row>
    <row r="80" spans="1:8" ht="44.25" customHeight="1" hidden="1">
      <c r="A80" s="316"/>
      <c r="B80" s="316"/>
      <c r="C80" s="316"/>
      <c r="D80" s="316"/>
      <c r="E80" s="316"/>
      <c r="F80" s="316"/>
      <c r="G80" s="316"/>
      <c r="H80" s="316"/>
    </row>
  </sheetData>
  <sheetProtection/>
  <mergeCells count="2">
    <mergeCell ref="A75:H75"/>
    <mergeCell ref="A76:H80"/>
  </mergeCells>
  <printOptions/>
  <pageMargins left="0.7874015748031497" right="0.3937007874015748" top="0.984251968503937" bottom="0.984251968503937" header="0" footer="0"/>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O397"/>
  <sheetViews>
    <sheetView zoomScale="120" zoomScaleNormal="120" zoomScalePageLayoutView="0" workbookViewId="0" topLeftCell="A87">
      <selection activeCell="C96" sqref="C96:F97"/>
    </sheetView>
  </sheetViews>
  <sheetFormatPr defaultColWidth="9.140625" defaultRowHeight="12.75"/>
  <cols>
    <col min="2" max="2" width="3.28125" style="0" customWidth="1"/>
    <col min="3" max="3" width="17.7109375" style="0" customWidth="1"/>
    <col min="4" max="4" width="13.421875" style="0" customWidth="1"/>
    <col min="5" max="5" width="14.8515625" style="0" customWidth="1"/>
    <col min="6" max="6" width="15.57421875" style="0" customWidth="1"/>
    <col min="7" max="7" width="15.7109375" style="0" customWidth="1"/>
    <col min="8" max="8" width="14.8515625" style="0" customWidth="1"/>
    <col min="9" max="9" width="15.00390625" style="0" customWidth="1"/>
    <col min="10" max="10" width="14.28125" style="0" bestFit="1" customWidth="1"/>
    <col min="11" max="11" width="14.140625" style="0" customWidth="1"/>
    <col min="12" max="13" width="13.57421875" style="0" customWidth="1"/>
    <col min="14" max="14" width="18.00390625" style="0" customWidth="1"/>
    <col min="15" max="15" width="11.00390625" style="0" customWidth="1"/>
  </cols>
  <sheetData>
    <row r="1" spans="1:3" ht="20.25">
      <c r="A1" s="235" t="s">
        <v>193</v>
      </c>
      <c r="C1" s="77" t="s">
        <v>138</v>
      </c>
    </row>
    <row r="2" spans="3:4" ht="15.75">
      <c r="C2" s="126" t="s">
        <v>139</v>
      </c>
      <c r="D2" s="186" t="s">
        <v>189</v>
      </c>
    </row>
    <row r="3" spans="3:5" ht="16.5" thickBot="1">
      <c r="C3" s="126" t="s">
        <v>140</v>
      </c>
      <c r="D3" s="186">
        <v>1</v>
      </c>
      <c r="E3" t="s">
        <v>141</v>
      </c>
    </row>
    <row r="4" spans="1:15" ht="30.75" thickBot="1">
      <c r="A4" s="187" t="s">
        <v>142</v>
      </c>
      <c r="B4" s="187" t="s">
        <v>143</v>
      </c>
      <c r="C4" s="188" t="s">
        <v>144</v>
      </c>
      <c r="D4" s="189" t="s">
        <v>145</v>
      </c>
      <c r="E4" s="189" t="s">
        <v>146</v>
      </c>
      <c r="F4" s="189" t="s">
        <v>147</v>
      </c>
      <c r="G4" s="189" t="s">
        <v>148</v>
      </c>
      <c r="H4" s="189" t="s">
        <v>149</v>
      </c>
      <c r="I4" s="189" t="s">
        <v>150</v>
      </c>
      <c r="J4" s="190" t="s">
        <v>151</v>
      </c>
      <c r="K4" s="191" t="s">
        <v>152</v>
      </c>
      <c r="L4" s="192" t="s">
        <v>153</v>
      </c>
      <c r="M4" s="193" t="s">
        <v>154</v>
      </c>
      <c r="N4" s="194" t="s">
        <v>155</v>
      </c>
      <c r="O4" s="195" t="s">
        <v>156</v>
      </c>
    </row>
    <row r="5" spans="1:15" ht="15" customHeight="1" thickBot="1">
      <c r="A5" s="450" t="str">
        <f>IF(C5=0,0,CONCATENATE(B5," ",$D$2))</f>
        <v>1 Danmark</v>
      </c>
      <c r="B5" s="454">
        <v>1</v>
      </c>
      <c r="C5" s="513">
        <v>8000</v>
      </c>
      <c r="D5" s="512">
        <v>2000</v>
      </c>
      <c r="E5" s="493">
        <f>D5*C5</f>
        <v>16000000</v>
      </c>
      <c r="F5" s="506">
        <v>3600</v>
      </c>
      <c r="G5" s="493">
        <f>F5*D5</f>
        <v>7200000</v>
      </c>
      <c r="H5" s="487">
        <f>E5-G5</f>
        <v>8800000</v>
      </c>
      <c r="I5" s="510">
        <v>0</v>
      </c>
      <c r="J5" s="490">
        <f>H5-I5</f>
        <v>8800000</v>
      </c>
      <c r="K5" s="468">
        <f>C5-F5</f>
        <v>4400</v>
      </c>
      <c r="L5" s="465">
        <f>D5/$D$3</f>
        <v>2000</v>
      </c>
      <c r="M5" s="466">
        <f>IF(L5=0,0,H5/L5)</f>
        <v>4400</v>
      </c>
      <c r="N5" s="196">
        <f>IF(L5=0,0,H5/L5)</f>
        <v>4400</v>
      </c>
      <c r="O5" s="197">
        <f>IF(L5&lt;0,0,L5)</f>
        <v>2000</v>
      </c>
    </row>
    <row r="6" spans="1:15" ht="15.75" customHeight="1" thickBot="1">
      <c r="A6" s="451"/>
      <c r="B6" s="455"/>
      <c r="C6" s="507"/>
      <c r="D6" s="509"/>
      <c r="E6" s="484"/>
      <c r="F6" s="507"/>
      <c r="G6" s="484"/>
      <c r="H6" s="485"/>
      <c r="I6" s="511"/>
      <c r="J6" s="480"/>
      <c r="K6" s="455"/>
      <c r="L6" s="455"/>
      <c r="M6" s="467"/>
      <c r="N6" s="450">
        <f>IF(L7=0,0,(H7-H5)/(L7-L5))</f>
        <v>1900</v>
      </c>
      <c r="O6" s="450">
        <f>IF(L7-L5&lt;0,0,L7-L5)</f>
        <v>500</v>
      </c>
    </row>
    <row r="7" spans="1:15" ht="13.5" thickBot="1">
      <c r="A7" s="450" t="str">
        <f>IF(C7=0,0,CONCATENATE(B7," ",$D$2))</f>
        <v>2 Danmark</v>
      </c>
      <c r="B7" s="454">
        <v>2</v>
      </c>
      <c r="C7" s="506">
        <v>7500</v>
      </c>
      <c r="D7" s="504">
        <v>2500</v>
      </c>
      <c r="E7" s="474">
        <f>D7*C7</f>
        <v>18750000</v>
      </c>
      <c r="F7" s="476">
        <f>IF(C7=0,0,$F$5)</f>
        <v>3600</v>
      </c>
      <c r="G7" s="474">
        <f>F7*D7</f>
        <v>9000000</v>
      </c>
      <c r="H7" s="478">
        <f>E7-G7</f>
        <v>9750000</v>
      </c>
      <c r="I7" s="460">
        <f>IF(C7=0,0,$I$5)</f>
        <v>0</v>
      </c>
      <c r="J7" s="462">
        <f>H7-I7</f>
        <v>9750000</v>
      </c>
      <c r="K7" s="468">
        <f>C7-F7</f>
        <v>3900</v>
      </c>
      <c r="L7" s="466">
        <f>D7/$D$3</f>
        <v>2500</v>
      </c>
      <c r="M7" s="466">
        <f>IF(L7=0,0,H7/L7)</f>
        <v>3900</v>
      </c>
      <c r="N7" s="469"/>
      <c r="O7" s="451"/>
    </row>
    <row r="8" spans="1:15" ht="13.5" thickBot="1">
      <c r="A8" s="451"/>
      <c r="B8" s="455"/>
      <c r="C8" s="507"/>
      <c r="D8" s="509"/>
      <c r="E8" s="484"/>
      <c r="F8" s="481"/>
      <c r="G8" s="484"/>
      <c r="H8" s="485"/>
      <c r="I8" s="486"/>
      <c r="J8" s="480"/>
      <c r="K8" s="455"/>
      <c r="L8" s="467"/>
      <c r="M8" s="467"/>
      <c r="N8" s="450">
        <f>IF(L9=0,0,(H9-H7)/(L9-L7))</f>
        <v>900</v>
      </c>
      <c r="O8" s="450">
        <f>IF(L9-L7&lt;0,0,L9-L7)</f>
        <v>500</v>
      </c>
    </row>
    <row r="9" spans="1:15" ht="13.5" customHeight="1" thickBot="1">
      <c r="A9" s="450" t="str">
        <f>IF(C9=0,0,CONCATENATE(B9," ",$D$2))</f>
        <v>3 Danmark</v>
      </c>
      <c r="B9" s="454">
        <v>3</v>
      </c>
      <c r="C9" s="506">
        <v>7000</v>
      </c>
      <c r="D9" s="504">
        <v>3000</v>
      </c>
      <c r="E9" s="474">
        <f>D9*C9</f>
        <v>21000000</v>
      </c>
      <c r="F9" s="476">
        <f>IF(C9=0,0,$F$5)</f>
        <v>3600</v>
      </c>
      <c r="G9" s="474">
        <f>F9*D9</f>
        <v>10800000</v>
      </c>
      <c r="H9" s="478">
        <f>E9-G9</f>
        <v>10200000</v>
      </c>
      <c r="I9" s="460">
        <f>IF(C9=0,0,$I$5)</f>
        <v>0</v>
      </c>
      <c r="J9" s="462">
        <f>H9-I9</f>
        <v>10200000</v>
      </c>
      <c r="K9" s="468">
        <f>C9-F9</f>
        <v>3400</v>
      </c>
      <c r="L9" s="466">
        <f>D9/$D$3</f>
        <v>3000</v>
      </c>
      <c r="M9" s="466">
        <f>IF(L9=0,0,H9/L9)</f>
        <v>3400</v>
      </c>
      <c r="N9" s="469"/>
      <c r="O9" s="451"/>
    </row>
    <row r="10" spans="1:15" ht="13.5" customHeight="1" thickBot="1">
      <c r="A10" s="451"/>
      <c r="B10" s="455"/>
      <c r="C10" s="507"/>
      <c r="D10" s="509"/>
      <c r="E10" s="484"/>
      <c r="F10" s="481"/>
      <c r="G10" s="484"/>
      <c r="H10" s="485"/>
      <c r="I10" s="486"/>
      <c r="J10" s="480"/>
      <c r="K10" s="455"/>
      <c r="L10" s="467"/>
      <c r="M10" s="467"/>
      <c r="N10" s="450">
        <f>IF(L11=0,0,(H11-H9)/(L11-L9))</f>
        <v>-100</v>
      </c>
      <c r="O10" s="450">
        <f>IF(L11-L9&lt;0,0,L11-L9)</f>
        <v>500</v>
      </c>
    </row>
    <row r="11" spans="1:15" ht="13.5" customHeight="1" thickBot="1">
      <c r="A11" s="450" t="str">
        <f>IF(C11=0,0,CONCATENATE(B11," ",$D$2))</f>
        <v>4 Danmark</v>
      </c>
      <c r="B11" s="454">
        <v>4</v>
      </c>
      <c r="C11" s="506">
        <v>6500</v>
      </c>
      <c r="D11" s="504">
        <v>3500</v>
      </c>
      <c r="E11" s="474">
        <f>D11*C11</f>
        <v>22750000</v>
      </c>
      <c r="F11" s="476">
        <f>IF(C11=0,0,$F$5)</f>
        <v>3600</v>
      </c>
      <c r="G11" s="474">
        <f>F11*D11</f>
        <v>12600000</v>
      </c>
      <c r="H11" s="478">
        <f>E11-G11</f>
        <v>10150000</v>
      </c>
      <c r="I11" s="460">
        <f>IF(C11=0,0,$I$5)</f>
        <v>0</v>
      </c>
      <c r="J11" s="462">
        <f>H11-I11</f>
        <v>10150000</v>
      </c>
      <c r="K11" s="468">
        <f>C11-F11</f>
        <v>2900</v>
      </c>
      <c r="L11" s="466">
        <f>D11/$D$3</f>
        <v>3500</v>
      </c>
      <c r="M11" s="466">
        <f>IF(L11=0,0,H11/L11)</f>
        <v>2900</v>
      </c>
      <c r="N11" s="469"/>
      <c r="O11" s="451"/>
    </row>
    <row r="12" spans="1:15" ht="13.5" customHeight="1" thickBot="1">
      <c r="A12" s="451"/>
      <c r="B12" s="455"/>
      <c r="C12" s="507"/>
      <c r="D12" s="509"/>
      <c r="E12" s="484"/>
      <c r="F12" s="477"/>
      <c r="G12" s="484"/>
      <c r="H12" s="485"/>
      <c r="I12" s="486"/>
      <c r="J12" s="480"/>
      <c r="K12" s="455"/>
      <c r="L12" s="467"/>
      <c r="M12" s="467"/>
      <c r="N12" s="450">
        <f>IF(L13=0,0,(H13-H11)/(L13-L11))</f>
        <v>0</v>
      </c>
      <c r="O12" s="450">
        <f>IF(L13-L11&lt;0,0,L13-L11)</f>
        <v>0</v>
      </c>
    </row>
    <row r="13" spans="1:15" ht="13.5" customHeight="1" thickBot="1">
      <c r="A13" s="450">
        <f>IF(C13=0,0,CONCATENATE(B13," ",$D$2))</f>
        <v>0</v>
      </c>
      <c r="B13" s="454">
        <v>5</v>
      </c>
      <c r="C13" s="506">
        <v>0</v>
      </c>
      <c r="D13" s="504">
        <v>0</v>
      </c>
      <c r="E13" s="474">
        <f>D13*C13</f>
        <v>0</v>
      </c>
      <c r="F13" s="476">
        <f>IF(C13=0,0,$F$5)</f>
        <v>0</v>
      </c>
      <c r="G13" s="474">
        <f>F13*D13</f>
        <v>0</v>
      </c>
      <c r="H13" s="478">
        <f>E13-G13</f>
        <v>0</v>
      </c>
      <c r="I13" s="460">
        <f>IF(C13=0,0,$I$5)</f>
        <v>0</v>
      </c>
      <c r="J13" s="462">
        <f>H13-I13</f>
        <v>0</v>
      </c>
      <c r="K13" s="468">
        <f>C13-F13</f>
        <v>0</v>
      </c>
      <c r="L13" s="466">
        <f>D13/$D$3</f>
        <v>0</v>
      </c>
      <c r="M13" s="466">
        <f>IF(L13=0,0,H13/L13)</f>
        <v>0</v>
      </c>
      <c r="N13" s="469"/>
      <c r="O13" s="451"/>
    </row>
    <row r="14" spans="1:15" ht="13.5" customHeight="1" thickBot="1">
      <c r="A14" s="451"/>
      <c r="B14" s="455"/>
      <c r="C14" s="507"/>
      <c r="D14" s="509"/>
      <c r="E14" s="484"/>
      <c r="F14" s="477"/>
      <c r="G14" s="484"/>
      <c r="H14" s="485"/>
      <c r="I14" s="486"/>
      <c r="J14" s="480"/>
      <c r="K14" s="455"/>
      <c r="L14" s="467"/>
      <c r="M14" s="467"/>
      <c r="N14" s="450">
        <f>IF(L15=0,0,(H15-H13)/(L15-L13))</f>
        <v>0</v>
      </c>
      <c r="O14" s="450">
        <f>IF(L15-L13&lt;0,0,L15-L13)</f>
        <v>0</v>
      </c>
    </row>
    <row r="15" spans="1:15" ht="13.5" customHeight="1" thickBot="1">
      <c r="A15" s="450">
        <f>IF(C15=0,0,CONCATENATE(B15," ",$D$2))</f>
        <v>0</v>
      </c>
      <c r="B15" s="454">
        <v>6</v>
      </c>
      <c r="C15" s="506">
        <v>0</v>
      </c>
      <c r="D15" s="504">
        <v>0</v>
      </c>
      <c r="E15" s="474">
        <f>D15*C15</f>
        <v>0</v>
      </c>
      <c r="F15" s="476">
        <f>IF(C15=0,0,$F$5)</f>
        <v>0</v>
      </c>
      <c r="G15" s="474">
        <f>F15*D15</f>
        <v>0</v>
      </c>
      <c r="H15" s="478">
        <f>E15-G15</f>
        <v>0</v>
      </c>
      <c r="I15" s="460">
        <f>IF(C15=0,0,$I$5)</f>
        <v>0</v>
      </c>
      <c r="J15" s="462">
        <f>H15-I15</f>
        <v>0</v>
      </c>
      <c r="K15" s="468">
        <f>C15-F15</f>
        <v>0</v>
      </c>
      <c r="L15" s="466">
        <f>D15/$D$3</f>
        <v>0</v>
      </c>
      <c r="M15" s="466">
        <f>IF(L15=0,0,H15/L15)</f>
        <v>0</v>
      </c>
      <c r="N15" s="469"/>
      <c r="O15" s="451"/>
    </row>
    <row r="16" spans="1:15" ht="13.5" customHeight="1" thickBot="1">
      <c r="A16" s="451"/>
      <c r="B16" s="455"/>
      <c r="C16" s="507"/>
      <c r="D16" s="509"/>
      <c r="E16" s="484"/>
      <c r="F16" s="481"/>
      <c r="G16" s="484"/>
      <c r="H16" s="485"/>
      <c r="I16" s="486"/>
      <c r="J16" s="480"/>
      <c r="K16" s="455"/>
      <c r="L16" s="467"/>
      <c r="M16" s="467"/>
      <c r="N16" s="450">
        <f>IF(L17=0,0,(H17-H15)/(L17-L15))</f>
        <v>0</v>
      </c>
      <c r="O16" s="450">
        <f>IF(L17-L15&lt;0,0,L17-L15)</f>
        <v>0</v>
      </c>
    </row>
    <row r="17" spans="1:15" ht="13.5" customHeight="1" thickBot="1">
      <c r="A17" s="450">
        <f>IF(C17=0,0,CONCATENATE(B17," ",$D$2))</f>
        <v>0</v>
      </c>
      <c r="B17" s="454">
        <v>7</v>
      </c>
      <c r="C17" s="506">
        <v>0</v>
      </c>
      <c r="D17" s="504">
        <v>0</v>
      </c>
      <c r="E17" s="474">
        <f>D17*C17</f>
        <v>0</v>
      </c>
      <c r="F17" s="476">
        <f>IF(C17=0,0,$F$5)</f>
        <v>0</v>
      </c>
      <c r="G17" s="474">
        <f>F17*D17</f>
        <v>0</v>
      </c>
      <c r="H17" s="478">
        <f>E17-G17</f>
        <v>0</v>
      </c>
      <c r="I17" s="460">
        <f>IF(C17=0,0,$I$5)</f>
        <v>0</v>
      </c>
      <c r="J17" s="462">
        <f>H17-I17</f>
        <v>0</v>
      </c>
      <c r="K17" s="468">
        <f>C17-F17</f>
        <v>0</v>
      </c>
      <c r="L17" s="466">
        <f>D17/$D$3</f>
        <v>0</v>
      </c>
      <c r="M17" s="466">
        <f>IF(L17=0,0,H17/L17)</f>
        <v>0</v>
      </c>
      <c r="N17" s="469"/>
      <c r="O17" s="451"/>
    </row>
    <row r="18" spans="1:15" ht="13.5" customHeight="1" thickBot="1">
      <c r="A18" s="451"/>
      <c r="B18" s="455"/>
      <c r="C18" s="508"/>
      <c r="D18" s="505"/>
      <c r="E18" s="475"/>
      <c r="F18" s="481"/>
      <c r="G18" s="475"/>
      <c r="H18" s="479"/>
      <c r="I18" s="486"/>
      <c r="J18" s="463"/>
      <c r="K18" s="455"/>
      <c r="L18" s="467"/>
      <c r="M18" s="467"/>
      <c r="N18" s="450">
        <f>IF(L19=0,0,(H19-H17)/(L19-L17))</f>
        <v>0</v>
      </c>
      <c r="O18" s="450">
        <f>IF(L19-L17&lt;0,0,L19-L17)</f>
        <v>0</v>
      </c>
    </row>
    <row r="19" spans="1:15" ht="12.75" customHeight="1" thickBot="1">
      <c r="A19" s="450">
        <f>IF(C19=0,0,CONCATENATE(B19," ",$D$2))</f>
        <v>0</v>
      </c>
      <c r="B19" s="454">
        <v>8</v>
      </c>
      <c r="C19" s="506">
        <v>0</v>
      </c>
      <c r="D19" s="504">
        <v>0</v>
      </c>
      <c r="E19" s="474">
        <f>D19*C19</f>
        <v>0</v>
      </c>
      <c r="F19" s="476">
        <f>IF(C19=0,0,$F$5)</f>
        <v>0</v>
      </c>
      <c r="G19" s="474">
        <f>F19*D19</f>
        <v>0</v>
      </c>
      <c r="H19" s="478">
        <f>E19-G19</f>
        <v>0</v>
      </c>
      <c r="I19" s="460">
        <f>IF(C19=0,0,$I$5)</f>
        <v>0</v>
      </c>
      <c r="J19" s="462">
        <f>H19-I19</f>
        <v>0</v>
      </c>
      <c r="K19" s="464">
        <f>C19-F19</f>
        <v>0</v>
      </c>
      <c r="L19" s="466">
        <f>D19/$D$3</f>
        <v>0</v>
      </c>
      <c r="M19" s="466">
        <f>IF(L19=0,0,H19/L19)</f>
        <v>0</v>
      </c>
      <c r="N19" s="469"/>
      <c r="O19" s="451"/>
    </row>
    <row r="20" spans="1:14" ht="13.5" customHeight="1" thickBot="1">
      <c r="A20" s="451"/>
      <c r="B20" s="455"/>
      <c r="C20" s="508"/>
      <c r="D20" s="505"/>
      <c r="E20" s="475"/>
      <c r="F20" s="477"/>
      <c r="G20" s="475"/>
      <c r="H20" s="479"/>
      <c r="I20" s="461"/>
      <c r="J20" s="463"/>
      <c r="K20" s="455"/>
      <c r="L20" s="467"/>
      <c r="M20" s="467"/>
      <c r="N20" s="457"/>
    </row>
    <row r="21" spans="3:14" ht="12.75" hidden="1">
      <c r="C21" s="458"/>
      <c r="D21" s="459"/>
      <c r="E21" s="459"/>
      <c r="F21" s="458"/>
      <c r="G21" s="459"/>
      <c r="H21" s="459"/>
      <c r="I21" s="459"/>
      <c r="J21" s="459"/>
      <c r="K21" s="456"/>
      <c r="L21" s="457"/>
      <c r="M21" s="457"/>
      <c r="N21" s="416"/>
    </row>
    <row r="22" spans="3:14" ht="12.75" hidden="1">
      <c r="C22" s="458"/>
      <c r="D22" s="459"/>
      <c r="E22" s="459"/>
      <c r="F22" s="458"/>
      <c r="G22" s="459"/>
      <c r="H22" s="459"/>
      <c r="I22" s="459"/>
      <c r="J22" s="459"/>
      <c r="K22" s="416"/>
      <c r="L22" s="416"/>
      <c r="M22" s="457"/>
      <c r="N22" s="457"/>
    </row>
    <row r="23" spans="3:14" ht="12.75" hidden="1">
      <c r="C23" s="458"/>
      <c r="D23" s="459"/>
      <c r="E23" s="459"/>
      <c r="F23" s="458"/>
      <c r="G23" s="459"/>
      <c r="H23" s="459"/>
      <c r="I23" s="459"/>
      <c r="J23" s="459"/>
      <c r="K23" s="456"/>
      <c r="L23" s="457"/>
      <c r="M23" s="457"/>
      <c r="N23" s="416"/>
    </row>
    <row r="24" spans="3:13" ht="12.75" hidden="1">
      <c r="C24" s="458"/>
      <c r="D24" s="459"/>
      <c r="E24" s="459"/>
      <c r="F24" s="458"/>
      <c r="G24" s="459"/>
      <c r="H24" s="459"/>
      <c r="I24" s="459"/>
      <c r="J24" s="459"/>
      <c r="K24" s="416"/>
      <c r="L24" s="416"/>
      <c r="M24" s="457"/>
    </row>
    <row r="25" spans="3:10" ht="21">
      <c r="C25" t="s">
        <v>157</v>
      </c>
      <c r="D25" s="198">
        <f>MAX(J5:J24)</f>
        <v>10200000</v>
      </c>
      <c r="E25" t="s">
        <v>158</v>
      </c>
      <c r="F25" s="199"/>
      <c r="G25" s="200"/>
      <c r="H25" s="199"/>
      <c r="I25" s="199"/>
      <c r="J25" s="201"/>
    </row>
    <row r="26" spans="3:10" ht="21">
      <c r="C26" s="202" t="s">
        <v>159</v>
      </c>
      <c r="D26" s="200">
        <f>IF(D25=J5,C5,IF(D25=J7,C7,IF(D25=J9,C9,IF(D25=J11,C11,IF(D25=J13,C13,IF(D25=J15,C15,IF(D25=J17,C17,IF(D25=J19,C19,"ingen"))))))))</f>
        <v>7000</v>
      </c>
      <c r="E26" s="200"/>
      <c r="F26" s="199"/>
      <c r="G26" s="200"/>
      <c r="H26" s="199"/>
      <c r="I26" s="199"/>
      <c r="J26" s="201"/>
    </row>
    <row r="27" spans="3:10" ht="21">
      <c r="C27" s="202" t="s">
        <v>160</v>
      </c>
      <c r="D27" s="200">
        <f>IF($D$25=J5,D5,IF($D$25=J7,D7,IF($D$25=J9,D9,IF($D$25=J11,D11,IF($D$25=J13,D13,IF($D$25=J15,D15,IF($D$25=J17,D17,IF(D26=J19,D19,"ingen"))))))))</f>
        <v>3000</v>
      </c>
      <c r="E27" s="200"/>
      <c r="F27" s="199"/>
      <c r="G27" s="200"/>
      <c r="H27" s="199"/>
      <c r="I27" s="199"/>
      <c r="J27" s="201"/>
    </row>
    <row r="28" spans="3:10" ht="22.5" hidden="1">
      <c r="C28" s="202"/>
      <c r="D28" s="200"/>
      <c r="E28" s="200"/>
      <c r="F28" s="199"/>
      <c r="G28" s="200"/>
      <c r="H28" s="199"/>
      <c r="I28" s="199"/>
      <c r="J28" s="201"/>
    </row>
    <row r="29" ht="18">
      <c r="C29" s="77"/>
    </row>
    <row r="30" spans="3:4" ht="15.75">
      <c r="C30" s="126" t="s">
        <v>139</v>
      </c>
      <c r="D30" s="203" t="s">
        <v>190</v>
      </c>
    </row>
    <row r="31" spans="3:5" ht="16.5" thickBot="1">
      <c r="C31" s="126" t="s">
        <v>140</v>
      </c>
      <c r="D31" s="203">
        <v>1</v>
      </c>
      <c r="E31" t="s">
        <v>141</v>
      </c>
    </row>
    <row r="32" spans="1:15" ht="30.75" thickBot="1">
      <c r="A32" s="204" t="str">
        <f>A4</f>
        <v>Navn</v>
      </c>
      <c r="B32" s="187" t="str">
        <f>B4</f>
        <v>Nr.</v>
      </c>
      <c r="C32" s="188" t="s">
        <v>144</v>
      </c>
      <c r="D32" s="189" t="s">
        <v>145</v>
      </c>
      <c r="E32" s="189" t="s">
        <v>146</v>
      </c>
      <c r="F32" s="189" t="s">
        <v>147</v>
      </c>
      <c r="G32" s="189" t="s">
        <v>148</v>
      </c>
      <c r="H32" s="189" t="s">
        <v>149</v>
      </c>
      <c r="I32" s="189" t="s">
        <v>150</v>
      </c>
      <c r="J32" s="190" t="s">
        <v>151</v>
      </c>
      <c r="K32" s="191" t="s">
        <v>152</v>
      </c>
      <c r="L32" s="192" t="s">
        <v>153</v>
      </c>
      <c r="M32" s="193" t="s">
        <v>154</v>
      </c>
      <c r="N32" s="194" t="s">
        <v>155</v>
      </c>
      <c r="O32" s="195" t="s">
        <v>161</v>
      </c>
    </row>
    <row r="33" spans="1:15" ht="13.5" thickBot="1">
      <c r="A33" s="450" t="str">
        <f>IF(C33=0,0,CONCATENATE(B33," ",$D$30))</f>
        <v>1 Tyskland</v>
      </c>
      <c r="B33" s="454">
        <f>B5</f>
        <v>1</v>
      </c>
      <c r="C33" s="502">
        <v>6000</v>
      </c>
      <c r="D33" s="503">
        <v>6000</v>
      </c>
      <c r="E33" s="493">
        <f>D33*C33</f>
        <v>36000000</v>
      </c>
      <c r="F33" s="494">
        <v>3600</v>
      </c>
      <c r="G33" s="493">
        <f>F33*D33</f>
        <v>21600000</v>
      </c>
      <c r="H33" s="487">
        <f>E33-G33</f>
        <v>14400000</v>
      </c>
      <c r="I33" s="500">
        <v>0</v>
      </c>
      <c r="J33" s="490">
        <f>H33-I33</f>
        <v>14400000</v>
      </c>
      <c r="K33" s="468">
        <f>C33-F33</f>
        <v>2400</v>
      </c>
      <c r="L33" s="465">
        <f>D33/$D$31</f>
        <v>6000</v>
      </c>
      <c r="M33" s="466">
        <f>IF(L33=0,0,H33/L33)</f>
        <v>2400</v>
      </c>
      <c r="N33" s="196">
        <f>IF(L33=0,0,H33/L33)</f>
        <v>2400</v>
      </c>
      <c r="O33" s="197">
        <f>L33</f>
        <v>6000</v>
      </c>
    </row>
    <row r="34" spans="1:15" ht="13.5" thickBot="1">
      <c r="A34" s="451"/>
      <c r="B34" s="455"/>
      <c r="C34" s="498"/>
      <c r="D34" s="499"/>
      <c r="E34" s="484"/>
      <c r="F34" s="498"/>
      <c r="G34" s="484"/>
      <c r="H34" s="485"/>
      <c r="I34" s="501"/>
      <c r="J34" s="480"/>
      <c r="K34" s="455"/>
      <c r="L34" s="455"/>
      <c r="M34" s="467"/>
      <c r="N34" s="450">
        <f>IF(L35=0,0,(H35-H33)/(L35-L33))</f>
        <v>0</v>
      </c>
      <c r="O34" s="450">
        <f>IF(L35-L33&lt;0,0,(L35-L33))</f>
        <v>0</v>
      </c>
    </row>
    <row r="35" spans="1:15" ht="13.5" thickBot="1">
      <c r="A35" s="450">
        <f>IF(C35=0,0,CONCATENATE(B35," ",$D$30))</f>
        <v>0</v>
      </c>
      <c r="B35" s="454">
        <f>B7</f>
        <v>2</v>
      </c>
      <c r="C35" s="494">
        <v>0</v>
      </c>
      <c r="D35" s="496">
        <v>0</v>
      </c>
      <c r="E35" s="474">
        <f>D35*C35</f>
        <v>0</v>
      </c>
      <c r="F35" s="476">
        <f>IF(C35=0,0,$F$33)</f>
        <v>0</v>
      </c>
      <c r="G35" s="474">
        <f>F35*D35</f>
        <v>0</v>
      </c>
      <c r="H35" s="478">
        <f>E35-G35</f>
        <v>0</v>
      </c>
      <c r="I35" s="460">
        <f>IF(C35=0,0,$I$33)</f>
        <v>0</v>
      </c>
      <c r="J35" s="462">
        <f>H35-I35</f>
        <v>0</v>
      </c>
      <c r="K35" s="468">
        <f>C35-F35</f>
        <v>0</v>
      </c>
      <c r="L35" s="465">
        <f>D35/$D$31</f>
        <v>0</v>
      </c>
      <c r="M35" s="466">
        <f>IF(L35=0,0,H35/L35)</f>
        <v>0</v>
      </c>
      <c r="N35" s="469"/>
      <c r="O35" s="451"/>
    </row>
    <row r="36" spans="1:15" ht="13.5" thickBot="1">
      <c r="A36" s="451"/>
      <c r="B36" s="455"/>
      <c r="C36" s="498"/>
      <c r="D36" s="499"/>
      <c r="E36" s="484"/>
      <c r="F36" s="481"/>
      <c r="G36" s="484"/>
      <c r="H36" s="485"/>
      <c r="I36" s="486"/>
      <c r="J36" s="480"/>
      <c r="K36" s="455"/>
      <c r="L36" s="455"/>
      <c r="M36" s="467"/>
      <c r="N36" s="450">
        <f>IF(L37=0,0,(H37-H35)/(L37-L35))</f>
        <v>0</v>
      </c>
      <c r="O36" s="450">
        <f>IF(L37-L35&lt;0,0,(L37-L35))</f>
        <v>0</v>
      </c>
    </row>
    <row r="37" spans="1:15" ht="13.5" customHeight="1" thickBot="1">
      <c r="A37" s="450">
        <f>IF(C37=0,0,CONCATENATE(B37," ",$D$30))</f>
        <v>0</v>
      </c>
      <c r="B37" s="454">
        <f>B9</f>
        <v>3</v>
      </c>
      <c r="C37" s="494">
        <v>0</v>
      </c>
      <c r="D37" s="496">
        <v>0</v>
      </c>
      <c r="E37" s="474">
        <f>D37*C37</f>
        <v>0</v>
      </c>
      <c r="F37" s="476">
        <f>IF(C37=0,0,$F$33)</f>
        <v>0</v>
      </c>
      <c r="G37" s="474">
        <f>F37*D37</f>
        <v>0</v>
      </c>
      <c r="H37" s="478">
        <f>E37-G37</f>
        <v>0</v>
      </c>
      <c r="I37" s="460">
        <f>IF(C37=0,0,$I$33)</f>
        <v>0</v>
      </c>
      <c r="J37" s="462">
        <f>H37-I37</f>
        <v>0</v>
      </c>
      <c r="K37" s="468">
        <f>C37-F37</f>
        <v>0</v>
      </c>
      <c r="L37" s="465">
        <f>D37/$D$31</f>
        <v>0</v>
      </c>
      <c r="M37" s="466">
        <f>IF(L37=0,0,H37/L37)</f>
        <v>0</v>
      </c>
      <c r="N37" s="469"/>
      <c r="O37" s="451"/>
    </row>
    <row r="38" spans="1:15" ht="13.5" customHeight="1" thickBot="1">
      <c r="A38" s="451"/>
      <c r="B38" s="455"/>
      <c r="C38" s="498"/>
      <c r="D38" s="499"/>
      <c r="E38" s="484"/>
      <c r="F38" s="481"/>
      <c r="G38" s="484"/>
      <c r="H38" s="485"/>
      <c r="I38" s="486"/>
      <c r="J38" s="480"/>
      <c r="K38" s="455"/>
      <c r="L38" s="455"/>
      <c r="M38" s="467"/>
      <c r="N38" s="450">
        <f>IF(L39=0,0,(H39-H37)/(L39-L37))</f>
        <v>0</v>
      </c>
      <c r="O38" s="450">
        <f>IF(L39-L37&lt;0,0,(L39-L37))</f>
        <v>0</v>
      </c>
    </row>
    <row r="39" spans="1:15" ht="13.5" customHeight="1" thickBot="1">
      <c r="A39" s="450">
        <f>IF(C39=0,0,CONCATENATE(B39," ",$D$30))</f>
        <v>0</v>
      </c>
      <c r="B39" s="454">
        <f>B11</f>
        <v>4</v>
      </c>
      <c r="C39" s="494">
        <v>0</v>
      </c>
      <c r="D39" s="496">
        <v>0</v>
      </c>
      <c r="E39" s="474">
        <f>D39*C39</f>
        <v>0</v>
      </c>
      <c r="F39" s="476">
        <f>IF(C39=0,0,$F$33)</f>
        <v>0</v>
      </c>
      <c r="G39" s="474">
        <f>F39*D39</f>
        <v>0</v>
      </c>
      <c r="H39" s="478">
        <f>E39-G39</f>
        <v>0</v>
      </c>
      <c r="I39" s="460">
        <f>IF(C39=0,0,$I$33)</f>
        <v>0</v>
      </c>
      <c r="J39" s="462">
        <f>H39-I39</f>
        <v>0</v>
      </c>
      <c r="K39" s="468">
        <f>C39-F39</f>
        <v>0</v>
      </c>
      <c r="L39" s="465">
        <f>D39/$D$31</f>
        <v>0</v>
      </c>
      <c r="M39" s="466">
        <f>IF(L39=0,0,H39/L39)</f>
        <v>0</v>
      </c>
      <c r="N39" s="469"/>
      <c r="O39" s="451"/>
    </row>
    <row r="40" spans="1:15" ht="13.5" customHeight="1" thickBot="1">
      <c r="A40" s="451"/>
      <c r="B40" s="455"/>
      <c r="C40" s="498"/>
      <c r="D40" s="499"/>
      <c r="E40" s="484"/>
      <c r="F40" s="481"/>
      <c r="G40" s="484"/>
      <c r="H40" s="485"/>
      <c r="I40" s="486"/>
      <c r="J40" s="480"/>
      <c r="K40" s="455"/>
      <c r="L40" s="455"/>
      <c r="M40" s="467"/>
      <c r="N40" s="450">
        <f>IF(L41=0,0,(H41-H39)/(L41-L39))</f>
        <v>0</v>
      </c>
      <c r="O40" s="450">
        <f>IF(L41-L39&lt;0,0,(L41-L39))</f>
        <v>0</v>
      </c>
    </row>
    <row r="41" spans="1:15" ht="13.5" customHeight="1" thickBot="1">
      <c r="A41" s="450">
        <f>IF(C41=0,0,CONCATENATE(B41," ",$D$30))</f>
        <v>0</v>
      </c>
      <c r="B41" s="454">
        <f>B13</f>
        <v>5</v>
      </c>
      <c r="C41" s="494">
        <v>0</v>
      </c>
      <c r="D41" s="496">
        <v>0</v>
      </c>
      <c r="E41" s="474">
        <f>D41*C41</f>
        <v>0</v>
      </c>
      <c r="F41" s="476">
        <f>IF(C41=0,0,$F$33)</f>
        <v>0</v>
      </c>
      <c r="G41" s="474">
        <f>F41*D41</f>
        <v>0</v>
      </c>
      <c r="H41" s="478">
        <f>E41-G41</f>
        <v>0</v>
      </c>
      <c r="I41" s="460">
        <f>IF(C41=0,0,$I$33)</f>
        <v>0</v>
      </c>
      <c r="J41" s="462">
        <f>H41-I41</f>
        <v>0</v>
      </c>
      <c r="K41" s="468">
        <f>C41-F41</f>
        <v>0</v>
      </c>
      <c r="L41" s="465">
        <f>D41/$D$31</f>
        <v>0</v>
      </c>
      <c r="M41" s="466">
        <f>IF(L41=0,0,H41/L41)</f>
        <v>0</v>
      </c>
      <c r="N41" s="469"/>
      <c r="O41" s="451"/>
    </row>
    <row r="42" spans="1:15" ht="13.5" customHeight="1" thickBot="1">
      <c r="A42" s="451"/>
      <c r="B42" s="455"/>
      <c r="C42" s="498"/>
      <c r="D42" s="499"/>
      <c r="E42" s="484"/>
      <c r="F42" s="481"/>
      <c r="G42" s="484"/>
      <c r="H42" s="485"/>
      <c r="I42" s="486"/>
      <c r="J42" s="480"/>
      <c r="K42" s="455"/>
      <c r="L42" s="455"/>
      <c r="M42" s="467"/>
      <c r="N42" s="450">
        <f>IF(L43=0,0,(H43-H41)/(L43-L41))</f>
        <v>0</v>
      </c>
      <c r="O42" s="450">
        <f>IF(L43-L41&lt;0,0,(L43-L41))</f>
        <v>0</v>
      </c>
    </row>
    <row r="43" spans="1:15" ht="13.5" customHeight="1" thickBot="1">
      <c r="A43" s="450">
        <f>IF(C43=0,0,CONCATENATE(B43," ",$D$30))</f>
        <v>0</v>
      </c>
      <c r="B43" s="454">
        <f>B15</f>
        <v>6</v>
      </c>
      <c r="C43" s="494">
        <v>0</v>
      </c>
      <c r="D43" s="496">
        <v>0</v>
      </c>
      <c r="E43" s="474">
        <f>D43*C43</f>
        <v>0</v>
      </c>
      <c r="F43" s="476">
        <f>IF(C43=0,0,$F$33)</f>
        <v>0</v>
      </c>
      <c r="G43" s="474">
        <f>F43*D43</f>
        <v>0</v>
      </c>
      <c r="H43" s="478">
        <f>E43-G43</f>
        <v>0</v>
      </c>
      <c r="I43" s="460">
        <f>IF(C43=0,0,$I$33)</f>
        <v>0</v>
      </c>
      <c r="J43" s="462">
        <f>H43-I43</f>
        <v>0</v>
      </c>
      <c r="K43" s="468">
        <f>C43-F43</f>
        <v>0</v>
      </c>
      <c r="L43" s="465">
        <f>D43/$D$31</f>
        <v>0</v>
      </c>
      <c r="M43" s="466">
        <f>IF(L43=0,0,H43/L43)</f>
        <v>0</v>
      </c>
      <c r="N43" s="469"/>
      <c r="O43" s="451"/>
    </row>
    <row r="44" spans="1:15" ht="13.5" customHeight="1" thickBot="1">
      <c r="A44" s="451"/>
      <c r="B44" s="455"/>
      <c r="C44" s="498"/>
      <c r="D44" s="499"/>
      <c r="E44" s="484"/>
      <c r="F44" s="481"/>
      <c r="G44" s="484"/>
      <c r="H44" s="485"/>
      <c r="I44" s="486"/>
      <c r="J44" s="480"/>
      <c r="K44" s="455"/>
      <c r="L44" s="455"/>
      <c r="M44" s="467"/>
      <c r="N44" s="450">
        <f>IF(L45=0,0,(H45-H43)/(L45-L43))</f>
        <v>0</v>
      </c>
      <c r="O44" s="450">
        <f>IF(L45-L43&lt;0,0,(L45-L43))</f>
        <v>0</v>
      </c>
    </row>
    <row r="45" spans="1:15" ht="13.5" customHeight="1" thickBot="1">
      <c r="A45" s="450">
        <f>IF(C45=0,0,CONCATENATE(B45," ",$D$30))</f>
        <v>0</v>
      </c>
      <c r="B45" s="454">
        <f>B17</f>
        <v>7</v>
      </c>
      <c r="C45" s="494">
        <v>0</v>
      </c>
      <c r="D45" s="496">
        <v>0</v>
      </c>
      <c r="E45" s="474">
        <f>D45*C45</f>
        <v>0</v>
      </c>
      <c r="F45" s="476">
        <f>IF(C45=0,0,$F$33)</f>
        <v>0</v>
      </c>
      <c r="G45" s="474">
        <f>F45*D45</f>
        <v>0</v>
      </c>
      <c r="H45" s="478">
        <f>E45-G45</f>
        <v>0</v>
      </c>
      <c r="I45" s="460">
        <f>IF(C45=0,0,$I$33)</f>
        <v>0</v>
      </c>
      <c r="J45" s="462">
        <f>H45-I45</f>
        <v>0</v>
      </c>
      <c r="K45" s="468">
        <f>C45-F45</f>
        <v>0</v>
      </c>
      <c r="L45" s="465">
        <f>D45/$D$31</f>
        <v>0</v>
      </c>
      <c r="M45" s="466">
        <f>IF(L45=0,0,H45/L45)</f>
        <v>0</v>
      </c>
      <c r="N45" s="469"/>
      <c r="O45" s="451"/>
    </row>
    <row r="46" spans="1:15" ht="13.5" customHeight="1" thickBot="1">
      <c r="A46" s="451"/>
      <c r="B46" s="455"/>
      <c r="C46" s="495"/>
      <c r="D46" s="497"/>
      <c r="E46" s="475"/>
      <c r="F46" s="481"/>
      <c r="G46" s="475"/>
      <c r="H46" s="479"/>
      <c r="I46" s="486"/>
      <c r="J46" s="463"/>
      <c r="K46" s="455"/>
      <c r="L46" s="455"/>
      <c r="M46" s="467"/>
      <c r="N46" s="450">
        <f>IF(L47=0,0,(H47-H45)/(L47-L45))</f>
        <v>0</v>
      </c>
      <c r="O46" s="450">
        <f>IF(L47-L45&lt;0,0,(L47-L45))</f>
        <v>0</v>
      </c>
    </row>
    <row r="47" spans="1:15" ht="13.5" customHeight="1" thickBot="1">
      <c r="A47" s="450">
        <f>IF(C47=0,0,CONCATENATE(B47," ",$D$30))</f>
        <v>0</v>
      </c>
      <c r="B47" s="454">
        <f>B19</f>
        <v>8</v>
      </c>
      <c r="C47" s="494">
        <v>0</v>
      </c>
      <c r="D47" s="496">
        <v>0</v>
      </c>
      <c r="E47" s="474">
        <f>D47*C47</f>
        <v>0</v>
      </c>
      <c r="F47" s="476">
        <f>IF(C47=0,0,$F$33)</f>
        <v>0</v>
      </c>
      <c r="G47" s="474">
        <f>F47*D47</f>
        <v>0</v>
      </c>
      <c r="H47" s="478">
        <f>E47-G47</f>
        <v>0</v>
      </c>
      <c r="I47" s="460">
        <f>IF(C47=0,0,$I$33)</f>
        <v>0</v>
      </c>
      <c r="J47" s="462">
        <f>H47-I47</f>
        <v>0</v>
      </c>
      <c r="K47" s="464">
        <f>C47-F47</f>
        <v>0</v>
      </c>
      <c r="L47" s="465">
        <f>D47/$D$31</f>
        <v>0</v>
      </c>
      <c r="M47" s="466">
        <f>IF(L47=0,0,H47/L47)</f>
        <v>0</v>
      </c>
      <c r="N47" s="469"/>
      <c r="O47" s="451"/>
    </row>
    <row r="48" spans="1:14" ht="13.5" customHeight="1" thickBot="1">
      <c r="A48" s="451"/>
      <c r="B48" s="455"/>
      <c r="C48" s="495"/>
      <c r="D48" s="497"/>
      <c r="E48" s="475"/>
      <c r="F48" s="477"/>
      <c r="G48" s="475"/>
      <c r="H48" s="479"/>
      <c r="I48" s="461"/>
      <c r="J48" s="463"/>
      <c r="K48" s="455"/>
      <c r="L48" s="455"/>
      <c r="M48" s="467"/>
      <c r="N48" s="457"/>
    </row>
    <row r="49" spans="3:14" ht="12.75" hidden="1">
      <c r="C49" s="458"/>
      <c r="D49" s="459"/>
      <c r="E49" s="459"/>
      <c r="F49" s="458"/>
      <c r="G49" s="459"/>
      <c r="H49" s="459"/>
      <c r="I49" s="459"/>
      <c r="J49" s="459"/>
      <c r="K49" s="456"/>
      <c r="L49" s="457"/>
      <c r="M49" s="457"/>
      <c r="N49" s="416"/>
    </row>
    <row r="50" spans="3:14" ht="12.75" hidden="1">
      <c r="C50" s="458"/>
      <c r="D50" s="459"/>
      <c r="E50" s="459"/>
      <c r="F50" s="458"/>
      <c r="G50" s="459"/>
      <c r="H50" s="459"/>
      <c r="I50" s="459"/>
      <c r="J50" s="459"/>
      <c r="K50" s="416"/>
      <c r="L50" s="416"/>
      <c r="M50" s="457"/>
      <c r="N50" s="457"/>
    </row>
    <row r="51" spans="3:14" ht="12.75" hidden="1">
      <c r="C51" s="458"/>
      <c r="D51" s="459"/>
      <c r="E51" s="459"/>
      <c r="F51" s="458"/>
      <c r="G51" s="459"/>
      <c r="H51" s="459"/>
      <c r="I51" s="459"/>
      <c r="J51" s="459"/>
      <c r="K51" s="456"/>
      <c r="L51" s="457"/>
      <c r="M51" s="457"/>
      <c r="N51" s="416"/>
    </row>
    <row r="52" spans="3:13" ht="12.75" hidden="1">
      <c r="C52" s="458"/>
      <c r="D52" s="459"/>
      <c r="E52" s="459"/>
      <c r="F52" s="458"/>
      <c r="G52" s="459"/>
      <c r="H52" s="459"/>
      <c r="I52" s="459"/>
      <c r="J52" s="459"/>
      <c r="K52" s="416"/>
      <c r="L52" s="416"/>
      <c r="M52" s="457"/>
    </row>
    <row r="53" spans="3:10" ht="21">
      <c r="C53" t="s">
        <v>157</v>
      </c>
      <c r="D53" s="198">
        <f>MAX(J33:J52)</f>
        <v>14400000</v>
      </c>
      <c r="E53" t="s">
        <v>158</v>
      </c>
      <c r="F53" s="199"/>
      <c r="G53" s="200"/>
      <c r="H53" s="199"/>
      <c r="I53" s="199"/>
      <c r="J53" s="201"/>
    </row>
    <row r="54" spans="3:10" ht="21">
      <c r="C54" s="202" t="s">
        <v>159</v>
      </c>
      <c r="D54" s="200">
        <f>IF(D53=J33,C33,IF(D53=J35,C35,IF(D53=J37,C37,IF(D53=J39,C39,IF(D53=J41,C41,IF(D53=J43,C43,IF(D53=J45,C45,IF(D53=J47,C47,"ingen"))))))))</f>
        <v>6000</v>
      </c>
      <c r="E54" s="200"/>
      <c r="F54" s="199"/>
      <c r="G54" s="200"/>
      <c r="H54" s="199"/>
      <c r="I54" s="199"/>
      <c r="J54" s="201"/>
    </row>
    <row r="55" spans="3:10" ht="21">
      <c r="C55" s="202" t="s">
        <v>160</v>
      </c>
      <c r="D55" s="200">
        <f>IF(D53=J33,D33,IF(D53=J35,D35,IF(D53=J37,D37,IF(D53=J39,D39,IF(D53=J41,D41,IF(D53=J43,D43,IF(D53=J45,D45,IF(D53=J47,D47,"ingen"))))))))</f>
        <v>6000</v>
      </c>
      <c r="E55" s="200"/>
      <c r="F55" s="199"/>
      <c r="G55" s="200"/>
      <c r="H55" s="199"/>
      <c r="I55" s="199"/>
      <c r="J55" s="201"/>
    </row>
    <row r="57" ht="18" hidden="1">
      <c r="C57" s="77"/>
    </row>
    <row r="58" spans="3:4" ht="15.75">
      <c r="C58" s="126" t="s">
        <v>139</v>
      </c>
      <c r="D58" s="205" t="s">
        <v>191</v>
      </c>
    </row>
    <row r="59" spans="3:5" ht="16.5" thickBot="1">
      <c r="C59" s="126" t="s">
        <v>140</v>
      </c>
      <c r="D59" s="205">
        <v>1</v>
      </c>
      <c r="E59" t="s">
        <v>141</v>
      </c>
    </row>
    <row r="60" spans="1:15" ht="30.75" thickBot="1">
      <c r="A60" s="204" t="str">
        <f>A32</f>
        <v>Navn</v>
      </c>
      <c r="B60" s="187" t="str">
        <f>B32</f>
        <v>Nr.</v>
      </c>
      <c r="C60" s="188" t="s">
        <v>144</v>
      </c>
      <c r="D60" s="189" t="s">
        <v>145</v>
      </c>
      <c r="E60" s="189" t="s">
        <v>146</v>
      </c>
      <c r="F60" s="189" t="s">
        <v>147</v>
      </c>
      <c r="G60" s="189" t="s">
        <v>148</v>
      </c>
      <c r="H60" s="189" t="s">
        <v>149</v>
      </c>
      <c r="I60" s="189" t="s">
        <v>150</v>
      </c>
      <c r="J60" s="190" t="s">
        <v>151</v>
      </c>
      <c r="K60" s="191" t="s">
        <v>152</v>
      </c>
      <c r="L60" s="192" t="s">
        <v>153</v>
      </c>
      <c r="M60" s="193" t="s">
        <v>154</v>
      </c>
      <c r="N60" s="194" t="s">
        <v>155</v>
      </c>
      <c r="O60" s="195" t="s">
        <v>161</v>
      </c>
    </row>
    <row r="61" spans="1:15" ht="13.5" thickBot="1">
      <c r="A61" s="450" t="str">
        <f>IF(C61=0,0,CONCATENATE(B61," ",$D$58))</f>
        <v>1 England</v>
      </c>
      <c r="B61" s="454">
        <f>B33</f>
        <v>1</v>
      </c>
      <c r="C61" s="491">
        <v>5600</v>
      </c>
      <c r="D61" s="492">
        <v>8000</v>
      </c>
      <c r="E61" s="493">
        <f>D61*C61</f>
        <v>44800000</v>
      </c>
      <c r="F61" s="470">
        <v>3800</v>
      </c>
      <c r="G61" s="493">
        <f>F61*D61</f>
        <v>30400000</v>
      </c>
      <c r="H61" s="487">
        <f>E61-G61</f>
        <v>14400000</v>
      </c>
      <c r="I61" s="488">
        <v>0</v>
      </c>
      <c r="J61" s="490">
        <f>H61-I61</f>
        <v>14400000</v>
      </c>
      <c r="K61" s="468">
        <f>C61-F61</f>
        <v>1800</v>
      </c>
      <c r="L61" s="465">
        <f>D61/$D$59</f>
        <v>8000</v>
      </c>
      <c r="M61" s="466">
        <f>IF(L61=0,0,H61/L61)</f>
        <v>1800</v>
      </c>
      <c r="N61" s="196">
        <f>IF(L61=0,0,H61/L61)</f>
        <v>1800</v>
      </c>
      <c r="O61" s="197">
        <f>L61</f>
        <v>8000</v>
      </c>
    </row>
    <row r="62" spans="1:15" ht="13.5" thickBot="1">
      <c r="A62" s="451"/>
      <c r="B62" s="455"/>
      <c r="C62" s="482"/>
      <c r="D62" s="483"/>
      <c r="E62" s="484"/>
      <c r="F62" s="482"/>
      <c r="G62" s="484"/>
      <c r="H62" s="485"/>
      <c r="I62" s="489"/>
      <c r="J62" s="480"/>
      <c r="K62" s="455"/>
      <c r="L62" s="455"/>
      <c r="M62" s="467"/>
      <c r="N62" s="450">
        <f>IF(L63=0,0,(H63-H61)/(L63-L61))</f>
        <v>0</v>
      </c>
      <c r="O62" s="450">
        <f>IF(L63-L61&lt;0,0,L63-L61)</f>
        <v>0</v>
      </c>
    </row>
    <row r="63" spans="1:15" ht="13.5" thickBot="1">
      <c r="A63" s="450">
        <f>IF(C63=0,0,CONCATENATE(B63," ",$D$58))</f>
        <v>0</v>
      </c>
      <c r="B63" s="454">
        <f>B35</f>
        <v>2</v>
      </c>
      <c r="C63" s="470">
        <v>0</v>
      </c>
      <c r="D63" s="472">
        <v>0</v>
      </c>
      <c r="E63" s="474">
        <f>D63*C63</f>
        <v>0</v>
      </c>
      <c r="F63" s="476">
        <f>IF(C63=0,0,$F$61)</f>
        <v>0</v>
      </c>
      <c r="G63" s="474">
        <f>F63*D63</f>
        <v>0</v>
      </c>
      <c r="H63" s="478">
        <f>E63-G63</f>
        <v>0</v>
      </c>
      <c r="I63" s="460">
        <f>IF(C63=0,0,$I$61)</f>
        <v>0</v>
      </c>
      <c r="J63" s="462">
        <f>H63-I63</f>
        <v>0</v>
      </c>
      <c r="K63" s="468">
        <f>C63-F63</f>
        <v>0</v>
      </c>
      <c r="L63" s="465">
        <f>D63/$D$59</f>
        <v>0</v>
      </c>
      <c r="M63" s="466">
        <f>IF(L63=0,0,H63/L63)</f>
        <v>0</v>
      </c>
      <c r="N63" s="469"/>
      <c r="O63" s="451"/>
    </row>
    <row r="64" spans="1:15" ht="13.5" thickBot="1">
      <c r="A64" s="451"/>
      <c r="B64" s="455"/>
      <c r="C64" s="482"/>
      <c r="D64" s="483"/>
      <c r="E64" s="484"/>
      <c r="F64" s="481"/>
      <c r="G64" s="484"/>
      <c r="H64" s="485"/>
      <c r="I64" s="486"/>
      <c r="J64" s="480"/>
      <c r="K64" s="455"/>
      <c r="L64" s="455"/>
      <c r="M64" s="467"/>
      <c r="N64" s="450">
        <f>IF(L65=0,0,(H65-H63)/(L65-L63))</f>
        <v>0</v>
      </c>
      <c r="O64" s="450">
        <f>IF(L65-L63&lt;0,0,L65-L63)</f>
        <v>0</v>
      </c>
    </row>
    <row r="65" spans="1:15" ht="13.5" customHeight="1" thickBot="1">
      <c r="A65" s="450">
        <f>IF(C65=0,0,CONCATENATE(B65," ",$D$58))</f>
        <v>0</v>
      </c>
      <c r="B65" s="454">
        <f>B37</f>
        <v>3</v>
      </c>
      <c r="C65" s="470">
        <v>0</v>
      </c>
      <c r="D65" s="472">
        <v>0</v>
      </c>
      <c r="E65" s="474">
        <f>D65*C65</f>
        <v>0</v>
      </c>
      <c r="F65" s="476">
        <f>IF(C65=0,0,$F$61)</f>
        <v>0</v>
      </c>
      <c r="G65" s="474">
        <f>F65*D65</f>
        <v>0</v>
      </c>
      <c r="H65" s="478">
        <f>E65-G65</f>
        <v>0</v>
      </c>
      <c r="I65" s="460">
        <f>IF(C65=0,0,$I$61)</f>
        <v>0</v>
      </c>
      <c r="J65" s="462">
        <f>H65-I65</f>
        <v>0</v>
      </c>
      <c r="K65" s="468">
        <f>C65-F65</f>
        <v>0</v>
      </c>
      <c r="L65" s="465">
        <f>D65/$D$59</f>
        <v>0</v>
      </c>
      <c r="M65" s="466">
        <f>IF(L65=0,0,H65/L65)</f>
        <v>0</v>
      </c>
      <c r="N65" s="469"/>
      <c r="O65" s="451"/>
    </row>
    <row r="66" spans="1:15" ht="13.5" customHeight="1" thickBot="1">
      <c r="A66" s="451"/>
      <c r="B66" s="455"/>
      <c r="C66" s="482"/>
      <c r="D66" s="483"/>
      <c r="E66" s="484"/>
      <c r="F66" s="481"/>
      <c r="G66" s="484"/>
      <c r="H66" s="485"/>
      <c r="I66" s="486"/>
      <c r="J66" s="480"/>
      <c r="K66" s="455"/>
      <c r="L66" s="455"/>
      <c r="M66" s="467"/>
      <c r="N66" s="450">
        <f>IF(L67=0,0,(H67-H65)/(L67-L65))</f>
        <v>0</v>
      </c>
      <c r="O66" s="450">
        <f>IF(L67-L65&lt;0,0,L67-L65)</f>
        <v>0</v>
      </c>
    </row>
    <row r="67" spans="1:15" ht="13.5" customHeight="1" thickBot="1">
      <c r="A67" s="450">
        <f>IF(C67=0,0,CONCATENATE(B67," ",$D$58))</f>
        <v>0</v>
      </c>
      <c r="B67" s="454">
        <f>B39</f>
        <v>4</v>
      </c>
      <c r="C67" s="470">
        <v>0</v>
      </c>
      <c r="D67" s="472">
        <v>0</v>
      </c>
      <c r="E67" s="474">
        <f>D67*C67</f>
        <v>0</v>
      </c>
      <c r="F67" s="476">
        <f>IF(C67=0,0,$F$61)</f>
        <v>0</v>
      </c>
      <c r="G67" s="474">
        <f>F67*D67</f>
        <v>0</v>
      </c>
      <c r="H67" s="478">
        <f>E67-G67</f>
        <v>0</v>
      </c>
      <c r="I67" s="460">
        <f>IF(C67=0,0,$I$61)</f>
        <v>0</v>
      </c>
      <c r="J67" s="462">
        <f>H67-I67</f>
        <v>0</v>
      </c>
      <c r="K67" s="468">
        <f>C67-F67</f>
        <v>0</v>
      </c>
      <c r="L67" s="465">
        <f>D67/$D$59</f>
        <v>0</v>
      </c>
      <c r="M67" s="466">
        <f>IF(L67=0,0,H67/L67)</f>
        <v>0</v>
      </c>
      <c r="N67" s="469"/>
      <c r="O67" s="451"/>
    </row>
    <row r="68" spans="1:15" ht="13.5" customHeight="1" thickBot="1">
      <c r="A68" s="451"/>
      <c r="B68" s="455"/>
      <c r="C68" s="482"/>
      <c r="D68" s="483"/>
      <c r="E68" s="484"/>
      <c r="F68" s="481"/>
      <c r="G68" s="484"/>
      <c r="H68" s="485"/>
      <c r="I68" s="486"/>
      <c r="J68" s="480"/>
      <c r="K68" s="455"/>
      <c r="L68" s="455"/>
      <c r="M68" s="467"/>
      <c r="N68" s="450">
        <f>IF(L69=0,0,(H69-H67)/(L69-L67))</f>
        <v>0</v>
      </c>
      <c r="O68" s="450">
        <f>IF(L69-L67&lt;0,0,L69-L67)</f>
        <v>0</v>
      </c>
    </row>
    <row r="69" spans="1:15" ht="13.5" customHeight="1" thickBot="1">
      <c r="A69" s="450">
        <f>IF(C69=0,0,CONCATENATE(B69," ",$D$58))</f>
        <v>0</v>
      </c>
      <c r="B69" s="454">
        <f>B41</f>
        <v>5</v>
      </c>
      <c r="C69" s="470">
        <v>0</v>
      </c>
      <c r="D69" s="472">
        <v>0</v>
      </c>
      <c r="E69" s="474">
        <f>D69*C69</f>
        <v>0</v>
      </c>
      <c r="F69" s="476">
        <f>IF(C69=0,0,$F$61)</f>
        <v>0</v>
      </c>
      <c r="G69" s="474">
        <f>F69*D69</f>
        <v>0</v>
      </c>
      <c r="H69" s="478">
        <f>E69-G69</f>
        <v>0</v>
      </c>
      <c r="I69" s="460">
        <f>IF(C69=0,0,$I$61)</f>
        <v>0</v>
      </c>
      <c r="J69" s="462">
        <f>H69-I69</f>
        <v>0</v>
      </c>
      <c r="K69" s="468">
        <f>C69-F69</f>
        <v>0</v>
      </c>
      <c r="L69" s="465">
        <f>D69/$D$59</f>
        <v>0</v>
      </c>
      <c r="M69" s="466">
        <f>IF(L69=0,0,H69/L69)</f>
        <v>0</v>
      </c>
      <c r="N69" s="469"/>
      <c r="O69" s="451"/>
    </row>
    <row r="70" spans="1:15" ht="13.5" customHeight="1" thickBot="1">
      <c r="A70" s="451"/>
      <c r="B70" s="455"/>
      <c r="C70" s="482"/>
      <c r="D70" s="483"/>
      <c r="E70" s="484"/>
      <c r="F70" s="481"/>
      <c r="G70" s="484"/>
      <c r="H70" s="485"/>
      <c r="I70" s="486"/>
      <c r="J70" s="480"/>
      <c r="K70" s="455"/>
      <c r="L70" s="455"/>
      <c r="M70" s="467"/>
      <c r="N70" s="450">
        <f>IF(L71=0,0,(H71-H69)/(L71-L69))</f>
        <v>0</v>
      </c>
      <c r="O70" s="450">
        <f>IF(L71-L69&lt;0,0,L71-L69)</f>
        <v>0</v>
      </c>
    </row>
    <row r="71" spans="1:15" ht="13.5" customHeight="1" thickBot="1">
      <c r="A71" s="450">
        <f>IF(C71=0,0,CONCATENATE(B71," ",$D$58))</f>
        <v>0</v>
      </c>
      <c r="B71" s="454">
        <f>B43</f>
        <v>6</v>
      </c>
      <c r="C71" s="470">
        <v>0</v>
      </c>
      <c r="D71" s="472">
        <v>0</v>
      </c>
      <c r="E71" s="474">
        <f>D71*C71</f>
        <v>0</v>
      </c>
      <c r="F71" s="476">
        <f>IF(C71=0,0,$F$61)</f>
        <v>0</v>
      </c>
      <c r="G71" s="474">
        <f>F71*D71</f>
        <v>0</v>
      </c>
      <c r="H71" s="478">
        <f>E71-G71</f>
        <v>0</v>
      </c>
      <c r="I71" s="460">
        <f>IF(C71=0,0,$I$61)</f>
        <v>0</v>
      </c>
      <c r="J71" s="462">
        <f>H71-I71</f>
        <v>0</v>
      </c>
      <c r="K71" s="468">
        <f>C71-F71</f>
        <v>0</v>
      </c>
      <c r="L71" s="465">
        <f>D71/$D$59</f>
        <v>0</v>
      </c>
      <c r="M71" s="466">
        <f>IF(L71=0,0,H71/L71)</f>
        <v>0</v>
      </c>
      <c r="N71" s="469"/>
      <c r="O71" s="451"/>
    </row>
    <row r="72" spans="1:15" ht="13.5" customHeight="1" thickBot="1">
      <c r="A72" s="451"/>
      <c r="B72" s="455"/>
      <c r="C72" s="482"/>
      <c r="D72" s="483"/>
      <c r="E72" s="484"/>
      <c r="F72" s="481"/>
      <c r="G72" s="484"/>
      <c r="H72" s="485"/>
      <c r="I72" s="486"/>
      <c r="J72" s="480"/>
      <c r="K72" s="455"/>
      <c r="L72" s="455"/>
      <c r="M72" s="467"/>
      <c r="N72" s="450">
        <f>IF(L73=0,0,(H73-H71)/(L73-L71))</f>
        <v>0</v>
      </c>
      <c r="O72" s="450">
        <f>IF(L73-L71&lt;0,0,L73-L71)</f>
        <v>0</v>
      </c>
    </row>
    <row r="73" spans="1:15" ht="13.5" customHeight="1" thickBot="1">
      <c r="A73" s="450">
        <f>IF(C73=0,0,CONCATENATE(B73," ",$D$58))</f>
        <v>0</v>
      </c>
      <c r="B73" s="454">
        <f>B45</f>
        <v>7</v>
      </c>
      <c r="C73" s="470">
        <v>0</v>
      </c>
      <c r="D73" s="472">
        <v>0</v>
      </c>
      <c r="E73" s="474">
        <f>D73*C73</f>
        <v>0</v>
      </c>
      <c r="F73" s="476">
        <f>IF(C73=0,0,$F$61)</f>
        <v>0</v>
      </c>
      <c r="G73" s="474">
        <f>F73*D73</f>
        <v>0</v>
      </c>
      <c r="H73" s="478">
        <f>E73-G73</f>
        <v>0</v>
      </c>
      <c r="I73" s="460">
        <f>IF(C73=0,0,$I$61)</f>
        <v>0</v>
      </c>
      <c r="J73" s="462">
        <f>H73-I73</f>
        <v>0</v>
      </c>
      <c r="K73" s="468">
        <f>C73-F73</f>
        <v>0</v>
      </c>
      <c r="L73" s="465">
        <f>D73/$D$59</f>
        <v>0</v>
      </c>
      <c r="M73" s="466">
        <f>IF(L73=0,0,H73/L73)</f>
        <v>0</v>
      </c>
      <c r="N73" s="469"/>
      <c r="O73" s="451"/>
    </row>
    <row r="74" spans="1:15" ht="13.5" customHeight="1" thickBot="1">
      <c r="A74" s="451"/>
      <c r="B74" s="455"/>
      <c r="C74" s="471"/>
      <c r="D74" s="473"/>
      <c r="E74" s="475"/>
      <c r="F74" s="481"/>
      <c r="G74" s="475"/>
      <c r="H74" s="479"/>
      <c r="I74" s="486"/>
      <c r="J74" s="463"/>
      <c r="K74" s="455"/>
      <c r="L74" s="455"/>
      <c r="M74" s="467"/>
      <c r="N74" s="450">
        <f>IF(L75=0,0,(H75-H73)/(L75-L73))</f>
        <v>0</v>
      </c>
      <c r="O74" s="450">
        <f>IF(L75-L73&lt;0,0,L75-L73)</f>
        <v>0</v>
      </c>
    </row>
    <row r="75" spans="1:15" ht="13.5" customHeight="1" thickBot="1">
      <c r="A75" s="450">
        <f>IF(C75=0,0,CONCATENATE(B75," ",$D$58))</f>
        <v>0</v>
      </c>
      <c r="B75" s="454">
        <f>B47</f>
        <v>8</v>
      </c>
      <c r="C75" s="470">
        <v>0</v>
      </c>
      <c r="D75" s="472">
        <v>0</v>
      </c>
      <c r="E75" s="474">
        <f>D75*C75</f>
        <v>0</v>
      </c>
      <c r="F75" s="476">
        <f>IF(C75=0,0,$F$61)</f>
        <v>0</v>
      </c>
      <c r="G75" s="474">
        <f>F75*D75</f>
        <v>0</v>
      </c>
      <c r="H75" s="478">
        <f>E75-G75</f>
        <v>0</v>
      </c>
      <c r="I75" s="460">
        <f>IF(C75=0,0,$I$61)</f>
        <v>0</v>
      </c>
      <c r="J75" s="462">
        <f>H75-I75</f>
        <v>0</v>
      </c>
      <c r="K75" s="464">
        <f>C75-F75</f>
        <v>0</v>
      </c>
      <c r="L75" s="465">
        <f>D75/$D$59</f>
        <v>0</v>
      </c>
      <c r="M75" s="466">
        <f>IF(L75=0,0,H75/L75)</f>
        <v>0</v>
      </c>
      <c r="N75" s="469"/>
      <c r="O75" s="451"/>
    </row>
    <row r="76" spans="1:14" ht="13.5" customHeight="1" thickBot="1">
      <c r="A76" s="451"/>
      <c r="B76" s="455"/>
      <c r="C76" s="471"/>
      <c r="D76" s="473"/>
      <c r="E76" s="475"/>
      <c r="F76" s="477"/>
      <c r="G76" s="475"/>
      <c r="H76" s="479"/>
      <c r="I76" s="461"/>
      <c r="J76" s="463"/>
      <c r="K76" s="455"/>
      <c r="L76" s="455"/>
      <c r="M76" s="467"/>
      <c r="N76" s="457"/>
    </row>
    <row r="77" spans="3:14" ht="12.75" hidden="1">
      <c r="C77" s="458"/>
      <c r="D77" s="459"/>
      <c r="E77" s="459"/>
      <c r="F77" s="458"/>
      <c r="G77" s="459"/>
      <c r="H77" s="459"/>
      <c r="I77" s="459"/>
      <c r="J77" s="459"/>
      <c r="K77" s="456"/>
      <c r="L77" s="457"/>
      <c r="M77" s="457"/>
      <c r="N77" s="416"/>
    </row>
    <row r="78" spans="3:14" ht="12.75" hidden="1">
      <c r="C78" s="458"/>
      <c r="D78" s="459"/>
      <c r="E78" s="459"/>
      <c r="F78" s="458"/>
      <c r="G78" s="459"/>
      <c r="H78" s="459"/>
      <c r="I78" s="459"/>
      <c r="J78" s="459"/>
      <c r="K78" s="416"/>
      <c r="L78" s="416"/>
      <c r="M78" s="457"/>
      <c r="N78" s="457"/>
    </row>
    <row r="79" spans="3:14" ht="12.75" hidden="1">
      <c r="C79" s="458"/>
      <c r="D79" s="459"/>
      <c r="E79" s="459"/>
      <c r="F79" s="458"/>
      <c r="G79" s="459"/>
      <c r="H79" s="459"/>
      <c r="I79" s="459"/>
      <c r="J79" s="459"/>
      <c r="K79" s="456"/>
      <c r="L79" s="457"/>
      <c r="M79" s="457"/>
      <c r="N79" s="416"/>
    </row>
    <row r="80" spans="3:13" ht="12.75" hidden="1">
      <c r="C80" s="458"/>
      <c r="D80" s="459"/>
      <c r="E80" s="459"/>
      <c r="F80" s="458"/>
      <c r="G80" s="459"/>
      <c r="H80" s="459"/>
      <c r="I80" s="459"/>
      <c r="J80" s="459"/>
      <c r="K80" s="416"/>
      <c r="L80" s="416"/>
      <c r="M80" s="457"/>
    </row>
    <row r="81" spans="3:10" ht="21">
      <c r="C81" t="s">
        <v>157</v>
      </c>
      <c r="D81" s="198">
        <f>MAX(J61:J80)</f>
        <v>14400000</v>
      </c>
      <c r="E81" t="s">
        <v>158</v>
      </c>
      <c r="F81" s="199"/>
      <c r="G81" s="200"/>
      <c r="H81" s="199"/>
      <c r="I81" s="199"/>
      <c r="J81" s="201"/>
    </row>
    <row r="82" spans="3:10" ht="21">
      <c r="C82" s="202" t="s">
        <v>159</v>
      </c>
      <c r="D82" s="200">
        <f>IF(D81=J61,C61,IF(D81=J63,C63,IF(D81=J65,C65,IF(D81=J67,C67,IF(D81=J69,C69,IF(D81=J71,C71,IF(D81=J73,C73,IF(D81=J75,C75,"ingen"))))))))</f>
        <v>5600</v>
      </c>
      <c r="E82" s="200"/>
      <c r="F82" s="199"/>
      <c r="G82" s="200"/>
      <c r="H82" s="199"/>
      <c r="I82" s="199"/>
      <c r="J82" s="201"/>
    </row>
    <row r="83" spans="3:10" ht="21">
      <c r="C83" s="202" t="s">
        <v>160</v>
      </c>
      <c r="D83" s="200">
        <f>IF(D81=J61,D61,IF(D81=J63,D63,IF(D81=J65,D65,IF(D81=J67,D67,IF(D81=J69,D69,IF(D81=J71,D71,IF(D81=J73,D73,IF(D81=J75,D75,"ingen"))))))))</f>
        <v>8000</v>
      </c>
      <c r="E83" s="200"/>
      <c r="F83" s="199"/>
      <c r="G83" s="200"/>
      <c r="H83" s="199"/>
      <c r="I83" s="199"/>
      <c r="J83" s="201"/>
    </row>
    <row r="84" spans="6:10" ht="21">
      <c r="F84" s="199"/>
      <c r="G84" s="200"/>
      <c r="H84" s="199"/>
      <c r="I84" s="199"/>
      <c r="J84" s="201"/>
    </row>
    <row r="85" spans="3:14" ht="18">
      <c r="C85" s="514" t="s">
        <v>162</v>
      </c>
      <c r="D85" s="514"/>
      <c r="E85" s="514"/>
      <c r="F85" s="514"/>
      <c r="G85" s="514"/>
      <c r="H85" s="514"/>
      <c r="I85" s="207"/>
      <c r="J85" s="207"/>
      <c r="K85" s="207"/>
      <c r="L85" s="207"/>
      <c r="M85" s="207"/>
      <c r="N85" s="207"/>
    </row>
    <row r="86" spans="3:14" ht="21">
      <c r="C86" s="202" t="s">
        <v>163</v>
      </c>
      <c r="D86" s="208">
        <v>15000</v>
      </c>
      <c r="E86" s="200" t="s">
        <v>164</v>
      </c>
      <c r="F86" s="206"/>
      <c r="G86" s="206"/>
      <c r="H86" s="206"/>
      <c r="I86" s="207"/>
      <c r="J86" s="207"/>
      <c r="K86" s="207"/>
      <c r="L86" s="207"/>
      <c r="M86" s="207"/>
      <c r="N86" s="206"/>
    </row>
    <row r="87" spans="3:14" ht="54">
      <c r="C87" s="206" t="s">
        <v>165</v>
      </c>
      <c r="D87" s="206" t="s">
        <v>166</v>
      </c>
      <c r="E87" s="206" t="s">
        <v>167</v>
      </c>
      <c r="F87" s="209" t="s">
        <v>168</v>
      </c>
      <c r="G87" s="209" t="s">
        <v>169</v>
      </c>
      <c r="H87" s="206" t="s">
        <v>170</v>
      </c>
      <c r="I87" s="207"/>
      <c r="J87" s="207"/>
      <c r="K87" s="207"/>
      <c r="L87" s="207"/>
      <c r="M87" s="207"/>
      <c r="N87" s="206"/>
    </row>
    <row r="88" spans="3:13" ht="12.75" customHeight="1">
      <c r="C88" s="452" t="s">
        <v>171</v>
      </c>
      <c r="D88" s="453">
        <f>løsningstabel!F2</f>
        <v>4400</v>
      </c>
      <c r="E88" s="452" t="str">
        <f>løsningstabel!G2</f>
        <v>1 Danmark</v>
      </c>
      <c r="F88" s="452">
        <f>løsningstabel!H2</f>
        <v>2000</v>
      </c>
      <c r="G88" s="452">
        <f>F88</f>
        <v>2000</v>
      </c>
      <c r="H88" s="452" t="str">
        <f>IF(G88&lt;=$D$86,"Ja","Nej")</f>
        <v>Ja</v>
      </c>
      <c r="I88" s="207"/>
      <c r="J88" s="207"/>
      <c r="K88" s="207"/>
      <c r="L88" s="207"/>
      <c r="M88" s="207"/>
    </row>
    <row r="89" spans="3:13" ht="12.75" customHeight="1">
      <c r="C89" s="452"/>
      <c r="D89" s="453"/>
      <c r="E89" s="452"/>
      <c r="F89" s="452"/>
      <c r="G89" s="452"/>
      <c r="H89" s="452"/>
      <c r="I89" s="207"/>
      <c r="J89" s="207"/>
      <c r="K89" s="207"/>
      <c r="L89" s="207"/>
      <c r="M89" s="207"/>
    </row>
    <row r="90" spans="3:13" ht="12.75" customHeight="1">
      <c r="C90" s="452" t="s">
        <v>172</v>
      </c>
      <c r="D90" s="453">
        <f>løsningstabel!F3</f>
        <v>2400</v>
      </c>
      <c r="E90" s="452" t="str">
        <f>løsningstabel!G3</f>
        <v>1 Tyskland</v>
      </c>
      <c r="F90" s="452">
        <f>løsningstabel!H3</f>
        <v>6000</v>
      </c>
      <c r="G90" s="452">
        <f>G88+F90</f>
        <v>8000</v>
      </c>
      <c r="H90" s="452" t="str">
        <f>IF(G90&lt;=$D$86,"Ja","Nej")</f>
        <v>Ja</v>
      </c>
      <c r="I90" s="207"/>
      <c r="J90" s="207"/>
      <c r="K90" s="207"/>
      <c r="L90" s="207"/>
      <c r="M90" s="207"/>
    </row>
    <row r="91" spans="3:13" ht="12.75" customHeight="1">
      <c r="C91" s="452"/>
      <c r="D91" s="453"/>
      <c r="E91" s="452"/>
      <c r="F91" s="452"/>
      <c r="G91" s="452"/>
      <c r="H91" s="452"/>
      <c r="I91" s="207"/>
      <c r="J91" s="207"/>
      <c r="K91" s="207"/>
      <c r="L91" s="207"/>
      <c r="M91" s="207"/>
    </row>
    <row r="92" spans="3:13" ht="12.75" customHeight="1">
      <c r="C92" s="452" t="s">
        <v>173</v>
      </c>
      <c r="D92" s="453">
        <f>løsningstabel!F4</f>
        <v>1900</v>
      </c>
      <c r="E92" s="452" t="str">
        <f>løsningstabel!G4</f>
        <v>2 Danmark</v>
      </c>
      <c r="F92" s="452">
        <f>løsningstabel!H4</f>
        <v>500</v>
      </c>
      <c r="G92" s="452">
        <f>G90+F92</f>
        <v>8500</v>
      </c>
      <c r="H92" s="452" t="str">
        <f>IF(G92&lt;=$D$86,"Ja","Nej")</f>
        <v>Ja</v>
      </c>
      <c r="I92" s="207"/>
      <c r="J92" s="207"/>
      <c r="K92" s="207"/>
      <c r="L92" s="207"/>
      <c r="M92" s="207"/>
    </row>
    <row r="93" spans="3:13" ht="12.75" customHeight="1">
      <c r="C93" s="452"/>
      <c r="D93" s="453"/>
      <c r="E93" s="452"/>
      <c r="F93" s="452"/>
      <c r="G93" s="452"/>
      <c r="H93" s="452"/>
      <c r="I93" s="207"/>
      <c r="J93" s="207"/>
      <c r="K93" s="207"/>
      <c r="L93" s="207"/>
      <c r="M93" s="207"/>
    </row>
    <row r="94" spans="3:13" ht="12.75" customHeight="1">
      <c r="C94" s="452" t="s">
        <v>174</v>
      </c>
      <c r="D94" s="453">
        <f>løsningstabel!F5</f>
        <v>1800</v>
      </c>
      <c r="E94" s="452" t="str">
        <f>løsningstabel!G5</f>
        <v>1 England</v>
      </c>
      <c r="F94" s="452">
        <f>løsningstabel!H5</f>
        <v>8000</v>
      </c>
      <c r="G94" s="452">
        <f>G92+F94</f>
        <v>16500</v>
      </c>
      <c r="H94" s="452" t="str">
        <f>IF(G94&lt;=$D$86,"Ja","Nej")</f>
        <v>Nej</v>
      </c>
      <c r="I94" s="207"/>
      <c r="J94" s="207"/>
      <c r="K94" s="207"/>
      <c r="L94" s="207"/>
      <c r="M94" s="207"/>
    </row>
    <row r="95" spans="3:13" ht="12.75" customHeight="1">
      <c r="C95" s="452"/>
      <c r="D95" s="453"/>
      <c r="E95" s="452"/>
      <c r="F95" s="452"/>
      <c r="G95" s="452"/>
      <c r="H95" s="452"/>
      <c r="I95" s="207"/>
      <c r="J95" s="207"/>
      <c r="K95" s="207"/>
      <c r="L95" s="207"/>
      <c r="M95" s="207"/>
    </row>
    <row r="96" spans="3:13" ht="12.75" customHeight="1">
      <c r="C96" s="452" t="s">
        <v>175</v>
      </c>
      <c r="D96" s="453">
        <f>løsningstabel!F6</f>
        <v>900</v>
      </c>
      <c r="E96" s="452" t="str">
        <f>løsningstabel!G6</f>
        <v>3 Danmark</v>
      </c>
      <c r="F96" s="452">
        <f>løsningstabel!H6</f>
        <v>500</v>
      </c>
      <c r="G96" s="452">
        <f>G94+F96</f>
        <v>17000</v>
      </c>
      <c r="H96" s="452" t="str">
        <f>IF(G96&lt;=$D$86,"Ja","Nej")</f>
        <v>Nej</v>
      </c>
      <c r="I96" s="207"/>
      <c r="J96" s="207"/>
      <c r="K96" s="207"/>
      <c r="L96" s="207"/>
      <c r="M96" s="207"/>
    </row>
    <row r="97" spans="3:13" ht="12.75" customHeight="1">
      <c r="C97" s="452"/>
      <c r="D97" s="453"/>
      <c r="E97" s="452"/>
      <c r="F97" s="452"/>
      <c r="G97" s="452"/>
      <c r="H97" s="452"/>
      <c r="I97" s="207"/>
      <c r="J97" s="207"/>
      <c r="K97" s="207"/>
      <c r="L97" s="207"/>
      <c r="M97" s="207"/>
    </row>
    <row r="98" spans="3:13" ht="12.75" customHeight="1" hidden="1">
      <c r="C98" s="452" t="s">
        <v>176</v>
      </c>
      <c r="D98" s="453">
        <f>løsningstabel!F7</f>
        <v>0</v>
      </c>
      <c r="E98" s="452" t="str">
        <f>løsningstabel!G7</f>
        <v>2 Tyskland</v>
      </c>
      <c r="F98" s="452">
        <f>løsningstabel!H7</f>
        <v>0</v>
      </c>
      <c r="G98" s="452">
        <f>G96+F98</f>
        <v>17000</v>
      </c>
      <c r="H98" s="452" t="str">
        <f>IF(G98&lt;=$D$86,"Ja","Nej")</f>
        <v>Nej</v>
      </c>
      <c r="I98" s="207"/>
      <c r="J98" s="207"/>
      <c r="K98" s="207"/>
      <c r="L98" s="207"/>
      <c r="M98" s="207"/>
    </row>
    <row r="99" spans="3:13" ht="12.75" customHeight="1" hidden="1">
      <c r="C99" s="452"/>
      <c r="D99" s="453"/>
      <c r="E99" s="452"/>
      <c r="F99" s="452"/>
      <c r="G99" s="452"/>
      <c r="H99" s="452"/>
      <c r="I99" s="207"/>
      <c r="J99" s="207"/>
      <c r="K99" s="207"/>
      <c r="L99" s="207"/>
      <c r="M99" s="207"/>
    </row>
    <row r="100" spans="3:13" ht="12.75" customHeight="1" hidden="1">
      <c r="C100" s="452" t="s">
        <v>177</v>
      </c>
      <c r="D100" s="453">
        <f>løsningstabel!F8</f>
        <v>0</v>
      </c>
      <c r="E100" s="452" t="str">
        <f>løsningstabel!G8</f>
        <v>4 Tyskland</v>
      </c>
      <c r="F100" s="452">
        <f>løsningstabel!H8</f>
        <v>0</v>
      </c>
      <c r="G100" s="452">
        <f>G98+F100</f>
        <v>17000</v>
      </c>
      <c r="H100" s="452" t="str">
        <f>IF(G100&lt;=$D$86,"Ja","Nej")</f>
        <v>Nej</v>
      </c>
      <c r="I100" s="207"/>
      <c r="J100" s="207"/>
      <c r="K100" s="207"/>
      <c r="L100" s="207"/>
      <c r="M100" s="207"/>
    </row>
    <row r="101" spans="3:13" ht="12.75" customHeight="1" hidden="1">
      <c r="C101" s="452"/>
      <c r="D101" s="453"/>
      <c r="E101" s="452"/>
      <c r="F101" s="452"/>
      <c r="G101" s="452"/>
      <c r="H101" s="452"/>
      <c r="I101" s="207"/>
      <c r="J101" s="207"/>
      <c r="K101" s="207"/>
      <c r="L101" s="207"/>
      <c r="M101" s="207"/>
    </row>
    <row r="102" spans="3:13" ht="12.75" customHeight="1" hidden="1">
      <c r="C102" s="452" t="s">
        <v>178</v>
      </c>
      <c r="D102" s="453">
        <f>løsningstabel!F9</f>
        <v>0</v>
      </c>
      <c r="E102" s="452" t="str">
        <f>løsningstabel!G9</f>
        <v>4 Tyskland</v>
      </c>
      <c r="F102" s="452">
        <f>løsningstabel!H9</f>
        <v>0</v>
      </c>
      <c r="G102" s="452">
        <f>G100+F102</f>
        <v>17000</v>
      </c>
      <c r="H102" s="452" t="str">
        <f>IF(G102&lt;=$D$86,"Ja","Nej")</f>
        <v>Nej</v>
      </c>
      <c r="I102" s="207"/>
      <c r="J102" s="207"/>
      <c r="K102" s="207"/>
      <c r="L102" s="207"/>
      <c r="M102" s="207"/>
    </row>
    <row r="103" spans="3:13" ht="12.75" customHeight="1" hidden="1">
      <c r="C103" s="452"/>
      <c r="D103" s="453"/>
      <c r="E103" s="452"/>
      <c r="F103" s="452"/>
      <c r="G103" s="452"/>
      <c r="H103" s="452"/>
      <c r="I103" s="207"/>
      <c r="J103" s="207"/>
      <c r="K103" s="207"/>
      <c r="L103" s="207"/>
      <c r="M103" s="207"/>
    </row>
    <row r="104" spans="3:13" ht="12.75" customHeight="1" hidden="1">
      <c r="C104" s="452" t="s">
        <v>179</v>
      </c>
      <c r="D104" s="453">
        <f>løsningstabel!F10</f>
        <v>0</v>
      </c>
      <c r="E104" s="452" t="str">
        <f>løsningstabel!G10</f>
        <v>4 Tyskland</v>
      </c>
      <c r="F104" s="452">
        <f>løsningstabel!H10</f>
        <v>0</v>
      </c>
      <c r="G104" s="452">
        <f>G102+F104</f>
        <v>17000</v>
      </c>
      <c r="H104" s="452" t="str">
        <f>IF(G104&lt;=$D$86,"Ja","Nej")</f>
        <v>Nej</v>
      </c>
      <c r="I104" s="207"/>
      <c r="J104" s="207"/>
      <c r="K104" s="207"/>
      <c r="L104" s="207"/>
      <c r="M104" s="207"/>
    </row>
    <row r="105" spans="3:13" ht="12.75" customHeight="1" hidden="1">
      <c r="C105" s="452"/>
      <c r="D105" s="453"/>
      <c r="E105" s="452"/>
      <c r="F105" s="452"/>
      <c r="G105" s="452"/>
      <c r="H105" s="452"/>
      <c r="I105" s="207"/>
      <c r="J105" s="207"/>
      <c r="K105" s="207"/>
      <c r="L105" s="207"/>
      <c r="M105" s="207"/>
    </row>
    <row r="106" spans="3:13" ht="12.75" customHeight="1" hidden="1">
      <c r="C106" s="452" t="s">
        <v>180</v>
      </c>
      <c r="D106" s="453">
        <f>løsningstabel!F11</f>
        <v>0</v>
      </c>
      <c r="E106" s="452" t="str">
        <f>løsningstabel!G11</f>
        <v>4 Tyskland</v>
      </c>
      <c r="F106" s="452">
        <f>løsningstabel!H11</f>
        <v>0</v>
      </c>
      <c r="G106" s="452">
        <f>G104+F106</f>
        <v>17000</v>
      </c>
      <c r="H106" s="452" t="str">
        <f>IF(G106&lt;=$D$86,"Ja","Nej")</f>
        <v>Nej</v>
      </c>
      <c r="I106" s="207"/>
      <c r="J106" s="207"/>
      <c r="K106" s="207"/>
      <c r="L106" s="207"/>
      <c r="M106" s="207"/>
    </row>
    <row r="107" spans="3:13" ht="12.75" customHeight="1" hidden="1">
      <c r="C107" s="452"/>
      <c r="D107" s="453"/>
      <c r="E107" s="452"/>
      <c r="F107" s="452"/>
      <c r="G107" s="452"/>
      <c r="H107" s="452"/>
      <c r="I107" s="207"/>
      <c r="J107" s="207"/>
      <c r="K107" s="207"/>
      <c r="L107" s="207"/>
      <c r="M107" s="207"/>
    </row>
    <row r="108" spans="3:13" ht="12.75" customHeight="1" hidden="1">
      <c r="C108" s="452" t="s">
        <v>181</v>
      </c>
      <c r="D108" s="453">
        <f>løsningstabel!F12</f>
        <v>0</v>
      </c>
      <c r="E108" s="452" t="str">
        <f>løsningstabel!G12</f>
        <v>5 Danmark</v>
      </c>
      <c r="F108" s="452" t="str">
        <f>løsningstabel!H12</f>
        <v>-</v>
      </c>
      <c r="G108" s="452" t="e">
        <f>G106+F108</f>
        <v>#VALUE!</v>
      </c>
      <c r="H108" s="452" t="e">
        <f>IF(G108&lt;=$D$86,"Ja","Nej")</f>
        <v>#VALUE!</v>
      </c>
      <c r="I108" s="207"/>
      <c r="J108" s="207"/>
      <c r="K108" s="207"/>
      <c r="L108" s="207"/>
      <c r="M108" s="207"/>
    </row>
    <row r="109" spans="3:13" ht="12.75" customHeight="1" hidden="1">
      <c r="C109" s="452"/>
      <c r="D109" s="453"/>
      <c r="E109" s="452"/>
      <c r="F109" s="452"/>
      <c r="G109" s="452"/>
      <c r="H109" s="452"/>
      <c r="I109" s="207"/>
      <c r="J109" s="207"/>
      <c r="K109" s="207"/>
      <c r="L109" s="207"/>
      <c r="M109" s="207"/>
    </row>
    <row r="110" spans="3:13" ht="12.75" customHeight="1" hidden="1">
      <c r="C110" s="452" t="s">
        <v>182</v>
      </c>
      <c r="D110" s="453">
        <f>løsningstabel!F13</f>
        <v>0</v>
      </c>
      <c r="E110" s="452" t="str">
        <f>løsningstabel!G13</f>
        <v>5 Danmark</v>
      </c>
      <c r="F110" s="452" t="str">
        <f>løsningstabel!H13</f>
        <v>-</v>
      </c>
      <c r="G110" s="452" t="e">
        <f>G108+F110</f>
        <v>#VALUE!</v>
      </c>
      <c r="H110" s="452" t="e">
        <f>IF(G110&lt;=$D$86,"Ja","Nej")</f>
        <v>#VALUE!</v>
      </c>
      <c r="I110" s="207"/>
      <c r="J110" s="207"/>
      <c r="K110" s="207"/>
      <c r="L110" s="207"/>
      <c r="M110" s="207"/>
    </row>
    <row r="111" spans="3:13" ht="12.75" customHeight="1" hidden="1">
      <c r="C111" s="452"/>
      <c r="D111" s="453"/>
      <c r="E111" s="452"/>
      <c r="F111" s="452"/>
      <c r="G111" s="452"/>
      <c r="H111" s="452"/>
      <c r="I111" s="207"/>
      <c r="J111" s="207"/>
      <c r="K111" s="207"/>
      <c r="L111" s="207"/>
      <c r="M111" s="207"/>
    </row>
    <row r="112" spans="3:13" ht="12.75" customHeight="1">
      <c r="C112" s="168"/>
      <c r="D112" s="210"/>
      <c r="E112" s="168"/>
      <c r="F112" s="168"/>
      <c r="G112" s="168"/>
      <c r="H112" s="168"/>
      <c r="I112" s="207"/>
      <c r="J112" s="207"/>
      <c r="K112" s="207"/>
      <c r="L112" s="207"/>
      <c r="M112" s="207"/>
    </row>
    <row r="113" spans="1:13" ht="18">
      <c r="A113" s="514" t="s">
        <v>192</v>
      </c>
      <c r="B113" s="514"/>
      <c r="C113" s="514"/>
      <c r="D113" s="514"/>
      <c r="E113" s="514"/>
      <c r="F113" s="514"/>
      <c r="G113" s="514"/>
      <c r="H113" s="514"/>
      <c r="I113" s="207"/>
      <c r="J113" s="207"/>
      <c r="K113" s="207"/>
      <c r="L113" s="207"/>
      <c r="M113" s="207"/>
    </row>
    <row r="114" spans="1:13" ht="12.75" customHeight="1">
      <c r="A114" s="452" t="s">
        <v>183</v>
      </c>
      <c r="B114" s="452"/>
      <c r="C114" s="168" t="s">
        <v>144</v>
      </c>
      <c r="D114" s="168" t="s">
        <v>145</v>
      </c>
      <c r="E114" s="168" t="s">
        <v>146</v>
      </c>
      <c r="F114" s="168" t="s">
        <v>147</v>
      </c>
      <c r="G114" s="168" t="s">
        <v>148</v>
      </c>
      <c r="H114" s="168" t="s">
        <v>149</v>
      </c>
      <c r="I114" s="211" t="s">
        <v>184</v>
      </c>
      <c r="J114" s="211" t="s">
        <v>151</v>
      </c>
      <c r="K114" s="207"/>
      <c r="L114" s="207"/>
      <c r="M114" s="207"/>
    </row>
    <row r="115" spans="1:13" ht="12.75" customHeight="1">
      <c r="A115" s="452" t="str">
        <f>D2</f>
        <v>Danmark</v>
      </c>
      <c r="B115" s="452"/>
      <c r="C115" s="212">
        <f>C7</f>
        <v>7500</v>
      </c>
      <c r="D115" s="212">
        <f>D7</f>
        <v>2500</v>
      </c>
      <c r="E115" s="212">
        <f aca="true" t="shared" si="0" ref="E115:J115">E7</f>
        <v>18750000</v>
      </c>
      <c r="F115" s="212">
        <f t="shared" si="0"/>
        <v>3600</v>
      </c>
      <c r="G115" s="212">
        <f t="shared" si="0"/>
        <v>9000000</v>
      </c>
      <c r="H115" s="212">
        <f t="shared" si="0"/>
        <v>9750000</v>
      </c>
      <c r="I115" s="212">
        <f t="shared" si="0"/>
        <v>0</v>
      </c>
      <c r="J115" s="212">
        <f t="shared" si="0"/>
        <v>9750000</v>
      </c>
      <c r="K115" s="207"/>
      <c r="L115" s="207"/>
      <c r="M115" s="207"/>
    </row>
    <row r="116" spans="1:13" ht="12.75" customHeight="1">
      <c r="A116" s="452" t="str">
        <f>D30</f>
        <v>Tyskland</v>
      </c>
      <c r="B116" s="452"/>
      <c r="C116" s="212">
        <f>C33</f>
        <v>6000</v>
      </c>
      <c r="D116" s="212">
        <f aca="true" t="shared" si="1" ref="D116:J116">D33</f>
        <v>6000</v>
      </c>
      <c r="E116" s="212">
        <f t="shared" si="1"/>
        <v>36000000</v>
      </c>
      <c r="F116" s="212">
        <f t="shared" si="1"/>
        <v>3600</v>
      </c>
      <c r="G116" s="212">
        <f t="shared" si="1"/>
        <v>21600000</v>
      </c>
      <c r="H116" s="212">
        <f t="shared" si="1"/>
        <v>14400000</v>
      </c>
      <c r="I116" s="212">
        <f t="shared" si="1"/>
        <v>0</v>
      </c>
      <c r="J116" s="212">
        <f t="shared" si="1"/>
        <v>14400000</v>
      </c>
      <c r="K116" s="207"/>
      <c r="L116" s="207"/>
      <c r="M116" s="207"/>
    </row>
    <row r="117" spans="1:13" ht="12.75" customHeight="1">
      <c r="A117" s="452" t="str">
        <f>D58</f>
        <v>England</v>
      </c>
      <c r="B117" s="452"/>
      <c r="C117" s="212">
        <f>C61</f>
        <v>5600</v>
      </c>
      <c r="D117" s="213">
        <f>15000-D115-D116</f>
        <v>6500</v>
      </c>
      <c r="E117" s="213">
        <f>C117*D117</f>
        <v>36400000</v>
      </c>
      <c r="F117" s="213">
        <v>3800</v>
      </c>
      <c r="G117" s="213">
        <f>F117*D117</f>
        <v>24700000</v>
      </c>
      <c r="H117" s="213">
        <f>E117-G117</f>
        <v>11700000</v>
      </c>
      <c r="I117" s="213"/>
      <c r="J117" s="213">
        <f>H117</f>
        <v>11700000</v>
      </c>
      <c r="K117" s="207"/>
      <c r="L117" s="207"/>
      <c r="M117" s="207"/>
    </row>
    <row r="118" spans="1:13" ht="12.75" customHeight="1">
      <c r="A118" t="s">
        <v>185</v>
      </c>
      <c r="C118" s="214"/>
      <c r="D118" s="214">
        <f>SUM(D115:D117)</f>
        <v>15000</v>
      </c>
      <c r="E118" s="214"/>
      <c r="F118" s="214"/>
      <c r="G118" s="214">
        <f>SUM(G115:G117)</f>
        <v>55300000</v>
      </c>
      <c r="H118" s="214">
        <f>SUM(H115:H117)</f>
        <v>35850000</v>
      </c>
      <c r="I118" s="214">
        <f>SUM(I115:I117)</f>
        <v>0</v>
      </c>
      <c r="J118" s="214">
        <f>SUM(J115:J117)</f>
        <v>35850000</v>
      </c>
      <c r="K118" s="207"/>
      <c r="L118" s="207"/>
      <c r="M118" s="207"/>
    </row>
    <row r="119" spans="3:13" ht="12.75" customHeight="1">
      <c r="C119" s="168"/>
      <c r="D119" s="168"/>
      <c r="E119" s="168"/>
      <c r="F119" s="168"/>
      <c r="G119" s="168"/>
      <c r="H119" s="168"/>
      <c r="I119" s="207"/>
      <c r="J119" s="207"/>
      <c r="K119" s="207"/>
      <c r="L119" s="207"/>
      <c r="M119" s="207"/>
    </row>
    <row r="120" spans="3:13" ht="12.75" customHeight="1">
      <c r="C120" s="168"/>
      <c r="D120" s="168"/>
      <c r="E120" s="168"/>
      <c r="F120" s="168"/>
      <c r="G120" s="168"/>
      <c r="H120" s="168"/>
      <c r="I120" s="207"/>
      <c r="J120" s="207"/>
      <c r="K120" s="207"/>
      <c r="L120" s="207"/>
      <c r="M120" s="207"/>
    </row>
    <row r="121" spans="3:13" ht="12.75" customHeight="1">
      <c r="C121" s="168"/>
      <c r="D121" s="168"/>
      <c r="E121" s="168"/>
      <c r="F121" s="168"/>
      <c r="G121" s="168"/>
      <c r="H121" s="168"/>
      <c r="I121" s="207"/>
      <c r="J121" s="207"/>
      <c r="K121" s="207"/>
      <c r="L121" s="207"/>
      <c r="M121" s="207"/>
    </row>
    <row r="122" spans="3:13" ht="12.75" customHeight="1">
      <c r="C122" s="168"/>
      <c r="D122" s="168"/>
      <c r="E122" s="168"/>
      <c r="F122" s="168"/>
      <c r="G122" s="168"/>
      <c r="H122" s="168"/>
      <c r="I122" s="207"/>
      <c r="J122" s="207"/>
      <c r="K122" s="207"/>
      <c r="L122" s="207"/>
      <c r="M122" s="207"/>
    </row>
    <row r="123" spans="3:13" ht="12.75" customHeight="1">
      <c r="C123" s="168"/>
      <c r="D123" s="168"/>
      <c r="E123" s="168"/>
      <c r="F123" s="168"/>
      <c r="G123" s="168"/>
      <c r="H123" s="168"/>
      <c r="I123" s="207"/>
      <c r="J123" s="207"/>
      <c r="K123" s="207"/>
      <c r="L123" s="207"/>
      <c r="M123" s="207"/>
    </row>
    <row r="124" spans="3:13" ht="12.75" customHeight="1">
      <c r="C124" s="168"/>
      <c r="D124" s="168"/>
      <c r="E124" s="168"/>
      <c r="F124" s="168"/>
      <c r="G124" s="168"/>
      <c r="H124" s="168"/>
      <c r="I124" s="207"/>
      <c r="J124" s="207"/>
      <c r="K124" s="207"/>
      <c r="L124" s="207"/>
      <c r="M124" s="207"/>
    </row>
    <row r="125" spans="3:13" ht="12.75" customHeight="1">
      <c r="C125" s="168"/>
      <c r="D125" s="168"/>
      <c r="E125" s="168"/>
      <c r="F125" s="168"/>
      <c r="G125" s="168"/>
      <c r="H125" s="168"/>
      <c r="I125" s="207"/>
      <c r="J125" s="207"/>
      <c r="K125" s="207"/>
      <c r="L125" s="207"/>
      <c r="M125" s="207"/>
    </row>
    <row r="126" spans="3:13" ht="12.75" customHeight="1">
      <c r="C126" s="168"/>
      <c r="D126" s="210"/>
      <c r="E126" s="168"/>
      <c r="F126" s="168"/>
      <c r="G126" s="168"/>
      <c r="H126" s="168"/>
      <c r="I126" s="207"/>
      <c r="J126" s="207"/>
      <c r="K126" s="207"/>
      <c r="L126" s="207"/>
      <c r="M126" s="207"/>
    </row>
    <row r="127" spans="3:13" ht="12.75" customHeight="1">
      <c r="C127" s="168"/>
      <c r="I127" s="207"/>
      <c r="J127" s="207"/>
      <c r="K127" s="207"/>
      <c r="L127" s="207"/>
      <c r="M127" s="207"/>
    </row>
    <row r="128" spans="3:13" ht="12.75" customHeight="1">
      <c r="C128" s="168"/>
      <c r="I128" s="207"/>
      <c r="J128" s="207"/>
      <c r="K128" s="207"/>
      <c r="L128" s="207"/>
      <c r="M128" s="207"/>
    </row>
    <row r="129" spans="3:13" ht="12.75" customHeight="1">
      <c r="C129" s="168"/>
      <c r="I129" s="207"/>
      <c r="J129" s="207"/>
      <c r="K129" s="207"/>
      <c r="L129" s="207"/>
      <c r="M129" s="207"/>
    </row>
    <row r="130" spans="3:13" ht="12.75" customHeight="1">
      <c r="C130" s="168"/>
      <c r="I130" s="207"/>
      <c r="J130" s="207"/>
      <c r="K130" s="207"/>
      <c r="L130" s="207"/>
      <c r="M130" s="207"/>
    </row>
    <row r="131" spans="3:13" ht="12.75" customHeight="1">
      <c r="C131" s="168"/>
      <c r="I131" s="207"/>
      <c r="J131" s="207"/>
      <c r="K131" s="207"/>
      <c r="L131" s="207"/>
      <c r="M131" s="207"/>
    </row>
    <row r="132" spans="3:13" ht="12.75" customHeight="1">
      <c r="C132" s="168"/>
      <c r="I132" s="207"/>
      <c r="J132" s="207"/>
      <c r="K132" s="207"/>
      <c r="L132" s="207"/>
      <c r="M132" s="207"/>
    </row>
    <row r="133" spans="3:13" ht="12.75" customHeight="1">
      <c r="C133" s="168"/>
      <c r="I133" s="207"/>
      <c r="J133" s="207"/>
      <c r="K133" s="207"/>
      <c r="L133" s="207"/>
      <c r="M133" s="207"/>
    </row>
    <row r="134" spans="3:13" ht="12.75" customHeight="1">
      <c r="C134" s="168"/>
      <c r="I134" s="207"/>
      <c r="J134" s="207"/>
      <c r="K134" s="207"/>
      <c r="L134" s="207"/>
      <c r="M134" s="207"/>
    </row>
    <row r="135" spans="3:13" ht="12.75" customHeight="1">
      <c r="C135" s="168"/>
      <c r="I135" s="207"/>
      <c r="J135" s="207"/>
      <c r="K135" s="207"/>
      <c r="L135" s="207"/>
      <c r="M135" s="207"/>
    </row>
    <row r="136" spans="3:13" ht="12.75" customHeight="1">
      <c r="C136" s="168"/>
      <c r="I136" s="207"/>
      <c r="J136" s="207"/>
      <c r="K136" s="207"/>
      <c r="L136" s="207"/>
      <c r="M136" s="207"/>
    </row>
    <row r="137" spans="9:13" ht="12.75" customHeight="1">
      <c r="I137" s="207"/>
      <c r="J137" s="207"/>
      <c r="K137" s="207"/>
      <c r="L137" s="207"/>
      <c r="M137" s="207"/>
    </row>
    <row r="138" spans="9:13" ht="12.75" customHeight="1">
      <c r="I138" s="207"/>
      <c r="J138" s="207"/>
      <c r="K138" s="207"/>
      <c r="L138" s="207"/>
      <c r="M138" s="207"/>
    </row>
    <row r="139" spans="9:13" ht="12.75" customHeight="1">
      <c r="I139" s="207"/>
      <c r="J139" s="207"/>
      <c r="K139" s="207"/>
      <c r="L139" s="207"/>
      <c r="M139" s="207"/>
    </row>
    <row r="140" spans="9:13" ht="12.75" customHeight="1">
      <c r="I140" s="207"/>
      <c r="J140" s="207"/>
      <c r="K140" s="207"/>
      <c r="L140" s="207"/>
      <c r="M140" s="207"/>
    </row>
    <row r="141" spans="9:13" ht="12.75" customHeight="1">
      <c r="I141" s="207"/>
      <c r="J141" s="207"/>
      <c r="K141" s="207"/>
      <c r="L141" s="207"/>
      <c r="M141" s="207"/>
    </row>
    <row r="142" spans="9:13" ht="12.75" customHeight="1">
      <c r="I142" s="207"/>
      <c r="J142" s="207"/>
      <c r="K142" s="207"/>
      <c r="L142" s="207"/>
      <c r="M142" s="207"/>
    </row>
    <row r="143" spans="9:13" ht="12.75" customHeight="1">
      <c r="I143" s="207"/>
      <c r="J143" s="207"/>
      <c r="K143" s="207"/>
      <c r="L143" s="207"/>
      <c r="M143" s="207"/>
    </row>
    <row r="144" spans="9:13" ht="12.75" customHeight="1">
      <c r="I144" s="207"/>
      <c r="J144" s="207"/>
      <c r="K144" s="207"/>
      <c r="L144" s="207"/>
      <c r="M144" s="207"/>
    </row>
    <row r="145" spans="9:13" ht="12.75" customHeight="1">
      <c r="I145" s="207"/>
      <c r="J145" s="207"/>
      <c r="K145" s="207"/>
      <c r="L145" s="207"/>
      <c r="M145" s="207"/>
    </row>
    <row r="146" spans="9:13" ht="12.75" customHeight="1">
      <c r="I146" s="207"/>
      <c r="J146" s="207"/>
      <c r="K146" s="207"/>
      <c r="L146" s="207"/>
      <c r="M146" s="207"/>
    </row>
    <row r="147" spans="9:13" ht="12.75" customHeight="1">
      <c r="I147" s="207"/>
      <c r="J147" s="207"/>
      <c r="K147" s="207"/>
      <c r="L147" s="207"/>
      <c r="M147" s="207"/>
    </row>
    <row r="148" spans="9:13" ht="12.75" customHeight="1">
      <c r="I148" s="207"/>
      <c r="J148" s="207"/>
      <c r="K148" s="207"/>
      <c r="L148" s="207"/>
      <c r="M148" s="207"/>
    </row>
    <row r="149" spans="9:13" ht="12.75" customHeight="1">
      <c r="I149" s="207"/>
      <c r="J149" s="207"/>
      <c r="K149" s="207"/>
      <c r="L149" s="207"/>
      <c r="M149" s="207"/>
    </row>
    <row r="150" spans="9:13" ht="12.75" customHeight="1">
      <c r="I150" s="207"/>
      <c r="J150" s="207"/>
      <c r="K150" s="207"/>
      <c r="L150" s="207"/>
      <c r="M150" s="207"/>
    </row>
    <row r="151" spans="9:13" ht="12.75" customHeight="1">
      <c r="I151" s="207"/>
      <c r="J151" s="207"/>
      <c r="K151" s="207"/>
      <c r="L151" s="207"/>
      <c r="M151" s="207"/>
    </row>
    <row r="152" spans="9:13" ht="12.75" customHeight="1">
      <c r="I152" s="207"/>
      <c r="J152" s="207"/>
      <c r="K152" s="207"/>
      <c r="L152" s="207"/>
      <c r="M152" s="207"/>
    </row>
    <row r="153" spans="9:13" ht="12.75" customHeight="1">
      <c r="I153" s="207"/>
      <c r="J153" s="207"/>
      <c r="K153" s="207"/>
      <c r="L153" s="207"/>
      <c r="M153" s="207"/>
    </row>
    <row r="154" spans="9:13" ht="12.75" customHeight="1">
      <c r="I154" s="207"/>
      <c r="J154" s="207"/>
      <c r="K154" s="207"/>
      <c r="L154" s="207"/>
      <c r="M154" s="207"/>
    </row>
    <row r="155" spans="9:13" ht="12.75" customHeight="1">
      <c r="I155" s="207"/>
      <c r="J155" s="207"/>
      <c r="K155" s="207"/>
      <c r="L155" s="207"/>
      <c r="M155" s="207"/>
    </row>
    <row r="156" spans="9:13" ht="12.75" customHeight="1">
      <c r="I156" s="207"/>
      <c r="J156" s="207"/>
      <c r="K156" s="207"/>
      <c r="L156" s="207"/>
      <c r="M156" s="207"/>
    </row>
    <row r="157" spans="9:13" ht="12.75" customHeight="1">
      <c r="I157" s="207"/>
      <c r="J157" s="207"/>
      <c r="K157" s="207"/>
      <c r="L157" s="207"/>
      <c r="M157" s="207"/>
    </row>
    <row r="158" spans="9:13" ht="12.75" customHeight="1">
      <c r="I158" s="207"/>
      <c r="J158" s="207"/>
      <c r="K158" s="207"/>
      <c r="L158" s="207"/>
      <c r="M158" s="207"/>
    </row>
    <row r="159" spans="9:13" ht="12.75" customHeight="1">
      <c r="I159" s="207"/>
      <c r="J159" s="207"/>
      <c r="K159" s="207"/>
      <c r="L159" s="207"/>
      <c r="M159" s="207"/>
    </row>
    <row r="160" spans="9:13" ht="12.75" customHeight="1">
      <c r="I160" s="207"/>
      <c r="J160" s="207"/>
      <c r="K160" s="207"/>
      <c r="L160" s="207"/>
      <c r="M160" s="207"/>
    </row>
    <row r="161" spans="9:13" ht="12.75" customHeight="1">
      <c r="I161" s="207"/>
      <c r="J161" s="207"/>
      <c r="K161" s="207"/>
      <c r="L161" s="207"/>
      <c r="M161" s="207"/>
    </row>
    <row r="162" spans="9:13" ht="12.75" customHeight="1">
      <c r="I162" s="207"/>
      <c r="J162" s="207"/>
      <c r="K162" s="207"/>
      <c r="L162" s="207"/>
      <c r="M162" s="207"/>
    </row>
    <row r="163" spans="9:13" ht="12.75" customHeight="1">
      <c r="I163" s="207"/>
      <c r="J163" s="207"/>
      <c r="K163" s="207"/>
      <c r="L163" s="207"/>
      <c r="M163" s="207"/>
    </row>
    <row r="164" spans="9:13" ht="12.75" customHeight="1">
      <c r="I164" s="207"/>
      <c r="J164" s="207"/>
      <c r="K164" s="207"/>
      <c r="L164" s="207"/>
      <c r="M164" s="207"/>
    </row>
    <row r="165" spans="9:13" ht="12.75" customHeight="1">
      <c r="I165" s="207"/>
      <c r="J165" s="207"/>
      <c r="K165" s="207"/>
      <c r="L165" s="207"/>
      <c r="M165" s="207"/>
    </row>
    <row r="166" spans="9:13" ht="12.75" customHeight="1">
      <c r="I166" s="207"/>
      <c r="J166" s="207"/>
      <c r="K166" s="207"/>
      <c r="L166" s="207"/>
      <c r="M166" s="207"/>
    </row>
    <row r="167" spans="9:13" ht="12.75" customHeight="1">
      <c r="I167" s="207"/>
      <c r="J167" s="207"/>
      <c r="K167" s="207"/>
      <c r="L167" s="207"/>
      <c r="M167" s="207"/>
    </row>
    <row r="168" spans="9:13" ht="12.75" customHeight="1">
      <c r="I168" s="207"/>
      <c r="J168" s="207"/>
      <c r="K168" s="207"/>
      <c r="L168" s="207"/>
      <c r="M168" s="207"/>
    </row>
    <row r="169" spans="9:13" ht="12.75" customHeight="1">
      <c r="I169" s="207"/>
      <c r="J169" s="207"/>
      <c r="K169" s="207"/>
      <c r="L169" s="207"/>
      <c r="M169" s="207"/>
    </row>
    <row r="170" spans="9:13" ht="12.75" customHeight="1">
      <c r="I170" s="207"/>
      <c r="J170" s="207"/>
      <c r="K170" s="207"/>
      <c r="L170" s="207"/>
      <c r="M170" s="207"/>
    </row>
    <row r="171" spans="9:13" ht="12.75" customHeight="1">
      <c r="I171" s="207"/>
      <c r="J171" s="207"/>
      <c r="K171" s="207"/>
      <c r="L171" s="207"/>
      <c r="M171" s="207"/>
    </row>
    <row r="172" spans="9:13" ht="12.75" customHeight="1">
      <c r="I172" s="207"/>
      <c r="J172" s="207"/>
      <c r="K172" s="207"/>
      <c r="L172" s="207"/>
      <c r="M172" s="207"/>
    </row>
    <row r="173" spans="9:13" ht="12.75" customHeight="1">
      <c r="I173" s="207"/>
      <c r="J173" s="207"/>
      <c r="K173" s="207"/>
      <c r="L173" s="207"/>
      <c r="M173" s="207"/>
    </row>
    <row r="174" spans="9:13" ht="12.75" customHeight="1">
      <c r="I174" s="207"/>
      <c r="J174" s="207"/>
      <c r="K174" s="207"/>
      <c r="L174" s="207"/>
      <c r="M174" s="207"/>
    </row>
    <row r="175" spans="9:13" ht="12.75" customHeight="1">
      <c r="I175" s="207"/>
      <c r="J175" s="207"/>
      <c r="K175" s="207"/>
      <c r="L175" s="207"/>
      <c r="M175" s="207"/>
    </row>
    <row r="176" spans="9:13" ht="12.75" customHeight="1">
      <c r="I176" s="207"/>
      <c r="J176" s="207"/>
      <c r="K176" s="207"/>
      <c r="L176" s="207"/>
      <c r="M176" s="207"/>
    </row>
    <row r="177" spans="9:13" ht="12.75" customHeight="1">
      <c r="I177" s="207"/>
      <c r="J177" s="207"/>
      <c r="K177" s="207"/>
      <c r="L177" s="207"/>
      <c r="M177" s="207"/>
    </row>
    <row r="178" spans="9:13" ht="12.75" customHeight="1">
      <c r="I178" s="207"/>
      <c r="J178" s="207"/>
      <c r="K178" s="207"/>
      <c r="L178" s="207"/>
      <c r="M178" s="207"/>
    </row>
    <row r="179" spans="9:13" ht="12.75" customHeight="1">
      <c r="I179" s="207"/>
      <c r="J179" s="207"/>
      <c r="K179" s="207"/>
      <c r="L179" s="207"/>
      <c r="M179" s="207"/>
    </row>
    <row r="180" spans="9:13" ht="12.75" customHeight="1">
      <c r="I180" s="207"/>
      <c r="J180" s="207"/>
      <c r="K180" s="207"/>
      <c r="L180" s="207"/>
      <c r="M180" s="207"/>
    </row>
    <row r="181" spans="9:13" ht="12.75" customHeight="1">
      <c r="I181" s="207"/>
      <c r="J181" s="207"/>
      <c r="K181" s="207"/>
      <c r="L181" s="207"/>
      <c r="M181" s="207"/>
    </row>
    <row r="182" spans="9:13" ht="12.75" customHeight="1">
      <c r="I182" s="207"/>
      <c r="J182" s="207"/>
      <c r="K182" s="207"/>
      <c r="L182" s="207"/>
      <c r="M182" s="207"/>
    </row>
    <row r="183" spans="9:13" ht="12.75" customHeight="1">
      <c r="I183" s="207"/>
      <c r="J183" s="207"/>
      <c r="K183" s="207"/>
      <c r="L183" s="207"/>
      <c r="M183" s="207"/>
    </row>
    <row r="184" spans="9:13" ht="12.75" customHeight="1">
      <c r="I184" s="207"/>
      <c r="J184" s="207"/>
      <c r="K184" s="207"/>
      <c r="L184" s="207"/>
      <c r="M184" s="207"/>
    </row>
    <row r="185" spans="9:13" ht="12.75" customHeight="1">
      <c r="I185" s="207"/>
      <c r="J185" s="207"/>
      <c r="K185" s="207"/>
      <c r="L185" s="207"/>
      <c r="M185" s="207"/>
    </row>
    <row r="186" spans="9:13" ht="12.75" customHeight="1">
      <c r="I186" s="207"/>
      <c r="J186" s="207"/>
      <c r="K186" s="207"/>
      <c r="L186" s="207"/>
      <c r="M186" s="207"/>
    </row>
    <row r="187" spans="9:13" ht="12.75" customHeight="1">
      <c r="I187" s="207"/>
      <c r="J187" s="207"/>
      <c r="K187" s="207"/>
      <c r="L187" s="207"/>
      <c r="M187" s="207"/>
    </row>
    <row r="188" spans="9:13" ht="12.75" customHeight="1">
      <c r="I188" s="207"/>
      <c r="J188" s="207"/>
      <c r="K188" s="207"/>
      <c r="L188" s="207"/>
      <c r="M188" s="207"/>
    </row>
    <row r="189" spans="9:13" ht="12.75" customHeight="1">
      <c r="I189" s="207"/>
      <c r="J189" s="207"/>
      <c r="K189" s="207"/>
      <c r="L189" s="207"/>
      <c r="M189" s="207"/>
    </row>
    <row r="190" spans="9:13" ht="12.75" customHeight="1">
      <c r="I190" s="207"/>
      <c r="J190" s="207"/>
      <c r="K190" s="207"/>
      <c r="L190" s="207"/>
      <c r="M190" s="207"/>
    </row>
    <row r="191" spans="9:13" ht="12.75" customHeight="1">
      <c r="I191" s="207"/>
      <c r="J191" s="207"/>
      <c r="K191" s="207"/>
      <c r="L191" s="207"/>
      <c r="M191" s="207"/>
    </row>
    <row r="192" spans="9:13" ht="12.75" customHeight="1">
      <c r="I192" s="207"/>
      <c r="J192" s="207"/>
      <c r="K192" s="207"/>
      <c r="L192" s="207"/>
      <c r="M192" s="207"/>
    </row>
    <row r="193" spans="9:13" ht="12.75" customHeight="1">
      <c r="I193" s="207"/>
      <c r="J193" s="207"/>
      <c r="K193" s="207"/>
      <c r="L193" s="207"/>
      <c r="M193" s="207"/>
    </row>
    <row r="194" spans="9:13" ht="12.75" customHeight="1">
      <c r="I194" s="207"/>
      <c r="J194" s="207"/>
      <c r="K194" s="207"/>
      <c r="L194" s="207"/>
      <c r="M194" s="207"/>
    </row>
    <row r="195" spans="9:13" ht="12.75" customHeight="1">
      <c r="I195" s="207"/>
      <c r="J195" s="207"/>
      <c r="K195" s="207"/>
      <c r="L195" s="207"/>
      <c r="M195" s="207"/>
    </row>
    <row r="196" spans="9:13" ht="12.75" customHeight="1">
      <c r="I196" s="207"/>
      <c r="J196" s="207"/>
      <c r="K196" s="207"/>
      <c r="L196" s="207"/>
      <c r="M196" s="207"/>
    </row>
    <row r="197" spans="9:13" ht="12.75" customHeight="1">
      <c r="I197" s="207"/>
      <c r="J197" s="207"/>
      <c r="K197" s="207"/>
      <c r="L197" s="207"/>
      <c r="M197" s="207"/>
    </row>
    <row r="198" spans="9:13" ht="12.75" customHeight="1">
      <c r="I198" s="207"/>
      <c r="J198" s="207"/>
      <c r="K198" s="207"/>
      <c r="L198" s="207"/>
      <c r="M198" s="207"/>
    </row>
    <row r="199" spans="9:13" ht="12.75" customHeight="1">
      <c r="I199" s="207"/>
      <c r="J199" s="207"/>
      <c r="K199" s="207"/>
      <c r="L199" s="207"/>
      <c r="M199" s="207"/>
    </row>
    <row r="200" spans="9:13" ht="12.75" customHeight="1">
      <c r="I200" s="207"/>
      <c r="J200" s="207"/>
      <c r="K200" s="207"/>
      <c r="L200" s="207"/>
      <c r="M200" s="207"/>
    </row>
    <row r="201" spans="9:13" ht="12.75" customHeight="1">
      <c r="I201" s="207"/>
      <c r="J201" s="207"/>
      <c r="K201" s="207"/>
      <c r="L201" s="207"/>
      <c r="M201" s="207"/>
    </row>
    <row r="202" spans="9:13" ht="12.75" customHeight="1">
      <c r="I202" s="207"/>
      <c r="J202" s="207"/>
      <c r="K202" s="207"/>
      <c r="L202" s="207"/>
      <c r="M202" s="207"/>
    </row>
    <row r="203" spans="9:13" ht="12.75" customHeight="1">
      <c r="I203" s="207"/>
      <c r="J203" s="207"/>
      <c r="K203" s="207"/>
      <c r="L203" s="207"/>
      <c r="M203" s="207"/>
    </row>
    <row r="204" spans="9:13" ht="12.75" customHeight="1">
      <c r="I204" s="207"/>
      <c r="J204" s="207"/>
      <c r="K204" s="207"/>
      <c r="L204" s="207"/>
      <c r="M204" s="207"/>
    </row>
    <row r="205" spans="9:13" ht="12.75" customHeight="1">
      <c r="I205" s="207"/>
      <c r="J205" s="207"/>
      <c r="K205" s="207"/>
      <c r="L205" s="207"/>
      <c r="M205" s="207"/>
    </row>
    <row r="206" spans="9:13" ht="12.75" customHeight="1">
      <c r="I206" s="207"/>
      <c r="J206" s="207"/>
      <c r="K206" s="207"/>
      <c r="L206" s="207"/>
      <c r="M206" s="207"/>
    </row>
    <row r="207" spans="9:13" ht="12.75" customHeight="1">
      <c r="I207" s="207"/>
      <c r="J207" s="207"/>
      <c r="K207" s="207"/>
      <c r="L207" s="207"/>
      <c r="M207" s="207"/>
    </row>
    <row r="208" spans="9:13" ht="12.75" customHeight="1">
      <c r="I208" s="207"/>
      <c r="J208" s="207"/>
      <c r="K208" s="207"/>
      <c r="L208" s="207"/>
      <c r="M208" s="207"/>
    </row>
    <row r="209" spans="9:13" ht="12.75" customHeight="1">
      <c r="I209" s="207"/>
      <c r="J209" s="207"/>
      <c r="K209" s="207"/>
      <c r="L209" s="207"/>
      <c r="M209" s="207"/>
    </row>
    <row r="210" spans="9:13" ht="12.75" customHeight="1">
      <c r="I210" s="207"/>
      <c r="J210" s="207"/>
      <c r="K210" s="207"/>
      <c r="L210" s="207"/>
      <c r="M210" s="207"/>
    </row>
    <row r="211" spans="9:13" ht="12.75" customHeight="1">
      <c r="I211" s="207"/>
      <c r="J211" s="207"/>
      <c r="K211" s="207"/>
      <c r="L211" s="207"/>
      <c r="M211" s="207"/>
    </row>
    <row r="212" spans="9:13" ht="12.75" customHeight="1">
      <c r="I212" s="207"/>
      <c r="J212" s="207"/>
      <c r="K212" s="207"/>
      <c r="L212" s="207"/>
      <c r="M212" s="207"/>
    </row>
    <row r="213" spans="9:13" ht="12.75" customHeight="1">
      <c r="I213" s="207"/>
      <c r="J213" s="207"/>
      <c r="K213" s="207"/>
      <c r="L213" s="207"/>
      <c r="M213" s="207"/>
    </row>
    <row r="214" spans="9:13" ht="12.75" customHeight="1">
      <c r="I214" s="207"/>
      <c r="J214" s="207"/>
      <c r="K214" s="207"/>
      <c r="L214" s="207"/>
      <c r="M214" s="207"/>
    </row>
    <row r="215" spans="9:13" ht="12.75" customHeight="1">
      <c r="I215" s="207"/>
      <c r="J215" s="207"/>
      <c r="K215" s="207"/>
      <c r="L215" s="207"/>
      <c r="M215" s="207"/>
    </row>
    <row r="216" spans="9:13" ht="12.75" customHeight="1">
      <c r="I216" s="207"/>
      <c r="J216" s="207"/>
      <c r="K216" s="207"/>
      <c r="L216" s="207"/>
      <c r="M216" s="207"/>
    </row>
    <row r="217" spans="9:13" ht="12.75" customHeight="1">
      <c r="I217" s="207"/>
      <c r="J217" s="207"/>
      <c r="K217" s="207"/>
      <c r="L217" s="207"/>
      <c r="M217" s="207"/>
    </row>
    <row r="218" spans="9:13" ht="12.75" customHeight="1">
      <c r="I218" s="207"/>
      <c r="J218" s="207"/>
      <c r="K218" s="207"/>
      <c r="L218" s="207"/>
      <c r="M218" s="207"/>
    </row>
    <row r="219" spans="9:13" ht="12.75" customHeight="1">
      <c r="I219" s="207"/>
      <c r="J219" s="207"/>
      <c r="K219" s="207"/>
      <c r="L219" s="207"/>
      <c r="M219" s="207"/>
    </row>
    <row r="220" spans="9:13" ht="12.75" customHeight="1">
      <c r="I220" s="207"/>
      <c r="J220" s="207"/>
      <c r="K220" s="207"/>
      <c r="L220" s="207"/>
      <c r="M220" s="207"/>
    </row>
    <row r="221" spans="9:13" ht="12.75" customHeight="1">
      <c r="I221" s="207"/>
      <c r="J221" s="207"/>
      <c r="K221" s="207"/>
      <c r="L221" s="207"/>
      <c r="M221" s="207"/>
    </row>
    <row r="222" spans="9:13" ht="12.75" customHeight="1">
      <c r="I222" s="207"/>
      <c r="J222" s="207"/>
      <c r="K222" s="207"/>
      <c r="L222" s="207"/>
      <c r="M222" s="207"/>
    </row>
    <row r="223" spans="9:13" ht="12.75" customHeight="1">
      <c r="I223" s="207"/>
      <c r="J223" s="207"/>
      <c r="K223" s="207"/>
      <c r="L223" s="207"/>
      <c r="M223" s="207"/>
    </row>
    <row r="224" spans="9:13" ht="12.75" customHeight="1">
      <c r="I224" s="207"/>
      <c r="J224" s="207"/>
      <c r="K224" s="207"/>
      <c r="L224" s="207"/>
      <c r="M224" s="207"/>
    </row>
    <row r="225" spans="9:13" ht="12.75" customHeight="1">
      <c r="I225" s="207"/>
      <c r="J225" s="207"/>
      <c r="K225" s="207"/>
      <c r="L225" s="207"/>
      <c r="M225" s="207"/>
    </row>
    <row r="226" spans="9:13" ht="12.75" customHeight="1">
      <c r="I226" s="207"/>
      <c r="J226" s="207"/>
      <c r="K226" s="207"/>
      <c r="L226" s="207"/>
      <c r="M226" s="207"/>
    </row>
    <row r="227" spans="9:13" ht="12.75" customHeight="1">
      <c r="I227" s="207"/>
      <c r="J227" s="207"/>
      <c r="K227" s="207"/>
      <c r="L227" s="207"/>
      <c r="M227" s="207"/>
    </row>
    <row r="228" spans="9:13" ht="12.75" customHeight="1">
      <c r="I228" s="207"/>
      <c r="J228" s="207"/>
      <c r="K228" s="207"/>
      <c r="L228" s="207"/>
      <c r="M228" s="207"/>
    </row>
    <row r="229" spans="9:13" ht="12.75" customHeight="1">
      <c r="I229" s="207"/>
      <c r="J229" s="207"/>
      <c r="K229" s="207"/>
      <c r="L229" s="207"/>
      <c r="M229" s="207"/>
    </row>
    <row r="230" spans="9:13" ht="12.75" customHeight="1">
      <c r="I230" s="207"/>
      <c r="J230" s="207"/>
      <c r="K230" s="207"/>
      <c r="L230" s="207"/>
      <c r="M230" s="207"/>
    </row>
    <row r="231" spans="9:13" ht="12.75" customHeight="1">
      <c r="I231" s="207"/>
      <c r="J231" s="207"/>
      <c r="K231" s="207"/>
      <c r="L231" s="207"/>
      <c r="M231" s="207"/>
    </row>
    <row r="232" spans="9:13" ht="12.75" customHeight="1">
      <c r="I232" s="207"/>
      <c r="J232" s="207"/>
      <c r="K232" s="207"/>
      <c r="L232" s="207"/>
      <c r="M232" s="207"/>
    </row>
    <row r="233" spans="9:13" ht="12.75" customHeight="1">
      <c r="I233" s="207"/>
      <c r="J233" s="207"/>
      <c r="K233" s="207"/>
      <c r="L233" s="207"/>
      <c r="M233" s="207"/>
    </row>
    <row r="234" spans="9:13" ht="12.75" customHeight="1">
      <c r="I234" s="207"/>
      <c r="J234" s="207"/>
      <c r="K234" s="207"/>
      <c r="L234" s="207"/>
      <c r="M234" s="207"/>
    </row>
    <row r="235" spans="9:13" ht="12.75" customHeight="1">
      <c r="I235" s="207"/>
      <c r="J235" s="207"/>
      <c r="K235" s="207"/>
      <c r="L235" s="207"/>
      <c r="M235" s="207"/>
    </row>
    <row r="236" spans="9:13" ht="12.75" customHeight="1">
      <c r="I236" s="207"/>
      <c r="J236" s="207"/>
      <c r="K236" s="207"/>
      <c r="L236" s="207"/>
      <c r="M236" s="207"/>
    </row>
    <row r="237" spans="9:13" ht="12.75" customHeight="1">
      <c r="I237" s="207"/>
      <c r="J237" s="207"/>
      <c r="K237" s="207"/>
      <c r="L237" s="207"/>
      <c r="M237" s="207"/>
    </row>
    <row r="238" spans="9:13" ht="12.75" customHeight="1">
      <c r="I238" s="207"/>
      <c r="J238" s="207"/>
      <c r="K238" s="207"/>
      <c r="L238" s="207"/>
      <c r="M238" s="207"/>
    </row>
    <row r="239" spans="9:13" ht="12.75" customHeight="1">
      <c r="I239" s="207"/>
      <c r="J239" s="207"/>
      <c r="K239" s="207"/>
      <c r="L239" s="207"/>
      <c r="M239" s="207"/>
    </row>
    <row r="240" spans="9:13" ht="12.75" customHeight="1">
      <c r="I240" s="207"/>
      <c r="J240" s="207"/>
      <c r="K240" s="207"/>
      <c r="L240" s="207"/>
      <c r="M240" s="207"/>
    </row>
    <row r="241" spans="9:13" ht="12.75" customHeight="1">
      <c r="I241" s="207"/>
      <c r="J241" s="207"/>
      <c r="K241" s="207"/>
      <c r="L241" s="207"/>
      <c r="M241" s="207"/>
    </row>
    <row r="242" spans="9:13" ht="12.75" customHeight="1">
      <c r="I242" s="207"/>
      <c r="J242" s="207"/>
      <c r="K242" s="207"/>
      <c r="L242" s="207"/>
      <c r="M242" s="207"/>
    </row>
    <row r="243" spans="9:13" ht="12.75" customHeight="1">
      <c r="I243" s="207"/>
      <c r="J243" s="207"/>
      <c r="K243" s="207"/>
      <c r="L243" s="207"/>
      <c r="M243" s="207"/>
    </row>
    <row r="244" spans="9:13" ht="12.75" customHeight="1">
      <c r="I244" s="207"/>
      <c r="J244" s="207"/>
      <c r="K244" s="207"/>
      <c r="L244" s="207"/>
      <c r="M244" s="207"/>
    </row>
    <row r="245" spans="9:13" ht="12.75" customHeight="1">
      <c r="I245" s="207"/>
      <c r="J245" s="207"/>
      <c r="K245" s="207"/>
      <c r="L245" s="207"/>
      <c r="M245" s="207"/>
    </row>
    <row r="246" spans="9:13" ht="12.75" customHeight="1">
      <c r="I246" s="207"/>
      <c r="J246" s="207"/>
      <c r="K246" s="207"/>
      <c r="L246" s="207"/>
      <c r="M246" s="207"/>
    </row>
    <row r="247" spans="9:13" ht="12.75" customHeight="1">
      <c r="I247" s="207"/>
      <c r="J247" s="207"/>
      <c r="K247" s="207"/>
      <c r="L247" s="207"/>
      <c r="M247" s="207"/>
    </row>
    <row r="248" spans="9:13" ht="12.75" customHeight="1">
      <c r="I248" s="207"/>
      <c r="J248" s="207"/>
      <c r="K248" s="207"/>
      <c r="L248" s="207"/>
      <c r="M248" s="207"/>
    </row>
    <row r="249" spans="9:13" ht="12.75" customHeight="1">
      <c r="I249" s="207"/>
      <c r="J249" s="207"/>
      <c r="K249" s="207"/>
      <c r="L249" s="207"/>
      <c r="M249" s="207"/>
    </row>
    <row r="250" spans="9:13" ht="12.75" customHeight="1">
      <c r="I250" s="207"/>
      <c r="J250" s="207"/>
      <c r="K250" s="207"/>
      <c r="L250" s="207"/>
      <c r="M250" s="207"/>
    </row>
    <row r="251" spans="9:13" ht="12.75" customHeight="1">
      <c r="I251" s="207"/>
      <c r="J251" s="207"/>
      <c r="K251" s="207"/>
      <c r="L251" s="207"/>
      <c r="M251" s="207"/>
    </row>
    <row r="252" spans="9:13" ht="12.75" customHeight="1">
      <c r="I252" s="207"/>
      <c r="J252" s="207"/>
      <c r="K252" s="207"/>
      <c r="L252" s="207"/>
      <c r="M252" s="207"/>
    </row>
    <row r="253" spans="9:13" ht="12.75" customHeight="1">
      <c r="I253" s="207"/>
      <c r="J253" s="207"/>
      <c r="K253" s="207"/>
      <c r="L253" s="207"/>
      <c r="M253" s="207"/>
    </row>
    <row r="254" spans="9:13" ht="12.75" customHeight="1">
      <c r="I254" s="207"/>
      <c r="J254" s="207"/>
      <c r="K254" s="207"/>
      <c r="L254" s="207"/>
      <c r="M254" s="207"/>
    </row>
    <row r="255" spans="9:13" ht="12.75" customHeight="1">
      <c r="I255" s="207"/>
      <c r="J255" s="207"/>
      <c r="K255" s="207"/>
      <c r="L255" s="207"/>
      <c r="M255" s="207"/>
    </row>
    <row r="256" spans="9:13" ht="12.75" customHeight="1">
      <c r="I256" s="207"/>
      <c r="J256" s="207"/>
      <c r="K256" s="207"/>
      <c r="L256" s="207"/>
      <c r="M256" s="207"/>
    </row>
    <row r="257" spans="9:13" ht="12.75" customHeight="1">
      <c r="I257" s="207"/>
      <c r="J257" s="207"/>
      <c r="K257" s="207"/>
      <c r="L257" s="207"/>
      <c r="M257" s="207"/>
    </row>
    <row r="258" spans="9:13" ht="12.75" customHeight="1">
      <c r="I258" s="207"/>
      <c r="J258" s="207"/>
      <c r="K258" s="207"/>
      <c r="L258" s="207"/>
      <c r="M258" s="207"/>
    </row>
    <row r="259" spans="9:13" ht="12.75" customHeight="1">
      <c r="I259" s="207"/>
      <c r="J259" s="207"/>
      <c r="K259" s="207"/>
      <c r="L259" s="207"/>
      <c r="M259" s="207"/>
    </row>
    <row r="260" spans="9:13" ht="12.75" customHeight="1">
      <c r="I260" s="207"/>
      <c r="J260" s="207"/>
      <c r="K260" s="207"/>
      <c r="L260" s="207"/>
      <c r="M260" s="207"/>
    </row>
    <row r="261" spans="9:13" ht="12.75" customHeight="1">
      <c r="I261" s="207"/>
      <c r="J261" s="207"/>
      <c r="K261" s="207"/>
      <c r="L261" s="207"/>
      <c r="M261" s="207"/>
    </row>
    <row r="262" spans="9:13" ht="12.75" customHeight="1">
      <c r="I262" s="207"/>
      <c r="J262" s="207"/>
      <c r="K262" s="207"/>
      <c r="L262" s="207"/>
      <c r="M262" s="207"/>
    </row>
    <row r="263" spans="9:13" ht="12.75" customHeight="1">
      <c r="I263" s="207"/>
      <c r="J263" s="207"/>
      <c r="K263" s="207"/>
      <c r="L263" s="207"/>
      <c r="M263" s="207"/>
    </row>
    <row r="264" spans="9:13" ht="12.75" customHeight="1">
      <c r="I264" s="207"/>
      <c r="J264" s="207"/>
      <c r="K264" s="207"/>
      <c r="L264" s="207"/>
      <c r="M264" s="207"/>
    </row>
    <row r="265" spans="9:13" ht="12.75" customHeight="1">
      <c r="I265" s="207"/>
      <c r="J265" s="207"/>
      <c r="K265" s="207"/>
      <c r="L265" s="207"/>
      <c r="M265" s="207"/>
    </row>
    <row r="266" spans="9:13" ht="12.75" customHeight="1">
      <c r="I266" s="207"/>
      <c r="J266" s="207"/>
      <c r="K266" s="207"/>
      <c r="L266" s="207"/>
      <c r="M266" s="207"/>
    </row>
    <row r="267" spans="9:13" ht="12.75" customHeight="1">
      <c r="I267" s="207"/>
      <c r="J267" s="207"/>
      <c r="K267" s="207"/>
      <c r="L267" s="207"/>
      <c r="M267" s="207"/>
    </row>
    <row r="268" spans="9:13" ht="12.75" customHeight="1">
      <c r="I268" s="207"/>
      <c r="J268" s="207"/>
      <c r="K268" s="207"/>
      <c r="L268" s="207"/>
      <c r="M268" s="207"/>
    </row>
    <row r="269" spans="9:13" ht="12.75" customHeight="1">
      <c r="I269" s="207"/>
      <c r="J269" s="207"/>
      <c r="K269" s="207"/>
      <c r="L269" s="207"/>
      <c r="M269" s="207"/>
    </row>
    <row r="270" spans="9:13" ht="12.75" customHeight="1">
      <c r="I270" s="207"/>
      <c r="J270" s="207"/>
      <c r="K270" s="207"/>
      <c r="L270" s="207"/>
      <c r="M270" s="207"/>
    </row>
    <row r="271" spans="9:13" ht="12.75" customHeight="1">
      <c r="I271" s="207"/>
      <c r="J271" s="207"/>
      <c r="K271" s="207"/>
      <c r="L271" s="207"/>
      <c r="M271" s="207"/>
    </row>
    <row r="272" spans="9:13" ht="12.75" customHeight="1">
      <c r="I272" s="207"/>
      <c r="J272" s="207"/>
      <c r="K272" s="207"/>
      <c r="L272" s="207"/>
      <c r="M272" s="207"/>
    </row>
    <row r="273" spans="9:13" ht="12.75" customHeight="1">
      <c r="I273" s="207"/>
      <c r="J273" s="207"/>
      <c r="K273" s="207"/>
      <c r="L273" s="207"/>
      <c r="M273" s="207"/>
    </row>
    <row r="274" spans="9:13" ht="12.75" customHeight="1">
      <c r="I274" s="207"/>
      <c r="J274" s="207"/>
      <c r="K274" s="207"/>
      <c r="L274" s="207"/>
      <c r="M274" s="207"/>
    </row>
    <row r="275" spans="9:13" ht="12.75" customHeight="1">
      <c r="I275" s="207"/>
      <c r="J275" s="207"/>
      <c r="K275" s="207"/>
      <c r="L275" s="207"/>
      <c r="M275" s="207"/>
    </row>
    <row r="276" spans="9:13" ht="12.75" customHeight="1">
      <c r="I276" s="207"/>
      <c r="J276" s="207"/>
      <c r="K276" s="207"/>
      <c r="L276" s="207"/>
      <c r="M276" s="207"/>
    </row>
    <row r="277" spans="9:13" ht="12.75" customHeight="1">
      <c r="I277" s="207"/>
      <c r="J277" s="207"/>
      <c r="K277" s="207"/>
      <c r="L277" s="207"/>
      <c r="M277" s="207"/>
    </row>
    <row r="278" spans="9:13" ht="12.75" customHeight="1">
      <c r="I278" s="207"/>
      <c r="J278" s="207"/>
      <c r="K278" s="207"/>
      <c r="L278" s="207"/>
      <c r="M278" s="207"/>
    </row>
    <row r="279" spans="9:13" ht="12.75" customHeight="1">
      <c r="I279" s="207"/>
      <c r="J279" s="207"/>
      <c r="K279" s="207"/>
      <c r="L279" s="207"/>
      <c r="M279" s="207"/>
    </row>
    <row r="280" spans="9:13" ht="12.75" customHeight="1">
      <c r="I280" s="207"/>
      <c r="J280" s="207"/>
      <c r="K280" s="207"/>
      <c r="L280" s="207"/>
      <c r="M280" s="207"/>
    </row>
    <row r="281" spans="9:13" ht="12.75" customHeight="1">
      <c r="I281" s="207"/>
      <c r="J281" s="207"/>
      <c r="K281" s="207"/>
      <c r="L281" s="207"/>
      <c r="M281" s="207"/>
    </row>
    <row r="282" spans="9:13" ht="12.75" customHeight="1">
      <c r="I282" s="207"/>
      <c r="J282" s="207"/>
      <c r="K282" s="207"/>
      <c r="L282" s="207"/>
      <c r="M282" s="207"/>
    </row>
    <row r="283" spans="9:13" ht="12.75" customHeight="1">
      <c r="I283" s="207"/>
      <c r="J283" s="207"/>
      <c r="K283" s="207"/>
      <c r="L283" s="207"/>
      <c r="M283" s="207"/>
    </row>
    <row r="284" spans="9:13" ht="12.75" customHeight="1">
      <c r="I284" s="207"/>
      <c r="J284" s="207"/>
      <c r="K284" s="207"/>
      <c r="L284" s="207"/>
      <c r="M284" s="207"/>
    </row>
    <row r="285" spans="9:13" ht="12.75" customHeight="1">
      <c r="I285" s="207"/>
      <c r="J285" s="207"/>
      <c r="K285" s="207"/>
      <c r="L285" s="207"/>
      <c r="M285" s="207"/>
    </row>
    <row r="286" spans="9:13" ht="12.75" customHeight="1">
      <c r="I286" s="207"/>
      <c r="J286" s="207"/>
      <c r="K286" s="207"/>
      <c r="L286" s="207"/>
      <c r="M286" s="207"/>
    </row>
    <row r="287" spans="9:13" ht="12.75" customHeight="1">
      <c r="I287" s="207"/>
      <c r="J287" s="207"/>
      <c r="K287" s="207"/>
      <c r="L287" s="207"/>
      <c r="M287" s="207"/>
    </row>
    <row r="288" spans="9:13" ht="12.75" customHeight="1">
      <c r="I288" s="207"/>
      <c r="J288" s="207"/>
      <c r="K288" s="207"/>
      <c r="L288" s="207"/>
      <c r="M288" s="207"/>
    </row>
    <row r="289" spans="9:13" ht="12.75" customHeight="1">
      <c r="I289" s="207"/>
      <c r="J289" s="207"/>
      <c r="K289" s="207"/>
      <c r="L289" s="207"/>
      <c r="M289" s="207"/>
    </row>
    <row r="290" spans="9:13" ht="12.75" customHeight="1">
      <c r="I290" s="207"/>
      <c r="J290" s="207"/>
      <c r="K290" s="207"/>
      <c r="L290" s="207"/>
      <c r="M290" s="207"/>
    </row>
    <row r="291" spans="9:13" ht="12.75" customHeight="1">
      <c r="I291" s="207"/>
      <c r="J291" s="207"/>
      <c r="K291" s="207"/>
      <c r="L291" s="207"/>
      <c r="M291" s="207"/>
    </row>
    <row r="292" spans="9:13" ht="12.75" customHeight="1">
      <c r="I292" s="207"/>
      <c r="J292" s="207"/>
      <c r="K292" s="207"/>
      <c r="L292" s="207"/>
      <c r="M292" s="207"/>
    </row>
    <row r="293" spans="9:13" ht="12.75" customHeight="1">
      <c r="I293" s="207"/>
      <c r="J293" s="207"/>
      <c r="K293" s="207"/>
      <c r="L293" s="207"/>
      <c r="M293" s="207"/>
    </row>
    <row r="294" spans="9:13" ht="12.75" customHeight="1">
      <c r="I294" s="207"/>
      <c r="J294" s="207"/>
      <c r="K294" s="207"/>
      <c r="L294" s="207"/>
      <c r="M294" s="207"/>
    </row>
    <row r="295" spans="9:13" ht="12.75" customHeight="1">
      <c r="I295" s="207"/>
      <c r="J295" s="207"/>
      <c r="K295" s="207"/>
      <c r="L295" s="207"/>
      <c r="M295" s="207"/>
    </row>
    <row r="296" spans="9:13" ht="12.75" customHeight="1">
      <c r="I296" s="207"/>
      <c r="J296" s="207"/>
      <c r="K296" s="207"/>
      <c r="L296" s="207"/>
      <c r="M296" s="207"/>
    </row>
    <row r="297" spans="9:13" ht="12.75" customHeight="1">
      <c r="I297" s="207"/>
      <c r="J297" s="207"/>
      <c r="K297" s="207"/>
      <c r="L297" s="207"/>
      <c r="M297" s="207"/>
    </row>
    <row r="298" spans="9:13" ht="12.75" customHeight="1">
      <c r="I298" s="207"/>
      <c r="J298" s="207"/>
      <c r="K298" s="207"/>
      <c r="L298" s="207"/>
      <c r="M298" s="207"/>
    </row>
    <row r="299" spans="9:13" ht="12.75" customHeight="1">
      <c r="I299" s="207"/>
      <c r="J299" s="207"/>
      <c r="K299" s="207"/>
      <c r="L299" s="207"/>
      <c r="M299" s="207"/>
    </row>
    <row r="300" spans="9:13" ht="12.75" customHeight="1">
      <c r="I300" s="207"/>
      <c r="J300" s="207"/>
      <c r="K300" s="207"/>
      <c r="L300" s="207"/>
      <c r="M300" s="207"/>
    </row>
    <row r="301" spans="9:13" ht="12.75" customHeight="1">
      <c r="I301" s="207"/>
      <c r="J301" s="207"/>
      <c r="K301" s="207"/>
      <c r="L301" s="207"/>
      <c r="M301" s="207"/>
    </row>
    <row r="302" spans="9:13" ht="12.75" customHeight="1">
      <c r="I302" s="207"/>
      <c r="J302" s="207"/>
      <c r="K302" s="207"/>
      <c r="L302" s="207"/>
      <c r="M302" s="207"/>
    </row>
    <row r="303" spans="9:13" ht="12.75" customHeight="1">
      <c r="I303" s="207"/>
      <c r="J303" s="207"/>
      <c r="K303" s="207"/>
      <c r="L303" s="207"/>
      <c r="M303" s="207"/>
    </row>
    <row r="304" spans="9:13" ht="12.75" customHeight="1">
      <c r="I304" s="207"/>
      <c r="J304" s="207"/>
      <c r="K304" s="207"/>
      <c r="L304" s="207"/>
      <c r="M304" s="207"/>
    </row>
    <row r="305" spans="9:13" ht="12.75" customHeight="1">
      <c r="I305" s="207"/>
      <c r="J305" s="207"/>
      <c r="K305" s="207"/>
      <c r="L305" s="207"/>
      <c r="M305" s="207"/>
    </row>
    <row r="306" spans="9:13" ht="12.75" customHeight="1">
      <c r="I306" s="207"/>
      <c r="J306" s="207"/>
      <c r="K306" s="207"/>
      <c r="L306" s="207"/>
      <c r="M306" s="207"/>
    </row>
    <row r="307" spans="9:13" ht="12.75" customHeight="1">
      <c r="I307" s="207"/>
      <c r="J307" s="207"/>
      <c r="K307" s="207"/>
      <c r="L307" s="207"/>
      <c r="M307" s="207"/>
    </row>
    <row r="308" spans="9:13" ht="12.75" customHeight="1">
      <c r="I308" s="207"/>
      <c r="J308" s="207"/>
      <c r="K308" s="207"/>
      <c r="L308" s="207"/>
      <c r="M308" s="207"/>
    </row>
    <row r="309" spans="9:13" ht="12.75" customHeight="1">
      <c r="I309" s="207"/>
      <c r="J309" s="207"/>
      <c r="K309" s="207"/>
      <c r="L309" s="207"/>
      <c r="M309" s="207"/>
    </row>
    <row r="310" spans="9:13" ht="12.75" customHeight="1">
      <c r="I310" s="207"/>
      <c r="J310" s="207"/>
      <c r="K310" s="207"/>
      <c r="L310" s="207"/>
      <c r="M310" s="207"/>
    </row>
    <row r="311" spans="9:13" ht="12.75" customHeight="1">
      <c r="I311" s="207"/>
      <c r="J311" s="207"/>
      <c r="K311" s="207"/>
      <c r="L311" s="207"/>
      <c r="M311" s="207"/>
    </row>
    <row r="312" spans="9:13" ht="12.75" customHeight="1">
      <c r="I312" s="207"/>
      <c r="J312" s="207"/>
      <c r="K312" s="207"/>
      <c r="L312" s="207"/>
      <c r="M312" s="207"/>
    </row>
    <row r="313" spans="9:13" ht="12.75" customHeight="1">
      <c r="I313" s="207"/>
      <c r="J313" s="207"/>
      <c r="K313" s="207"/>
      <c r="L313" s="207"/>
      <c r="M313" s="207"/>
    </row>
    <row r="314" spans="9:13" ht="12.75" customHeight="1">
      <c r="I314" s="207"/>
      <c r="J314" s="207"/>
      <c r="K314" s="207"/>
      <c r="L314" s="207"/>
      <c r="M314" s="207"/>
    </row>
    <row r="315" spans="9:13" ht="12.75" customHeight="1">
      <c r="I315" s="207"/>
      <c r="J315" s="207"/>
      <c r="K315" s="207"/>
      <c r="L315" s="207"/>
      <c r="M315" s="207"/>
    </row>
    <row r="316" spans="9:13" ht="12.75" customHeight="1">
      <c r="I316" s="207"/>
      <c r="J316" s="207"/>
      <c r="K316" s="207"/>
      <c r="L316" s="207"/>
      <c r="M316" s="207"/>
    </row>
    <row r="317" spans="9:13" ht="12.75" customHeight="1">
      <c r="I317" s="207"/>
      <c r="J317" s="207"/>
      <c r="K317" s="207"/>
      <c r="L317" s="207"/>
      <c r="M317" s="207"/>
    </row>
    <row r="318" spans="9:13" ht="12.75" customHeight="1">
      <c r="I318" s="207"/>
      <c r="J318" s="207"/>
      <c r="K318" s="207"/>
      <c r="L318" s="207"/>
      <c r="M318" s="207"/>
    </row>
    <row r="319" spans="9:13" ht="12.75" customHeight="1">
      <c r="I319" s="207"/>
      <c r="J319" s="207"/>
      <c r="K319" s="207"/>
      <c r="L319" s="207"/>
      <c r="M319" s="207"/>
    </row>
    <row r="320" spans="9:13" ht="12.75" customHeight="1">
      <c r="I320" s="207"/>
      <c r="J320" s="207"/>
      <c r="K320" s="207"/>
      <c r="L320" s="207"/>
      <c r="M320" s="207"/>
    </row>
    <row r="321" spans="9:13" ht="12.75" customHeight="1">
      <c r="I321" s="207"/>
      <c r="J321" s="207"/>
      <c r="K321" s="207"/>
      <c r="L321" s="207"/>
      <c r="M321" s="207"/>
    </row>
    <row r="322" spans="9:13" ht="12.75" customHeight="1">
      <c r="I322" s="207"/>
      <c r="J322" s="207"/>
      <c r="K322" s="207"/>
      <c r="L322" s="207"/>
      <c r="M322" s="207"/>
    </row>
    <row r="323" spans="9:13" ht="12.75" customHeight="1">
      <c r="I323" s="207"/>
      <c r="J323" s="207"/>
      <c r="K323" s="207"/>
      <c r="L323" s="207"/>
      <c r="M323" s="207"/>
    </row>
    <row r="324" spans="9:13" ht="12.75" customHeight="1">
      <c r="I324" s="207"/>
      <c r="J324" s="207"/>
      <c r="K324" s="207"/>
      <c r="L324" s="207"/>
      <c r="M324" s="207"/>
    </row>
    <row r="325" spans="9:13" ht="12.75" customHeight="1">
      <c r="I325" s="207"/>
      <c r="J325" s="207"/>
      <c r="K325" s="207"/>
      <c r="L325" s="207"/>
      <c r="M325" s="207"/>
    </row>
    <row r="326" spans="9:13" ht="12.75" customHeight="1">
      <c r="I326" s="207"/>
      <c r="J326" s="207"/>
      <c r="K326" s="207"/>
      <c r="L326" s="207"/>
      <c r="M326" s="207"/>
    </row>
    <row r="327" spans="9:13" ht="12.75" customHeight="1">
      <c r="I327" s="207"/>
      <c r="J327" s="207"/>
      <c r="K327" s="207"/>
      <c r="L327" s="207"/>
      <c r="M327" s="207"/>
    </row>
    <row r="328" spans="9:13" ht="12.75" customHeight="1">
      <c r="I328" s="207"/>
      <c r="J328" s="207"/>
      <c r="K328" s="207"/>
      <c r="L328" s="207"/>
      <c r="M328" s="207"/>
    </row>
    <row r="329" spans="9:13" ht="12.75" customHeight="1">
      <c r="I329" s="207"/>
      <c r="J329" s="207"/>
      <c r="K329" s="207"/>
      <c r="L329" s="207"/>
      <c r="M329" s="207"/>
    </row>
    <row r="330" spans="9:13" ht="12.75" customHeight="1">
      <c r="I330" s="207"/>
      <c r="J330" s="207"/>
      <c r="K330" s="207"/>
      <c r="L330" s="207"/>
      <c r="M330" s="207"/>
    </row>
    <row r="331" spans="9:13" ht="12.75" customHeight="1">
      <c r="I331" s="207"/>
      <c r="J331" s="207"/>
      <c r="K331" s="207"/>
      <c r="L331" s="207"/>
      <c r="M331" s="207"/>
    </row>
    <row r="332" spans="9:13" ht="12.75" customHeight="1">
      <c r="I332" s="207"/>
      <c r="J332" s="207"/>
      <c r="K332" s="207"/>
      <c r="L332" s="207"/>
      <c r="M332" s="207"/>
    </row>
    <row r="333" spans="9:13" ht="12.75" customHeight="1">
      <c r="I333" s="207"/>
      <c r="J333" s="207"/>
      <c r="K333" s="207"/>
      <c r="L333" s="207"/>
      <c r="M333" s="207"/>
    </row>
    <row r="334" spans="9:13" ht="12.75" customHeight="1">
      <c r="I334" s="207"/>
      <c r="J334" s="207"/>
      <c r="K334" s="207"/>
      <c r="L334" s="207"/>
      <c r="M334" s="207"/>
    </row>
    <row r="335" spans="9:13" ht="12.75" customHeight="1">
      <c r="I335" s="207"/>
      <c r="J335" s="207"/>
      <c r="K335" s="207"/>
      <c r="L335" s="207"/>
      <c r="M335" s="207"/>
    </row>
    <row r="336" spans="9:13" ht="12.75" customHeight="1">
      <c r="I336" s="207"/>
      <c r="J336" s="207"/>
      <c r="K336" s="207"/>
      <c r="L336" s="207"/>
      <c r="M336" s="207"/>
    </row>
    <row r="337" spans="9:13" ht="12.75" customHeight="1">
      <c r="I337" s="207"/>
      <c r="J337" s="207"/>
      <c r="K337" s="207"/>
      <c r="L337" s="207"/>
      <c r="M337" s="207"/>
    </row>
    <row r="338" spans="9:13" ht="12.75" customHeight="1">
      <c r="I338" s="207"/>
      <c r="J338" s="207"/>
      <c r="K338" s="207"/>
      <c r="L338" s="207"/>
      <c r="M338" s="207"/>
    </row>
    <row r="339" spans="9:13" ht="12.75" customHeight="1">
      <c r="I339" s="207"/>
      <c r="J339" s="207"/>
      <c r="K339" s="207"/>
      <c r="L339" s="207"/>
      <c r="M339" s="207"/>
    </row>
    <row r="340" spans="9:13" ht="12.75" customHeight="1">
      <c r="I340" s="207"/>
      <c r="J340" s="207"/>
      <c r="K340" s="207"/>
      <c r="L340" s="207"/>
      <c r="M340" s="207"/>
    </row>
    <row r="341" spans="9:13" ht="12.75" customHeight="1">
      <c r="I341" s="207"/>
      <c r="J341" s="207"/>
      <c r="K341" s="207"/>
      <c r="L341" s="207"/>
      <c r="M341" s="207"/>
    </row>
    <row r="342" spans="9:13" ht="12.75" customHeight="1">
      <c r="I342" s="207"/>
      <c r="J342" s="207"/>
      <c r="K342" s="207"/>
      <c r="L342" s="207"/>
      <c r="M342" s="207"/>
    </row>
    <row r="343" spans="9:13" ht="12.75" customHeight="1">
      <c r="I343" s="207"/>
      <c r="J343" s="207"/>
      <c r="K343" s="207"/>
      <c r="L343" s="207"/>
      <c r="M343" s="207"/>
    </row>
    <row r="344" spans="9:13" ht="12.75" customHeight="1">
      <c r="I344" s="207"/>
      <c r="J344" s="207"/>
      <c r="K344" s="207"/>
      <c r="L344" s="207"/>
      <c r="M344" s="207"/>
    </row>
    <row r="345" spans="9:13" ht="12.75" customHeight="1">
      <c r="I345" s="207"/>
      <c r="J345" s="207"/>
      <c r="K345" s="207"/>
      <c r="L345" s="207"/>
      <c r="M345" s="207"/>
    </row>
    <row r="346" spans="9:13" ht="12.75" customHeight="1">
      <c r="I346" s="207"/>
      <c r="J346" s="207"/>
      <c r="K346" s="207"/>
      <c r="L346" s="207"/>
      <c r="M346" s="207"/>
    </row>
    <row r="347" spans="9:13" ht="12.75" customHeight="1">
      <c r="I347" s="207"/>
      <c r="J347" s="207"/>
      <c r="K347" s="207"/>
      <c r="L347" s="207"/>
      <c r="M347" s="207"/>
    </row>
    <row r="348" spans="9:13" ht="12.75" customHeight="1">
      <c r="I348" s="207"/>
      <c r="J348" s="207"/>
      <c r="K348" s="207"/>
      <c r="L348" s="207"/>
      <c r="M348" s="207"/>
    </row>
    <row r="349" spans="9:13" ht="12.75" customHeight="1">
      <c r="I349" s="207"/>
      <c r="J349" s="207"/>
      <c r="K349" s="207"/>
      <c r="L349" s="207"/>
      <c r="M349" s="207"/>
    </row>
    <row r="350" spans="9:13" ht="12.75" customHeight="1">
      <c r="I350" s="207"/>
      <c r="J350" s="207"/>
      <c r="K350" s="207"/>
      <c r="L350" s="207"/>
      <c r="M350" s="207"/>
    </row>
    <row r="351" spans="9:13" ht="12.75" customHeight="1">
      <c r="I351" s="207"/>
      <c r="J351" s="207"/>
      <c r="K351" s="207"/>
      <c r="L351" s="207"/>
      <c r="M351" s="207"/>
    </row>
    <row r="352" spans="9:13" ht="12.75" customHeight="1">
      <c r="I352" s="207"/>
      <c r="J352" s="207"/>
      <c r="K352" s="207"/>
      <c r="L352" s="207"/>
      <c r="M352" s="207"/>
    </row>
    <row r="353" spans="9:13" ht="12.75" customHeight="1">
      <c r="I353" s="207"/>
      <c r="J353" s="207"/>
      <c r="K353" s="207"/>
      <c r="L353" s="207"/>
      <c r="M353" s="207"/>
    </row>
    <row r="354" spans="9:13" ht="12.75" customHeight="1">
      <c r="I354" s="207"/>
      <c r="J354" s="207"/>
      <c r="K354" s="207"/>
      <c r="L354" s="207"/>
      <c r="M354" s="207"/>
    </row>
    <row r="355" spans="9:13" ht="12.75" customHeight="1">
      <c r="I355" s="207"/>
      <c r="J355" s="207"/>
      <c r="K355" s="207"/>
      <c r="L355" s="207"/>
      <c r="M355" s="207"/>
    </row>
    <row r="356" spans="9:13" ht="12.75" customHeight="1">
      <c r="I356" s="207"/>
      <c r="J356" s="207"/>
      <c r="K356" s="207"/>
      <c r="L356" s="207"/>
      <c r="M356" s="207"/>
    </row>
    <row r="357" spans="9:13" ht="12.75" customHeight="1">
      <c r="I357" s="207"/>
      <c r="J357" s="207"/>
      <c r="K357" s="207"/>
      <c r="L357" s="207"/>
      <c r="M357" s="207"/>
    </row>
    <row r="358" spans="9:13" ht="12.75" customHeight="1">
      <c r="I358" s="207"/>
      <c r="J358" s="207"/>
      <c r="K358" s="207"/>
      <c r="L358" s="207"/>
      <c r="M358" s="207"/>
    </row>
    <row r="359" spans="9:13" ht="12.75" customHeight="1">
      <c r="I359" s="207"/>
      <c r="J359" s="207"/>
      <c r="K359" s="207"/>
      <c r="L359" s="207"/>
      <c r="M359" s="207"/>
    </row>
    <row r="360" spans="9:13" ht="12.75" customHeight="1">
      <c r="I360" s="207"/>
      <c r="J360" s="207"/>
      <c r="K360" s="207"/>
      <c r="L360" s="207"/>
      <c r="M360" s="207"/>
    </row>
    <row r="361" spans="9:13" ht="12.75" customHeight="1">
      <c r="I361" s="207"/>
      <c r="J361" s="207"/>
      <c r="K361" s="207"/>
      <c r="L361" s="207"/>
      <c r="M361" s="207"/>
    </row>
    <row r="362" spans="9:13" ht="12.75" customHeight="1">
      <c r="I362" s="207"/>
      <c r="J362" s="207"/>
      <c r="K362" s="207"/>
      <c r="L362" s="207"/>
      <c r="M362" s="207"/>
    </row>
    <row r="363" spans="9:13" ht="12.75" customHeight="1">
      <c r="I363" s="207"/>
      <c r="J363" s="207"/>
      <c r="K363" s="207"/>
      <c r="L363" s="207"/>
      <c r="M363" s="207"/>
    </row>
    <row r="364" spans="9:13" ht="12.75" customHeight="1">
      <c r="I364" s="207"/>
      <c r="J364" s="207"/>
      <c r="K364" s="207"/>
      <c r="L364" s="207"/>
      <c r="M364" s="207"/>
    </row>
    <row r="365" spans="9:13" ht="12.75" customHeight="1">
      <c r="I365" s="207"/>
      <c r="J365" s="207"/>
      <c r="K365" s="207"/>
      <c r="L365" s="207"/>
      <c r="M365" s="207"/>
    </row>
    <row r="366" spans="9:13" ht="12.75" customHeight="1">
      <c r="I366" s="207"/>
      <c r="J366" s="207"/>
      <c r="K366" s="207"/>
      <c r="L366" s="207"/>
      <c r="M366" s="207"/>
    </row>
    <row r="367" spans="9:13" ht="12.75" customHeight="1">
      <c r="I367" s="207"/>
      <c r="J367" s="207"/>
      <c r="K367" s="207"/>
      <c r="L367" s="207"/>
      <c r="M367" s="207"/>
    </row>
    <row r="368" spans="9:13" ht="12.75" customHeight="1">
      <c r="I368" s="207"/>
      <c r="J368" s="207"/>
      <c r="K368" s="207"/>
      <c r="L368" s="207"/>
      <c r="M368" s="207"/>
    </row>
    <row r="369" spans="9:13" ht="12.75" customHeight="1">
      <c r="I369" s="207"/>
      <c r="J369" s="207"/>
      <c r="K369" s="207"/>
      <c r="L369" s="207"/>
      <c r="M369" s="207"/>
    </row>
    <row r="370" spans="9:13" ht="12.75" customHeight="1">
      <c r="I370" s="207"/>
      <c r="J370" s="207"/>
      <c r="K370" s="207"/>
      <c r="L370" s="207"/>
      <c r="M370" s="207"/>
    </row>
    <row r="371" spans="9:13" ht="12.75" customHeight="1">
      <c r="I371" s="207"/>
      <c r="J371" s="207"/>
      <c r="K371" s="207"/>
      <c r="L371" s="207"/>
      <c r="M371" s="207"/>
    </row>
    <row r="372" spans="9:13" ht="12.75" customHeight="1">
      <c r="I372" s="207"/>
      <c r="J372" s="207"/>
      <c r="K372" s="207"/>
      <c r="L372" s="207"/>
      <c r="M372" s="207"/>
    </row>
    <row r="373" spans="9:13" ht="12.75" customHeight="1">
      <c r="I373" s="207"/>
      <c r="J373" s="207"/>
      <c r="K373" s="207"/>
      <c r="L373" s="207"/>
      <c r="M373" s="207"/>
    </row>
    <row r="374" spans="9:13" ht="12.75" customHeight="1">
      <c r="I374" s="207"/>
      <c r="J374" s="207"/>
      <c r="K374" s="207"/>
      <c r="L374" s="207"/>
      <c r="M374" s="207"/>
    </row>
    <row r="375" spans="9:13" ht="12.75" customHeight="1">
      <c r="I375" s="207"/>
      <c r="J375" s="207"/>
      <c r="K375" s="207"/>
      <c r="L375" s="207"/>
      <c r="M375" s="207"/>
    </row>
    <row r="376" spans="9:13" ht="12.75" customHeight="1">
      <c r="I376" s="207"/>
      <c r="J376" s="207"/>
      <c r="K376" s="207"/>
      <c r="L376" s="207"/>
      <c r="M376" s="207"/>
    </row>
    <row r="377" spans="9:13" ht="12.75" customHeight="1">
      <c r="I377" s="207"/>
      <c r="J377" s="207"/>
      <c r="K377" s="207"/>
      <c r="L377" s="207"/>
      <c r="M377" s="207"/>
    </row>
    <row r="378" spans="9:13" ht="12.75" customHeight="1">
      <c r="I378" s="207"/>
      <c r="J378" s="207"/>
      <c r="K378" s="207"/>
      <c r="L378" s="207"/>
      <c r="M378" s="207"/>
    </row>
    <row r="379" spans="9:13" ht="12.75" customHeight="1">
      <c r="I379" s="207"/>
      <c r="J379" s="207"/>
      <c r="K379" s="207"/>
      <c r="L379" s="207"/>
      <c r="M379" s="207"/>
    </row>
    <row r="380" spans="9:13" ht="12.75" customHeight="1">
      <c r="I380" s="207"/>
      <c r="J380" s="207"/>
      <c r="K380" s="207"/>
      <c r="L380" s="207"/>
      <c r="M380" s="207"/>
    </row>
    <row r="381" spans="9:13" ht="12.75" customHeight="1">
      <c r="I381" s="207"/>
      <c r="J381" s="207"/>
      <c r="K381" s="207"/>
      <c r="L381" s="207"/>
      <c r="M381" s="207"/>
    </row>
    <row r="382" spans="9:13" ht="12.75" customHeight="1">
      <c r="I382" s="207"/>
      <c r="J382" s="207"/>
      <c r="K382" s="207"/>
      <c r="L382" s="207"/>
      <c r="M382" s="207"/>
    </row>
    <row r="383" spans="9:13" ht="12.75" customHeight="1">
      <c r="I383" s="207"/>
      <c r="J383" s="207"/>
      <c r="K383" s="207"/>
      <c r="L383" s="207"/>
      <c r="M383" s="207"/>
    </row>
    <row r="384" spans="9:13" ht="12.75" customHeight="1">
      <c r="I384" s="207"/>
      <c r="J384" s="207"/>
      <c r="K384" s="207"/>
      <c r="L384" s="207"/>
      <c r="M384" s="207"/>
    </row>
    <row r="385" spans="9:13" ht="12.75" customHeight="1">
      <c r="I385" s="207"/>
      <c r="J385" s="207"/>
      <c r="K385" s="207"/>
      <c r="L385" s="207"/>
      <c r="M385" s="207"/>
    </row>
    <row r="386" spans="9:13" ht="12.75" customHeight="1">
      <c r="I386" s="207"/>
      <c r="J386" s="207"/>
      <c r="K386" s="207"/>
      <c r="L386" s="207"/>
      <c r="M386" s="207"/>
    </row>
    <row r="387" spans="9:13" ht="12.75" customHeight="1">
      <c r="I387" s="207"/>
      <c r="J387" s="207"/>
      <c r="K387" s="207"/>
      <c r="L387" s="207"/>
      <c r="M387" s="207"/>
    </row>
    <row r="388" spans="9:13" ht="12.75" customHeight="1">
      <c r="I388" s="207"/>
      <c r="J388" s="207"/>
      <c r="K388" s="207"/>
      <c r="L388" s="207"/>
      <c r="M388" s="207"/>
    </row>
    <row r="389" spans="9:13" ht="12.75" customHeight="1">
      <c r="I389" s="207"/>
      <c r="J389" s="207"/>
      <c r="K389" s="207"/>
      <c r="L389" s="207"/>
      <c r="M389" s="207"/>
    </row>
    <row r="390" spans="9:13" ht="12.75" customHeight="1">
      <c r="I390" s="207"/>
      <c r="J390" s="207"/>
      <c r="K390" s="207"/>
      <c r="L390" s="207"/>
      <c r="M390" s="207"/>
    </row>
    <row r="391" spans="9:13" ht="12.75" customHeight="1">
      <c r="I391" s="207"/>
      <c r="J391" s="207"/>
      <c r="K391" s="207"/>
      <c r="L391" s="207"/>
      <c r="M391" s="207"/>
    </row>
    <row r="392" spans="9:13" ht="12.75" customHeight="1">
      <c r="I392" s="207"/>
      <c r="J392" s="207"/>
      <c r="K392" s="207"/>
      <c r="L392" s="207"/>
      <c r="M392" s="207"/>
    </row>
    <row r="393" spans="9:13" ht="12.75" customHeight="1">
      <c r="I393" s="207"/>
      <c r="J393" s="207"/>
      <c r="K393" s="207"/>
      <c r="L393" s="207"/>
      <c r="M393" s="207"/>
    </row>
    <row r="394" spans="9:13" ht="12.75" customHeight="1">
      <c r="I394" s="207"/>
      <c r="J394" s="207"/>
      <c r="K394" s="207"/>
      <c r="L394" s="207"/>
      <c r="M394" s="207"/>
    </row>
    <row r="395" spans="9:13" ht="12.75" customHeight="1">
      <c r="I395" s="207"/>
      <c r="J395" s="207"/>
      <c r="K395" s="207"/>
      <c r="L395" s="207"/>
      <c r="M395" s="207"/>
    </row>
    <row r="396" spans="9:13" ht="12.75" customHeight="1">
      <c r="I396" s="207"/>
      <c r="J396" s="207"/>
      <c r="K396" s="207"/>
      <c r="L396" s="207"/>
      <c r="M396" s="207"/>
    </row>
    <row r="397" spans="9:13" ht="12.75" customHeight="1">
      <c r="I397" s="207"/>
      <c r="J397" s="207"/>
      <c r="K397" s="207"/>
      <c r="L397" s="207"/>
      <c r="M397" s="207"/>
    </row>
  </sheetData>
  <sheetProtection/>
  <mergeCells count="504">
    <mergeCell ref="A113:H113"/>
    <mergeCell ref="A114:B114"/>
    <mergeCell ref="A115:B115"/>
    <mergeCell ref="A116:B116"/>
    <mergeCell ref="A117:B117"/>
    <mergeCell ref="O74:O75"/>
    <mergeCell ref="C85:H85"/>
    <mergeCell ref="H73:H74"/>
    <mergeCell ref="I73:I74"/>
    <mergeCell ref="J73:J74"/>
    <mergeCell ref="B5:B6"/>
    <mergeCell ref="B7:B8"/>
    <mergeCell ref="B9:B10"/>
    <mergeCell ref="B11:B12"/>
    <mergeCell ref="B13:B14"/>
    <mergeCell ref="B15:B16"/>
    <mergeCell ref="B17:B18"/>
    <mergeCell ref="B19:B20"/>
    <mergeCell ref="O66:O67"/>
    <mergeCell ref="O68:O69"/>
    <mergeCell ref="O70:O71"/>
    <mergeCell ref="O36:O37"/>
    <mergeCell ref="O38:O39"/>
    <mergeCell ref="O40:O41"/>
    <mergeCell ref="O42:O43"/>
    <mergeCell ref="C19:C20"/>
    <mergeCell ref="O72:O73"/>
    <mergeCell ref="O44:O45"/>
    <mergeCell ref="O46:O47"/>
    <mergeCell ref="O62:O63"/>
    <mergeCell ref="O64:O65"/>
    <mergeCell ref="G19:G20"/>
    <mergeCell ref="G21:G22"/>
    <mergeCell ref="H19:H20"/>
    <mergeCell ref="H21:H22"/>
    <mergeCell ref="O14:O15"/>
    <mergeCell ref="O16:O17"/>
    <mergeCell ref="O18:O19"/>
    <mergeCell ref="O34:O35"/>
    <mergeCell ref="O6:O7"/>
    <mergeCell ref="O8:O9"/>
    <mergeCell ref="O10:O11"/>
    <mergeCell ref="O12:O13"/>
    <mergeCell ref="C13:C14"/>
    <mergeCell ref="D5:D6"/>
    <mergeCell ref="D7:D8"/>
    <mergeCell ref="D9:D10"/>
    <mergeCell ref="D11:D12"/>
    <mergeCell ref="D13:D14"/>
    <mergeCell ref="C5:C6"/>
    <mergeCell ref="C7:C8"/>
    <mergeCell ref="C9:C10"/>
    <mergeCell ref="C11:C12"/>
    <mergeCell ref="E13:E14"/>
    <mergeCell ref="F5:F6"/>
    <mergeCell ref="F7:F8"/>
    <mergeCell ref="F9:F10"/>
    <mergeCell ref="F11:F12"/>
    <mergeCell ref="F13:F14"/>
    <mergeCell ref="E5:E6"/>
    <mergeCell ref="E7:E8"/>
    <mergeCell ref="E9:E10"/>
    <mergeCell ref="E11:E12"/>
    <mergeCell ref="G13:G14"/>
    <mergeCell ref="H5:H6"/>
    <mergeCell ref="H7:H8"/>
    <mergeCell ref="H9:H10"/>
    <mergeCell ref="H11:H12"/>
    <mergeCell ref="H13:H14"/>
    <mergeCell ref="G5:G6"/>
    <mergeCell ref="G7:G8"/>
    <mergeCell ref="G9:G10"/>
    <mergeCell ref="G11:G12"/>
    <mergeCell ref="I13:I14"/>
    <mergeCell ref="J5:J6"/>
    <mergeCell ref="J7:J8"/>
    <mergeCell ref="J9:J10"/>
    <mergeCell ref="J11:J12"/>
    <mergeCell ref="J13:J14"/>
    <mergeCell ref="I5:I6"/>
    <mergeCell ref="I7:I8"/>
    <mergeCell ref="I9:I10"/>
    <mergeCell ref="I11:I12"/>
    <mergeCell ref="C15:C16"/>
    <mergeCell ref="C17:C18"/>
    <mergeCell ref="D15:D16"/>
    <mergeCell ref="D17:D18"/>
    <mergeCell ref="E15:E16"/>
    <mergeCell ref="E17:E18"/>
    <mergeCell ref="F15:F16"/>
    <mergeCell ref="F17:F18"/>
    <mergeCell ref="I17:I18"/>
    <mergeCell ref="J15:J16"/>
    <mergeCell ref="J17:J18"/>
    <mergeCell ref="G15:G16"/>
    <mergeCell ref="G17:G18"/>
    <mergeCell ref="H15:H16"/>
    <mergeCell ref="H17:H18"/>
    <mergeCell ref="I15:I16"/>
    <mergeCell ref="N6:N7"/>
    <mergeCell ref="L7:L8"/>
    <mergeCell ref="N8:N9"/>
    <mergeCell ref="K5:K6"/>
    <mergeCell ref="K7:K8"/>
    <mergeCell ref="L5:L6"/>
    <mergeCell ref="K9:K10"/>
    <mergeCell ref="N10:N11"/>
    <mergeCell ref="K11:K12"/>
    <mergeCell ref="N12:N13"/>
    <mergeCell ref="L9:L10"/>
    <mergeCell ref="L11:L12"/>
    <mergeCell ref="L13:L14"/>
    <mergeCell ref="L15:L16"/>
    <mergeCell ref="M5:M6"/>
    <mergeCell ref="M7:M8"/>
    <mergeCell ref="M9:M10"/>
    <mergeCell ref="M11:M12"/>
    <mergeCell ref="L17:L18"/>
    <mergeCell ref="K17:K18"/>
    <mergeCell ref="N14:N15"/>
    <mergeCell ref="N16:N17"/>
    <mergeCell ref="M13:M14"/>
    <mergeCell ref="M15:M16"/>
    <mergeCell ref="M17:M18"/>
    <mergeCell ref="N18:N19"/>
    <mergeCell ref="K13:K14"/>
    <mergeCell ref="K15:K16"/>
    <mergeCell ref="C21:C22"/>
    <mergeCell ref="D19:D20"/>
    <mergeCell ref="D21:D22"/>
    <mergeCell ref="E19:E20"/>
    <mergeCell ref="E21:E22"/>
    <mergeCell ref="F21:F22"/>
    <mergeCell ref="F19:F20"/>
    <mergeCell ref="I21:I22"/>
    <mergeCell ref="K23:K24"/>
    <mergeCell ref="J21:J22"/>
    <mergeCell ref="K19:K20"/>
    <mergeCell ref="K21:K22"/>
    <mergeCell ref="I19:I20"/>
    <mergeCell ref="J19:J20"/>
    <mergeCell ref="G23:G24"/>
    <mergeCell ref="H23:H24"/>
    <mergeCell ref="I23:I24"/>
    <mergeCell ref="J23:J24"/>
    <mergeCell ref="C23:C24"/>
    <mergeCell ref="D23:D24"/>
    <mergeCell ref="E23:E24"/>
    <mergeCell ref="F23:F24"/>
    <mergeCell ref="L23:L24"/>
    <mergeCell ref="M23:M24"/>
    <mergeCell ref="N22:N23"/>
    <mergeCell ref="L21:L22"/>
    <mergeCell ref="N20:N21"/>
    <mergeCell ref="M19:M20"/>
    <mergeCell ref="M21:M22"/>
    <mergeCell ref="L19:L20"/>
    <mergeCell ref="C33:C34"/>
    <mergeCell ref="D33:D34"/>
    <mergeCell ref="E33:E34"/>
    <mergeCell ref="F33:F34"/>
    <mergeCell ref="G33:G34"/>
    <mergeCell ref="H33:H34"/>
    <mergeCell ref="I33:I34"/>
    <mergeCell ref="J33:J34"/>
    <mergeCell ref="K33:K34"/>
    <mergeCell ref="L33:L34"/>
    <mergeCell ref="M33:M34"/>
    <mergeCell ref="N34:N35"/>
    <mergeCell ref="K35:K36"/>
    <mergeCell ref="L35:L36"/>
    <mergeCell ref="M35:M36"/>
    <mergeCell ref="N36:N37"/>
    <mergeCell ref="K37:K38"/>
    <mergeCell ref="L37:L38"/>
    <mergeCell ref="C35:C36"/>
    <mergeCell ref="D35:D36"/>
    <mergeCell ref="E35:E36"/>
    <mergeCell ref="F35:F36"/>
    <mergeCell ref="G35:G36"/>
    <mergeCell ref="H35:H36"/>
    <mergeCell ref="I35:I36"/>
    <mergeCell ref="J35:J36"/>
    <mergeCell ref="C37:C38"/>
    <mergeCell ref="D37:D38"/>
    <mergeCell ref="E37:E38"/>
    <mergeCell ref="F37:F38"/>
    <mergeCell ref="G37:G38"/>
    <mergeCell ref="H37:H38"/>
    <mergeCell ref="I37:I38"/>
    <mergeCell ref="J37:J38"/>
    <mergeCell ref="M37:M38"/>
    <mergeCell ref="N38:N39"/>
    <mergeCell ref="C39:C40"/>
    <mergeCell ref="D39:D40"/>
    <mergeCell ref="E39:E40"/>
    <mergeCell ref="F39:F40"/>
    <mergeCell ref="G39:G40"/>
    <mergeCell ref="H39:H40"/>
    <mergeCell ref="I39:I40"/>
    <mergeCell ref="J39:J40"/>
    <mergeCell ref="K39:K40"/>
    <mergeCell ref="L39:L40"/>
    <mergeCell ref="M39:M40"/>
    <mergeCell ref="N40:N41"/>
    <mergeCell ref="K41:K42"/>
    <mergeCell ref="L41:L42"/>
    <mergeCell ref="M41:M42"/>
    <mergeCell ref="N42:N43"/>
    <mergeCell ref="K43:K44"/>
    <mergeCell ref="L43:L44"/>
    <mergeCell ref="C41:C42"/>
    <mergeCell ref="D41:D42"/>
    <mergeCell ref="E41:E42"/>
    <mergeCell ref="F41:F42"/>
    <mergeCell ref="G41:G42"/>
    <mergeCell ref="H41:H42"/>
    <mergeCell ref="I41:I42"/>
    <mergeCell ref="J41:J42"/>
    <mergeCell ref="C43:C44"/>
    <mergeCell ref="D43:D44"/>
    <mergeCell ref="E43:E44"/>
    <mergeCell ref="F43:F44"/>
    <mergeCell ref="G43:G44"/>
    <mergeCell ref="H43:H44"/>
    <mergeCell ref="I43:I44"/>
    <mergeCell ref="J43:J44"/>
    <mergeCell ref="M43:M44"/>
    <mergeCell ref="N44:N45"/>
    <mergeCell ref="C45:C46"/>
    <mergeCell ref="D45:D46"/>
    <mergeCell ref="E45:E46"/>
    <mergeCell ref="F45:F46"/>
    <mergeCell ref="G45:G46"/>
    <mergeCell ref="H45:H46"/>
    <mergeCell ref="I45:I46"/>
    <mergeCell ref="J45:J46"/>
    <mergeCell ref="K45:K46"/>
    <mergeCell ref="L45:L46"/>
    <mergeCell ref="M45:M46"/>
    <mergeCell ref="N46:N47"/>
    <mergeCell ref="K47:K48"/>
    <mergeCell ref="L47:L48"/>
    <mergeCell ref="M47:M48"/>
    <mergeCell ref="N48:N49"/>
    <mergeCell ref="K49:K50"/>
    <mergeCell ref="L49:L50"/>
    <mergeCell ref="C47:C48"/>
    <mergeCell ref="D47:D48"/>
    <mergeCell ref="E47:E48"/>
    <mergeCell ref="F47:F48"/>
    <mergeCell ref="G47:G48"/>
    <mergeCell ref="H47:H48"/>
    <mergeCell ref="I47:I48"/>
    <mergeCell ref="J47:J48"/>
    <mergeCell ref="C49:C50"/>
    <mergeCell ref="D49:D50"/>
    <mergeCell ref="E49:E50"/>
    <mergeCell ref="F49:F50"/>
    <mergeCell ref="G49:G50"/>
    <mergeCell ref="H49:H50"/>
    <mergeCell ref="I49:I50"/>
    <mergeCell ref="J49:J50"/>
    <mergeCell ref="M49:M50"/>
    <mergeCell ref="N50:N51"/>
    <mergeCell ref="C51:C52"/>
    <mergeCell ref="D51:D52"/>
    <mergeCell ref="E51:E52"/>
    <mergeCell ref="F51:F52"/>
    <mergeCell ref="G51:G52"/>
    <mergeCell ref="H51:H52"/>
    <mergeCell ref="I51:I52"/>
    <mergeCell ref="J51:J52"/>
    <mergeCell ref="K51:K52"/>
    <mergeCell ref="L51:L52"/>
    <mergeCell ref="M51:M52"/>
    <mergeCell ref="C61:C62"/>
    <mergeCell ref="D61:D62"/>
    <mergeCell ref="E61:E62"/>
    <mergeCell ref="F61:F62"/>
    <mergeCell ref="G61:G62"/>
    <mergeCell ref="H61:H62"/>
    <mergeCell ref="I61:I62"/>
    <mergeCell ref="J61:J62"/>
    <mergeCell ref="K61:K62"/>
    <mergeCell ref="L61:L62"/>
    <mergeCell ref="M61:M62"/>
    <mergeCell ref="N62:N63"/>
    <mergeCell ref="C63:C64"/>
    <mergeCell ref="D63:D64"/>
    <mergeCell ref="E63:E64"/>
    <mergeCell ref="F63:F64"/>
    <mergeCell ref="G63:G64"/>
    <mergeCell ref="H63:H64"/>
    <mergeCell ref="I63:I64"/>
    <mergeCell ref="J63:J64"/>
    <mergeCell ref="K63:K64"/>
    <mergeCell ref="L63:L64"/>
    <mergeCell ref="M63:M64"/>
    <mergeCell ref="N64:N65"/>
    <mergeCell ref="C65:C66"/>
    <mergeCell ref="D65:D66"/>
    <mergeCell ref="E65:E66"/>
    <mergeCell ref="F65:F66"/>
    <mergeCell ref="G65:G66"/>
    <mergeCell ref="H65:H66"/>
    <mergeCell ref="I65:I66"/>
    <mergeCell ref="J65:J66"/>
    <mergeCell ref="K65:K66"/>
    <mergeCell ref="L65:L66"/>
    <mergeCell ref="M65:M66"/>
    <mergeCell ref="N66:N67"/>
    <mergeCell ref="C67:C68"/>
    <mergeCell ref="D67:D68"/>
    <mergeCell ref="E67:E68"/>
    <mergeCell ref="F67:F68"/>
    <mergeCell ref="G67:G68"/>
    <mergeCell ref="H67:H68"/>
    <mergeCell ref="I67:I68"/>
    <mergeCell ref="J67:J68"/>
    <mergeCell ref="K67:K68"/>
    <mergeCell ref="L67:L68"/>
    <mergeCell ref="M67:M68"/>
    <mergeCell ref="N68:N69"/>
    <mergeCell ref="C69:C70"/>
    <mergeCell ref="D69:D70"/>
    <mergeCell ref="E69:E70"/>
    <mergeCell ref="F69:F70"/>
    <mergeCell ref="G69:G70"/>
    <mergeCell ref="H69:H70"/>
    <mergeCell ref="I69:I70"/>
    <mergeCell ref="J69:J70"/>
    <mergeCell ref="K69:K70"/>
    <mergeCell ref="L69:L70"/>
    <mergeCell ref="M69:M70"/>
    <mergeCell ref="N70:N71"/>
    <mergeCell ref="C71:C72"/>
    <mergeCell ref="D71:D72"/>
    <mergeCell ref="E71:E72"/>
    <mergeCell ref="F71:F72"/>
    <mergeCell ref="G71:G72"/>
    <mergeCell ref="H71:H72"/>
    <mergeCell ref="I71:I72"/>
    <mergeCell ref="J71:J72"/>
    <mergeCell ref="K71:K72"/>
    <mergeCell ref="L71:L72"/>
    <mergeCell ref="M71:M72"/>
    <mergeCell ref="N72:N73"/>
    <mergeCell ref="C73:C74"/>
    <mergeCell ref="D73:D74"/>
    <mergeCell ref="E73:E74"/>
    <mergeCell ref="F73:F74"/>
    <mergeCell ref="G73:G74"/>
    <mergeCell ref="K73:K74"/>
    <mergeCell ref="L73:L74"/>
    <mergeCell ref="M73:M74"/>
    <mergeCell ref="N74:N75"/>
    <mergeCell ref="C75:C76"/>
    <mergeCell ref="D75:D76"/>
    <mergeCell ref="E75:E76"/>
    <mergeCell ref="F75:F76"/>
    <mergeCell ref="G75:G76"/>
    <mergeCell ref="H75:H76"/>
    <mergeCell ref="K75:K76"/>
    <mergeCell ref="L75:L76"/>
    <mergeCell ref="M75:M76"/>
    <mergeCell ref="N76:N77"/>
    <mergeCell ref="I77:I78"/>
    <mergeCell ref="J77:J78"/>
    <mergeCell ref="K77:K78"/>
    <mergeCell ref="L77:L78"/>
    <mergeCell ref="E77:E78"/>
    <mergeCell ref="F77:F78"/>
    <mergeCell ref="G77:G78"/>
    <mergeCell ref="H77:H78"/>
    <mergeCell ref="I75:I76"/>
    <mergeCell ref="J75:J76"/>
    <mergeCell ref="M77:M78"/>
    <mergeCell ref="N78:N79"/>
    <mergeCell ref="C79:C80"/>
    <mergeCell ref="D79:D80"/>
    <mergeCell ref="E79:E80"/>
    <mergeCell ref="F79:F80"/>
    <mergeCell ref="G79:G80"/>
    <mergeCell ref="H79:H80"/>
    <mergeCell ref="I79:I80"/>
    <mergeCell ref="J79:J80"/>
    <mergeCell ref="K79:K80"/>
    <mergeCell ref="L79:L80"/>
    <mergeCell ref="M79:M80"/>
    <mergeCell ref="C88:C89"/>
    <mergeCell ref="D88:D89"/>
    <mergeCell ref="E88:E89"/>
    <mergeCell ref="F88:F89"/>
    <mergeCell ref="G88:G89"/>
    <mergeCell ref="H88:H89"/>
    <mergeCell ref="B33:B34"/>
    <mergeCell ref="B35:B36"/>
    <mergeCell ref="B37:B38"/>
    <mergeCell ref="B39:B40"/>
    <mergeCell ref="C102:C103"/>
    <mergeCell ref="C104:C105"/>
    <mergeCell ref="C90:C91"/>
    <mergeCell ref="C92:C93"/>
    <mergeCell ref="C94:C95"/>
    <mergeCell ref="C96:C97"/>
    <mergeCell ref="C106:C107"/>
    <mergeCell ref="C108:C109"/>
    <mergeCell ref="C110:C111"/>
    <mergeCell ref="B41:B42"/>
    <mergeCell ref="B43:B44"/>
    <mergeCell ref="B45:B46"/>
    <mergeCell ref="B47:B48"/>
    <mergeCell ref="B61:B62"/>
    <mergeCell ref="B63:B64"/>
    <mergeCell ref="B65:B66"/>
    <mergeCell ref="B67:B68"/>
    <mergeCell ref="B69:B70"/>
    <mergeCell ref="B71:B72"/>
    <mergeCell ref="B73:B74"/>
    <mergeCell ref="B75:B76"/>
    <mergeCell ref="D98:D99"/>
    <mergeCell ref="C98:C99"/>
    <mergeCell ref="C77:C78"/>
    <mergeCell ref="D77:D78"/>
    <mergeCell ref="D100:D101"/>
    <mergeCell ref="D102:D103"/>
    <mergeCell ref="D90:D91"/>
    <mergeCell ref="D92:D93"/>
    <mergeCell ref="D94:D95"/>
    <mergeCell ref="D96:D97"/>
    <mergeCell ref="C100:C101"/>
    <mergeCell ref="D104:D105"/>
    <mergeCell ref="D106:D107"/>
    <mergeCell ref="D108:D109"/>
    <mergeCell ref="D110:D111"/>
    <mergeCell ref="E90:E91"/>
    <mergeCell ref="E92:E93"/>
    <mergeCell ref="E94:E95"/>
    <mergeCell ref="E96:E97"/>
    <mergeCell ref="E98:E99"/>
    <mergeCell ref="E100:E101"/>
    <mergeCell ref="E102:E103"/>
    <mergeCell ref="E104:E105"/>
    <mergeCell ref="E106:E107"/>
    <mergeCell ref="E108:E109"/>
    <mergeCell ref="E110:E111"/>
    <mergeCell ref="F90:F91"/>
    <mergeCell ref="F92:F93"/>
    <mergeCell ref="F94:F95"/>
    <mergeCell ref="F96:F97"/>
    <mergeCell ref="F98:F99"/>
    <mergeCell ref="F100:F101"/>
    <mergeCell ref="F102:F103"/>
    <mergeCell ref="F104:F105"/>
    <mergeCell ref="F106:F107"/>
    <mergeCell ref="F108:F109"/>
    <mergeCell ref="F110:F111"/>
    <mergeCell ref="G90:G91"/>
    <mergeCell ref="G92:G93"/>
    <mergeCell ref="G94:G95"/>
    <mergeCell ref="G96:G97"/>
    <mergeCell ref="G98:G99"/>
    <mergeCell ref="G100:G101"/>
    <mergeCell ref="G102:G103"/>
    <mergeCell ref="G104:G105"/>
    <mergeCell ref="G106:G107"/>
    <mergeCell ref="G108:G109"/>
    <mergeCell ref="G110:G111"/>
    <mergeCell ref="H90:H91"/>
    <mergeCell ref="H92:H93"/>
    <mergeCell ref="H94:H95"/>
    <mergeCell ref="H96:H97"/>
    <mergeCell ref="H98:H99"/>
    <mergeCell ref="H100:H101"/>
    <mergeCell ref="H102:H103"/>
    <mergeCell ref="H104:H105"/>
    <mergeCell ref="H106:H107"/>
    <mergeCell ref="H108:H109"/>
    <mergeCell ref="H110:H111"/>
    <mergeCell ref="A5:A6"/>
    <mergeCell ref="A7:A8"/>
    <mergeCell ref="A9:A10"/>
    <mergeCell ref="A11:A12"/>
    <mergeCell ref="A13:A14"/>
    <mergeCell ref="A15:A16"/>
    <mergeCell ref="A17:A18"/>
    <mergeCell ref="A19:A20"/>
    <mergeCell ref="A33:A34"/>
    <mergeCell ref="A35:A36"/>
    <mergeCell ref="A37:A38"/>
    <mergeCell ref="A39:A40"/>
    <mergeCell ref="A41:A42"/>
    <mergeCell ref="A43:A44"/>
    <mergeCell ref="A45:A46"/>
    <mergeCell ref="A47:A48"/>
    <mergeCell ref="A61:A62"/>
    <mergeCell ref="A75:A76"/>
    <mergeCell ref="A63:A64"/>
    <mergeCell ref="A65:A66"/>
    <mergeCell ref="A67:A68"/>
    <mergeCell ref="A69:A70"/>
    <mergeCell ref="A71:A72"/>
    <mergeCell ref="A73:A74"/>
  </mergeCells>
  <printOptions/>
  <pageMargins left="0.75" right="0.75" top="1" bottom="1" header="0" footer="0"/>
  <pageSetup fitToHeight="1" fitToWidth="1" horizontalDpi="300" verticalDpi="300" orientation="portrait" paperSize="9" scale="42" r:id="rId3"/>
  <legacyDrawing r:id="rId2"/>
</worksheet>
</file>

<file path=xl/worksheets/sheet12.xml><?xml version="1.0" encoding="utf-8"?>
<worksheet xmlns="http://schemas.openxmlformats.org/spreadsheetml/2006/main" xmlns:r="http://schemas.openxmlformats.org/officeDocument/2006/relationships">
  <dimension ref="A1:I25"/>
  <sheetViews>
    <sheetView zoomScale="140" zoomScaleNormal="140" zoomScalePageLayoutView="0" workbookViewId="0" topLeftCell="A1">
      <selection activeCell="D86" sqref="D86"/>
    </sheetView>
  </sheetViews>
  <sheetFormatPr defaultColWidth="9.140625" defaultRowHeight="12.75"/>
  <cols>
    <col min="3" max="3" width="14.7109375" style="0" customWidth="1"/>
    <col min="4" max="4" width="13.421875" style="0" customWidth="1"/>
    <col min="5" max="5" width="16.8515625" style="0" hidden="1" customWidth="1"/>
    <col min="6" max="6" width="16.28125" style="0" customWidth="1"/>
    <col min="7" max="7" width="13.8515625" style="0" customWidth="1"/>
    <col min="8" max="8" width="10.8515625" style="0" bestFit="1" customWidth="1"/>
    <col min="9" max="9" width="15.140625" style="0" bestFit="1" customWidth="1"/>
    <col min="10" max="10" width="12.421875" style="0" customWidth="1"/>
    <col min="11" max="11" width="12.140625" style="0" customWidth="1"/>
  </cols>
  <sheetData>
    <row r="1" spans="1:9" ht="26.25" thickBot="1">
      <c r="A1" s="215"/>
      <c r="B1" s="215" t="s">
        <v>167</v>
      </c>
      <c r="C1" s="216" t="str">
        <f>'Prisoptimering 3.1&amp;3.2'!N4</f>
        <v>Differensbidrag pr. time</v>
      </c>
      <c r="D1" s="216" t="s">
        <v>168</v>
      </c>
      <c r="E1" s="31" t="s">
        <v>186</v>
      </c>
      <c r="F1" s="215" t="s">
        <v>187</v>
      </c>
      <c r="G1" s="215" t="s">
        <v>167</v>
      </c>
      <c r="H1" s="217" t="str">
        <f>D1</f>
        <v>Ekstra timeforbrug</v>
      </c>
      <c r="I1" s="218" t="s">
        <v>188</v>
      </c>
    </row>
    <row r="2" spans="1:9" ht="12.75">
      <c r="A2" s="219">
        <v>1</v>
      </c>
      <c r="B2" s="220" t="str">
        <f>CONCATENATE(1," ",'Prisoptimering 3.1&amp;3.2'!$D$2)</f>
        <v>1 Danmark</v>
      </c>
      <c r="C2" s="221">
        <f>'Prisoptimering 3.1&amp;3.2'!N5</f>
        <v>4400</v>
      </c>
      <c r="D2" s="222">
        <f>'Prisoptimering 3.1&amp;3.2'!O5</f>
        <v>2000</v>
      </c>
      <c r="E2" s="223">
        <f aca="true" t="shared" si="0" ref="E2:E25">SMALL($C$2:$C$25,A2)</f>
        <v>-100</v>
      </c>
      <c r="F2" s="224">
        <f aca="true" t="shared" si="1" ref="F2:F25">LARGE($E$2:$E$25,A2)</f>
        <v>4400</v>
      </c>
      <c r="G2" s="219" t="str">
        <f>IF(F2=C2,B2,IF(F2=C10,B10,IF(F2=C18,B18)))</f>
        <v>1 Danmark</v>
      </c>
      <c r="H2" s="225">
        <f>IF(G2=$B$2,$D$2,IF(G2=$B$10,$D$10,IF(G2=$B$18,$D$18)))</f>
        <v>2000</v>
      </c>
      <c r="I2" s="226">
        <f>H2</f>
        <v>2000</v>
      </c>
    </row>
    <row r="3" spans="1:9" ht="12.75">
      <c r="A3" s="3">
        <f aca="true" t="shared" si="2" ref="A3:A25">A2+1</f>
        <v>2</v>
      </c>
      <c r="B3" s="4" t="str">
        <f>CONCATENATE(2," ",'Prisoptimering 3.1&amp;3.2'!$D$2)</f>
        <v>2 Danmark</v>
      </c>
      <c r="C3" s="227">
        <f>'Prisoptimering 3.1&amp;3.2'!N6</f>
        <v>1900</v>
      </c>
      <c r="D3" s="5">
        <f>'Prisoptimering 3.1&amp;3.2'!O6</f>
        <v>500</v>
      </c>
      <c r="E3" s="91">
        <f t="shared" si="0"/>
        <v>0</v>
      </c>
      <c r="F3" s="228">
        <f t="shared" si="1"/>
        <v>2400</v>
      </c>
      <c r="G3" s="3" t="str">
        <f>IF(F3=$C$2,$B$2,IF(F3=$C$3,$B$3,IF(F3=$C$10,$B$10,IF(F3=$C$11,$B$11,IF(F3=$C$18,$B$18,IF(F3=$C$19,$B$19))))))</f>
        <v>1 Tyskland</v>
      </c>
      <c r="H3" s="229">
        <f>IF(G3=$B$2,$D$2,IF(G3=$B$10,$D$10,IF(G3=$B$18,$D$18,IF(G3=$B$3,$D$3,IF(G3=$B$11,$D$11,IF(G3=$B$19,$D$19,IF(G3=$B$4,$D$4,IF(G3=$B$12,$D$12))))))))</f>
        <v>6000</v>
      </c>
      <c r="I3" s="226">
        <f aca="true" t="shared" si="3" ref="I3:I13">H3+I2</f>
        <v>8000</v>
      </c>
    </row>
    <row r="4" spans="1:9" ht="12.75">
      <c r="A4" s="3">
        <f t="shared" si="2"/>
        <v>3</v>
      </c>
      <c r="B4" s="4" t="str">
        <f>CONCATENATE(3," ",'Prisoptimering 3.1&amp;3.2'!$D$2)</f>
        <v>3 Danmark</v>
      </c>
      <c r="C4" s="227">
        <f>'Prisoptimering 3.1&amp;3.2'!N8</f>
        <v>900</v>
      </c>
      <c r="D4" s="5">
        <f>'Prisoptimering 3.1&amp;3.2'!O8</f>
        <v>500</v>
      </c>
      <c r="E4" s="91">
        <f t="shared" si="0"/>
        <v>0</v>
      </c>
      <c r="F4" s="228">
        <f t="shared" si="1"/>
        <v>1900</v>
      </c>
      <c r="G4" s="3" t="str">
        <f>IF(F4=$C$2,$B$2,IF(F4=$C$3,$B$3,IF(F4=$C$10,$B$10,IF(F4=$C$11,$B$11,IF(F4=$C$18,$B$18,IF(F4=$C$19,$B$19,IF(F4=$C$4,$B$4,IF(F4=$C$12,$B$12,))))))))</f>
        <v>2 Danmark</v>
      </c>
      <c r="H4" s="229">
        <f>IF(G4=$B$2,$D$2,IF(G4=$B$10,$D$10,IF(G4=$B$18,$D$18,IF(G4=$B$3,$D$3,IF(G4=$B$11,$D$11,IF(G4=$B$19,$D$19,IF(G4=$B$4,$D$4,IF(G4=$B$12,$D$12))))))))</f>
        <v>500</v>
      </c>
      <c r="I4" s="226">
        <f t="shared" si="3"/>
        <v>8500</v>
      </c>
    </row>
    <row r="5" spans="1:9" ht="12.75">
      <c r="A5" s="3">
        <f t="shared" si="2"/>
        <v>4</v>
      </c>
      <c r="B5" s="4" t="str">
        <f>CONCATENATE(4," ",'Prisoptimering 3.1&amp;3.2'!$D$2)</f>
        <v>4 Danmark</v>
      </c>
      <c r="C5" s="227">
        <f>'Prisoptimering 3.1&amp;3.2'!N10</f>
        <v>-100</v>
      </c>
      <c r="D5" s="5">
        <f>'Prisoptimering 3.1&amp;3.2'!O10</f>
        <v>500</v>
      </c>
      <c r="E5" s="91">
        <f t="shared" si="0"/>
        <v>0</v>
      </c>
      <c r="F5" s="228">
        <f t="shared" si="1"/>
        <v>1800</v>
      </c>
      <c r="G5" s="3" t="str">
        <f>IF(F5=$C$2,$B$2,IF(F5=$C$3,$B$3,IF(F5=$C$10,$B$10,IF(F5=$C$11,$B$11,IF(F5=$C$18,$B$18,IF(F5=$C$19,$B$19,IF(F5=$C$4,$B$4,IF(F5=$C$12,$B$12,))))))))</f>
        <v>1 England</v>
      </c>
      <c r="H5" s="229">
        <f>IF(G5=$B$2,$D$2,IF(G5=$B$10,$D$10,IF(G5=$B$18,$D$18,IF(G5=$B$3,$D$3,IF(G5=$B$11,$D$11,IF(G5=$B$19,$D$19,IF(G5=$B$4,$D$4,IF(G5=$B$12,$D$12))))))))</f>
        <v>8000</v>
      </c>
      <c r="I5" s="226">
        <f t="shared" si="3"/>
        <v>16500</v>
      </c>
    </row>
    <row r="6" spans="1:9" ht="12.75">
      <c r="A6" s="3">
        <f t="shared" si="2"/>
        <v>5</v>
      </c>
      <c r="B6" s="4" t="str">
        <f>CONCATENATE(5," ",'Prisoptimering 3.1&amp;3.2'!$D$2)</f>
        <v>5 Danmark</v>
      </c>
      <c r="C6" s="227">
        <f>'Prisoptimering 3.1&amp;3.2'!N12</f>
        <v>0</v>
      </c>
      <c r="D6" s="5">
        <f>'Prisoptimering 3.1&amp;3.2'!O12</f>
        <v>0</v>
      </c>
      <c r="E6" s="91">
        <f t="shared" si="0"/>
        <v>0</v>
      </c>
      <c r="F6" s="228">
        <f t="shared" si="1"/>
        <v>900</v>
      </c>
      <c r="G6" s="3" t="str">
        <f>IF(F6=$C$2,$B$2,IF(F6=$C$3,$B$3,IF(F6=$C$10,$B$10,IF(F6=$C$11,$B$11,IF(F6=$C$18,$B$18,IF(F6=$C$19,$B$19,IF(F6=$C$4,$B$4,IF(F6=$C$12,$B$12,))))))))</f>
        <v>3 Danmark</v>
      </c>
      <c r="H6" s="229">
        <f>IF(G6=$B$2,$D$2,IF(G6=$B$10,$D$10,IF(G6=$B$18,$D$18,IF(G6=$B$3,$D$3,IF(G6=$B$11,$D$11,IF(G6=$B$19,$D$19,IF(G6=$B$4,$D$4,IF(G6=$B$12,$D$12))))))))</f>
        <v>500</v>
      </c>
      <c r="I6" s="226">
        <f t="shared" si="3"/>
        <v>17000</v>
      </c>
    </row>
    <row r="7" spans="1:9" ht="12.75">
      <c r="A7" s="3">
        <f t="shared" si="2"/>
        <v>6</v>
      </c>
      <c r="B7" s="4" t="str">
        <f>CONCATENATE(6," ",'Prisoptimering 3.1&amp;3.2'!$D$2)</f>
        <v>6 Danmark</v>
      </c>
      <c r="C7" s="227">
        <f>'Prisoptimering 3.1&amp;3.2'!N14</f>
        <v>0</v>
      </c>
      <c r="D7" s="5">
        <f>'Prisoptimering 3.1&amp;3.2'!O14</f>
        <v>0</v>
      </c>
      <c r="E7" s="91">
        <f t="shared" si="0"/>
        <v>0</v>
      </c>
      <c r="F7" s="228">
        <f t="shared" si="1"/>
        <v>0</v>
      </c>
      <c r="G7" s="3" t="str">
        <f>IF(F7=$C$2,$B$2,IF(F7=$C$3,$B$3,IF(F7=$C$10,$B$10,IF(F7=$C$11,$B$11,IF(F7=$C$18,$B$18,IF(F7=$C$19,$B$19,IF(F7=$C$4,$B$4,IF(F7=$C$12,$B$12,))))))))</f>
        <v>2 Tyskland</v>
      </c>
      <c r="H7" s="229">
        <f>IF(G7=$B$2,$D$2,IF(G7=$B$10,$D$10,IF(G7=$B$18,$D$18,IF(G7=$B$3,$D$3,IF(G7=$B$11,$D$11,IF(G7=$B$19,$D$19,IF(G7=$B$4,$D$4,IF(G7=$B$12,$D$12))))))))</f>
        <v>0</v>
      </c>
      <c r="I7" s="226">
        <f t="shared" si="3"/>
        <v>17000</v>
      </c>
    </row>
    <row r="8" spans="1:9" ht="12.75">
      <c r="A8" s="3">
        <f t="shared" si="2"/>
        <v>7</v>
      </c>
      <c r="B8" s="4" t="str">
        <f>CONCATENATE(7," ",'Prisoptimering 3.1&amp;3.2'!$D$2)</f>
        <v>7 Danmark</v>
      </c>
      <c r="C8" s="227">
        <f>'Prisoptimering 3.1&amp;3.2'!N16</f>
        <v>0</v>
      </c>
      <c r="D8" s="5">
        <f>'Prisoptimering 3.1&amp;3.2'!O16</f>
        <v>0</v>
      </c>
      <c r="E8" s="91">
        <f t="shared" si="0"/>
        <v>0</v>
      </c>
      <c r="F8" s="228">
        <f t="shared" si="1"/>
        <v>0</v>
      </c>
      <c r="G8" s="3" t="str">
        <f>IF(F8=$C$2,$B$2,IF(F8=$C$3,$B$3,IF(F8=$C$13,$B$13,IF(F8=$C$11,$B$11,IF(F8=$C$18,$B$18,IF(F8=$C$19,$B$19,IF(F8=$C$4,$B$4,IF(F8=$C$12,$B$12,))))))))</f>
        <v>4 Tyskland</v>
      </c>
      <c r="H8" s="229">
        <f>IF(G8=$B$2,$D$2,IF(G8=$B$13,$D$13,IF(G8=$B$18,$D$18,IF(G8=$B$3,$D$3,IF(G8=$B$11,$D$11,IF(G8=$B$19,$D$19,IF(G8=$B$4,$D$4,IF(G8=$B$12,$D$12))))))))</f>
        <v>0</v>
      </c>
      <c r="I8" s="226">
        <f t="shared" si="3"/>
        <v>17000</v>
      </c>
    </row>
    <row r="9" spans="1:9" ht="13.5" thickBot="1">
      <c r="A9" s="3">
        <f t="shared" si="2"/>
        <v>8</v>
      </c>
      <c r="B9" s="4" t="str">
        <f>CONCATENATE(7," ",'Prisoptimering 3.1&amp;3.2'!$D$2)</f>
        <v>7 Danmark</v>
      </c>
      <c r="C9" s="227">
        <f>'Prisoptimering 3.1&amp;3.2'!N18</f>
        <v>0</v>
      </c>
      <c r="D9" s="5">
        <f>'Prisoptimering 3.1&amp;3.2'!O18</f>
        <v>0</v>
      </c>
      <c r="E9" s="91">
        <f t="shared" si="0"/>
        <v>0</v>
      </c>
      <c r="F9" s="228">
        <f t="shared" si="1"/>
        <v>0</v>
      </c>
      <c r="G9" s="3" t="str">
        <f>IF(F9=$C$5,$B$5,IF(F9=$C$3,$B$3,IF(F9=$C$13,$B$13,IF(F9=$C$11,$B$11,IF(F9=$C$19,$B$19,IF(F9=$C$20,$B$20,IF(F9=$C$4,$B$4,IF(F9=$C$12,$B$12,))))))))</f>
        <v>4 Tyskland</v>
      </c>
      <c r="H9" s="229">
        <f>IF(G9=$B$5,$D$5,IF(G9=$B$13,$D$13,IF(G9=$B$20,$D$20,IF(G9=$B$3,$D$3,IF(G9=$B$11,$D$11,IF(G9=$B$19,$D$19,IF(G9=$B$4,$D$4,IF(G9=$B$12,$D$12))))))))</f>
        <v>0</v>
      </c>
      <c r="I9" s="226">
        <f t="shared" si="3"/>
        <v>17000</v>
      </c>
    </row>
    <row r="10" spans="1:9" ht="12.75">
      <c r="A10" s="219">
        <f t="shared" si="2"/>
        <v>9</v>
      </c>
      <c r="B10" s="220" t="str">
        <f>CONCATENATE(1," ",'Prisoptimering 3.1&amp;3.2'!$D$30)</f>
        <v>1 Tyskland</v>
      </c>
      <c r="C10" s="221">
        <f>'Prisoptimering 3.1&amp;3.2'!N33</f>
        <v>2400</v>
      </c>
      <c r="D10" s="222">
        <f>'Prisoptimering 3.1&amp;3.2'!O33</f>
        <v>6000</v>
      </c>
      <c r="E10" s="223">
        <f t="shared" si="0"/>
        <v>0</v>
      </c>
      <c r="F10" s="224">
        <f t="shared" si="1"/>
        <v>0</v>
      </c>
      <c r="G10" s="4" t="str">
        <f>IF(F10=$C$5,$B$5,IF(F10=$C$3,$B$3,IF(F10=$C$13,$B$13,IF(F10=$C$11,$B$11,IF(F10=$C$19,$B$19,IF(F10=$C$20,$B$20,IF(F10=$C$4,$B$4,IF(F10=$C$12,$B$12,))))))))</f>
        <v>4 Tyskland</v>
      </c>
      <c r="H10" s="229">
        <f>IF(G10=$B$5,$D$5,IF(G10=$B$13,$D$13,IF(G10=$B$20,$D$20,IF(G10=$B$3,$D$3,IF(G10=$B$11,$D$11,IF(G10=$B$19,$D$19,IF(G10=$B$4,$D$4,IF(G10=$B$12,$D$12,"-"))))))))</f>
        <v>0</v>
      </c>
      <c r="I10" s="226">
        <f t="shared" si="3"/>
        <v>17000</v>
      </c>
    </row>
    <row r="11" spans="1:9" ht="12.75">
      <c r="A11" s="3">
        <f t="shared" si="2"/>
        <v>10</v>
      </c>
      <c r="B11" s="4" t="str">
        <f>CONCATENATE(2," ",'Prisoptimering 3.1&amp;3.2'!$D$30)</f>
        <v>2 Tyskland</v>
      </c>
      <c r="C11" s="227">
        <f>'Prisoptimering 3.1&amp;3.2'!N34</f>
        <v>0</v>
      </c>
      <c r="D11" s="5">
        <f>'Prisoptimering 3.1&amp;3.2'!O34</f>
        <v>0</v>
      </c>
      <c r="E11" s="91">
        <f t="shared" si="0"/>
        <v>0</v>
      </c>
      <c r="F11" s="228">
        <f t="shared" si="1"/>
        <v>0</v>
      </c>
      <c r="G11" s="4" t="str">
        <f>IF(F11=$C$5,$B$5,IF(F11=$C$3,$B$3,IF(F11=$C$13,$B$13,IF(F11=$C$11,$B$11,IF(F11=$C$19,$B$19,IF(F11=$C$20,$B$20,IF(F11=$C$4,$B$4,IF(F11=$C$12,$B$12,))))))))</f>
        <v>4 Tyskland</v>
      </c>
      <c r="H11" s="229">
        <f>IF(G11=$B$5,$D$5,IF(G11=$B$13,$D$13,IF(G11=$B$20,$D$20,IF(G11=$B$3,$D$3,IF(G11=$B$11,$D$11,IF(G11=$B$19,$D$19,IF(G11=$B$4,$D$4,IF(G11=$B$12,$D$12,"-"))))))))</f>
        <v>0</v>
      </c>
      <c r="I11" s="226">
        <f t="shared" si="3"/>
        <v>17000</v>
      </c>
    </row>
    <row r="12" spans="1:9" ht="12.75">
      <c r="A12" s="3">
        <f t="shared" si="2"/>
        <v>11</v>
      </c>
      <c r="B12" s="4" t="str">
        <f>CONCATENATE(3," ",'Prisoptimering 3.1&amp;3.2'!$D$30)</f>
        <v>3 Tyskland</v>
      </c>
      <c r="C12" s="227">
        <f>'Prisoptimering 3.1&amp;3.2'!N36</f>
        <v>0</v>
      </c>
      <c r="D12" s="5">
        <f>'Prisoptimering 3.1&amp;3.2'!O36</f>
        <v>0</v>
      </c>
      <c r="E12" s="91">
        <f t="shared" si="0"/>
        <v>0</v>
      </c>
      <c r="F12" s="228">
        <f t="shared" si="1"/>
        <v>0</v>
      </c>
      <c r="G12" s="4" t="str">
        <f>IF(F12=$C$5,$B$5,IF(F12=$C$6,$B$6,IF(F12=$C$13,$B$13,IF(F12=$C$14,$B$14,IF(F12=$C$21,$B$21,IF(F12=$C$20,$B$20,IF(F12=$C$4,$B$4,IF(F12=$C$12,$B$12,"-"))))))))</f>
        <v>5 Danmark</v>
      </c>
      <c r="H12" s="229" t="str">
        <f>IF(G12=$B$5,$D$5,IF(G12=$B$13,$D$13,IF(G12=$B$20,$D$20,IF(G12=$B$3,$D$3,IF(G12=$B$11,$D$11,IF(G12=$B$19,$D$19,IF(G12=$B$4,$D$4,IF(G12=$B$12,$D$12,"-"))))))))</f>
        <v>-</v>
      </c>
      <c r="I12" s="226" t="e">
        <f t="shared" si="3"/>
        <v>#VALUE!</v>
      </c>
    </row>
    <row r="13" spans="1:9" ht="13.5" thickBot="1">
      <c r="A13" s="3">
        <f t="shared" si="2"/>
        <v>12</v>
      </c>
      <c r="B13" s="4" t="str">
        <f>CONCATENATE(4," ",'Prisoptimering 3.1&amp;3.2'!$D$30)</f>
        <v>4 Tyskland</v>
      </c>
      <c r="C13" s="227">
        <f>'Prisoptimering 3.1&amp;3.2'!N38</f>
        <v>0</v>
      </c>
      <c r="D13" s="5">
        <f>'Prisoptimering 3.1&amp;3.2'!O38</f>
        <v>0</v>
      </c>
      <c r="E13" s="91">
        <f t="shared" si="0"/>
        <v>0</v>
      </c>
      <c r="F13" s="196">
        <f t="shared" si="1"/>
        <v>0</v>
      </c>
      <c r="G13" s="175" t="str">
        <f>IF(F13=$C$5,$B$5,IF(F13=$C$6,$B$6,IF(F13=$C$13,$B$13,IF(F13=$C$14,$B$14,IF(F13=$C$21,$B$21,IF(F13=$C$20,$B$20,IF(F13=$C$4,$B$4,IF(F13=$C$12,$B$12,"-"))))))))</f>
        <v>5 Danmark</v>
      </c>
      <c r="H13" s="230" t="str">
        <f>IF(G13=$B$5,$D$5,IF(G13=$B$13,$D$13,IF(G13=$B$20,$D$20,IF(G13=$B$3,$D$3,IF(G13=$B$11,$D$11,IF(G13=$B$19,$D$19,IF(G13=$B$4,$D$4,IF(G13=$B$12,$D$12,"-"))))))))</f>
        <v>-</v>
      </c>
      <c r="I13" s="231" t="e">
        <f t="shared" si="3"/>
        <v>#VALUE!</v>
      </c>
    </row>
    <row r="14" spans="1:6" ht="12.75">
      <c r="A14" s="3">
        <f t="shared" si="2"/>
        <v>13</v>
      </c>
      <c r="B14" s="4" t="str">
        <f>CONCATENATE(5," ",'Prisoptimering 3.1&amp;3.2'!$D$30)</f>
        <v>5 Tyskland</v>
      </c>
      <c r="C14" s="227">
        <f>'Prisoptimering 3.1&amp;3.2'!N40</f>
        <v>0</v>
      </c>
      <c r="D14" s="5">
        <f>'Prisoptimering 3.1&amp;3.2'!O40</f>
        <v>0</v>
      </c>
      <c r="E14" s="91">
        <f t="shared" si="0"/>
        <v>0</v>
      </c>
      <c r="F14" s="228">
        <f t="shared" si="1"/>
        <v>0</v>
      </c>
    </row>
    <row r="15" spans="1:6" ht="12.75">
      <c r="A15" s="3">
        <f t="shared" si="2"/>
        <v>14</v>
      </c>
      <c r="B15" s="4" t="str">
        <f>CONCATENATE(6," ",'Prisoptimering 3.1&amp;3.2'!$D$30)</f>
        <v>6 Tyskland</v>
      </c>
      <c r="C15" s="227">
        <f>'Prisoptimering 3.1&amp;3.2'!N42</f>
        <v>0</v>
      </c>
      <c r="D15" s="5">
        <f>'Prisoptimering 3.1&amp;3.2'!O42</f>
        <v>0</v>
      </c>
      <c r="E15" s="91">
        <f t="shared" si="0"/>
        <v>0</v>
      </c>
      <c r="F15" s="228">
        <f t="shared" si="1"/>
        <v>0</v>
      </c>
    </row>
    <row r="16" spans="1:6" ht="12.75">
      <c r="A16" s="3">
        <f t="shared" si="2"/>
        <v>15</v>
      </c>
      <c r="B16" s="4" t="str">
        <f>CONCATENATE(7," ",'Prisoptimering 3.1&amp;3.2'!$D$30)</f>
        <v>7 Tyskland</v>
      </c>
      <c r="C16" s="227">
        <f>'Prisoptimering 3.1&amp;3.2'!N44</f>
        <v>0</v>
      </c>
      <c r="D16" s="5">
        <f>'Prisoptimering 3.1&amp;3.2'!O44</f>
        <v>0</v>
      </c>
      <c r="E16" s="91">
        <f t="shared" si="0"/>
        <v>0</v>
      </c>
      <c r="F16" s="228">
        <f t="shared" si="1"/>
        <v>0</v>
      </c>
    </row>
    <row r="17" spans="1:6" ht="13.5" thickBot="1">
      <c r="A17" s="3">
        <f t="shared" si="2"/>
        <v>16</v>
      </c>
      <c r="B17" s="4" t="str">
        <f>CONCATENATE(8," ",'Prisoptimering 3.1&amp;3.2'!$D$30)</f>
        <v>8 Tyskland</v>
      </c>
      <c r="C17" s="227">
        <f>'Prisoptimering 3.1&amp;3.2'!N46</f>
        <v>0</v>
      </c>
      <c r="D17" s="5">
        <f>'Prisoptimering 3.1&amp;3.2'!O46</f>
        <v>0</v>
      </c>
      <c r="E17" s="91">
        <f t="shared" si="0"/>
        <v>0</v>
      </c>
      <c r="F17" s="196">
        <f t="shared" si="1"/>
        <v>0</v>
      </c>
    </row>
    <row r="18" spans="1:6" ht="12.75">
      <c r="A18" s="219">
        <f t="shared" si="2"/>
        <v>17</v>
      </c>
      <c r="B18" s="220" t="str">
        <f>CONCATENATE(1," ",'Prisoptimering 3.1&amp;3.2'!$D$58)</f>
        <v>1 England</v>
      </c>
      <c r="C18" s="221">
        <f>'Prisoptimering 3.1&amp;3.2'!N61</f>
        <v>1800</v>
      </c>
      <c r="D18" s="222">
        <f>'Prisoptimering 3.1&amp;3.2'!O61</f>
        <v>8000</v>
      </c>
      <c r="E18" s="223">
        <f t="shared" si="0"/>
        <v>0</v>
      </c>
      <c r="F18" s="229">
        <f t="shared" si="1"/>
        <v>0</v>
      </c>
    </row>
    <row r="19" spans="1:6" ht="12.75">
      <c r="A19" s="3">
        <f t="shared" si="2"/>
        <v>18</v>
      </c>
      <c r="B19" s="4" t="str">
        <f>CONCATENATE(2," ",'Prisoptimering 3.1&amp;3.2'!$D$58)</f>
        <v>2 England</v>
      </c>
      <c r="C19" s="227">
        <f>'Prisoptimering 3.1&amp;3.2'!N62</f>
        <v>0</v>
      </c>
      <c r="D19" s="5">
        <f>'Prisoptimering 3.1&amp;3.2'!O62</f>
        <v>0</v>
      </c>
      <c r="E19" s="91">
        <f t="shared" si="0"/>
        <v>0</v>
      </c>
      <c r="F19" s="229">
        <f t="shared" si="1"/>
        <v>0</v>
      </c>
    </row>
    <row r="20" spans="1:6" ht="12.75">
      <c r="A20" s="3">
        <f t="shared" si="2"/>
        <v>19</v>
      </c>
      <c r="B20" s="4" t="str">
        <f>CONCATENATE(3," ",'Prisoptimering 3.1&amp;3.2'!$D$58)</f>
        <v>3 England</v>
      </c>
      <c r="C20" s="227">
        <f>'Prisoptimering 3.1&amp;3.2'!N64</f>
        <v>0</v>
      </c>
      <c r="D20" s="5">
        <f>'Prisoptimering 3.1&amp;3.2'!O64</f>
        <v>0</v>
      </c>
      <c r="E20" s="91">
        <f t="shared" si="0"/>
        <v>0</v>
      </c>
      <c r="F20" s="229">
        <f t="shared" si="1"/>
        <v>0</v>
      </c>
    </row>
    <row r="21" spans="1:6" ht="12.75">
      <c r="A21" s="3">
        <f t="shared" si="2"/>
        <v>20</v>
      </c>
      <c r="B21" s="4" t="str">
        <f>CONCATENATE(4," ",'Prisoptimering 3.1&amp;3.2'!$D$58)</f>
        <v>4 England</v>
      </c>
      <c r="C21" s="227">
        <f>'Prisoptimering 3.1&amp;3.2'!N66</f>
        <v>0</v>
      </c>
      <c r="D21" s="5">
        <f>'Prisoptimering 3.1&amp;3.2'!O66</f>
        <v>0</v>
      </c>
      <c r="E21" s="91">
        <f t="shared" si="0"/>
        <v>900</v>
      </c>
      <c r="F21" s="229">
        <f t="shared" si="1"/>
        <v>0</v>
      </c>
    </row>
    <row r="22" spans="1:6" ht="12.75">
      <c r="A22" s="3">
        <f t="shared" si="2"/>
        <v>21</v>
      </c>
      <c r="B22" s="4" t="str">
        <f>CONCATENATE(5," ",'Prisoptimering 3.1&amp;3.2'!$D$58)</f>
        <v>5 England</v>
      </c>
      <c r="C22" s="227">
        <f>'Prisoptimering 3.1&amp;3.2'!N68</f>
        <v>0</v>
      </c>
      <c r="D22" s="5">
        <f>'Prisoptimering 3.1&amp;3.2'!O68</f>
        <v>0</v>
      </c>
      <c r="E22" s="91">
        <f t="shared" si="0"/>
        <v>1800</v>
      </c>
      <c r="F22" s="229">
        <f t="shared" si="1"/>
        <v>0</v>
      </c>
    </row>
    <row r="23" spans="1:6" ht="12.75">
      <c r="A23" s="3">
        <f t="shared" si="2"/>
        <v>22</v>
      </c>
      <c r="B23" s="4" t="str">
        <f>CONCATENATE(6," ",'Prisoptimering 3.1&amp;3.2'!$D$58)</f>
        <v>6 England</v>
      </c>
      <c r="C23" s="227">
        <f>'Prisoptimering 3.1&amp;3.2'!N70</f>
        <v>0</v>
      </c>
      <c r="D23" s="5">
        <f>'Prisoptimering 3.1&amp;3.2'!O70</f>
        <v>0</v>
      </c>
      <c r="E23" s="91">
        <f t="shared" si="0"/>
        <v>1900</v>
      </c>
      <c r="F23" s="229">
        <f t="shared" si="1"/>
        <v>0</v>
      </c>
    </row>
    <row r="24" spans="1:6" ht="12.75">
      <c r="A24" s="3">
        <f t="shared" si="2"/>
        <v>23</v>
      </c>
      <c r="B24" s="4" t="str">
        <f>CONCATENATE(7," ",'Prisoptimering 3.1&amp;3.2'!$D$58)</f>
        <v>7 England</v>
      </c>
      <c r="C24" s="227">
        <f>'Prisoptimering 3.1&amp;3.2'!N72</f>
        <v>0</v>
      </c>
      <c r="D24" s="5">
        <f>'Prisoptimering 3.1&amp;3.2'!O72</f>
        <v>0</v>
      </c>
      <c r="E24" s="91">
        <f t="shared" si="0"/>
        <v>2400</v>
      </c>
      <c r="F24" s="229">
        <f t="shared" si="1"/>
        <v>0</v>
      </c>
    </row>
    <row r="25" spans="1:6" ht="13.5" thickBot="1">
      <c r="A25" s="174">
        <f t="shared" si="2"/>
        <v>24</v>
      </c>
      <c r="B25" s="175" t="str">
        <f>CONCATENATE(8," ",'Prisoptimering 3.1&amp;3.2'!$D$58)</f>
        <v>8 England</v>
      </c>
      <c r="C25" s="232">
        <f>'Prisoptimering 3.1&amp;3.2'!N74</f>
        <v>0</v>
      </c>
      <c r="D25" s="233">
        <f>'Prisoptimering 3.1&amp;3.2'!O74</f>
        <v>0</v>
      </c>
      <c r="E25" s="234">
        <f t="shared" si="0"/>
        <v>4400</v>
      </c>
      <c r="F25" s="230">
        <f t="shared" si="1"/>
        <v>-100</v>
      </c>
    </row>
  </sheetData>
  <sheetProtection/>
  <printOptions/>
  <pageMargins left="0.75" right="0.75" top="1" bottom="1" header="0" footer="0"/>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O398"/>
  <sheetViews>
    <sheetView zoomScalePageLayoutView="0" workbookViewId="0" topLeftCell="A87">
      <selection activeCell="A121" sqref="A121"/>
    </sheetView>
  </sheetViews>
  <sheetFormatPr defaultColWidth="9.140625" defaultRowHeight="12.75"/>
  <cols>
    <col min="2" max="2" width="3.28125" style="0" customWidth="1"/>
    <col min="3" max="3" width="17.7109375" style="0" customWidth="1"/>
    <col min="4" max="4" width="13.421875" style="0" customWidth="1"/>
    <col min="5" max="5" width="14.8515625" style="0" customWidth="1"/>
    <col min="6" max="6" width="15.57421875" style="0" customWidth="1"/>
    <col min="7" max="7" width="15.7109375" style="0" customWidth="1"/>
    <col min="8" max="8" width="14.8515625" style="0" customWidth="1"/>
    <col min="9" max="9" width="15.00390625" style="0" customWidth="1"/>
    <col min="10" max="10" width="14.28125" style="0" bestFit="1" customWidth="1"/>
    <col min="11" max="11" width="15.57421875" style="0" bestFit="1" customWidth="1"/>
    <col min="12" max="13" width="13.57421875" style="0" customWidth="1"/>
    <col min="14" max="14" width="18.00390625" style="0" customWidth="1"/>
    <col min="15" max="15" width="11.00390625" style="0" customWidth="1"/>
  </cols>
  <sheetData>
    <row r="1" spans="1:3" ht="20.25">
      <c r="A1" s="235" t="s">
        <v>194</v>
      </c>
      <c r="C1" s="77" t="s">
        <v>138</v>
      </c>
    </row>
    <row r="2" spans="3:4" ht="15.75">
      <c r="C2" s="126" t="s">
        <v>139</v>
      </c>
      <c r="D2" s="186" t="s">
        <v>189</v>
      </c>
    </row>
    <row r="3" spans="3:5" ht="16.5" thickBot="1">
      <c r="C3" s="126" t="s">
        <v>140</v>
      </c>
      <c r="D3" s="186">
        <v>1</v>
      </c>
      <c r="E3" t="s">
        <v>141</v>
      </c>
    </row>
    <row r="4" spans="1:15" ht="30.75" thickBot="1">
      <c r="A4" s="187" t="s">
        <v>142</v>
      </c>
      <c r="B4" s="187" t="s">
        <v>143</v>
      </c>
      <c r="C4" s="188" t="s">
        <v>144</v>
      </c>
      <c r="D4" s="189" t="s">
        <v>145</v>
      </c>
      <c r="E4" s="189" t="s">
        <v>146</v>
      </c>
      <c r="F4" s="189" t="s">
        <v>147</v>
      </c>
      <c r="G4" s="189" t="s">
        <v>148</v>
      </c>
      <c r="H4" s="189" t="s">
        <v>149</v>
      </c>
      <c r="I4" s="189" t="s">
        <v>150</v>
      </c>
      <c r="J4" s="190" t="s">
        <v>151</v>
      </c>
      <c r="K4" s="191" t="s">
        <v>152</v>
      </c>
      <c r="L4" s="192" t="s">
        <v>153</v>
      </c>
      <c r="M4" s="193" t="s">
        <v>154</v>
      </c>
      <c r="N4" s="194" t="s">
        <v>155</v>
      </c>
      <c r="O4" s="195" t="s">
        <v>156</v>
      </c>
    </row>
    <row r="5" spans="1:15" ht="15" customHeight="1" thickBot="1">
      <c r="A5" s="450" t="str">
        <f>IF(C5=0,0,CONCATENATE(B5," ",$D$2))</f>
        <v>1 Danmark</v>
      </c>
      <c r="B5" s="454">
        <v>1</v>
      </c>
      <c r="C5" s="513">
        <v>8000</v>
      </c>
      <c r="D5" s="512">
        <v>2000</v>
      </c>
      <c r="E5" s="493">
        <f>D5*C5</f>
        <v>16000000</v>
      </c>
      <c r="F5" s="506">
        <v>3600</v>
      </c>
      <c r="G5" s="493">
        <f>F5*D5</f>
        <v>7200000</v>
      </c>
      <c r="H5" s="487">
        <f>E5-G5</f>
        <v>8800000</v>
      </c>
      <c r="I5" s="510">
        <v>0</v>
      </c>
      <c r="J5" s="490">
        <f>H5-I5</f>
        <v>8800000</v>
      </c>
      <c r="K5" s="468">
        <f>C5-F5</f>
        <v>4400</v>
      </c>
      <c r="L5" s="465">
        <f>D5/$D$3</f>
        <v>2000</v>
      </c>
      <c r="M5" s="466">
        <f>IF(L5=0,0,H5/L5)</f>
        <v>4400</v>
      </c>
      <c r="N5" s="196">
        <f>IF(L5=0,0,H5/L5)</f>
        <v>4400</v>
      </c>
      <c r="O5" s="197">
        <f>IF(L5&lt;0,0,L5)</f>
        <v>2000</v>
      </c>
    </row>
    <row r="6" spans="1:15" ht="15.75" customHeight="1" thickBot="1">
      <c r="A6" s="451"/>
      <c r="B6" s="455"/>
      <c r="C6" s="507"/>
      <c r="D6" s="509"/>
      <c r="E6" s="484"/>
      <c r="F6" s="507"/>
      <c r="G6" s="484"/>
      <c r="H6" s="485"/>
      <c r="I6" s="511"/>
      <c r="J6" s="480"/>
      <c r="K6" s="455"/>
      <c r="L6" s="455"/>
      <c r="M6" s="467"/>
      <c r="N6" s="450">
        <f>IF(L7=0,0,(H7-H5)/(L7-L5))</f>
        <v>1900</v>
      </c>
      <c r="O6" s="450">
        <f>IF(L7-L5&lt;0,0,L7-L5)</f>
        <v>500</v>
      </c>
    </row>
    <row r="7" spans="1:15" ht="13.5" thickBot="1">
      <c r="A7" s="450" t="str">
        <f>IF(C7=0,0,CONCATENATE(B7," ",$D$2))</f>
        <v>2 Danmark</v>
      </c>
      <c r="B7" s="454">
        <v>2</v>
      </c>
      <c r="C7" s="506">
        <v>7500</v>
      </c>
      <c r="D7" s="504">
        <v>2500</v>
      </c>
      <c r="E7" s="474">
        <f>D7*C7</f>
        <v>18750000</v>
      </c>
      <c r="F7" s="476">
        <f>IF(C7=0,0,$F$5)</f>
        <v>3600</v>
      </c>
      <c r="G7" s="474">
        <f>F7*D7</f>
        <v>9000000</v>
      </c>
      <c r="H7" s="478">
        <f>E7-G7</f>
        <v>9750000</v>
      </c>
      <c r="I7" s="460">
        <f>IF(C7=0,0,$I$5)</f>
        <v>0</v>
      </c>
      <c r="J7" s="462">
        <f>H7-I7</f>
        <v>9750000</v>
      </c>
      <c r="K7" s="468">
        <f>C7-F7</f>
        <v>3900</v>
      </c>
      <c r="L7" s="466">
        <f>D7/$D$3</f>
        <v>2500</v>
      </c>
      <c r="M7" s="466">
        <f>IF(L7=0,0,H7/L7)</f>
        <v>3900</v>
      </c>
      <c r="N7" s="469"/>
      <c r="O7" s="451"/>
    </row>
    <row r="8" spans="1:15" ht="13.5" thickBot="1">
      <c r="A8" s="451"/>
      <c r="B8" s="455"/>
      <c r="C8" s="507"/>
      <c r="D8" s="509"/>
      <c r="E8" s="484"/>
      <c r="F8" s="481"/>
      <c r="G8" s="484"/>
      <c r="H8" s="485"/>
      <c r="I8" s="486"/>
      <c r="J8" s="480"/>
      <c r="K8" s="455"/>
      <c r="L8" s="467"/>
      <c r="M8" s="467"/>
      <c r="N8" s="450">
        <f>IF(L9=0,0,(H9-H7)/(L9-L7))</f>
        <v>900</v>
      </c>
      <c r="O8" s="450">
        <f>IF(L9-L7&lt;0,0,L9-L7)</f>
        <v>500</v>
      </c>
    </row>
    <row r="9" spans="1:15" ht="13.5" customHeight="1" thickBot="1">
      <c r="A9" s="450" t="str">
        <f>IF(C9=0,0,CONCATENATE(B9," ",$D$2))</f>
        <v>3 Danmark</v>
      </c>
      <c r="B9" s="454">
        <v>3</v>
      </c>
      <c r="C9" s="506">
        <v>7000</v>
      </c>
      <c r="D9" s="504">
        <v>3000</v>
      </c>
      <c r="E9" s="474">
        <f>D9*C9</f>
        <v>21000000</v>
      </c>
      <c r="F9" s="476">
        <f>IF(C9=0,0,$F$5)</f>
        <v>3600</v>
      </c>
      <c r="G9" s="474">
        <f>F9*D9</f>
        <v>10800000</v>
      </c>
      <c r="H9" s="478">
        <f>E9-G9</f>
        <v>10200000</v>
      </c>
      <c r="I9" s="460">
        <f>IF(C9=0,0,$I$5)</f>
        <v>0</v>
      </c>
      <c r="J9" s="462">
        <f>H9-I9</f>
        <v>10200000</v>
      </c>
      <c r="K9" s="468">
        <f>C9-F9</f>
        <v>3400</v>
      </c>
      <c r="L9" s="466">
        <f>D9/$D$3</f>
        <v>3000</v>
      </c>
      <c r="M9" s="466">
        <f>IF(L9=0,0,H9/L9)</f>
        <v>3400</v>
      </c>
      <c r="N9" s="469"/>
      <c r="O9" s="451"/>
    </row>
    <row r="10" spans="1:15" ht="13.5" customHeight="1" thickBot="1">
      <c r="A10" s="451"/>
      <c r="B10" s="455"/>
      <c r="C10" s="507"/>
      <c r="D10" s="509"/>
      <c r="E10" s="484"/>
      <c r="F10" s="481"/>
      <c r="G10" s="484"/>
      <c r="H10" s="485"/>
      <c r="I10" s="486"/>
      <c r="J10" s="480"/>
      <c r="K10" s="455"/>
      <c r="L10" s="467"/>
      <c r="M10" s="467"/>
      <c r="N10" s="450">
        <f>IF(L11=0,0,(H11-H9)/(L11-L9))</f>
        <v>-100</v>
      </c>
      <c r="O10" s="450">
        <f>IF(L11-L9&lt;0,0,L11-L9)</f>
        <v>500</v>
      </c>
    </row>
    <row r="11" spans="1:15" ht="13.5" customHeight="1" thickBot="1">
      <c r="A11" s="450" t="str">
        <f>IF(C11=0,0,CONCATENATE(B11," ",$D$2))</f>
        <v>4 Danmark</v>
      </c>
      <c r="B11" s="454">
        <v>4</v>
      </c>
      <c r="C11" s="506">
        <v>6500</v>
      </c>
      <c r="D11" s="504">
        <v>3500</v>
      </c>
      <c r="E11" s="474">
        <f>D11*C11</f>
        <v>22750000</v>
      </c>
      <c r="F11" s="476">
        <f>IF(C11=0,0,$F$5)</f>
        <v>3600</v>
      </c>
      <c r="G11" s="474">
        <f>F11*D11</f>
        <v>12600000</v>
      </c>
      <c r="H11" s="478">
        <f>E11-G11</f>
        <v>10150000</v>
      </c>
      <c r="I11" s="460">
        <f>IF(C11=0,0,$I$5)</f>
        <v>0</v>
      </c>
      <c r="J11" s="462">
        <f>H11-I11</f>
        <v>10150000</v>
      </c>
      <c r="K11" s="468">
        <f>C11-F11</f>
        <v>2900</v>
      </c>
      <c r="L11" s="466">
        <f>D11/$D$3</f>
        <v>3500</v>
      </c>
      <c r="M11" s="466">
        <f>IF(L11=0,0,H11/L11)</f>
        <v>2900</v>
      </c>
      <c r="N11" s="469"/>
      <c r="O11" s="451"/>
    </row>
    <row r="12" spans="1:15" ht="13.5" customHeight="1" thickBot="1">
      <c r="A12" s="451"/>
      <c r="B12" s="455"/>
      <c r="C12" s="507"/>
      <c r="D12" s="509"/>
      <c r="E12" s="484"/>
      <c r="F12" s="477"/>
      <c r="G12" s="484"/>
      <c r="H12" s="485"/>
      <c r="I12" s="486"/>
      <c r="J12" s="480"/>
      <c r="K12" s="455"/>
      <c r="L12" s="467"/>
      <c r="M12" s="467"/>
      <c r="N12" s="450">
        <f>IF(L13=0,0,(H13-H11)/(L13-L11))</f>
        <v>0</v>
      </c>
      <c r="O12" s="450">
        <f>IF(L13-L11&lt;0,0,L13-L11)</f>
        <v>0</v>
      </c>
    </row>
    <row r="13" spans="1:15" ht="13.5" customHeight="1" thickBot="1">
      <c r="A13" s="450">
        <f>IF(C13=0,0,CONCATENATE(B13," ",$D$2))</f>
        <v>0</v>
      </c>
      <c r="B13" s="454">
        <v>5</v>
      </c>
      <c r="C13" s="506">
        <v>0</v>
      </c>
      <c r="D13" s="504">
        <v>0</v>
      </c>
      <c r="E13" s="474">
        <f>D13*C13</f>
        <v>0</v>
      </c>
      <c r="F13" s="476">
        <f>IF(C13=0,0,$F$5)</f>
        <v>0</v>
      </c>
      <c r="G13" s="474">
        <f>F13*D13</f>
        <v>0</v>
      </c>
      <c r="H13" s="478">
        <f>E13-G13</f>
        <v>0</v>
      </c>
      <c r="I13" s="460">
        <f>IF(C13=0,0,$I$5)</f>
        <v>0</v>
      </c>
      <c r="J13" s="462">
        <f>H13-I13</f>
        <v>0</v>
      </c>
      <c r="K13" s="468">
        <f>C13-F13</f>
        <v>0</v>
      </c>
      <c r="L13" s="466">
        <f>D13/$D$3</f>
        <v>0</v>
      </c>
      <c r="M13" s="466">
        <f>IF(L13=0,0,H13/L13)</f>
        <v>0</v>
      </c>
      <c r="N13" s="469"/>
      <c r="O13" s="451"/>
    </row>
    <row r="14" spans="1:15" ht="13.5" customHeight="1" thickBot="1">
      <c r="A14" s="451"/>
      <c r="B14" s="455"/>
      <c r="C14" s="507"/>
      <c r="D14" s="509"/>
      <c r="E14" s="484"/>
      <c r="F14" s="477"/>
      <c r="G14" s="484"/>
      <c r="H14" s="485"/>
      <c r="I14" s="486"/>
      <c r="J14" s="480"/>
      <c r="K14" s="455"/>
      <c r="L14" s="467"/>
      <c r="M14" s="467"/>
      <c r="N14" s="450">
        <f>IF(L15=0,0,(H15-H13)/(L15-L13))</f>
        <v>0</v>
      </c>
      <c r="O14" s="450">
        <f>IF(L15-L13&lt;0,0,L15-L13)</f>
        <v>0</v>
      </c>
    </row>
    <row r="15" spans="1:15" ht="13.5" customHeight="1" thickBot="1">
      <c r="A15" s="450">
        <f>IF(C15=0,0,CONCATENATE(B15," ",$D$2))</f>
        <v>0</v>
      </c>
      <c r="B15" s="454">
        <v>6</v>
      </c>
      <c r="C15" s="506">
        <v>0</v>
      </c>
      <c r="D15" s="504">
        <v>0</v>
      </c>
      <c r="E15" s="474">
        <f>D15*C15</f>
        <v>0</v>
      </c>
      <c r="F15" s="476">
        <f>IF(C15=0,0,$F$5)</f>
        <v>0</v>
      </c>
      <c r="G15" s="474">
        <f>F15*D15</f>
        <v>0</v>
      </c>
      <c r="H15" s="478">
        <f>E15-G15</f>
        <v>0</v>
      </c>
      <c r="I15" s="460">
        <f>IF(C15=0,0,$I$5)</f>
        <v>0</v>
      </c>
      <c r="J15" s="462">
        <f>H15-I15</f>
        <v>0</v>
      </c>
      <c r="K15" s="468">
        <f>C15-F15</f>
        <v>0</v>
      </c>
      <c r="L15" s="466">
        <f>D15/$D$3</f>
        <v>0</v>
      </c>
      <c r="M15" s="466">
        <f>IF(L15=0,0,H15/L15)</f>
        <v>0</v>
      </c>
      <c r="N15" s="469"/>
      <c r="O15" s="451"/>
    </row>
    <row r="16" spans="1:15" ht="13.5" customHeight="1" thickBot="1">
      <c r="A16" s="451"/>
      <c r="B16" s="455"/>
      <c r="C16" s="507"/>
      <c r="D16" s="509"/>
      <c r="E16" s="484"/>
      <c r="F16" s="481"/>
      <c r="G16" s="484"/>
      <c r="H16" s="485"/>
      <c r="I16" s="486"/>
      <c r="J16" s="480"/>
      <c r="K16" s="455"/>
      <c r="L16" s="467"/>
      <c r="M16" s="467"/>
      <c r="N16" s="450">
        <f>IF(L17=0,0,(H17-H15)/(L17-L15))</f>
        <v>0</v>
      </c>
      <c r="O16" s="450">
        <f>IF(L17-L15&lt;0,0,L17-L15)</f>
        <v>0</v>
      </c>
    </row>
    <row r="17" spans="1:15" ht="13.5" customHeight="1" thickBot="1">
      <c r="A17" s="450">
        <f>IF(C17=0,0,CONCATENATE(B17," ",$D$2))</f>
        <v>0</v>
      </c>
      <c r="B17" s="454">
        <v>7</v>
      </c>
      <c r="C17" s="506">
        <v>0</v>
      </c>
      <c r="D17" s="504">
        <v>0</v>
      </c>
      <c r="E17" s="474">
        <f>D17*C17</f>
        <v>0</v>
      </c>
      <c r="F17" s="476">
        <f>IF(C17=0,0,$F$5)</f>
        <v>0</v>
      </c>
      <c r="G17" s="474">
        <f>F17*D17</f>
        <v>0</v>
      </c>
      <c r="H17" s="478">
        <f>E17-G17</f>
        <v>0</v>
      </c>
      <c r="I17" s="460">
        <f>IF(C17=0,0,$I$5)</f>
        <v>0</v>
      </c>
      <c r="J17" s="462">
        <f>H17-I17</f>
        <v>0</v>
      </c>
      <c r="K17" s="468">
        <f>C17-F17</f>
        <v>0</v>
      </c>
      <c r="L17" s="466">
        <f>D17/$D$3</f>
        <v>0</v>
      </c>
      <c r="M17" s="466">
        <f>IF(L17=0,0,H17/L17)</f>
        <v>0</v>
      </c>
      <c r="N17" s="469"/>
      <c r="O17" s="451"/>
    </row>
    <row r="18" spans="1:15" ht="13.5" customHeight="1" thickBot="1">
      <c r="A18" s="451"/>
      <c r="B18" s="455"/>
      <c r="C18" s="508"/>
      <c r="D18" s="505"/>
      <c r="E18" s="475"/>
      <c r="F18" s="481"/>
      <c r="G18" s="475"/>
      <c r="H18" s="479"/>
      <c r="I18" s="486"/>
      <c r="J18" s="463"/>
      <c r="K18" s="455"/>
      <c r="L18" s="467"/>
      <c r="M18" s="467"/>
      <c r="N18" s="450">
        <f>IF(L19=0,0,(H19-H17)/(L19-L17))</f>
        <v>0</v>
      </c>
      <c r="O18" s="450">
        <f>IF(L19-L17&lt;0,0,L19-L17)</f>
        <v>0</v>
      </c>
    </row>
    <row r="19" spans="1:15" ht="12.75" customHeight="1" thickBot="1">
      <c r="A19" s="450">
        <f>IF(C19=0,0,CONCATENATE(B19," ",$D$2))</f>
        <v>0</v>
      </c>
      <c r="B19" s="454">
        <v>8</v>
      </c>
      <c r="C19" s="506">
        <v>0</v>
      </c>
      <c r="D19" s="504">
        <v>0</v>
      </c>
      <c r="E19" s="474">
        <f>D19*C19</f>
        <v>0</v>
      </c>
      <c r="F19" s="476">
        <f>IF(C19=0,0,$F$5)</f>
        <v>0</v>
      </c>
      <c r="G19" s="474">
        <f>F19*D19</f>
        <v>0</v>
      </c>
      <c r="H19" s="478">
        <f>E19-G19</f>
        <v>0</v>
      </c>
      <c r="I19" s="460">
        <f>IF(C19=0,0,$I$5)</f>
        <v>0</v>
      </c>
      <c r="J19" s="462">
        <f>H19-I19</f>
        <v>0</v>
      </c>
      <c r="K19" s="464">
        <f>C19-F19</f>
        <v>0</v>
      </c>
      <c r="L19" s="466">
        <f>D19/$D$3</f>
        <v>0</v>
      </c>
      <c r="M19" s="466">
        <f>IF(L19=0,0,H19/L19)</f>
        <v>0</v>
      </c>
      <c r="N19" s="469"/>
      <c r="O19" s="451"/>
    </row>
    <row r="20" spans="1:14" ht="13.5" customHeight="1" thickBot="1">
      <c r="A20" s="451"/>
      <c r="B20" s="455"/>
      <c r="C20" s="508"/>
      <c r="D20" s="505"/>
      <c r="E20" s="475"/>
      <c r="F20" s="477"/>
      <c r="G20" s="475"/>
      <c r="H20" s="479"/>
      <c r="I20" s="461"/>
      <c r="J20" s="463"/>
      <c r="K20" s="455"/>
      <c r="L20" s="467"/>
      <c r="M20" s="467"/>
      <c r="N20" s="457"/>
    </row>
    <row r="21" spans="3:14" ht="12.75" hidden="1">
      <c r="C21" s="458"/>
      <c r="D21" s="459"/>
      <c r="E21" s="459"/>
      <c r="F21" s="458"/>
      <c r="G21" s="459"/>
      <c r="H21" s="459"/>
      <c r="I21" s="459"/>
      <c r="J21" s="459"/>
      <c r="K21" s="456"/>
      <c r="L21" s="457"/>
      <c r="M21" s="457"/>
      <c r="N21" s="416"/>
    </row>
    <row r="22" spans="3:14" ht="12.75" hidden="1">
      <c r="C22" s="458"/>
      <c r="D22" s="459"/>
      <c r="E22" s="459"/>
      <c r="F22" s="458"/>
      <c r="G22" s="459"/>
      <c r="H22" s="459"/>
      <c r="I22" s="459"/>
      <c r="J22" s="459"/>
      <c r="K22" s="416"/>
      <c r="L22" s="416"/>
      <c r="M22" s="457"/>
      <c r="N22" s="457"/>
    </row>
    <row r="23" spans="3:14" ht="12.75" hidden="1">
      <c r="C23" s="458"/>
      <c r="D23" s="459"/>
      <c r="E23" s="459"/>
      <c r="F23" s="458"/>
      <c r="G23" s="459"/>
      <c r="H23" s="459"/>
      <c r="I23" s="459"/>
      <c r="J23" s="459"/>
      <c r="K23" s="456"/>
      <c r="L23" s="457"/>
      <c r="M23" s="457"/>
      <c r="N23" s="416"/>
    </row>
    <row r="24" spans="3:13" ht="12.75" hidden="1">
      <c r="C24" s="458"/>
      <c r="D24" s="459"/>
      <c r="E24" s="459"/>
      <c r="F24" s="458"/>
      <c r="G24" s="459"/>
      <c r="H24" s="459"/>
      <c r="I24" s="459"/>
      <c r="J24" s="459"/>
      <c r="K24" s="416"/>
      <c r="L24" s="416"/>
      <c r="M24" s="457"/>
    </row>
    <row r="25" spans="3:10" ht="21">
      <c r="C25" t="s">
        <v>157</v>
      </c>
      <c r="D25" s="198">
        <f>MAX(J5:J24)</f>
        <v>10200000</v>
      </c>
      <c r="E25" t="s">
        <v>158</v>
      </c>
      <c r="F25" s="199"/>
      <c r="G25" s="200"/>
      <c r="H25" s="199"/>
      <c r="I25" s="199"/>
      <c r="J25" s="201"/>
    </row>
    <row r="26" spans="3:10" ht="21">
      <c r="C26" s="202" t="s">
        <v>159</v>
      </c>
      <c r="D26" s="200">
        <f>IF(D25=J5,C5,IF(D25=J7,C7,IF(D25=J9,C9,IF(D25=J11,C11,IF(D25=J13,C13,IF(D25=J15,C15,IF(D25=J17,C17,IF(D25=J19,C19,"ingen"))))))))</f>
        <v>7000</v>
      </c>
      <c r="E26" s="200"/>
      <c r="F26" s="199"/>
      <c r="G26" s="200"/>
      <c r="H26" s="199"/>
      <c r="I26" s="199"/>
      <c r="J26" s="201"/>
    </row>
    <row r="27" spans="3:10" ht="21">
      <c r="C27" s="202" t="s">
        <v>160</v>
      </c>
      <c r="D27" s="200">
        <f>IF($D$25=J5,D5,IF($D$25=J7,D7,IF($D$25=J9,D9,IF($D$25=J11,D11,IF($D$25=J13,D13,IF($D$25=J15,D15,IF($D$25=J17,D17,IF(D26=J19,D19,"ingen"))))))))</f>
        <v>3000</v>
      </c>
      <c r="E27" s="200"/>
      <c r="F27" s="199"/>
      <c r="G27" s="200"/>
      <c r="H27" s="199"/>
      <c r="I27" s="199"/>
      <c r="J27" s="201"/>
    </row>
    <row r="28" spans="3:10" ht="22.5" hidden="1">
      <c r="C28" s="202"/>
      <c r="D28" s="200"/>
      <c r="E28" s="200"/>
      <c r="F28" s="199"/>
      <c r="G28" s="200"/>
      <c r="H28" s="199"/>
      <c r="I28" s="199"/>
      <c r="J28" s="201"/>
    </row>
    <row r="29" ht="18">
      <c r="C29" s="77"/>
    </row>
    <row r="30" spans="3:4" ht="15.75">
      <c r="C30" s="126" t="s">
        <v>139</v>
      </c>
      <c r="D30" s="203" t="s">
        <v>190</v>
      </c>
    </row>
    <row r="31" spans="3:5" ht="16.5" thickBot="1">
      <c r="C31" s="126" t="s">
        <v>140</v>
      </c>
      <c r="D31" s="203">
        <v>1</v>
      </c>
      <c r="E31" t="s">
        <v>141</v>
      </c>
    </row>
    <row r="32" spans="1:15" ht="30.75" thickBot="1">
      <c r="A32" s="204" t="str">
        <f>A4</f>
        <v>Navn</v>
      </c>
      <c r="B32" s="187" t="str">
        <f>B4</f>
        <v>Nr.</v>
      </c>
      <c r="C32" s="188" t="s">
        <v>144</v>
      </c>
      <c r="D32" s="189" t="s">
        <v>145</v>
      </c>
      <c r="E32" s="189" t="s">
        <v>146</v>
      </c>
      <c r="F32" s="189" t="s">
        <v>147</v>
      </c>
      <c r="G32" s="189" t="s">
        <v>148</v>
      </c>
      <c r="H32" s="189" t="s">
        <v>149</v>
      </c>
      <c r="I32" s="189" t="s">
        <v>150</v>
      </c>
      <c r="J32" s="190" t="s">
        <v>151</v>
      </c>
      <c r="K32" s="191" t="s">
        <v>152</v>
      </c>
      <c r="L32" s="192" t="s">
        <v>153</v>
      </c>
      <c r="M32" s="193" t="s">
        <v>154</v>
      </c>
      <c r="N32" s="194" t="s">
        <v>155</v>
      </c>
      <c r="O32" s="195" t="s">
        <v>161</v>
      </c>
    </row>
    <row r="33" spans="1:15" ht="13.5" thickBot="1">
      <c r="A33" s="450" t="str">
        <f>IF(C33=0,0,CONCATENATE(B33," ",$D$30))</f>
        <v>1 Tyskland</v>
      </c>
      <c r="B33" s="454">
        <f>B5</f>
        <v>1</v>
      </c>
      <c r="C33" s="502">
        <v>6000</v>
      </c>
      <c r="D33" s="503">
        <v>6000</v>
      </c>
      <c r="E33" s="493">
        <f>D33*C33</f>
        <v>36000000</v>
      </c>
      <c r="F33" s="494">
        <v>3600</v>
      </c>
      <c r="G33" s="493">
        <f>F33*D33</f>
        <v>21600000</v>
      </c>
      <c r="H33" s="487">
        <f>E33-G33</f>
        <v>14400000</v>
      </c>
      <c r="I33" s="500">
        <v>0</v>
      </c>
      <c r="J33" s="490">
        <f>H33-I33</f>
        <v>14400000</v>
      </c>
      <c r="K33" s="468">
        <f>C33-F33</f>
        <v>2400</v>
      </c>
      <c r="L33" s="465">
        <f>D33/$D$31</f>
        <v>6000</v>
      </c>
      <c r="M33" s="466">
        <f>IF(L33=0,0,H33/L33)</f>
        <v>2400</v>
      </c>
      <c r="N33" s="196">
        <f>IF(L33=0,0,H33/L33)</f>
        <v>2400</v>
      </c>
      <c r="O33" s="197">
        <f>L33</f>
        <v>6000</v>
      </c>
    </row>
    <row r="34" spans="1:15" ht="13.5" thickBot="1">
      <c r="A34" s="451"/>
      <c r="B34" s="455"/>
      <c r="C34" s="498"/>
      <c r="D34" s="499"/>
      <c r="E34" s="484"/>
      <c r="F34" s="498"/>
      <c r="G34" s="484"/>
      <c r="H34" s="485"/>
      <c r="I34" s="501"/>
      <c r="J34" s="480"/>
      <c r="K34" s="455"/>
      <c r="L34" s="455"/>
      <c r="M34" s="467"/>
      <c r="N34" s="450">
        <f>IF(L35=0,0,(H35-H33)/(L35-L33))</f>
        <v>0</v>
      </c>
      <c r="O34" s="450">
        <f>IF(L35-L33&lt;0,0,(L35-L33))</f>
        <v>0</v>
      </c>
    </row>
    <row r="35" spans="1:15" ht="13.5" thickBot="1">
      <c r="A35" s="450">
        <f>IF(C35=0,0,CONCATENATE(B35," ",$D$30))</f>
        <v>0</v>
      </c>
      <c r="B35" s="454">
        <f>B7</f>
        <v>2</v>
      </c>
      <c r="C35" s="494">
        <v>0</v>
      </c>
      <c r="D35" s="496">
        <v>0</v>
      </c>
      <c r="E35" s="474">
        <f>D35*C35</f>
        <v>0</v>
      </c>
      <c r="F35" s="476">
        <f>IF(C35=0,0,$F$33)</f>
        <v>0</v>
      </c>
      <c r="G35" s="474">
        <f>F35*D35</f>
        <v>0</v>
      </c>
      <c r="H35" s="478">
        <f>E35-G35</f>
        <v>0</v>
      </c>
      <c r="I35" s="460">
        <f>IF(C35=0,0,$I$33)</f>
        <v>0</v>
      </c>
      <c r="J35" s="462">
        <f>H35-I35</f>
        <v>0</v>
      </c>
      <c r="K35" s="468">
        <f>C35-F35</f>
        <v>0</v>
      </c>
      <c r="L35" s="465">
        <f>D35/$D$31</f>
        <v>0</v>
      </c>
      <c r="M35" s="466">
        <f>IF(L35=0,0,H35/L35)</f>
        <v>0</v>
      </c>
      <c r="N35" s="469"/>
      <c r="O35" s="451"/>
    </row>
    <row r="36" spans="1:15" ht="13.5" thickBot="1">
      <c r="A36" s="451"/>
      <c r="B36" s="455"/>
      <c r="C36" s="498"/>
      <c r="D36" s="499"/>
      <c r="E36" s="484"/>
      <c r="F36" s="481"/>
      <c r="G36" s="484"/>
      <c r="H36" s="485"/>
      <c r="I36" s="486"/>
      <c r="J36" s="480"/>
      <c r="K36" s="455"/>
      <c r="L36" s="455"/>
      <c r="M36" s="467"/>
      <c r="N36" s="450">
        <f>IF(L37=0,0,(H37-H35)/(L37-L35))</f>
        <v>0</v>
      </c>
      <c r="O36" s="450">
        <f>IF(L37-L35&lt;0,0,(L37-L35))</f>
        <v>0</v>
      </c>
    </row>
    <row r="37" spans="1:15" ht="13.5" customHeight="1" thickBot="1">
      <c r="A37" s="450">
        <f>IF(C37=0,0,CONCATENATE(B37," ",$D$30))</f>
        <v>0</v>
      </c>
      <c r="B37" s="454">
        <f>B9</f>
        <v>3</v>
      </c>
      <c r="C37" s="494">
        <v>0</v>
      </c>
      <c r="D37" s="496">
        <v>0</v>
      </c>
      <c r="E37" s="474">
        <f>D37*C37</f>
        <v>0</v>
      </c>
      <c r="F37" s="476">
        <f>IF(C37=0,0,$F$33)</f>
        <v>0</v>
      </c>
      <c r="G37" s="474">
        <f>F37*D37</f>
        <v>0</v>
      </c>
      <c r="H37" s="478">
        <f>E37-G37</f>
        <v>0</v>
      </c>
      <c r="I37" s="460">
        <f>IF(C37=0,0,$I$33)</f>
        <v>0</v>
      </c>
      <c r="J37" s="462">
        <f>H37-I37</f>
        <v>0</v>
      </c>
      <c r="K37" s="468">
        <f>C37-F37</f>
        <v>0</v>
      </c>
      <c r="L37" s="465">
        <f>D37/$D$31</f>
        <v>0</v>
      </c>
      <c r="M37" s="466">
        <f>IF(L37=0,0,H37/L37)</f>
        <v>0</v>
      </c>
      <c r="N37" s="469"/>
      <c r="O37" s="451"/>
    </row>
    <row r="38" spans="1:15" ht="13.5" customHeight="1" thickBot="1">
      <c r="A38" s="451"/>
      <c r="B38" s="455"/>
      <c r="C38" s="498"/>
      <c r="D38" s="499"/>
      <c r="E38" s="484"/>
      <c r="F38" s="481"/>
      <c r="G38" s="484"/>
      <c r="H38" s="485"/>
      <c r="I38" s="486"/>
      <c r="J38" s="480"/>
      <c r="K38" s="455"/>
      <c r="L38" s="455"/>
      <c r="M38" s="467"/>
      <c r="N38" s="450">
        <f>IF(L39=0,0,(H39-H37)/(L39-L37))</f>
        <v>0</v>
      </c>
      <c r="O38" s="450">
        <f>IF(L39-L37&lt;0,0,(L39-L37))</f>
        <v>0</v>
      </c>
    </row>
    <row r="39" spans="1:15" ht="13.5" customHeight="1" thickBot="1">
      <c r="A39" s="450">
        <f>IF(C39=0,0,CONCATENATE(B39," ",$D$30))</f>
        <v>0</v>
      </c>
      <c r="B39" s="454">
        <f>B11</f>
        <v>4</v>
      </c>
      <c r="C39" s="494">
        <v>0</v>
      </c>
      <c r="D39" s="496">
        <v>0</v>
      </c>
      <c r="E39" s="474">
        <f>D39*C39</f>
        <v>0</v>
      </c>
      <c r="F39" s="476">
        <f>IF(C39=0,0,$F$33)</f>
        <v>0</v>
      </c>
      <c r="G39" s="474">
        <f>F39*D39</f>
        <v>0</v>
      </c>
      <c r="H39" s="478">
        <f>E39-G39</f>
        <v>0</v>
      </c>
      <c r="I39" s="460">
        <f>IF(C39=0,0,$I$33)</f>
        <v>0</v>
      </c>
      <c r="J39" s="462">
        <f>H39-I39</f>
        <v>0</v>
      </c>
      <c r="K39" s="468">
        <f>C39-F39</f>
        <v>0</v>
      </c>
      <c r="L39" s="465">
        <f>D39/$D$31</f>
        <v>0</v>
      </c>
      <c r="M39" s="466">
        <f>IF(L39=0,0,H39/L39)</f>
        <v>0</v>
      </c>
      <c r="N39" s="469"/>
      <c r="O39" s="451"/>
    </row>
    <row r="40" spans="1:15" ht="13.5" customHeight="1" thickBot="1">
      <c r="A40" s="451"/>
      <c r="B40" s="455"/>
      <c r="C40" s="498"/>
      <c r="D40" s="499"/>
      <c r="E40" s="484"/>
      <c r="F40" s="481"/>
      <c r="G40" s="484"/>
      <c r="H40" s="485"/>
      <c r="I40" s="486"/>
      <c r="J40" s="480"/>
      <c r="K40" s="455"/>
      <c r="L40" s="455"/>
      <c r="M40" s="467"/>
      <c r="N40" s="450">
        <f>IF(L41=0,0,(H41-H39)/(L41-L39))</f>
        <v>0</v>
      </c>
      <c r="O40" s="450">
        <f>IF(L41-L39&lt;0,0,(L41-L39))</f>
        <v>0</v>
      </c>
    </row>
    <row r="41" spans="1:15" ht="13.5" customHeight="1" thickBot="1">
      <c r="A41" s="450">
        <f>IF(C41=0,0,CONCATENATE(B41," ",$D$30))</f>
        <v>0</v>
      </c>
      <c r="B41" s="454">
        <f>B13</f>
        <v>5</v>
      </c>
      <c r="C41" s="494">
        <v>0</v>
      </c>
      <c r="D41" s="496">
        <v>0</v>
      </c>
      <c r="E41" s="474">
        <f>D41*C41</f>
        <v>0</v>
      </c>
      <c r="F41" s="476">
        <f>IF(C41=0,0,$F$33)</f>
        <v>0</v>
      </c>
      <c r="G41" s="474">
        <f>F41*D41</f>
        <v>0</v>
      </c>
      <c r="H41" s="478">
        <f>E41-G41</f>
        <v>0</v>
      </c>
      <c r="I41" s="460">
        <f>IF(C41=0,0,$I$33)</f>
        <v>0</v>
      </c>
      <c r="J41" s="462">
        <f>H41-I41</f>
        <v>0</v>
      </c>
      <c r="K41" s="468">
        <f>C41-F41</f>
        <v>0</v>
      </c>
      <c r="L41" s="465">
        <f>D41/$D$31</f>
        <v>0</v>
      </c>
      <c r="M41" s="466">
        <f>IF(L41=0,0,H41/L41)</f>
        <v>0</v>
      </c>
      <c r="N41" s="469"/>
      <c r="O41" s="451"/>
    </row>
    <row r="42" spans="1:15" ht="13.5" customHeight="1" thickBot="1">
      <c r="A42" s="451"/>
      <c r="B42" s="455"/>
      <c r="C42" s="498"/>
      <c r="D42" s="499"/>
      <c r="E42" s="484"/>
      <c r="F42" s="481"/>
      <c r="G42" s="484"/>
      <c r="H42" s="485"/>
      <c r="I42" s="486"/>
      <c r="J42" s="480"/>
      <c r="K42" s="455"/>
      <c r="L42" s="455"/>
      <c r="M42" s="467"/>
      <c r="N42" s="450">
        <f>IF(L43=0,0,(H43-H41)/(L43-L41))</f>
        <v>0</v>
      </c>
      <c r="O42" s="450">
        <f>IF(L43-L41&lt;0,0,(L43-L41))</f>
        <v>0</v>
      </c>
    </row>
    <row r="43" spans="1:15" ht="13.5" customHeight="1" thickBot="1">
      <c r="A43" s="450">
        <f>IF(C43=0,0,CONCATENATE(B43," ",$D$30))</f>
        <v>0</v>
      </c>
      <c r="B43" s="454">
        <f>B15</f>
        <v>6</v>
      </c>
      <c r="C43" s="494">
        <v>0</v>
      </c>
      <c r="D43" s="496">
        <v>0</v>
      </c>
      <c r="E43" s="474">
        <f>D43*C43</f>
        <v>0</v>
      </c>
      <c r="F43" s="476">
        <f>IF(C43=0,0,$F$33)</f>
        <v>0</v>
      </c>
      <c r="G43" s="474">
        <f>F43*D43</f>
        <v>0</v>
      </c>
      <c r="H43" s="478">
        <f>E43-G43</f>
        <v>0</v>
      </c>
      <c r="I43" s="460">
        <f>IF(C43=0,0,$I$33)</f>
        <v>0</v>
      </c>
      <c r="J43" s="462">
        <f>H43-I43</f>
        <v>0</v>
      </c>
      <c r="K43" s="468">
        <f>C43-F43</f>
        <v>0</v>
      </c>
      <c r="L43" s="465">
        <f>D43/$D$31</f>
        <v>0</v>
      </c>
      <c r="M43" s="466">
        <f>IF(L43=0,0,H43/L43)</f>
        <v>0</v>
      </c>
      <c r="N43" s="469"/>
      <c r="O43" s="451"/>
    </row>
    <row r="44" spans="1:15" ht="13.5" customHeight="1" thickBot="1">
      <c r="A44" s="451"/>
      <c r="B44" s="455"/>
      <c r="C44" s="498"/>
      <c r="D44" s="499"/>
      <c r="E44" s="484"/>
      <c r="F44" s="481"/>
      <c r="G44" s="484"/>
      <c r="H44" s="485"/>
      <c r="I44" s="486"/>
      <c r="J44" s="480"/>
      <c r="K44" s="455"/>
      <c r="L44" s="455"/>
      <c r="M44" s="467"/>
      <c r="N44" s="450">
        <f>IF(L45=0,0,(H45-H43)/(L45-L43))</f>
        <v>0</v>
      </c>
      <c r="O44" s="450">
        <f>IF(L45-L43&lt;0,0,(L45-L43))</f>
        <v>0</v>
      </c>
    </row>
    <row r="45" spans="1:15" ht="13.5" customHeight="1" thickBot="1">
      <c r="A45" s="450">
        <f>IF(C45=0,0,CONCATENATE(B45," ",$D$30))</f>
        <v>0</v>
      </c>
      <c r="B45" s="454">
        <f>B17</f>
        <v>7</v>
      </c>
      <c r="C45" s="494">
        <v>0</v>
      </c>
      <c r="D45" s="496">
        <v>0</v>
      </c>
      <c r="E45" s="474">
        <f>D45*C45</f>
        <v>0</v>
      </c>
      <c r="F45" s="476">
        <f>IF(C45=0,0,$F$33)</f>
        <v>0</v>
      </c>
      <c r="G45" s="474">
        <f>F45*D45</f>
        <v>0</v>
      </c>
      <c r="H45" s="478">
        <f>E45-G45</f>
        <v>0</v>
      </c>
      <c r="I45" s="460">
        <f>IF(C45=0,0,$I$33)</f>
        <v>0</v>
      </c>
      <c r="J45" s="462">
        <f>H45-I45</f>
        <v>0</v>
      </c>
      <c r="K45" s="468">
        <f>C45-F45</f>
        <v>0</v>
      </c>
      <c r="L45" s="465">
        <f>D45/$D$31</f>
        <v>0</v>
      </c>
      <c r="M45" s="466">
        <f>IF(L45=0,0,H45/L45)</f>
        <v>0</v>
      </c>
      <c r="N45" s="469"/>
      <c r="O45" s="451"/>
    </row>
    <row r="46" spans="1:15" ht="13.5" customHeight="1" thickBot="1">
      <c r="A46" s="451"/>
      <c r="B46" s="455"/>
      <c r="C46" s="495"/>
      <c r="D46" s="497"/>
      <c r="E46" s="475"/>
      <c r="F46" s="481"/>
      <c r="G46" s="475"/>
      <c r="H46" s="479"/>
      <c r="I46" s="486"/>
      <c r="J46" s="463"/>
      <c r="K46" s="455"/>
      <c r="L46" s="455"/>
      <c r="M46" s="467"/>
      <c r="N46" s="450">
        <f>IF(L47=0,0,(H47-H45)/(L47-L45))</f>
        <v>0</v>
      </c>
      <c r="O46" s="450">
        <f>IF(L47-L45&lt;0,0,(L47-L45))</f>
        <v>0</v>
      </c>
    </row>
    <row r="47" spans="1:15" ht="13.5" customHeight="1" thickBot="1">
      <c r="A47" s="450">
        <f>IF(C47=0,0,CONCATENATE(B47," ",$D$30))</f>
        <v>0</v>
      </c>
      <c r="B47" s="454">
        <f>B19</f>
        <v>8</v>
      </c>
      <c r="C47" s="494">
        <v>0</v>
      </c>
      <c r="D47" s="496">
        <v>0</v>
      </c>
      <c r="E47" s="474">
        <f>D47*C47</f>
        <v>0</v>
      </c>
      <c r="F47" s="476">
        <f>IF(C47=0,0,$F$33)</f>
        <v>0</v>
      </c>
      <c r="G47" s="474">
        <f>F47*D47</f>
        <v>0</v>
      </c>
      <c r="H47" s="478">
        <f>E47-G47</f>
        <v>0</v>
      </c>
      <c r="I47" s="460">
        <f>IF(C47=0,0,$I$33)</f>
        <v>0</v>
      </c>
      <c r="J47" s="462">
        <f>H47-I47</f>
        <v>0</v>
      </c>
      <c r="K47" s="464">
        <f>C47-F47</f>
        <v>0</v>
      </c>
      <c r="L47" s="465">
        <f>D47/$D$31</f>
        <v>0</v>
      </c>
      <c r="M47" s="466">
        <f>IF(L47=0,0,H47/L47)</f>
        <v>0</v>
      </c>
      <c r="N47" s="469"/>
      <c r="O47" s="451"/>
    </row>
    <row r="48" spans="1:14" ht="13.5" customHeight="1" thickBot="1">
      <c r="A48" s="451"/>
      <c r="B48" s="455"/>
      <c r="C48" s="495"/>
      <c r="D48" s="497"/>
      <c r="E48" s="475"/>
      <c r="F48" s="477"/>
      <c r="G48" s="475"/>
      <c r="H48" s="479"/>
      <c r="I48" s="461"/>
      <c r="J48" s="463"/>
      <c r="K48" s="455"/>
      <c r="L48" s="455"/>
      <c r="M48" s="467"/>
      <c r="N48" s="457"/>
    </row>
    <row r="49" spans="3:14" ht="12.75" hidden="1">
      <c r="C49" s="458"/>
      <c r="D49" s="459"/>
      <c r="E49" s="459"/>
      <c r="F49" s="458"/>
      <c r="G49" s="459"/>
      <c r="H49" s="459"/>
      <c r="I49" s="459"/>
      <c r="J49" s="459"/>
      <c r="K49" s="456"/>
      <c r="L49" s="457"/>
      <c r="M49" s="457"/>
      <c r="N49" s="416"/>
    </row>
    <row r="50" spans="3:14" ht="12.75" hidden="1">
      <c r="C50" s="458"/>
      <c r="D50" s="459"/>
      <c r="E50" s="459"/>
      <c r="F50" s="458"/>
      <c r="G50" s="459"/>
      <c r="H50" s="459"/>
      <c r="I50" s="459"/>
      <c r="J50" s="459"/>
      <c r="K50" s="416"/>
      <c r="L50" s="416"/>
      <c r="M50" s="457"/>
      <c r="N50" s="457"/>
    </row>
    <row r="51" spans="3:14" ht="12.75" hidden="1">
      <c r="C51" s="458"/>
      <c r="D51" s="459"/>
      <c r="E51" s="459"/>
      <c r="F51" s="458"/>
      <c r="G51" s="459"/>
      <c r="H51" s="459"/>
      <c r="I51" s="459"/>
      <c r="J51" s="459"/>
      <c r="K51" s="456"/>
      <c r="L51" s="457"/>
      <c r="M51" s="457"/>
      <c r="N51" s="416"/>
    </row>
    <row r="52" spans="3:13" ht="12.75" hidden="1">
      <c r="C52" s="458"/>
      <c r="D52" s="459"/>
      <c r="E52" s="459"/>
      <c r="F52" s="458"/>
      <c r="G52" s="459"/>
      <c r="H52" s="459"/>
      <c r="I52" s="459"/>
      <c r="J52" s="459"/>
      <c r="K52" s="416"/>
      <c r="L52" s="416"/>
      <c r="M52" s="457"/>
    </row>
    <row r="53" spans="3:10" ht="21">
      <c r="C53" t="s">
        <v>157</v>
      </c>
      <c r="D53" s="198">
        <f>MAX(J33:J52)</f>
        <v>14400000</v>
      </c>
      <c r="E53" t="s">
        <v>158</v>
      </c>
      <c r="F53" s="199"/>
      <c r="G53" s="200"/>
      <c r="H53" s="199"/>
      <c r="I53" s="199"/>
      <c r="J53" s="201"/>
    </row>
    <row r="54" spans="3:10" ht="21">
      <c r="C54" s="202" t="s">
        <v>159</v>
      </c>
      <c r="D54" s="200">
        <f>IF(D53=J33,C33,IF(D53=J35,C35,IF(D53=J37,C37,IF(D53=J39,C39,IF(D53=J41,C41,IF(D53=J43,C43,IF(D53=J45,C45,IF(D53=J47,C47,"ingen"))))))))</f>
        <v>6000</v>
      </c>
      <c r="E54" s="200"/>
      <c r="F54" s="199"/>
      <c r="G54" s="200"/>
      <c r="H54" s="199"/>
      <c r="I54" s="199"/>
      <c r="J54" s="201"/>
    </row>
    <row r="55" spans="3:10" ht="21">
      <c r="C55" s="202" t="s">
        <v>160</v>
      </c>
      <c r="D55" s="200">
        <f>IF(D53=J33,D33,IF(D53=J35,D35,IF(D53=J37,D37,IF(D53=J39,D39,IF(D53=J41,D41,IF(D53=J43,D43,IF(D53=J45,D45,IF(D53=J47,D47,"ingen"))))))))</f>
        <v>6000</v>
      </c>
      <c r="E55" s="200"/>
      <c r="F55" s="199"/>
      <c r="G55" s="200"/>
      <c r="H55" s="199"/>
      <c r="I55" s="199"/>
      <c r="J55" s="201"/>
    </row>
    <row r="57" ht="18" hidden="1">
      <c r="C57" s="77"/>
    </row>
    <row r="58" spans="3:4" ht="15.75">
      <c r="C58" s="126" t="s">
        <v>139</v>
      </c>
      <c r="D58" s="205" t="s">
        <v>191</v>
      </c>
    </row>
    <row r="59" spans="3:5" ht="16.5" thickBot="1">
      <c r="C59" s="126" t="s">
        <v>140</v>
      </c>
      <c r="D59" s="205">
        <v>1</v>
      </c>
      <c r="E59" t="s">
        <v>141</v>
      </c>
    </row>
    <row r="60" spans="1:15" ht="30.75" thickBot="1">
      <c r="A60" s="204" t="str">
        <f>A32</f>
        <v>Navn</v>
      </c>
      <c r="B60" s="187" t="str">
        <f>B32</f>
        <v>Nr.</v>
      </c>
      <c r="C60" s="188" t="s">
        <v>144</v>
      </c>
      <c r="D60" s="189" t="s">
        <v>145</v>
      </c>
      <c r="E60" s="189" t="s">
        <v>146</v>
      </c>
      <c r="F60" s="189" t="s">
        <v>147</v>
      </c>
      <c r="G60" s="189" t="s">
        <v>148</v>
      </c>
      <c r="H60" s="189" t="s">
        <v>149</v>
      </c>
      <c r="I60" s="189" t="s">
        <v>150</v>
      </c>
      <c r="J60" s="190" t="s">
        <v>151</v>
      </c>
      <c r="K60" s="191" t="s">
        <v>152</v>
      </c>
      <c r="L60" s="192" t="s">
        <v>153</v>
      </c>
      <c r="M60" s="193" t="s">
        <v>154</v>
      </c>
      <c r="N60" s="194" t="s">
        <v>155</v>
      </c>
      <c r="O60" s="195" t="s">
        <v>161</v>
      </c>
    </row>
    <row r="61" spans="1:15" ht="13.5" thickBot="1">
      <c r="A61" s="450" t="str">
        <f>IF(C61=0,0,CONCATENATE(B61," ",$D$58))</f>
        <v>1 England</v>
      </c>
      <c r="B61" s="454">
        <f>B33</f>
        <v>1</v>
      </c>
      <c r="C61" s="491">
        <v>5600</v>
      </c>
      <c r="D61" s="492">
        <v>8000</v>
      </c>
      <c r="E61" s="493">
        <f>D61*C61</f>
        <v>44800000</v>
      </c>
      <c r="F61" s="470">
        <v>3800</v>
      </c>
      <c r="G61" s="493">
        <f>F61*D61</f>
        <v>30400000</v>
      </c>
      <c r="H61" s="487">
        <f>E61-G61</f>
        <v>14400000</v>
      </c>
      <c r="I61" s="488">
        <v>0</v>
      </c>
      <c r="J61" s="490">
        <f>H61-I61</f>
        <v>14400000</v>
      </c>
      <c r="K61" s="468">
        <f>C61-F61</f>
        <v>1800</v>
      </c>
      <c r="L61" s="465">
        <f>D61/$D$59</f>
        <v>8000</v>
      </c>
      <c r="M61" s="466">
        <f>IF(L61=0,0,H61/L61)</f>
        <v>1800</v>
      </c>
      <c r="N61" s="196">
        <f>IF(L61=0,0,H61/L61)</f>
        <v>1800</v>
      </c>
      <c r="O61" s="197">
        <f>L61</f>
        <v>8000</v>
      </c>
    </row>
    <row r="62" spans="1:15" ht="13.5" thickBot="1">
      <c r="A62" s="451"/>
      <c r="B62" s="455"/>
      <c r="C62" s="482"/>
      <c r="D62" s="483"/>
      <c r="E62" s="484"/>
      <c r="F62" s="482"/>
      <c r="G62" s="484"/>
      <c r="H62" s="485"/>
      <c r="I62" s="489"/>
      <c r="J62" s="480"/>
      <c r="K62" s="455"/>
      <c r="L62" s="455"/>
      <c r="M62" s="467"/>
      <c r="N62" s="450">
        <f>IF(L63=0,0,(H63-H61)/(L63-L61))</f>
        <v>0</v>
      </c>
      <c r="O62" s="450">
        <f>IF(L63-L61&lt;0,0,L63-L61)</f>
        <v>0</v>
      </c>
    </row>
    <row r="63" spans="1:15" ht="13.5" thickBot="1">
      <c r="A63" s="450">
        <f>IF(C63=0,0,CONCATENATE(B63," ",$D$58))</f>
        <v>0</v>
      </c>
      <c r="B63" s="454">
        <f>B35</f>
        <v>2</v>
      </c>
      <c r="C63" s="470">
        <v>0</v>
      </c>
      <c r="D63" s="472">
        <v>0</v>
      </c>
      <c r="E63" s="474">
        <f>D63*C63</f>
        <v>0</v>
      </c>
      <c r="F63" s="476">
        <f>IF(C63=0,0,$F$61)</f>
        <v>0</v>
      </c>
      <c r="G63" s="474">
        <f>F63*D63</f>
        <v>0</v>
      </c>
      <c r="H63" s="478">
        <f>E63-G63</f>
        <v>0</v>
      </c>
      <c r="I63" s="460">
        <f>IF(C63=0,0,$I$61)</f>
        <v>0</v>
      </c>
      <c r="J63" s="462">
        <f>H63-I63</f>
        <v>0</v>
      </c>
      <c r="K63" s="468">
        <f>C63-F63</f>
        <v>0</v>
      </c>
      <c r="L63" s="465">
        <f>D63/$D$59</f>
        <v>0</v>
      </c>
      <c r="M63" s="466">
        <f>IF(L63=0,0,H63/L63)</f>
        <v>0</v>
      </c>
      <c r="N63" s="469"/>
      <c r="O63" s="451"/>
    </row>
    <row r="64" spans="1:15" ht="13.5" thickBot="1">
      <c r="A64" s="451"/>
      <c r="B64" s="455"/>
      <c r="C64" s="482"/>
      <c r="D64" s="483"/>
      <c r="E64" s="484"/>
      <c r="F64" s="481"/>
      <c r="G64" s="484"/>
      <c r="H64" s="485"/>
      <c r="I64" s="486"/>
      <c r="J64" s="480"/>
      <c r="K64" s="455"/>
      <c r="L64" s="455"/>
      <c r="M64" s="467"/>
      <c r="N64" s="450">
        <f>IF(L65=0,0,(H65-H63)/(L65-L63))</f>
        <v>0</v>
      </c>
      <c r="O64" s="450">
        <f>IF(L65-L63&lt;0,0,L65-L63)</f>
        <v>0</v>
      </c>
    </row>
    <row r="65" spans="1:15" ht="13.5" customHeight="1" thickBot="1">
      <c r="A65" s="450">
        <f>IF(C65=0,0,CONCATENATE(B65," ",$D$58))</f>
        <v>0</v>
      </c>
      <c r="B65" s="454">
        <f>B37</f>
        <v>3</v>
      </c>
      <c r="C65" s="470">
        <v>0</v>
      </c>
      <c r="D65" s="472">
        <v>0</v>
      </c>
      <c r="E65" s="474">
        <f>D65*C65</f>
        <v>0</v>
      </c>
      <c r="F65" s="476">
        <f>IF(C65=0,0,$F$61)</f>
        <v>0</v>
      </c>
      <c r="G65" s="474">
        <f>F65*D65</f>
        <v>0</v>
      </c>
      <c r="H65" s="478">
        <f>E65-G65</f>
        <v>0</v>
      </c>
      <c r="I65" s="460">
        <f>IF(C65=0,0,$I$61)</f>
        <v>0</v>
      </c>
      <c r="J65" s="462">
        <f>H65-I65</f>
        <v>0</v>
      </c>
      <c r="K65" s="468">
        <f>C65-F65</f>
        <v>0</v>
      </c>
      <c r="L65" s="465">
        <f>D65/$D$59</f>
        <v>0</v>
      </c>
      <c r="M65" s="466">
        <f>IF(L65=0,0,H65/L65)</f>
        <v>0</v>
      </c>
      <c r="N65" s="469"/>
      <c r="O65" s="451"/>
    </row>
    <row r="66" spans="1:15" ht="13.5" customHeight="1" thickBot="1">
      <c r="A66" s="451"/>
      <c r="B66" s="455"/>
      <c r="C66" s="482"/>
      <c r="D66" s="483"/>
      <c r="E66" s="484"/>
      <c r="F66" s="481"/>
      <c r="G66" s="484"/>
      <c r="H66" s="485"/>
      <c r="I66" s="486"/>
      <c r="J66" s="480"/>
      <c r="K66" s="455"/>
      <c r="L66" s="455"/>
      <c r="M66" s="467"/>
      <c r="N66" s="450">
        <f>IF(L67=0,0,(H67-H65)/(L67-L65))</f>
        <v>0</v>
      </c>
      <c r="O66" s="450">
        <f>IF(L67-L65&lt;0,0,L67-L65)</f>
        <v>0</v>
      </c>
    </row>
    <row r="67" spans="1:15" ht="13.5" customHeight="1" thickBot="1">
      <c r="A67" s="450">
        <f>IF(C67=0,0,CONCATENATE(B67," ",$D$58))</f>
        <v>0</v>
      </c>
      <c r="B67" s="454">
        <f>B39</f>
        <v>4</v>
      </c>
      <c r="C67" s="470">
        <v>0</v>
      </c>
      <c r="D67" s="472">
        <v>0</v>
      </c>
      <c r="E67" s="474">
        <f>D67*C67</f>
        <v>0</v>
      </c>
      <c r="F67" s="476">
        <f>IF(C67=0,0,$F$61)</f>
        <v>0</v>
      </c>
      <c r="G67" s="474">
        <f>F67*D67</f>
        <v>0</v>
      </c>
      <c r="H67" s="478">
        <f>E67-G67</f>
        <v>0</v>
      </c>
      <c r="I67" s="460">
        <f>IF(C67=0,0,$I$61)</f>
        <v>0</v>
      </c>
      <c r="J67" s="462">
        <f>H67-I67</f>
        <v>0</v>
      </c>
      <c r="K67" s="468">
        <f>C67-F67</f>
        <v>0</v>
      </c>
      <c r="L67" s="465">
        <f>D67/$D$59</f>
        <v>0</v>
      </c>
      <c r="M67" s="466">
        <f>IF(L67=0,0,H67/L67)</f>
        <v>0</v>
      </c>
      <c r="N67" s="469"/>
      <c r="O67" s="451"/>
    </row>
    <row r="68" spans="1:15" ht="13.5" customHeight="1" thickBot="1">
      <c r="A68" s="451"/>
      <c r="B68" s="455"/>
      <c r="C68" s="482"/>
      <c r="D68" s="483"/>
      <c r="E68" s="484"/>
      <c r="F68" s="481"/>
      <c r="G68" s="484"/>
      <c r="H68" s="485"/>
      <c r="I68" s="486"/>
      <c r="J68" s="480"/>
      <c r="K68" s="455"/>
      <c r="L68" s="455"/>
      <c r="M68" s="467"/>
      <c r="N68" s="450">
        <f>IF(L69=0,0,(H69-H67)/(L69-L67))</f>
        <v>0</v>
      </c>
      <c r="O68" s="450">
        <f>IF(L69-L67&lt;0,0,L69-L67)</f>
        <v>0</v>
      </c>
    </row>
    <row r="69" spans="1:15" ht="13.5" customHeight="1" thickBot="1">
      <c r="A69" s="450">
        <f>IF(C69=0,0,CONCATENATE(B69," ",$D$58))</f>
        <v>0</v>
      </c>
      <c r="B69" s="454">
        <f>B41</f>
        <v>5</v>
      </c>
      <c r="C69" s="470">
        <v>0</v>
      </c>
      <c r="D69" s="472">
        <v>0</v>
      </c>
      <c r="E69" s="474">
        <f>D69*C69</f>
        <v>0</v>
      </c>
      <c r="F69" s="476">
        <f>IF(C69=0,0,$F$61)</f>
        <v>0</v>
      </c>
      <c r="G69" s="474">
        <f>F69*D69</f>
        <v>0</v>
      </c>
      <c r="H69" s="478">
        <f>E69-G69</f>
        <v>0</v>
      </c>
      <c r="I69" s="460">
        <f>IF(C69=0,0,$I$61)</f>
        <v>0</v>
      </c>
      <c r="J69" s="462">
        <f>H69-I69</f>
        <v>0</v>
      </c>
      <c r="K69" s="468">
        <f>C69-F69</f>
        <v>0</v>
      </c>
      <c r="L69" s="465">
        <f>D69/$D$59</f>
        <v>0</v>
      </c>
      <c r="M69" s="466">
        <f>IF(L69=0,0,H69/L69)</f>
        <v>0</v>
      </c>
      <c r="N69" s="469"/>
      <c r="O69" s="451"/>
    </row>
    <row r="70" spans="1:15" ht="13.5" customHeight="1" thickBot="1">
      <c r="A70" s="451"/>
      <c r="B70" s="455"/>
      <c r="C70" s="482"/>
      <c r="D70" s="483"/>
      <c r="E70" s="484"/>
      <c r="F70" s="481"/>
      <c r="G70" s="484"/>
      <c r="H70" s="485"/>
      <c r="I70" s="486"/>
      <c r="J70" s="480"/>
      <c r="K70" s="455"/>
      <c r="L70" s="455"/>
      <c r="M70" s="467"/>
      <c r="N70" s="450">
        <f>IF(L71=0,0,(H71-H69)/(L71-L69))</f>
        <v>0</v>
      </c>
      <c r="O70" s="450">
        <f>IF(L71-L69&lt;0,0,L71-L69)</f>
        <v>0</v>
      </c>
    </row>
    <row r="71" spans="1:15" ht="13.5" customHeight="1" thickBot="1">
      <c r="A71" s="450">
        <f>IF(C71=0,0,CONCATENATE(B71," ",$D$58))</f>
        <v>0</v>
      </c>
      <c r="B71" s="454">
        <f>B43</f>
        <v>6</v>
      </c>
      <c r="C71" s="470">
        <v>0</v>
      </c>
      <c r="D71" s="472">
        <v>0</v>
      </c>
      <c r="E71" s="474">
        <f>D71*C71</f>
        <v>0</v>
      </c>
      <c r="F71" s="476">
        <f>IF(C71=0,0,$F$61)</f>
        <v>0</v>
      </c>
      <c r="G71" s="474">
        <f>F71*D71</f>
        <v>0</v>
      </c>
      <c r="H71" s="478">
        <f>E71-G71</f>
        <v>0</v>
      </c>
      <c r="I71" s="460">
        <f>IF(C71=0,0,$I$61)</f>
        <v>0</v>
      </c>
      <c r="J71" s="462">
        <f>H71-I71</f>
        <v>0</v>
      </c>
      <c r="K71" s="468">
        <f>C71-F71</f>
        <v>0</v>
      </c>
      <c r="L71" s="465">
        <f>D71/$D$59</f>
        <v>0</v>
      </c>
      <c r="M71" s="466">
        <f>IF(L71=0,0,H71/L71)</f>
        <v>0</v>
      </c>
      <c r="N71" s="469"/>
      <c r="O71" s="451"/>
    </row>
    <row r="72" spans="1:15" ht="13.5" customHeight="1" thickBot="1">
      <c r="A72" s="451"/>
      <c r="B72" s="455"/>
      <c r="C72" s="482"/>
      <c r="D72" s="483"/>
      <c r="E72" s="484"/>
      <c r="F72" s="481"/>
      <c r="G72" s="484"/>
      <c r="H72" s="485"/>
      <c r="I72" s="486"/>
      <c r="J72" s="480"/>
      <c r="K72" s="455"/>
      <c r="L72" s="455"/>
      <c r="M72" s="467"/>
      <c r="N72" s="450">
        <f>IF(L73=0,0,(H73-H71)/(L73-L71))</f>
        <v>0</v>
      </c>
      <c r="O72" s="450">
        <f>IF(L73-L71&lt;0,0,L73-L71)</f>
        <v>0</v>
      </c>
    </row>
    <row r="73" spans="1:15" ht="13.5" customHeight="1" thickBot="1">
      <c r="A73" s="450">
        <f>IF(C73=0,0,CONCATENATE(B73," ",$D$58))</f>
        <v>0</v>
      </c>
      <c r="B73" s="454">
        <f>B45</f>
        <v>7</v>
      </c>
      <c r="C73" s="470">
        <v>0</v>
      </c>
      <c r="D73" s="472">
        <v>0</v>
      </c>
      <c r="E73" s="474">
        <f>D73*C73</f>
        <v>0</v>
      </c>
      <c r="F73" s="476">
        <f>IF(C73=0,0,$F$61)</f>
        <v>0</v>
      </c>
      <c r="G73" s="474">
        <f>F73*D73</f>
        <v>0</v>
      </c>
      <c r="H73" s="478">
        <f>E73-G73</f>
        <v>0</v>
      </c>
      <c r="I73" s="460">
        <f>IF(C73=0,0,$I$61)</f>
        <v>0</v>
      </c>
      <c r="J73" s="462">
        <f>H73-I73</f>
        <v>0</v>
      </c>
      <c r="K73" s="468">
        <f>C73-F73</f>
        <v>0</v>
      </c>
      <c r="L73" s="465">
        <f>D73/$D$59</f>
        <v>0</v>
      </c>
      <c r="M73" s="466">
        <f>IF(L73=0,0,H73/L73)</f>
        <v>0</v>
      </c>
      <c r="N73" s="469"/>
      <c r="O73" s="451"/>
    </row>
    <row r="74" spans="1:15" ht="13.5" customHeight="1" thickBot="1">
      <c r="A74" s="451"/>
      <c r="B74" s="455"/>
      <c r="C74" s="471"/>
      <c r="D74" s="473"/>
      <c r="E74" s="475"/>
      <c r="F74" s="481"/>
      <c r="G74" s="475"/>
      <c r="H74" s="479"/>
      <c r="I74" s="486"/>
      <c r="J74" s="463"/>
      <c r="K74" s="455"/>
      <c r="L74" s="455"/>
      <c r="M74" s="467"/>
      <c r="N74" s="450">
        <f>IF(L75=0,0,(H75-H73)/(L75-L73))</f>
        <v>0</v>
      </c>
      <c r="O74" s="450">
        <f>IF(L75-L73&lt;0,0,L75-L73)</f>
        <v>0</v>
      </c>
    </row>
    <row r="75" spans="1:15" ht="13.5" customHeight="1" thickBot="1">
      <c r="A75" s="450">
        <f>IF(C75=0,0,CONCATENATE(B75," ",$D$58))</f>
        <v>0</v>
      </c>
      <c r="B75" s="454">
        <f>B47</f>
        <v>8</v>
      </c>
      <c r="C75" s="470">
        <v>0</v>
      </c>
      <c r="D75" s="472">
        <v>0</v>
      </c>
      <c r="E75" s="474">
        <f>D75*C75</f>
        <v>0</v>
      </c>
      <c r="F75" s="476">
        <f>IF(C75=0,0,$F$61)</f>
        <v>0</v>
      </c>
      <c r="G75" s="474">
        <f>F75*D75</f>
        <v>0</v>
      </c>
      <c r="H75" s="478">
        <f>E75-G75</f>
        <v>0</v>
      </c>
      <c r="I75" s="460">
        <f>IF(C75=0,0,$I$61)</f>
        <v>0</v>
      </c>
      <c r="J75" s="462">
        <f>H75-I75</f>
        <v>0</v>
      </c>
      <c r="K75" s="464">
        <f>C75-F75</f>
        <v>0</v>
      </c>
      <c r="L75" s="465">
        <f>D75/$D$59</f>
        <v>0</v>
      </c>
      <c r="M75" s="466">
        <f>IF(L75=0,0,H75/L75)</f>
        <v>0</v>
      </c>
      <c r="N75" s="469"/>
      <c r="O75" s="451"/>
    </row>
    <row r="76" spans="1:14" ht="13.5" customHeight="1" thickBot="1">
      <c r="A76" s="451"/>
      <c r="B76" s="455"/>
      <c r="C76" s="471"/>
      <c r="D76" s="473"/>
      <c r="E76" s="475"/>
      <c r="F76" s="477"/>
      <c r="G76" s="475"/>
      <c r="H76" s="479"/>
      <c r="I76" s="461"/>
      <c r="J76" s="463"/>
      <c r="K76" s="455"/>
      <c r="L76" s="455"/>
      <c r="M76" s="467"/>
      <c r="N76" s="457"/>
    </row>
    <row r="77" spans="3:14" ht="12.75" hidden="1">
      <c r="C77" s="458"/>
      <c r="D77" s="459"/>
      <c r="E77" s="459"/>
      <c r="F77" s="458"/>
      <c r="G77" s="459"/>
      <c r="H77" s="459"/>
      <c r="I77" s="459"/>
      <c r="J77" s="459"/>
      <c r="K77" s="456"/>
      <c r="L77" s="457"/>
      <c r="M77" s="457"/>
      <c r="N77" s="416"/>
    </row>
    <row r="78" spans="3:14" ht="12.75" hidden="1">
      <c r="C78" s="458"/>
      <c r="D78" s="459"/>
      <c r="E78" s="459"/>
      <c r="F78" s="458"/>
      <c r="G78" s="459"/>
      <c r="H78" s="459"/>
      <c r="I78" s="459"/>
      <c r="J78" s="459"/>
      <c r="K78" s="416"/>
      <c r="L78" s="416"/>
      <c r="M78" s="457"/>
      <c r="N78" s="457"/>
    </row>
    <row r="79" spans="3:14" ht="12.75" hidden="1">
      <c r="C79" s="458"/>
      <c r="D79" s="459"/>
      <c r="E79" s="459"/>
      <c r="F79" s="458"/>
      <c r="G79" s="459"/>
      <c r="H79" s="459"/>
      <c r="I79" s="459"/>
      <c r="J79" s="459"/>
      <c r="K79" s="456"/>
      <c r="L79" s="457"/>
      <c r="M79" s="457"/>
      <c r="N79" s="416"/>
    </row>
    <row r="80" spans="3:13" ht="12.75" hidden="1">
      <c r="C80" s="458"/>
      <c r="D80" s="459"/>
      <c r="E80" s="459"/>
      <c r="F80" s="458"/>
      <c r="G80" s="459"/>
      <c r="H80" s="459"/>
      <c r="I80" s="459"/>
      <c r="J80" s="459"/>
      <c r="K80" s="416"/>
      <c r="L80" s="416"/>
      <c r="M80" s="457"/>
    </row>
    <row r="81" spans="3:10" ht="21">
      <c r="C81" t="s">
        <v>157</v>
      </c>
      <c r="D81" s="198">
        <f>MAX(J61:J80)</f>
        <v>14400000</v>
      </c>
      <c r="E81" t="s">
        <v>158</v>
      </c>
      <c r="F81" s="199"/>
      <c r="G81" s="200"/>
      <c r="H81" s="199"/>
      <c r="I81" s="199"/>
      <c r="J81" s="201"/>
    </row>
    <row r="82" spans="3:10" ht="21">
      <c r="C82" s="202" t="s">
        <v>159</v>
      </c>
      <c r="D82" s="200">
        <f>IF(D81=J61,C61,IF(D81=J63,C63,IF(D81=J65,C65,IF(D81=J67,C67,IF(D81=J69,C69,IF(D81=J71,C71,IF(D81=J73,C73,IF(D81=J75,C75,"ingen"))))))))</f>
        <v>5600</v>
      </c>
      <c r="E82" s="200"/>
      <c r="F82" s="199"/>
      <c r="G82" s="200"/>
      <c r="H82" s="199"/>
      <c r="I82" s="199"/>
      <c r="J82" s="201"/>
    </row>
    <row r="83" spans="3:10" ht="21">
      <c r="C83" s="202" t="s">
        <v>160</v>
      </c>
      <c r="D83" s="200">
        <f>IF(D81=J61,D61,IF(D81=J63,D63,IF(D81=J65,D65,IF(D81=J67,D67,IF(D81=J69,D69,IF(D81=J71,D71,IF(D81=J73,D73,IF(D81=J75,D75,"ingen"))))))))</f>
        <v>8000</v>
      </c>
      <c r="E83" s="200"/>
      <c r="F83" s="199"/>
      <c r="G83" s="200"/>
      <c r="H83" s="199"/>
      <c r="I83" s="199"/>
      <c r="J83" s="201"/>
    </row>
    <row r="84" spans="6:10" ht="21">
      <c r="F84" s="199"/>
      <c r="G84" s="200"/>
      <c r="H84" s="199"/>
      <c r="I84" s="199"/>
      <c r="J84" s="201"/>
    </row>
    <row r="85" spans="3:14" ht="18">
      <c r="C85" s="514" t="s">
        <v>162</v>
      </c>
      <c r="D85" s="514"/>
      <c r="E85" s="514"/>
      <c r="F85" s="514"/>
      <c r="G85" s="514"/>
      <c r="H85" s="514"/>
      <c r="I85" s="207"/>
      <c r="J85" s="207"/>
      <c r="K85" s="207"/>
      <c r="L85" s="207"/>
      <c r="M85" s="207"/>
      <c r="N85" s="207"/>
    </row>
    <row r="86" spans="3:14" ht="21">
      <c r="C86" s="202" t="s">
        <v>163</v>
      </c>
      <c r="D86" s="208">
        <v>17000</v>
      </c>
      <c r="E86" s="200" t="s">
        <v>164</v>
      </c>
      <c r="F86" s="206"/>
      <c r="G86" s="206"/>
      <c r="H86" s="206"/>
      <c r="I86" s="207"/>
      <c r="J86" s="207"/>
      <c r="K86" s="207"/>
      <c r="L86" s="207"/>
      <c r="M86" s="207"/>
      <c r="N86" s="206"/>
    </row>
    <row r="87" spans="3:14" ht="54">
      <c r="C87" s="206" t="s">
        <v>165</v>
      </c>
      <c r="D87" s="206" t="s">
        <v>166</v>
      </c>
      <c r="E87" s="206" t="s">
        <v>167</v>
      </c>
      <c r="F87" s="209" t="s">
        <v>168</v>
      </c>
      <c r="G87" s="209" t="s">
        <v>169</v>
      </c>
      <c r="H87" s="206" t="s">
        <v>170</v>
      </c>
      <c r="I87" s="207"/>
      <c r="J87" s="207"/>
      <c r="K87" s="207"/>
      <c r="L87" s="207"/>
      <c r="M87" s="207"/>
      <c r="N87" s="206"/>
    </row>
    <row r="88" spans="3:13" ht="12.75" customHeight="1">
      <c r="C88" s="452" t="s">
        <v>171</v>
      </c>
      <c r="D88" s="453">
        <f>'løsningstabel (2)'!F2</f>
        <v>4400</v>
      </c>
      <c r="E88" s="452" t="str">
        <f>'løsningstabel (2)'!G2</f>
        <v>1 Danmark</v>
      </c>
      <c r="F88" s="452">
        <f>'løsningstabel (2)'!H2</f>
        <v>2000</v>
      </c>
      <c r="G88" s="452">
        <f>F88</f>
        <v>2000</v>
      </c>
      <c r="H88" s="452" t="str">
        <f>IF(G88&lt;=$D$86,"Ja","Nej")</f>
        <v>Ja</v>
      </c>
      <c r="I88" s="207"/>
      <c r="J88" s="207"/>
      <c r="K88" s="207"/>
      <c r="L88" s="207"/>
      <c r="M88" s="207"/>
    </row>
    <row r="89" spans="3:13" ht="12.75" customHeight="1">
      <c r="C89" s="452"/>
      <c r="D89" s="453"/>
      <c r="E89" s="452"/>
      <c r="F89" s="452"/>
      <c r="G89" s="452"/>
      <c r="H89" s="452"/>
      <c r="I89" s="207"/>
      <c r="J89" s="207"/>
      <c r="K89" s="207"/>
      <c r="L89" s="207"/>
      <c r="M89" s="207"/>
    </row>
    <row r="90" spans="3:13" ht="12.75" customHeight="1">
      <c r="C90" s="452" t="s">
        <v>172</v>
      </c>
      <c r="D90" s="453">
        <f>'løsningstabel (2)'!F3</f>
        <v>2400</v>
      </c>
      <c r="E90" s="452" t="str">
        <f>'løsningstabel (2)'!G3</f>
        <v>1 Tyskland</v>
      </c>
      <c r="F90" s="452">
        <f>'løsningstabel (2)'!H3</f>
        <v>6000</v>
      </c>
      <c r="G90" s="452">
        <f>G88+F90</f>
        <v>8000</v>
      </c>
      <c r="H90" s="452" t="str">
        <f>IF(G90&lt;=$D$86,"Ja","Nej")</f>
        <v>Ja</v>
      </c>
      <c r="I90" s="207"/>
      <c r="J90" s="207"/>
      <c r="K90" s="207"/>
      <c r="L90" s="207"/>
      <c r="M90" s="207"/>
    </row>
    <row r="91" spans="3:13" ht="12.75" customHeight="1">
      <c r="C91" s="452"/>
      <c r="D91" s="453"/>
      <c r="E91" s="452"/>
      <c r="F91" s="452"/>
      <c r="G91" s="452"/>
      <c r="H91" s="452"/>
      <c r="I91" s="207"/>
      <c r="J91" s="207"/>
      <c r="K91" s="207"/>
      <c r="L91" s="207"/>
      <c r="M91" s="207"/>
    </row>
    <row r="92" spans="3:13" ht="12.75" customHeight="1">
      <c r="C92" s="452" t="s">
        <v>173</v>
      </c>
      <c r="D92" s="453">
        <f>'løsningstabel (2)'!F4</f>
        <v>1900</v>
      </c>
      <c r="E92" s="452" t="str">
        <f>'løsningstabel (2)'!G4</f>
        <v>2 Danmark</v>
      </c>
      <c r="F92" s="452">
        <f>'løsningstabel (2)'!H4</f>
        <v>500</v>
      </c>
      <c r="G92" s="452">
        <f>G90+F92</f>
        <v>8500</v>
      </c>
      <c r="H92" s="452" t="str">
        <f>IF(G92&lt;=$D$86,"Ja","Nej")</f>
        <v>Ja</v>
      </c>
      <c r="I92" s="207"/>
      <c r="J92" s="207"/>
      <c r="K92" s="207"/>
      <c r="L92" s="207"/>
      <c r="M92" s="207"/>
    </row>
    <row r="93" spans="3:13" ht="12.75" customHeight="1">
      <c r="C93" s="452"/>
      <c r="D93" s="453"/>
      <c r="E93" s="452"/>
      <c r="F93" s="452"/>
      <c r="G93" s="452"/>
      <c r="H93" s="452"/>
      <c r="I93" s="207"/>
      <c r="J93" s="207"/>
      <c r="K93" s="207"/>
      <c r="L93" s="207"/>
      <c r="M93" s="207"/>
    </row>
    <row r="94" spans="3:13" ht="12.75" customHeight="1">
      <c r="C94" s="452" t="s">
        <v>174</v>
      </c>
      <c r="D94" s="453">
        <f>'løsningstabel (2)'!F5</f>
        <v>1800</v>
      </c>
      <c r="E94" s="452" t="str">
        <f>'løsningstabel (2)'!G5</f>
        <v>1 England</v>
      </c>
      <c r="F94" s="452">
        <f>'løsningstabel (2)'!H5</f>
        <v>8000</v>
      </c>
      <c r="G94" s="452">
        <f>G92+F94</f>
        <v>16500</v>
      </c>
      <c r="H94" s="452" t="str">
        <f>IF(G94&lt;=$D$86,"Ja","Nej")</f>
        <v>Ja</v>
      </c>
      <c r="I94" s="207"/>
      <c r="J94" s="207"/>
      <c r="K94" s="207"/>
      <c r="L94" s="207"/>
      <c r="M94" s="207"/>
    </row>
    <row r="95" spans="3:13" ht="12.75" customHeight="1">
      <c r="C95" s="452"/>
      <c r="D95" s="453"/>
      <c r="E95" s="452"/>
      <c r="F95" s="452"/>
      <c r="G95" s="452"/>
      <c r="H95" s="452"/>
      <c r="I95" s="207"/>
      <c r="J95" s="207"/>
      <c r="K95" s="207"/>
      <c r="L95" s="207"/>
      <c r="M95" s="207"/>
    </row>
    <row r="96" spans="3:13" ht="12.75" customHeight="1">
      <c r="C96" s="452" t="s">
        <v>175</v>
      </c>
      <c r="D96" s="453">
        <f>'løsningstabel (2)'!F6</f>
        <v>900</v>
      </c>
      <c r="E96" s="452" t="str">
        <f>'løsningstabel (2)'!G6</f>
        <v>3 Danmark</v>
      </c>
      <c r="F96" s="452">
        <f>'løsningstabel (2)'!H6</f>
        <v>500</v>
      </c>
      <c r="G96" s="452">
        <f>G94+F96</f>
        <v>17000</v>
      </c>
      <c r="H96" s="452" t="str">
        <f>IF(G96&lt;=$D$86,"Ja","Nej")</f>
        <v>Ja</v>
      </c>
      <c r="I96" s="207"/>
      <c r="J96" s="207"/>
      <c r="K96" s="237"/>
      <c r="L96" s="207"/>
      <c r="M96" s="207"/>
    </row>
    <row r="97" spans="3:13" ht="12.75" customHeight="1">
      <c r="C97" s="452"/>
      <c r="D97" s="453"/>
      <c r="E97" s="452"/>
      <c r="F97" s="452"/>
      <c r="G97" s="452"/>
      <c r="H97" s="452"/>
      <c r="I97" s="207"/>
      <c r="J97" s="207"/>
      <c r="K97" s="237"/>
      <c r="L97" s="207"/>
      <c r="M97" s="207"/>
    </row>
    <row r="98" spans="3:13" ht="12.75" customHeight="1" hidden="1">
      <c r="C98" s="452" t="s">
        <v>176</v>
      </c>
      <c r="D98" s="453">
        <f>'løsningstabel (2)'!F7</f>
        <v>0</v>
      </c>
      <c r="E98" s="452" t="str">
        <f>'løsningstabel (2)'!G7</f>
        <v>2 Tyskland</v>
      </c>
      <c r="F98" s="452">
        <f>'løsningstabel (2)'!H7</f>
        <v>0</v>
      </c>
      <c r="G98" s="452">
        <f>G96+F98</f>
        <v>17000</v>
      </c>
      <c r="H98" s="452" t="str">
        <f>IF(G98&lt;=$D$86,"Ja","Nej")</f>
        <v>Ja</v>
      </c>
      <c r="I98" s="207"/>
      <c r="J98" s="207"/>
      <c r="K98" s="207"/>
      <c r="L98" s="207"/>
      <c r="M98" s="207"/>
    </row>
    <row r="99" spans="3:13" ht="12.75" customHeight="1" hidden="1">
      <c r="C99" s="452"/>
      <c r="D99" s="453"/>
      <c r="E99" s="452"/>
      <c r="F99" s="452"/>
      <c r="G99" s="452"/>
      <c r="H99" s="452"/>
      <c r="I99" s="207"/>
      <c r="J99" s="207"/>
      <c r="K99" s="207"/>
      <c r="L99" s="207"/>
      <c r="M99" s="207"/>
    </row>
    <row r="100" spans="3:13" ht="12.75" customHeight="1" hidden="1">
      <c r="C100" s="452" t="s">
        <v>177</v>
      </c>
      <c r="D100" s="453">
        <f>'løsningstabel (2)'!F8</f>
        <v>0</v>
      </c>
      <c r="E100" s="452" t="str">
        <f>'løsningstabel (2)'!G8</f>
        <v>4 Tyskland</v>
      </c>
      <c r="F100" s="452">
        <f>'løsningstabel (2)'!H8</f>
        <v>0</v>
      </c>
      <c r="G100" s="452">
        <f>G98+F100</f>
        <v>17000</v>
      </c>
      <c r="H100" s="452" t="str">
        <f>IF(G100&lt;=$D$86,"Ja","Nej")</f>
        <v>Ja</v>
      </c>
      <c r="I100" s="207"/>
      <c r="J100" s="207"/>
      <c r="K100" s="207"/>
      <c r="L100" s="207"/>
      <c r="M100" s="207"/>
    </row>
    <row r="101" spans="3:13" ht="12.75" customHeight="1" hidden="1">
      <c r="C101" s="452"/>
      <c r="D101" s="453"/>
      <c r="E101" s="452"/>
      <c r="F101" s="452"/>
      <c r="G101" s="452"/>
      <c r="H101" s="452"/>
      <c r="I101" s="207"/>
      <c r="J101" s="207"/>
      <c r="K101" s="207"/>
      <c r="L101" s="207"/>
      <c r="M101" s="207"/>
    </row>
    <row r="102" spans="3:13" ht="12.75" customHeight="1" hidden="1">
      <c r="C102" s="452" t="s">
        <v>178</v>
      </c>
      <c r="D102" s="453">
        <f>'løsningstabel (2)'!F9</f>
        <v>0</v>
      </c>
      <c r="E102" s="452" t="str">
        <f>'løsningstabel (2)'!G9</f>
        <v>4 Tyskland</v>
      </c>
      <c r="F102" s="452">
        <f>'løsningstabel (2)'!H9</f>
        <v>0</v>
      </c>
      <c r="G102" s="452">
        <f>G100+F102</f>
        <v>17000</v>
      </c>
      <c r="H102" s="452" t="str">
        <f>IF(G102&lt;=$D$86,"Ja","Nej")</f>
        <v>Ja</v>
      </c>
      <c r="I102" s="207"/>
      <c r="J102" s="207"/>
      <c r="K102" s="207"/>
      <c r="L102" s="207"/>
      <c r="M102" s="207"/>
    </row>
    <row r="103" spans="3:13" ht="12.75" customHeight="1" hidden="1">
      <c r="C103" s="452"/>
      <c r="D103" s="453"/>
      <c r="E103" s="452"/>
      <c r="F103" s="452"/>
      <c r="G103" s="452"/>
      <c r="H103" s="452"/>
      <c r="I103" s="207"/>
      <c r="J103" s="207"/>
      <c r="K103" s="207"/>
      <c r="L103" s="207"/>
      <c r="M103" s="207"/>
    </row>
    <row r="104" spans="3:13" ht="12.75" customHeight="1" hidden="1">
      <c r="C104" s="452" t="s">
        <v>179</v>
      </c>
      <c r="D104" s="453">
        <f>'løsningstabel (2)'!F10</f>
        <v>0</v>
      </c>
      <c r="E104" s="452" t="str">
        <f>'løsningstabel (2)'!G10</f>
        <v>4 Tyskland</v>
      </c>
      <c r="F104" s="452">
        <f>'løsningstabel (2)'!H10</f>
        <v>0</v>
      </c>
      <c r="G104" s="452">
        <f>G102+F104</f>
        <v>17000</v>
      </c>
      <c r="H104" s="452" t="str">
        <f>IF(G104&lt;=$D$86,"Ja","Nej")</f>
        <v>Ja</v>
      </c>
      <c r="I104" s="207"/>
      <c r="J104" s="207"/>
      <c r="K104" s="207"/>
      <c r="L104" s="207"/>
      <c r="M104" s="207"/>
    </row>
    <row r="105" spans="3:13" ht="12.75" customHeight="1" hidden="1">
      <c r="C105" s="452"/>
      <c r="D105" s="453"/>
      <c r="E105" s="452"/>
      <c r="F105" s="452"/>
      <c r="G105" s="452"/>
      <c r="H105" s="452"/>
      <c r="I105" s="207"/>
      <c r="J105" s="207"/>
      <c r="K105" s="207"/>
      <c r="L105" s="207"/>
      <c r="M105" s="207"/>
    </row>
    <row r="106" spans="3:13" ht="12.75" customHeight="1" hidden="1">
      <c r="C106" s="452" t="s">
        <v>180</v>
      </c>
      <c r="D106" s="453">
        <f>'løsningstabel (2)'!F11</f>
        <v>0</v>
      </c>
      <c r="E106" s="452" t="str">
        <f>'løsningstabel (2)'!G11</f>
        <v>4 Tyskland</v>
      </c>
      <c r="F106" s="452">
        <f>'løsningstabel (2)'!H11</f>
        <v>0</v>
      </c>
      <c r="G106" s="452">
        <f>G104+F106</f>
        <v>17000</v>
      </c>
      <c r="H106" s="452" t="str">
        <f>IF(G106&lt;=$D$86,"Ja","Nej")</f>
        <v>Ja</v>
      </c>
      <c r="I106" s="207"/>
      <c r="J106" s="207"/>
      <c r="K106" s="207"/>
      <c r="L106" s="207"/>
      <c r="M106" s="207"/>
    </row>
    <row r="107" spans="3:13" ht="12.75" customHeight="1" hidden="1">
      <c r="C107" s="452"/>
      <c r="D107" s="453"/>
      <c r="E107" s="452"/>
      <c r="F107" s="452"/>
      <c r="G107" s="452"/>
      <c r="H107" s="452"/>
      <c r="I107" s="207"/>
      <c r="J107" s="207"/>
      <c r="K107" s="207"/>
      <c r="L107" s="207"/>
      <c r="M107" s="207"/>
    </row>
    <row r="108" spans="3:13" ht="12.75" customHeight="1" hidden="1">
      <c r="C108" s="452" t="s">
        <v>181</v>
      </c>
      <c r="D108" s="453">
        <f>'løsningstabel (2)'!F12</f>
        <v>0</v>
      </c>
      <c r="E108" s="452" t="str">
        <f>'løsningstabel (2)'!G12</f>
        <v>5 Danmark</v>
      </c>
      <c r="F108" s="452" t="str">
        <f>'løsningstabel (2)'!H12</f>
        <v>-</v>
      </c>
      <c r="G108" s="452" t="e">
        <f>G106+F108</f>
        <v>#VALUE!</v>
      </c>
      <c r="H108" s="452" t="e">
        <f>IF(G108&lt;=$D$86,"Ja","Nej")</f>
        <v>#VALUE!</v>
      </c>
      <c r="I108" s="207"/>
      <c r="J108" s="207"/>
      <c r="K108" s="207"/>
      <c r="L108" s="207"/>
      <c r="M108" s="207"/>
    </row>
    <row r="109" spans="3:13" ht="12.75" customHeight="1" hidden="1">
      <c r="C109" s="452"/>
      <c r="D109" s="453"/>
      <c r="E109" s="452"/>
      <c r="F109" s="452"/>
      <c r="G109" s="452"/>
      <c r="H109" s="452"/>
      <c r="I109" s="207"/>
      <c r="J109" s="207"/>
      <c r="K109" s="207"/>
      <c r="L109" s="207"/>
      <c r="M109" s="207"/>
    </row>
    <row r="110" spans="3:13" ht="12.75" customHeight="1" hidden="1">
      <c r="C110" s="452" t="s">
        <v>182</v>
      </c>
      <c r="D110" s="453">
        <f>'løsningstabel (2)'!F13</f>
        <v>0</v>
      </c>
      <c r="E110" s="452" t="str">
        <f>'løsningstabel (2)'!G13</f>
        <v>5 Danmark</v>
      </c>
      <c r="F110" s="452" t="str">
        <f>'løsningstabel (2)'!H13</f>
        <v>-</v>
      </c>
      <c r="G110" s="452" t="e">
        <f>G108+F110</f>
        <v>#VALUE!</v>
      </c>
      <c r="H110" s="452" t="e">
        <f>IF(G110&lt;=$D$86,"Ja","Nej")</f>
        <v>#VALUE!</v>
      </c>
      <c r="I110" s="207"/>
      <c r="J110" s="207"/>
      <c r="K110" s="207"/>
      <c r="L110" s="207"/>
      <c r="M110" s="207"/>
    </row>
    <row r="111" spans="3:13" ht="12.75" customHeight="1" hidden="1">
      <c r="C111" s="452"/>
      <c r="D111" s="453"/>
      <c r="E111" s="452"/>
      <c r="F111" s="452"/>
      <c r="G111" s="452"/>
      <c r="H111" s="452"/>
      <c r="I111" s="207"/>
      <c r="J111" s="207"/>
      <c r="K111" s="207"/>
      <c r="L111" s="207"/>
      <c r="M111" s="207"/>
    </row>
    <row r="112" spans="3:13" ht="12.75" customHeight="1">
      <c r="C112" s="168"/>
      <c r="D112" s="210"/>
      <c r="E112" s="168"/>
      <c r="F112" s="168"/>
      <c r="G112" s="168"/>
      <c r="H112" s="168"/>
      <c r="I112" s="207"/>
      <c r="J112" s="207"/>
      <c r="K112" s="207"/>
      <c r="L112" s="207"/>
      <c r="M112" s="207"/>
    </row>
    <row r="113" spans="1:13" ht="18">
      <c r="A113" s="514" t="s">
        <v>195</v>
      </c>
      <c r="B113" s="514"/>
      <c r="C113" s="514"/>
      <c r="D113" s="514"/>
      <c r="E113" s="514"/>
      <c r="F113" s="514"/>
      <c r="G113" s="514"/>
      <c r="H113" s="514"/>
      <c r="I113" s="207"/>
      <c r="J113" s="207"/>
      <c r="K113" s="237"/>
      <c r="L113" s="207"/>
      <c r="M113" s="207"/>
    </row>
    <row r="114" spans="1:13" ht="12.75" customHeight="1">
      <c r="A114" s="452" t="s">
        <v>183</v>
      </c>
      <c r="B114" s="452"/>
      <c r="C114" s="168" t="s">
        <v>144</v>
      </c>
      <c r="D114" s="168" t="s">
        <v>145</v>
      </c>
      <c r="E114" s="168" t="s">
        <v>146</v>
      </c>
      <c r="F114" s="168" t="s">
        <v>147</v>
      </c>
      <c r="G114" s="168" t="s">
        <v>148</v>
      </c>
      <c r="H114" s="168" t="s">
        <v>149</v>
      </c>
      <c r="I114" s="211" t="s">
        <v>184</v>
      </c>
      <c r="J114" s="211" t="s">
        <v>151</v>
      </c>
      <c r="K114" s="207"/>
      <c r="L114" s="207"/>
      <c r="M114" s="207"/>
    </row>
    <row r="115" spans="1:13" ht="12.75" customHeight="1">
      <c r="A115" s="452" t="str">
        <f>D2</f>
        <v>Danmark</v>
      </c>
      <c r="B115" s="452"/>
      <c r="C115" s="212">
        <f>C9</f>
        <v>7000</v>
      </c>
      <c r="D115" s="212">
        <f>D9</f>
        <v>3000</v>
      </c>
      <c r="E115" s="212">
        <f aca="true" t="shared" si="0" ref="E115:J115">E9</f>
        <v>21000000</v>
      </c>
      <c r="F115" s="212">
        <f t="shared" si="0"/>
        <v>3600</v>
      </c>
      <c r="G115" s="212">
        <f t="shared" si="0"/>
        <v>10800000</v>
      </c>
      <c r="H115" s="212">
        <f t="shared" si="0"/>
        <v>10200000</v>
      </c>
      <c r="I115" s="212">
        <f t="shared" si="0"/>
        <v>0</v>
      </c>
      <c r="J115" s="212">
        <f t="shared" si="0"/>
        <v>10200000</v>
      </c>
      <c r="K115" s="237"/>
      <c r="L115" s="207"/>
      <c r="M115" s="207"/>
    </row>
    <row r="116" spans="1:13" ht="12.75" customHeight="1">
      <c r="A116" s="452" t="str">
        <f>D30</f>
        <v>Tyskland</v>
      </c>
      <c r="B116" s="452"/>
      <c r="C116" s="212">
        <f aca="true" t="shared" si="1" ref="C116:J116">C33</f>
        <v>6000</v>
      </c>
      <c r="D116" s="212">
        <f t="shared" si="1"/>
        <v>6000</v>
      </c>
      <c r="E116" s="212">
        <f t="shared" si="1"/>
        <v>36000000</v>
      </c>
      <c r="F116" s="212">
        <f t="shared" si="1"/>
        <v>3600</v>
      </c>
      <c r="G116" s="212">
        <f t="shared" si="1"/>
        <v>21600000</v>
      </c>
      <c r="H116" s="212">
        <f t="shared" si="1"/>
        <v>14400000</v>
      </c>
      <c r="I116" s="212">
        <f t="shared" si="1"/>
        <v>0</v>
      </c>
      <c r="J116" s="212">
        <f t="shared" si="1"/>
        <v>14400000</v>
      </c>
      <c r="K116" s="207"/>
      <c r="L116" s="207"/>
      <c r="M116" s="207"/>
    </row>
    <row r="117" spans="1:13" ht="12.75" customHeight="1">
      <c r="A117" s="452" t="str">
        <f>D58</f>
        <v>England</v>
      </c>
      <c r="B117" s="452"/>
      <c r="C117" s="212">
        <f>C61</f>
        <v>5600</v>
      </c>
      <c r="D117" s="213">
        <v>8000</v>
      </c>
      <c r="E117" s="213">
        <f>C117*D117</f>
        <v>44800000</v>
      </c>
      <c r="F117" s="213">
        <v>3800</v>
      </c>
      <c r="G117" s="213">
        <f>F117*D117</f>
        <v>30400000</v>
      </c>
      <c r="H117" s="213">
        <f>E117-G117</f>
        <v>14400000</v>
      </c>
      <c r="I117" s="213"/>
      <c r="J117" s="213">
        <f>H117</f>
        <v>14400000</v>
      </c>
      <c r="K117" s="207"/>
      <c r="L117" s="207"/>
      <c r="M117" s="207"/>
    </row>
    <row r="118" spans="1:13" ht="12.75" customHeight="1" hidden="1">
      <c r="A118" s="452" t="s">
        <v>191</v>
      </c>
      <c r="B118" s="452"/>
      <c r="C118" s="212">
        <v>0</v>
      </c>
      <c r="D118" s="213">
        <v>0</v>
      </c>
      <c r="E118" s="213">
        <f>C118*D118</f>
        <v>0</v>
      </c>
      <c r="F118" s="213">
        <v>0</v>
      </c>
      <c r="G118" s="213">
        <f>F118*D118</f>
        <v>0</v>
      </c>
      <c r="H118" s="213">
        <f>E118-G118</f>
        <v>0</v>
      </c>
      <c r="I118" s="213"/>
      <c r="J118" s="213">
        <f>H118</f>
        <v>0</v>
      </c>
      <c r="K118" s="207"/>
      <c r="L118" s="207"/>
      <c r="M118" s="207"/>
    </row>
    <row r="119" spans="1:13" ht="12.75" customHeight="1">
      <c r="A119" t="s">
        <v>185</v>
      </c>
      <c r="C119" s="214"/>
      <c r="D119" s="214">
        <f>SUM(D115:D118)</f>
        <v>17000</v>
      </c>
      <c r="E119" s="214"/>
      <c r="F119" s="214"/>
      <c r="G119" s="214">
        <f>SUM(G115:G118)</f>
        <v>62800000</v>
      </c>
      <c r="H119" s="214">
        <f>SUM(H115:H118)</f>
        <v>39000000</v>
      </c>
      <c r="I119" s="214">
        <f>SUM(I115:I118)</f>
        <v>0</v>
      </c>
      <c r="J119" s="214">
        <f>SUM(J115:J118)</f>
        <v>39000000</v>
      </c>
      <c r="K119" s="207"/>
      <c r="L119" s="207"/>
      <c r="M119" s="207"/>
    </row>
    <row r="120" spans="1:13" ht="12.75" customHeight="1">
      <c r="A120" t="s">
        <v>194</v>
      </c>
      <c r="C120" s="168"/>
      <c r="D120" s="168"/>
      <c r="E120" s="168"/>
      <c r="F120" s="168"/>
      <c r="G120" s="168"/>
      <c r="H120" s="168"/>
      <c r="I120" s="207"/>
      <c r="J120" s="207"/>
      <c r="K120" s="207"/>
      <c r="L120" s="207"/>
      <c r="M120" s="207"/>
    </row>
    <row r="121" spans="1:13" ht="12.75" customHeight="1">
      <c r="A121" t="s">
        <v>277</v>
      </c>
      <c r="C121" s="168"/>
      <c r="D121" s="168"/>
      <c r="E121" s="168"/>
      <c r="F121" s="168"/>
      <c r="G121" s="168"/>
      <c r="H121" s="168"/>
      <c r="I121" s="207"/>
      <c r="J121" s="207"/>
      <c r="K121" s="207"/>
      <c r="L121" s="207"/>
      <c r="M121" s="207"/>
    </row>
    <row r="122" spans="1:13" ht="12.75" customHeight="1">
      <c r="A122" t="s">
        <v>196</v>
      </c>
      <c r="C122" s="168"/>
      <c r="D122" s="168"/>
      <c r="E122" s="168"/>
      <c r="F122" s="168"/>
      <c r="G122" s="168"/>
      <c r="H122" s="236">
        <f>(J119-'Prisoptimering 3.1&amp;3.2'!J118)/(D119-'Prisoptimering 3.1&amp;3.2'!D118)</f>
        <v>1575</v>
      </c>
      <c r="I122" s="211" t="s">
        <v>197</v>
      </c>
      <c r="J122" s="207"/>
      <c r="K122" s="207"/>
      <c r="L122" s="207"/>
      <c r="M122" s="207"/>
    </row>
    <row r="123" spans="1:13" ht="12.75" customHeight="1">
      <c r="A123" t="s">
        <v>198</v>
      </c>
      <c r="C123" s="168"/>
      <c r="D123" s="168"/>
      <c r="E123" s="168">
        <f>3475*2000</f>
        <v>6950000</v>
      </c>
      <c r="F123" s="168"/>
      <c r="G123" s="168"/>
      <c r="H123" s="168"/>
      <c r="I123" s="207"/>
      <c r="J123" s="207"/>
      <c r="K123" s="207"/>
      <c r="L123" s="207"/>
      <c r="M123" s="207"/>
    </row>
    <row r="124" spans="1:13" ht="12.75" customHeight="1">
      <c r="A124" t="s">
        <v>199</v>
      </c>
      <c r="C124" s="168"/>
      <c r="D124" s="168"/>
      <c r="E124" s="168"/>
      <c r="F124" s="168"/>
      <c r="G124" s="168"/>
      <c r="H124" s="168"/>
      <c r="I124" s="207"/>
      <c r="J124" s="207"/>
      <c r="K124" s="207"/>
      <c r="L124" s="207"/>
      <c r="M124" s="207"/>
    </row>
    <row r="125" spans="1:13" ht="12.75" customHeight="1">
      <c r="A125" t="s">
        <v>200</v>
      </c>
      <c r="C125" s="168"/>
      <c r="D125" s="168"/>
      <c r="E125" s="168"/>
      <c r="F125" s="168"/>
      <c r="G125" s="168"/>
      <c r="H125" s="168"/>
      <c r="I125" s="207"/>
      <c r="J125" s="207"/>
      <c r="K125" s="207"/>
      <c r="L125" s="207"/>
      <c r="M125" s="207"/>
    </row>
    <row r="126" spans="3:13" ht="12.75" customHeight="1">
      <c r="C126" s="168"/>
      <c r="D126" s="168"/>
      <c r="E126" s="168"/>
      <c r="F126" s="168"/>
      <c r="G126" s="168"/>
      <c r="H126" s="168"/>
      <c r="I126" s="207"/>
      <c r="J126" s="207"/>
      <c r="K126" s="207"/>
      <c r="L126" s="207"/>
      <c r="M126" s="207"/>
    </row>
    <row r="127" spans="3:13" ht="12.75" customHeight="1">
      <c r="C127" s="168"/>
      <c r="D127" s="210"/>
      <c r="E127" s="168"/>
      <c r="F127" s="168"/>
      <c r="G127" s="168"/>
      <c r="H127" s="168"/>
      <c r="I127" s="207"/>
      <c r="J127" s="207"/>
      <c r="K127" s="207"/>
      <c r="L127" s="207"/>
      <c r="M127" s="207"/>
    </row>
    <row r="128" spans="3:13" ht="12.75" customHeight="1">
      <c r="C128" s="168"/>
      <c r="I128" s="207"/>
      <c r="J128" s="207"/>
      <c r="K128" s="207"/>
      <c r="L128" s="207"/>
      <c r="M128" s="207"/>
    </row>
    <row r="129" spans="3:13" ht="12.75" customHeight="1">
      <c r="C129" s="168"/>
      <c r="I129" s="207"/>
      <c r="J129" s="207"/>
      <c r="K129" s="207"/>
      <c r="L129" s="207"/>
      <c r="M129" s="207"/>
    </row>
    <row r="130" spans="3:13" ht="12.75" customHeight="1">
      <c r="C130" s="168"/>
      <c r="I130" s="207"/>
      <c r="J130" s="207"/>
      <c r="K130" s="207"/>
      <c r="L130" s="207"/>
      <c r="M130" s="207"/>
    </row>
    <row r="131" spans="3:13" ht="12.75" customHeight="1">
      <c r="C131" s="168"/>
      <c r="I131" s="207"/>
      <c r="J131" s="207"/>
      <c r="K131" s="207"/>
      <c r="L131" s="207"/>
      <c r="M131" s="207"/>
    </row>
    <row r="132" spans="3:13" ht="12.75" customHeight="1">
      <c r="C132" s="168"/>
      <c r="I132" s="207"/>
      <c r="J132" s="207"/>
      <c r="K132" s="207"/>
      <c r="L132" s="207"/>
      <c r="M132" s="207"/>
    </row>
    <row r="133" spans="3:13" ht="12.75" customHeight="1">
      <c r="C133" s="168"/>
      <c r="I133" s="207"/>
      <c r="J133" s="207"/>
      <c r="K133" s="207"/>
      <c r="L133" s="207"/>
      <c r="M133" s="207"/>
    </row>
    <row r="134" spans="3:13" ht="12.75" customHeight="1">
      <c r="C134" s="168"/>
      <c r="I134" s="207"/>
      <c r="J134" s="207"/>
      <c r="K134" s="207"/>
      <c r="L134" s="207"/>
      <c r="M134" s="207"/>
    </row>
    <row r="135" spans="3:13" ht="12.75" customHeight="1">
      <c r="C135" s="168"/>
      <c r="I135" s="207"/>
      <c r="J135" s="207"/>
      <c r="K135" s="207"/>
      <c r="L135" s="207"/>
      <c r="M135" s="207"/>
    </row>
    <row r="136" spans="3:13" ht="12.75" customHeight="1">
      <c r="C136" s="168"/>
      <c r="I136" s="207"/>
      <c r="J136" s="207"/>
      <c r="K136" s="207"/>
      <c r="L136" s="207"/>
      <c r="M136" s="207"/>
    </row>
    <row r="137" spans="3:13" ht="12.75" customHeight="1">
      <c r="C137" s="168"/>
      <c r="I137" s="207"/>
      <c r="J137" s="207"/>
      <c r="K137" s="207"/>
      <c r="L137" s="207"/>
      <c r="M137" s="207"/>
    </row>
    <row r="138" spans="9:13" ht="12.75" customHeight="1">
      <c r="I138" s="207"/>
      <c r="J138" s="207"/>
      <c r="K138" s="207"/>
      <c r="L138" s="207"/>
      <c r="M138" s="207"/>
    </row>
    <row r="139" spans="9:13" ht="12.75" customHeight="1">
      <c r="I139" s="207"/>
      <c r="J139" s="207"/>
      <c r="K139" s="207"/>
      <c r="L139" s="207"/>
      <c r="M139" s="207"/>
    </row>
    <row r="140" spans="9:13" ht="12.75" customHeight="1">
      <c r="I140" s="207"/>
      <c r="J140" s="207"/>
      <c r="K140" s="207"/>
      <c r="L140" s="207"/>
      <c r="M140" s="207"/>
    </row>
    <row r="141" spans="9:13" ht="12.75" customHeight="1">
      <c r="I141" s="207"/>
      <c r="J141" s="207"/>
      <c r="K141" s="207"/>
      <c r="L141" s="207"/>
      <c r="M141" s="207"/>
    </row>
    <row r="142" spans="9:13" ht="12.75" customHeight="1">
      <c r="I142" s="207"/>
      <c r="J142" s="207"/>
      <c r="K142" s="207"/>
      <c r="L142" s="207"/>
      <c r="M142" s="207"/>
    </row>
    <row r="143" spans="9:13" ht="12.75" customHeight="1">
      <c r="I143" s="207"/>
      <c r="J143" s="207"/>
      <c r="K143" s="207"/>
      <c r="L143" s="207"/>
      <c r="M143" s="207"/>
    </row>
    <row r="144" spans="9:13" ht="12.75" customHeight="1">
      <c r="I144" s="207"/>
      <c r="J144" s="207"/>
      <c r="K144" s="207"/>
      <c r="L144" s="207"/>
      <c r="M144" s="207"/>
    </row>
    <row r="145" spans="9:13" ht="12.75" customHeight="1">
      <c r="I145" s="207"/>
      <c r="J145" s="207"/>
      <c r="K145" s="207"/>
      <c r="L145" s="207"/>
      <c r="M145" s="207"/>
    </row>
    <row r="146" spans="9:13" ht="12.75" customHeight="1">
      <c r="I146" s="207"/>
      <c r="J146" s="207"/>
      <c r="K146" s="207"/>
      <c r="L146" s="207"/>
      <c r="M146" s="207"/>
    </row>
    <row r="147" spans="9:13" ht="12.75" customHeight="1">
      <c r="I147" s="207"/>
      <c r="J147" s="207"/>
      <c r="K147" s="207"/>
      <c r="L147" s="207"/>
      <c r="M147" s="207"/>
    </row>
    <row r="148" spans="9:13" ht="12.75" customHeight="1">
      <c r="I148" s="207"/>
      <c r="J148" s="207"/>
      <c r="K148" s="207"/>
      <c r="L148" s="207"/>
      <c r="M148" s="207"/>
    </row>
    <row r="149" spans="9:13" ht="12.75" customHeight="1">
      <c r="I149" s="207"/>
      <c r="J149" s="207"/>
      <c r="K149" s="207"/>
      <c r="L149" s="207"/>
      <c r="M149" s="207"/>
    </row>
    <row r="150" spans="9:13" ht="12.75" customHeight="1">
      <c r="I150" s="207"/>
      <c r="J150" s="207"/>
      <c r="K150" s="207"/>
      <c r="L150" s="207"/>
      <c r="M150" s="207"/>
    </row>
    <row r="151" spans="9:13" ht="12.75" customHeight="1">
      <c r="I151" s="207"/>
      <c r="J151" s="207"/>
      <c r="K151" s="207"/>
      <c r="L151" s="207"/>
      <c r="M151" s="207"/>
    </row>
    <row r="152" spans="9:13" ht="12.75" customHeight="1">
      <c r="I152" s="207"/>
      <c r="J152" s="207"/>
      <c r="K152" s="207"/>
      <c r="L152" s="207"/>
      <c r="M152" s="207"/>
    </row>
    <row r="153" spans="9:13" ht="12.75" customHeight="1">
      <c r="I153" s="207"/>
      <c r="J153" s="207"/>
      <c r="K153" s="207"/>
      <c r="L153" s="207"/>
      <c r="M153" s="207"/>
    </row>
    <row r="154" spans="9:13" ht="12.75" customHeight="1">
      <c r="I154" s="207"/>
      <c r="J154" s="207"/>
      <c r="K154" s="207"/>
      <c r="L154" s="207"/>
      <c r="M154" s="207"/>
    </row>
    <row r="155" spans="9:13" ht="12.75" customHeight="1">
      <c r="I155" s="207"/>
      <c r="J155" s="207"/>
      <c r="K155" s="207"/>
      <c r="L155" s="207"/>
      <c r="M155" s="207"/>
    </row>
    <row r="156" spans="9:13" ht="12.75" customHeight="1">
      <c r="I156" s="207"/>
      <c r="J156" s="207"/>
      <c r="K156" s="207"/>
      <c r="L156" s="207"/>
      <c r="M156" s="207"/>
    </row>
    <row r="157" spans="9:13" ht="12.75" customHeight="1">
      <c r="I157" s="207"/>
      <c r="J157" s="207"/>
      <c r="K157" s="207"/>
      <c r="L157" s="207"/>
      <c r="M157" s="207"/>
    </row>
    <row r="158" spans="9:13" ht="12.75" customHeight="1">
      <c r="I158" s="207"/>
      <c r="J158" s="207"/>
      <c r="K158" s="207"/>
      <c r="L158" s="207"/>
      <c r="M158" s="207"/>
    </row>
    <row r="159" spans="9:13" ht="12.75" customHeight="1">
      <c r="I159" s="207"/>
      <c r="J159" s="207"/>
      <c r="K159" s="207"/>
      <c r="L159" s="207"/>
      <c r="M159" s="207"/>
    </row>
    <row r="160" spans="9:13" ht="12.75" customHeight="1">
      <c r="I160" s="207"/>
      <c r="J160" s="207"/>
      <c r="K160" s="207"/>
      <c r="L160" s="207"/>
      <c r="M160" s="207"/>
    </row>
    <row r="161" spans="9:13" ht="12.75" customHeight="1">
      <c r="I161" s="207"/>
      <c r="J161" s="207"/>
      <c r="K161" s="207"/>
      <c r="L161" s="207"/>
      <c r="M161" s="207"/>
    </row>
    <row r="162" spans="9:13" ht="12.75" customHeight="1">
      <c r="I162" s="207"/>
      <c r="J162" s="207"/>
      <c r="K162" s="207"/>
      <c r="L162" s="207"/>
      <c r="M162" s="207"/>
    </row>
    <row r="163" spans="9:13" ht="12.75" customHeight="1">
      <c r="I163" s="207"/>
      <c r="J163" s="207"/>
      <c r="K163" s="207"/>
      <c r="L163" s="207"/>
      <c r="M163" s="207"/>
    </row>
    <row r="164" spans="9:13" ht="12.75" customHeight="1">
      <c r="I164" s="207"/>
      <c r="J164" s="207"/>
      <c r="K164" s="207"/>
      <c r="L164" s="207"/>
      <c r="M164" s="207"/>
    </row>
    <row r="165" spans="9:13" ht="12.75" customHeight="1">
      <c r="I165" s="207"/>
      <c r="J165" s="207"/>
      <c r="K165" s="207"/>
      <c r="L165" s="207"/>
      <c r="M165" s="207"/>
    </row>
    <row r="166" spans="9:13" ht="12.75" customHeight="1">
      <c r="I166" s="207"/>
      <c r="J166" s="207"/>
      <c r="K166" s="207"/>
      <c r="L166" s="207"/>
      <c r="M166" s="207"/>
    </row>
    <row r="167" spans="9:13" ht="12.75" customHeight="1">
      <c r="I167" s="207"/>
      <c r="J167" s="207"/>
      <c r="K167" s="207"/>
      <c r="L167" s="207"/>
      <c r="M167" s="207"/>
    </row>
    <row r="168" spans="9:13" ht="12.75" customHeight="1">
      <c r="I168" s="207"/>
      <c r="J168" s="207"/>
      <c r="K168" s="207"/>
      <c r="L168" s="207"/>
      <c r="M168" s="207"/>
    </row>
    <row r="169" spans="9:13" ht="12.75" customHeight="1">
      <c r="I169" s="207"/>
      <c r="J169" s="207"/>
      <c r="K169" s="207"/>
      <c r="L169" s="207"/>
      <c r="M169" s="207"/>
    </row>
    <row r="170" spans="9:13" ht="12.75" customHeight="1">
      <c r="I170" s="207"/>
      <c r="J170" s="207"/>
      <c r="K170" s="207"/>
      <c r="L170" s="207"/>
      <c r="M170" s="207"/>
    </row>
    <row r="171" spans="9:13" ht="12.75" customHeight="1">
      <c r="I171" s="207"/>
      <c r="J171" s="207"/>
      <c r="K171" s="207"/>
      <c r="L171" s="207"/>
      <c r="M171" s="207"/>
    </row>
    <row r="172" spans="9:13" ht="12.75" customHeight="1">
      <c r="I172" s="207"/>
      <c r="J172" s="207"/>
      <c r="K172" s="207"/>
      <c r="L172" s="207"/>
      <c r="M172" s="207"/>
    </row>
    <row r="173" spans="9:13" ht="12.75" customHeight="1">
      <c r="I173" s="207"/>
      <c r="J173" s="207"/>
      <c r="K173" s="207"/>
      <c r="L173" s="207"/>
      <c r="M173" s="207"/>
    </row>
    <row r="174" spans="9:13" ht="12.75" customHeight="1">
      <c r="I174" s="207"/>
      <c r="J174" s="207"/>
      <c r="K174" s="207"/>
      <c r="L174" s="207"/>
      <c r="M174" s="207"/>
    </row>
    <row r="175" spans="9:13" ht="12.75" customHeight="1">
      <c r="I175" s="207"/>
      <c r="J175" s="207"/>
      <c r="K175" s="207"/>
      <c r="L175" s="207"/>
      <c r="M175" s="207"/>
    </row>
    <row r="176" spans="9:13" ht="12.75" customHeight="1">
      <c r="I176" s="207"/>
      <c r="J176" s="207"/>
      <c r="K176" s="207"/>
      <c r="L176" s="207"/>
      <c r="M176" s="207"/>
    </row>
    <row r="177" spans="9:13" ht="12.75" customHeight="1">
      <c r="I177" s="207"/>
      <c r="J177" s="207"/>
      <c r="K177" s="207"/>
      <c r="L177" s="207"/>
      <c r="M177" s="207"/>
    </row>
    <row r="178" spans="9:13" ht="12.75" customHeight="1">
      <c r="I178" s="207"/>
      <c r="J178" s="207"/>
      <c r="K178" s="207"/>
      <c r="L178" s="207"/>
      <c r="M178" s="207"/>
    </row>
    <row r="179" spans="9:13" ht="12.75" customHeight="1">
      <c r="I179" s="207"/>
      <c r="J179" s="207"/>
      <c r="K179" s="207"/>
      <c r="L179" s="207"/>
      <c r="M179" s="207"/>
    </row>
    <row r="180" spans="9:13" ht="12.75" customHeight="1">
      <c r="I180" s="207"/>
      <c r="J180" s="207"/>
      <c r="K180" s="207"/>
      <c r="L180" s="207"/>
      <c r="M180" s="207"/>
    </row>
    <row r="181" spans="9:13" ht="12.75" customHeight="1">
      <c r="I181" s="207"/>
      <c r="J181" s="207"/>
      <c r="K181" s="207"/>
      <c r="L181" s="207"/>
      <c r="M181" s="207"/>
    </row>
    <row r="182" spans="9:13" ht="12.75" customHeight="1">
      <c r="I182" s="207"/>
      <c r="J182" s="207"/>
      <c r="K182" s="207"/>
      <c r="L182" s="207"/>
      <c r="M182" s="207"/>
    </row>
    <row r="183" spans="9:13" ht="12.75" customHeight="1">
      <c r="I183" s="207"/>
      <c r="J183" s="207"/>
      <c r="K183" s="207"/>
      <c r="L183" s="207"/>
      <c r="M183" s="207"/>
    </row>
    <row r="184" spans="9:13" ht="12.75" customHeight="1">
      <c r="I184" s="207"/>
      <c r="J184" s="207"/>
      <c r="K184" s="207"/>
      <c r="L184" s="207"/>
      <c r="M184" s="207"/>
    </row>
    <row r="185" spans="9:13" ht="12.75" customHeight="1">
      <c r="I185" s="207"/>
      <c r="J185" s="207"/>
      <c r="K185" s="207"/>
      <c r="L185" s="207"/>
      <c r="M185" s="207"/>
    </row>
    <row r="186" spans="9:13" ht="12.75" customHeight="1">
      <c r="I186" s="207"/>
      <c r="J186" s="207"/>
      <c r="K186" s="207"/>
      <c r="L186" s="207"/>
      <c r="M186" s="207"/>
    </row>
    <row r="187" spans="9:13" ht="12.75" customHeight="1">
      <c r="I187" s="207"/>
      <c r="J187" s="207"/>
      <c r="K187" s="207"/>
      <c r="L187" s="207"/>
      <c r="M187" s="207"/>
    </row>
    <row r="188" spans="9:13" ht="12.75" customHeight="1">
      <c r="I188" s="207"/>
      <c r="J188" s="207"/>
      <c r="K188" s="207"/>
      <c r="L188" s="207"/>
      <c r="M188" s="207"/>
    </row>
    <row r="189" spans="9:13" ht="12.75" customHeight="1">
      <c r="I189" s="207"/>
      <c r="J189" s="207"/>
      <c r="K189" s="207"/>
      <c r="L189" s="207"/>
      <c r="M189" s="207"/>
    </row>
    <row r="190" spans="9:13" ht="12.75" customHeight="1">
      <c r="I190" s="207"/>
      <c r="J190" s="207"/>
      <c r="K190" s="207"/>
      <c r="L190" s="207"/>
      <c r="M190" s="207"/>
    </row>
    <row r="191" spans="9:13" ht="12.75" customHeight="1">
      <c r="I191" s="207"/>
      <c r="J191" s="207"/>
      <c r="K191" s="207"/>
      <c r="L191" s="207"/>
      <c r="M191" s="207"/>
    </row>
    <row r="192" spans="9:13" ht="12.75" customHeight="1">
      <c r="I192" s="207"/>
      <c r="J192" s="207"/>
      <c r="K192" s="207"/>
      <c r="L192" s="207"/>
      <c r="M192" s="207"/>
    </row>
    <row r="193" spans="9:13" ht="12.75" customHeight="1">
      <c r="I193" s="207"/>
      <c r="J193" s="207"/>
      <c r="K193" s="207"/>
      <c r="L193" s="207"/>
      <c r="M193" s="207"/>
    </row>
    <row r="194" spans="9:13" ht="12.75" customHeight="1">
      <c r="I194" s="207"/>
      <c r="J194" s="207"/>
      <c r="K194" s="207"/>
      <c r="L194" s="207"/>
      <c r="M194" s="207"/>
    </row>
    <row r="195" spans="9:13" ht="12.75" customHeight="1">
      <c r="I195" s="207"/>
      <c r="J195" s="207"/>
      <c r="K195" s="207"/>
      <c r="L195" s="207"/>
      <c r="M195" s="207"/>
    </row>
    <row r="196" spans="9:13" ht="12.75" customHeight="1">
      <c r="I196" s="207"/>
      <c r="J196" s="207"/>
      <c r="K196" s="207"/>
      <c r="L196" s="207"/>
      <c r="M196" s="207"/>
    </row>
    <row r="197" spans="9:13" ht="12.75" customHeight="1">
      <c r="I197" s="207"/>
      <c r="J197" s="207"/>
      <c r="K197" s="207"/>
      <c r="L197" s="207"/>
      <c r="M197" s="207"/>
    </row>
    <row r="198" spans="9:13" ht="12.75" customHeight="1">
      <c r="I198" s="207"/>
      <c r="J198" s="207"/>
      <c r="K198" s="207"/>
      <c r="L198" s="207"/>
      <c r="M198" s="207"/>
    </row>
    <row r="199" spans="9:13" ht="12.75" customHeight="1">
      <c r="I199" s="207"/>
      <c r="J199" s="207"/>
      <c r="K199" s="207"/>
      <c r="L199" s="207"/>
      <c r="M199" s="207"/>
    </row>
    <row r="200" spans="9:13" ht="12.75" customHeight="1">
      <c r="I200" s="207"/>
      <c r="J200" s="207"/>
      <c r="K200" s="207"/>
      <c r="L200" s="207"/>
      <c r="M200" s="207"/>
    </row>
    <row r="201" spans="9:13" ht="12.75" customHeight="1">
      <c r="I201" s="207"/>
      <c r="J201" s="207"/>
      <c r="K201" s="207"/>
      <c r="L201" s="207"/>
      <c r="M201" s="207"/>
    </row>
    <row r="202" spans="9:13" ht="12.75" customHeight="1">
      <c r="I202" s="207"/>
      <c r="J202" s="207"/>
      <c r="K202" s="207"/>
      <c r="L202" s="207"/>
      <c r="M202" s="207"/>
    </row>
    <row r="203" spans="9:13" ht="12.75" customHeight="1">
      <c r="I203" s="207"/>
      <c r="J203" s="207"/>
      <c r="K203" s="207"/>
      <c r="L203" s="207"/>
      <c r="M203" s="207"/>
    </row>
    <row r="204" spans="9:13" ht="12.75" customHeight="1">
      <c r="I204" s="207"/>
      <c r="J204" s="207"/>
      <c r="K204" s="207"/>
      <c r="L204" s="207"/>
      <c r="M204" s="207"/>
    </row>
    <row r="205" spans="9:13" ht="12.75" customHeight="1">
      <c r="I205" s="207"/>
      <c r="J205" s="207"/>
      <c r="K205" s="207"/>
      <c r="L205" s="207"/>
      <c r="M205" s="207"/>
    </row>
    <row r="206" spans="9:13" ht="12.75" customHeight="1">
      <c r="I206" s="207"/>
      <c r="J206" s="207"/>
      <c r="K206" s="207"/>
      <c r="L206" s="207"/>
      <c r="M206" s="207"/>
    </row>
    <row r="207" spans="9:13" ht="12.75" customHeight="1">
      <c r="I207" s="207"/>
      <c r="J207" s="207"/>
      <c r="K207" s="207"/>
      <c r="L207" s="207"/>
      <c r="M207" s="207"/>
    </row>
    <row r="208" spans="9:13" ht="12.75" customHeight="1">
      <c r="I208" s="207"/>
      <c r="J208" s="207"/>
      <c r="K208" s="207"/>
      <c r="L208" s="207"/>
      <c r="M208" s="207"/>
    </row>
    <row r="209" spans="9:13" ht="12.75" customHeight="1">
      <c r="I209" s="207"/>
      <c r="J209" s="207"/>
      <c r="K209" s="207"/>
      <c r="L209" s="207"/>
      <c r="M209" s="207"/>
    </row>
    <row r="210" spans="9:13" ht="12.75" customHeight="1">
      <c r="I210" s="207"/>
      <c r="J210" s="207"/>
      <c r="K210" s="207"/>
      <c r="L210" s="207"/>
      <c r="M210" s="207"/>
    </row>
    <row r="211" spans="9:13" ht="12.75" customHeight="1">
      <c r="I211" s="207"/>
      <c r="J211" s="207"/>
      <c r="K211" s="207"/>
      <c r="L211" s="207"/>
      <c r="M211" s="207"/>
    </row>
    <row r="212" spans="9:13" ht="12.75" customHeight="1">
      <c r="I212" s="207"/>
      <c r="J212" s="207"/>
      <c r="K212" s="207"/>
      <c r="L212" s="207"/>
      <c r="M212" s="207"/>
    </row>
    <row r="213" spans="9:13" ht="12.75" customHeight="1">
      <c r="I213" s="207"/>
      <c r="J213" s="207"/>
      <c r="K213" s="207"/>
      <c r="L213" s="207"/>
      <c r="M213" s="207"/>
    </row>
    <row r="214" spans="9:13" ht="12.75" customHeight="1">
      <c r="I214" s="207"/>
      <c r="J214" s="207"/>
      <c r="K214" s="207"/>
      <c r="L214" s="207"/>
      <c r="M214" s="207"/>
    </row>
    <row r="215" spans="9:13" ht="12.75" customHeight="1">
      <c r="I215" s="207"/>
      <c r="J215" s="207"/>
      <c r="K215" s="207"/>
      <c r="L215" s="207"/>
      <c r="M215" s="207"/>
    </row>
    <row r="216" spans="9:13" ht="12.75" customHeight="1">
      <c r="I216" s="207"/>
      <c r="J216" s="207"/>
      <c r="K216" s="207"/>
      <c r="L216" s="207"/>
      <c r="M216" s="207"/>
    </row>
    <row r="217" spans="9:13" ht="12.75" customHeight="1">
      <c r="I217" s="207"/>
      <c r="J217" s="207"/>
      <c r="K217" s="207"/>
      <c r="L217" s="207"/>
      <c r="M217" s="207"/>
    </row>
    <row r="218" spans="9:13" ht="12.75" customHeight="1">
      <c r="I218" s="207"/>
      <c r="J218" s="207"/>
      <c r="K218" s="207"/>
      <c r="L218" s="207"/>
      <c r="M218" s="207"/>
    </row>
    <row r="219" spans="9:13" ht="12.75" customHeight="1">
      <c r="I219" s="207"/>
      <c r="J219" s="207"/>
      <c r="K219" s="207"/>
      <c r="L219" s="207"/>
      <c r="M219" s="207"/>
    </row>
    <row r="220" spans="9:13" ht="12.75" customHeight="1">
      <c r="I220" s="207"/>
      <c r="J220" s="207"/>
      <c r="K220" s="207"/>
      <c r="L220" s="207"/>
      <c r="M220" s="207"/>
    </row>
    <row r="221" spans="9:13" ht="12.75" customHeight="1">
      <c r="I221" s="207"/>
      <c r="J221" s="207"/>
      <c r="K221" s="207"/>
      <c r="L221" s="207"/>
      <c r="M221" s="207"/>
    </row>
    <row r="222" spans="9:13" ht="12.75" customHeight="1">
      <c r="I222" s="207"/>
      <c r="J222" s="207"/>
      <c r="K222" s="207"/>
      <c r="L222" s="207"/>
      <c r="M222" s="207"/>
    </row>
    <row r="223" spans="9:13" ht="12.75" customHeight="1">
      <c r="I223" s="207"/>
      <c r="J223" s="207"/>
      <c r="K223" s="207"/>
      <c r="L223" s="207"/>
      <c r="M223" s="207"/>
    </row>
    <row r="224" spans="9:13" ht="12.75" customHeight="1">
      <c r="I224" s="207"/>
      <c r="J224" s="207"/>
      <c r="K224" s="207"/>
      <c r="L224" s="207"/>
      <c r="M224" s="207"/>
    </row>
    <row r="225" spans="9:13" ht="12.75" customHeight="1">
      <c r="I225" s="207"/>
      <c r="J225" s="207"/>
      <c r="K225" s="207"/>
      <c r="L225" s="207"/>
      <c r="M225" s="207"/>
    </row>
    <row r="226" spans="9:13" ht="12.75" customHeight="1">
      <c r="I226" s="207"/>
      <c r="J226" s="207"/>
      <c r="K226" s="207"/>
      <c r="L226" s="207"/>
      <c r="M226" s="207"/>
    </row>
    <row r="227" spans="9:13" ht="12.75" customHeight="1">
      <c r="I227" s="207"/>
      <c r="J227" s="207"/>
      <c r="K227" s="207"/>
      <c r="L227" s="207"/>
      <c r="M227" s="207"/>
    </row>
    <row r="228" spans="9:13" ht="12.75" customHeight="1">
      <c r="I228" s="207"/>
      <c r="J228" s="207"/>
      <c r="K228" s="207"/>
      <c r="L228" s="207"/>
      <c r="M228" s="207"/>
    </row>
    <row r="229" spans="9:13" ht="12.75" customHeight="1">
      <c r="I229" s="207"/>
      <c r="J229" s="207"/>
      <c r="K229" s="207"/>
      <c r="L229" s="207"/>
      <c r="M229" s="207"/>
    </row>
    <row r="230" spans="9:13" ht="12.75" customHeight="1">
      <c r="I230" s="207"/>
      <c r="J230" s="207"/>
      <c r="K230" s="207"/>
      <c r="L230" s="207"/>
      <c r="M230" s="207"/>
    </row>
    <row r="231" spans="9:13" ht="12.75" customHeight="1">
      <c r="I231" s="207"/>
      <c r="J231" s="207"/>
      <c r="K231" s="207"/>
      <c r="L231" s="207"/>
      <c r="M231" s="207"/>
    </row>
    <row r="232" spans="9:13" ht="12.75" customHeight="1">
      <c r="I232" s="207"/>
      <c r="J232" s="207"/>
      <c r="K232" s="207"/>
      <c r="L232" s="207"/>
      <c r="M232" s="207"/>
    </row>
    <row r="233" spans="9:13" ht="12.75" customHeight="1">
      <c r="I233" s="207"/>
      <c r="J233" s="207"/>
      <c r="K233" s="207"/>
      <c r="L233" s="207"/>
      <c r="M233" s="207"/>
    </row>
    <row r="234" spans="9:13" ht="12.75" customHeight="1">
      <c r="I234" s="207"/>
      <c r="J234" s="207"/>
      <c r="K234" s="207"/>
      <c r="L234" s="207"/>
      <c r="M234" s="207"/>
    </row>
    <row r="235" spans="9:13" ht="12.75" customHeight="1">
      <c r="I235" s="207"/>
      <c r="J235" s="207"/>
      <c r="K235" s="207"/>
      <c r="L235" s="207"/>
      <c r="M235" s="207"/>
    </row>
    <row r="236" spans="9:13" ht="12.75" customHeight="1">
      <c r="I236" s="207"/>
      <c r="J236" s="207"/>
      <c r="K236" s="207"/>
      <c r="L236" s="207"/>
      <c r="M236" s="207"/>
    </row>
    <row r="237" spans="9:13" ht="12.75" customHeight="1">
      <c r="I237" s="207"/>
      <c r="J237" s="207"/>
      <c r="K237" s="207"/>
      <c r="L237" s="207"/>
      <c r="M237" s="207"/>
    </row>
    <row r="238" spans="9:13" ht="12.75" customHeight="1">
      <c r="I238" s="207"/>
      <c r="J238" s="207"/>
      <c r="K238" s="207"/>
      <c r="L238" s="207"/>
      <c r="M238" s="207"/>
    </row>
    <row r="239" spans="9:13" ht="12.75" customHeight="1">
      <c r="I239" s="207"/>
      <c r="J239" s="207"/>
      <c r="K239" s="207"/>
      <c r="L239" s="207"/>
      <c r="M239" s="207"/>
    </row>
    <row r="240" spans="9:13" ht="12.75" customHeight="1">
      <c r="I240" s="207"/>
      <c r="J240" s="207"/>
      <c r="K240" s="207"/>
      <c r="L240" s="207"/>
      <c r="M240" s="207"/>
    </row>
    <row r="241" spans="9:13" ht="12.75" customHeight="1">
      <c r="I241" s="207"/>
      <c r="J241" s="207"/>
      <c r="K241" s="207"/>
      <c r="L241" s="207"/>
      <c r="M241" s="207"/>
    </row>
    <row r="242" spans="9:13" ht="12.75" customHeight="1">
      <c r="I242" s="207"/>
      <c r="J242" s="207"/>
      <c r="K242" s="207"/>
      <c r="L242" s="207"/>
      <c r="M242" s="207"/>
    </row>
    <row r="243" spans="9:13" ht="12.75" customHeight="1">
      <c r="I243" s="207"/>
      <c r="J243" s="207"/>
      <c r="K243" s="207"/>
      <c r="L243" s="207"/>
      <c r="M243" s="207"/>
    </row>
    <row r="244" spans="9:13" ht="12.75" customHeight="1">
      <c r="I244" s="207"/>
      <c r="J244" s="207"/>
      <c r="K244" s="207"/>
      <c r="L244" s="207"/>
      <c r="M244" s="207"/>
    </row>
    <row r="245" spans="9:13" ht="12.75" customHeight="1">
      <c r="I245" s="207"/>
      <c r="J245" s="207"/>
      <c r="K245" s="207"/>
      <c r="L245" s="207"/>
      <c r="M245" s="207"/>
    </row>
    <row r="246" spans="9:13" ht="12.75" customHeight="1">
      <c r="I246" s="207"/>
      <c r="J246" s="207"/>
      <c r="K246" s="207"/>
      <c r="L246" s="207"/>
      <c r="M246" s="207"/>
    </row>
    <row r="247" spans="9:13" ht="12.75" customHeight="1">
      <c r="I247" s="207"/>
      <c r="J247" s="207"/>
      <c r="K247" s="207"/>
      <c r="L247" s="207"/>
      <c r="M247" s="207"/>
    </row>
    <row r="248" spans="9:13" ht="12.75" customHeight="1">
      <c r="I248" s="207"/>
      <c r="J248" s="207"/>
      <c r="K248" s="207"/>
      <c r="L248" s="207"/>
      <c r="M248" s="207"/>
    </row>
    <row r="249" spans="9:13" ht="12.75" customHeight="1">
      <c r="I249" s="207"/>
      <c r="J249" s="207"/>
      <c r="K249" s="207"/>
      <c r="L249" s="207"/>
      <c r="M249" s="207"/>
    </row>
    <row r="250" spans="9:13" ht="12.75" customHeight="1">
      <c r="I250" s="207"/>
      <c r="J250" s="207"/>
      <c r="K250" s="207"/>
      <c r="L250" s="207"/>
      <c r="M250" s="207"/>
    </row>
    <row r="251" spans="9:13" ht="12.75" customHeight="1">
      <c r="I251" s="207"/>
      <c r="J251" s="207"/>
      <c r="K251" s="207"/>
      <c r="L251" s="207"/>
      <c r="M251" s="207"/>
    </row>
    <row r="252" spans="9:13" ht="12.75" customHeight="1">
      <c r="I252" s="207"/>
      <c r="J252" s="207"/>
      <c r="K252" s="207"/>
      <c r="L252" s="207"/>
      <c r="M252" s="207"/>
    </row>
    <row r="253" spans="9:13" ht="12.75" customHeight="1">
      <c r="I253" s="207"/>
      <c r="J253" s="207"/>
      <c r="K253" s="207"/>
      <c r="L253" s="207"/>
      <c r="M253" s="207"/>
    </row>
    <row r="254" spans="9:13" ht="12.75" customHeight="1">
      <c r="I254" s="207"/>
      <c r="J254" s="207"/>
      <c r="K254" s="207"/>
      <c r="L254" s="207"/>
      <c r="M254" s="207"/>
    </row>
    <row r="255" spans="9:13" ht="12.75" customHeight="1">
      <c r="I255" s="207"/>
      <c r="J255" s="207"/>
      <c r="K255" s="207"/>
      <c r="L255" s="207"/>
      <c r="M255" s="207"/>
    </row>
    <row r="256" spans="9:13" ht="12.75" customHeight="1">
      <c r="I256" s="207"/>
      <c r="J256" s="207"/>
      <c r="K256" s="207"/>
      <c r="L256" s="207"/>
      <c r="M256" s="207"/>
    </row>
    <row r="257" spans="9:13" ht="12.75" customHeight="1">
      <c r="I257" s="207"/>
      <c r="J257" s="207"/>
      <c r="K257" s="207"/>
      <c r="L257" s="207"/>
      <c r="M257" s="207"/>
    </row>
    <row r="258" spans="9:13" ht="12.75" customHeight="1">
      <c r="I258" s="207"/>
      <c r="J258" s="207"/>
      <c r="K258" s="207"/>
      <c r="L258" s="207"/>
      <c r="M258" s="207"/>
    </row>
    <row r="259" spans="9:13" ht="12.75" customHeight="1">
      <c r="I259" s="207"/>
      <c r="J259" s="207"/>
      <c r="K259" s="207"/>
      <c r="L259" s="207"/>
      <c r="M259" s="207"/>
    </row>
    <row r="260" spans="9:13" ht="12.75" customHeight="1">
      <c r="I260" s="207"/>
      <c r="J260" s="207"/>
      <c r="K260" s="207"/>
      <c r="L260" s="207"/>
      <c r="M260" s="207"/>
    </row>
    <row r="261" spans="9:13" ht="12.75" customHeight="1">
      <c r="I261" s="207"/>
      <c r="J261" s="207"/>
      <c r="K261" s="207"/>
      <c r="L261" s="207"/>
      <c r="M261" s="207"/>
    </row>
    <row r="262" spans="9:13" ht="12.75" customHeight="1">
      <c r="I262" s="207"/>
      <c r="J262" s="207"/>
      <c r="K262" s="207"/>
      <c r="L262" s="207"/>
      <c r="M262" s="207"/>
    </row>
    <row r="263" spans="9:13" ht="12.75" customHeight="1">
      <c r="I263" s="207"/>
      <c r="J263" s="207"/>
      <c r="K263" s="207"/>
      <c r="L263" s="207"/>
      <c r="M263" s="207"/>
    </row>
    <row r="264" spans="9:13" ht="12.75" customHeight="1">
      <c r="I264" s="207"/>
      <c r="J264" s="207"/>
      <c r="K264" s="207"/>
      <c r="L264" s="207"/>
      <c r="M264" s="207"/>
    </row>
    <row r="265" spans="9:13" ht="12.75" customHeight="1">
      <c r="I265" s="207"/>
      <c r="J265" s="207"/>
      <c r="K265" s="207"/>
      <c r="L265" s="207"/>
      <c r="M265" s="207"/>
    </row>
    <row r="266" spans="9:13" ht="12.75" customHeight="1">
      <c r="I266" s="207"/>
      <c r="J266" s="207"/>
      <c r="K266" s="207"/>
      <c r="L266" s="207"/>
      <c r="M266" s="207"/>
    </row>
    <row r="267" spans="9:13" ht="12.75" customHeight="1">
      <c r="I267" s="207"/>
      <c r="J267" s="207"/>
      <c r="K267" s="207"/>
      <c r="L267" s="207"/>
      <c r="M267" s="207"/>
    </row>
    <row r="268" spans="9:13" ht="12.75" customHeight="1">
      <c r="I268" s="207"/>
      <c r="J268" s="207"/>
      <c r="K268" s="207"/>
      <c r="L268" s="207"/>
      <c r="M268" s="207"/>
    </row>
    <row r="269" spans="9:13" ht="12.75" customHeight="1">
      <c r="I269" s="207"/>
      <c r="J269" s="207"/>
      <c r="K269" s="207"/>
      <c r="L269" s="207"/>
      <c r="M269" s="207"/>
    </row>
    <row r="270" spans="9:13" ht="12.75" customHeight="1">
      <c r="I270" s="207"/>
      <c r="J270" s="207"/>
      <c r="K270" s="207"/>
      <c r="L270" s="207"/>
      <c r="M270" s="207"/>
    </row>
    <row r="271" spans="9:13" ht="12.75" customHeight="1">
      <c r="I271" s="207"/>
      <c r="J271" s="207"/>
      <c r="K271" s="207"/>
      <c r="L271" s="207"/>
      <c r="M271" s="207"/>
    </row>
    <row r="272" spans="9:13" ht="12.75" customHeight="1">
      <c r="I272" s="207"/>
      <c r="J272" s="207"/>
      <c r="K272" s="207"/>
      <c r="L272" s="207"/>
      <c r="M272" s="207"/>
    </row>
    <row r="273" spans="9:13" ht="12.75" customHeight="1">
      <c r="I273" s="207"/>
      <c r="J273" s="207"/>
      <c r="K273" s="207"/>
      <c r="L273" s="207"/>
      <c r="M273" s="207"/>
    </row>
    <row r="274" spans="9:13" ht="12.75" customHeight="1">
      <c r="I274" s="207"/>
      <c r="J274" s="207"/>
      <c r="K274" s="207"/>
      <c r="L274" s="207"/>
      <c r="M274" s="207"/>
    </row>
    <row r="275" spans="9:13" ht="12.75" customHeight="1">
      <c r="I275" s="207"/>
      <c r="J275" s="207"/>
      <c r="K275" s="207"/>
      <c r="L275" s="207"/>
      <c r="M275" s="207"/>
    </row>
    <row r="276" spans="9:13" ht="12.75" customHeight="1">
      <c r="I276" s="207"/>
      <c r="J276" s="207"/>
      <c r="K276" s="207"/>
      <c r="L276" s="207"/>
      <c r="M276" s="207"/>
    </row>
    <row r="277" spans="9:13" ht="12.75" customHeight="1">
      <c r="I277" s="207"/>
      <c r="J277" s="207"/>
      <c r="K277" s="207"/>
      <c r="L277" s="207"/>
      <c r="M277" s="207"/>
    </row>
    <row r="278" spans="9:13" ht="12.75" customHeight="1">
      <c r="I278" s="207"/>
      <c r="J278" s="207"/>
      <c r="K278" s="207"/>
      <c r="L278" s="207"/>
      <c r="M278" s="207"/>
    </row>
    <row r="279" spans="9:13" ht="12.75" customHeight="1">
      <c r="I279" s="207"/>
      <c r="J279" s="207"/>
      <c r="K279" s="207"/>
      <c r="L279" s="207"/>
      <c r="M279" s="207"/>
    </row>
    <row r="280" spans="9:13" ht="12.75" customHeight="1">
      <c r="I280" s="207"/>
      <c r="J280" s="207"/>
      <c r="K280" s="207"/>
      <c r="L280" s="207"/>
      <c r="M280" s="207"/>
    </row>
    <row r="281" spans="9:13" ht="12.75" customHeight="1">
      <c r="I281" s="207"/>
      <c r="J281" s="207"/>
      <c r="K281" s="207"/>
      <c r="L281" s="207"/>
      <c r="M281" s="207"/>
    </row>
    <row r="282" spans="9:13" ht="12.75" customHeight="1">
      <c r="I282" s="207"/>
      <c r="J282" s="207"/>
      <c r="K282" s="207"/>
      <c r="L282" s="207"/>
      <c r="M282" s="207"/>
    </row>
    <row r="283" spans="9:13" ht="12.75" customHeight="1">
      <c r="I283" s="207"/>
      <c r="J283" s="207"/>
      <c r="K283" s="207"/>
      <c r="L283" s="207"/>
      <c r="M283" s="207"/>
    </row>
    <row r="284" spans="9:13" ht="12.75" customHeight="1">
      <c r="I284" s="207"/>
      <c r="J284" s="207"/>
      <c r="K284" s="207"/>
      <c r="L284" s="207"/>
      <c r="M284" s="207"/>
    </row>
    <row r="285" spans="9:13" ht="12.75" customHeight="1">
      <c r="I285" s="207"/>
      <c r="J285" s="207"/>
      <c r="K285" s="207"/>
      <c r="L285" s="207"/>
      <c r="M285" s="207"/>
    </row>
    <row r="286" spans="9:13" ht="12.75" customHeight="1">
      <c r="I286" s="207"/>
      <c r="J286" s="207"/>
      <c r="K286" s="207"/>
      <c r="L286" s="207"/>
      <c r="M286" s="207"/>
    </row>
    <row r="287" spans="9:13" ht="12.75" customHeight="1">
      <c r="I287" s="207"/>
      <c r="J287" s="207"/>
      <c r="K287" s="207"/>
      <c r="L287" s="207"/>
      <c r="M287" s="207"/>
    </row>
    <row r="288" spans="9:13" ht="12.75" customHeight="1">
      <c r="I288" s="207"/>
      <c r="J288" s="207"/>
      <c r="K288" s="207"/>
      <c r="L288" s="207"/>
      <c r="M288" s="207"/>
    </row>
    <row r="289" spans="9:13" ht="12.75" customHeight="1">
      <c r="I289" s="207"/>
      <c r="J289" s="207"/>
      <c r="K289" s="207"/>
      <c r="L289" s="207"/>
      <c r="M289" s="207"/>
    </row>
    <row r="290" spans="9:13" ht="12.75" customHeight="1">
      <c r="I290" s="207"/>
      <c r="J290" s="207"/>
      <c r="K290" s="207"/>
      <c r="L290" s="207"/>
      <c r="M290" s="207"/>
    </row>
    <row r="291" spans="9:13" ht="12.75" customHeight="1">
      <c r="I291" s="207"/>
      <c r="J291" s="207"/>
      <c r="K291" s="207"/>
      <c r="L291" s="207"/>
      <c r="M291" s="207"/>
    </row>
    <row r="292" spans="9:13" ht="12.75" customHeight="1">
      <c r="I292" s="207"/>
      <c r="J292" s="207"/>
      <c r="K292" s="207"/>
      <c r="L292" s="207"/>
      <c r="M292" s="207"/>
    </row>
    <row r="293" spans="9:13" ht="12.75" customHeight="1">
      <c r="I293" s="207"/>
      <c r="J293" s="207"/>
      <c r="K293" s="207"/>
      <c r="L293" s="207"/>
      <c r="M293" s="207"/>
    </row>
    <row r="294" spans="9:13" ht="12.75" customHeight="1">
      <c r="I294" s="207"/>
      <c r="J294" s="207"/>
      <c r="K294" s="207"/>
      <c r="L294" s="207"/>
      <c r="M294" s="207"/>
    </row>
    <row r="295" spans="9:13" ht="12.75" customHeight="1">
      <c r="I295" s="207"/>
      <c r="J295" s="207"/>
      <c r="K295" s="207"/>
      <c r="L295" s="207"/>
      <c r="M295" s="207"/>
    </row>
    <row r="296" spans="9:13" ht="12.75" customHeight="1">
      <c r="I296" s="207"/>
      <c r="J296" s="207"/>
      <c r="K296" s="207"/>
      <c r="L296" s="207"/>
      <c r="M296" s="207"/>
    </row>
    <row r="297" spans="9:13" ht="12.75" customHeight="1">
      <c r="I297" s="207"/>
      <c r="J297" s="207"/>
      <c r="K297" s="207"/>
      <c r="L297" s="207"/>
      <c r="M297" s="207"/>
    </row>
    <row r="298" spans="9:13" ht="12.75" customHeight="1">
      <c r="I298" s="207"/>
      <c r="J298" s="207"/>
      <c r="K298" s="207"/>
      <c r="L298" s="207"/>
      <c r="M298" s="207"/>
    </row>
    <row r="299" spans="9:13" ht="12.75" customHeight="1">
      <c r="I299" s="207"/>
      <c r="J299" s="207"/>
      <c r="K299" s="207"/>
      <c r="L299" s="207"/>
      <c r="M299" s="207"/>
    </row>
    <row r="300" spans="9:13" ht="12.75" customHeight="1">
      <c r="I300" s="207"/>
      <c r="J300" s="207"/>
      <c r="K300" s="207"/>
      <c r="L300" s="207"/>
      <c r="M300" s="207"/>
    </row>
    <row r="301" spans="9:13" ht="12.75" customHeight="1">
      <c r="I301" s="207"/>
      <c r="J301" s="207"/>
      <c r="K301" s="207"/>
      <c r="L301" s="207"/>
      <c r="M301" s="207"/>
    </row>
    <row r="302" spans="9:13" ht="12.75" customHeight="1">
      <c r="I302" s="207"/>
      <c r="J302" s="207"/>
      <c r="K302" s="207"/>
      <c r="L302" s="207"/>
      <c r="M302" s="207"/>
    </row>
    <row r="303" spans="9:13" ht="12.75" customHeight="1">
      <c r="I303" s="207"/>
      <c r="J303" s="207"/>
      <c r="K303" s="207"/>
      <c r="L303" s="207"/>
      <c r="M303" s="207"/>
    </row>
    <row r="304" spans="9:13" ht="12.75" customHeight="1">
      <c r="I304" s="207"/>
      <c r="J304" s="207"/>
      <c r="K304" s="207"/>
      <c r="L304" s="207"/>
      <c r="M304" s="207"/>
    </row>
    <row r="305" spans="9:13" ht="12.75" customHeight="1">
      <c r="I305" s="207"/>
      <c r="J305" s="207"/>
      <c r="K305" s="207"/>
      <c r="L305" s="207"/>
      <c r="M305" s="207"/>
    </row>
    <row r="306" spans="9:13" ht="12.75" customHeight="1">
      <c r="I306" s="207"/>
      <c r="J306" s="207"/>
      <c r="K306" s="207"/>
      <c r="L306" s="207"/>
      <c r="M306" s="207"/>
    </row>
    <row r="307" spans="9:13" ht="12.75" customHeight="1">
      <c r="I307" s="207"/>
      <c r="J307" s="207"/>
      <c r="K307" s="207"/>
      <c r="L307" s="207"/>
      <c r="M307" s="207"/>
    </row>
    <row r="308" spans="9:13" ht="12.75" customHeight="1">
      <c r="I308" s="207"/>
      <c r="J308" s="207"/>
      <c r="K308" s="207"/>
      <c r="L308" s="207"/>
      <c r="M308" s="207"/>
    </row>
    <row r="309" spans="9:13" ht="12.75" customHeight="1">
      <c r="I309" s="207"/>
      <c r="J309" s="207"/>
      <c r="K309" s="207"/>
      <c r="L309" s="207"/>
      <c r="M309" s="207"/>
    </row>
    <row r="310" spans="9:13" ht="12.75" customHeight="1">
      <c r="I310" s="207"/>
      <c r="J310" s="207"/>
      <c r="K310" s="207"/>
      <c r="L310" s="207"/>
      <c r="M310" s="207"/>
    </row>
    <row r="311" spans="9:13" ht="12.75" customHeight="1">
      <c r="I311" s="207"/>
      <c r="J311" s="207"/>
      <c r="K311" s="207"/>
      <c r="L311" s="207"/>
      <c r="M311" s="207"/>
    </row>
    <row r="312" spans="9:13" ht="12.75" customHeight="1">
      <c r="I312" s="207"/>
      <c r="J312" s="207"/>
      <c r="K312" s="207"/>
      <c r="L312" s="207"/>
      <c r="M312" s="207"/>
    </row>
    <row r="313" spans="9:13" ht="12.75" customHeight="1">
      <c r="I313" s="207"/>
      <c r="J313" s="207"/>
      <c r="K313" s="207"/>
      <c r="L313" s="207"/>
      <c r="M313" s="207"/>
    </row>
    <row r="314" spans="9:13" ht="12.75" customHeight="1">
      <c r="I314" s="207"/>
      <c r="J314" s="207"/>
      <c r="K314" s="207"/>
      <c r="L314" s="207"/>
      <c r="M314" s="207"/>
    </row>
    <row r="315" spans="9:13" ht="12.75" customHeight="1">
      <c r="I315" s="207"/>
      <c r="J315" s="207"/>
      <c r="K315" s="207"/>
      <c r="L315" s="207"/>
      <c r="M315" s="207"/>
    </row>
    <row r="316" spans="9:13" ht="12.75" customHeight="1">
      <c r="I316" s="207"/>
      <c r="J316" s="207"/>
      <c r="K316" s="207"/>
      <c r="L316" s="207"/>
      <c r="M316" s="207"/>
    </row>
    <row r="317" spans="9:13" ht="12.75" customHeight="1">
      <c r="I317" s="207"/>
      <c r="J317" s="207"/>
      <c r="K317" s="207"/>
      <c r="L317" s="207"/>
      <c r="M317" s="207"/>
    </row>
    <row r="318" spans="9:13" ht="12.75" customHeight="1">
      <c r="I318" s="207"/>
      <c r="J318" s="207"/>
      <c r="K318" s="207"/>
      <c r="L318" s="207"/>
      <c r="M318" s="207"/>
    </row>
    <row r="319" spans="9:13" ht="12.75" customHeight="1">
      <c r="I319" s="207"/>
      <c r="J319" s="207"/>
      <c r="K319" s="207"/>
      <c r="L319" s="207"/>
      <c r="M319" s="207"/>
    </row>
    <row r="320" spans="9:13" ht="12.75" customHeight="1">
      <c r="I320" s="207"/>
      <c r="J320" s="207"/>
      <c r="K320" s="207"/>
      <c r="L320" s="207"/>
      <c r="M320" s="207"/>
    </row>
    <row r="321" spans="9:13" ht="12.75" customHeight="1">
      <c r="I321" s="207"/>
      <c r="J321" s="207"/>
      <c r="K321" s="207"/>
      <c r="L321" s="207"/>
      <c r="M321" s="207"/>
    </row>
    <row r="322" spans="9:13" ht="12.75" customHeight="1">
      <c r="I322" s="207"/>
      <c r="J322" s="207"/>
      <c r="K322" s="207"/>
      <c r="L322" s="207"/>
      <c r="M322" s="207"/>
    </row>
    <row r="323" spans="9:13" ht="12.75" customHeight="1">
      <c r="I323" s="207"/>
      <c r="J323" s="207"/>
      <c r="K323" s="207"/>
      <c r="L323" s="207"/>
      <c r="M323" s="207"/>
    </row>
    <row r="324" spans="9:13" ht="12.75" customHeight="1">
      <c r="I324" s="207"/>
      <c r="J324" s="207"/>
      <c r="K324" s="207"/>
      <c r="L324" s="207"/>
      <c r="M324" s="207"/>
    </row>
    <row r="325" spans="9:13" ht="12.75" customHeight="1">
      <c r="I325" s="207"/>
      <c r="J325" s="207"/>
      <c r="K325" s="207"/>
      <c r="L325" s="207"/>
      <c r="M325" s="207"/>
    </row>
    <row r="326" spans="9:13" ht="12.75" customHeight="1">
      <c r="I326" s="207"/>
      <c r="J326" s="207"/>
      <c r="K326" s="207"/>
      <c r="L326" s="207"/>
      <c r="M326" s="207"/>
    </row>
    <row r="327" spans="9:13" ht="12.75" customHeight="1">
      <c r="I327" s="207"/>
      <c r="J327" s="207"/>
      <c r="K327" s="207"/>
      <c r="L327" s="207"/>
      <c r="M327" s="207"/>
    </row>
    <row r="328" spans="9:13" ht="12.75" customHeight="1">
      <c r="I328" s="207"/>
      <c r="J328" s="207"/>
      <c r="K328" s="207"/>
      <c r="L328" s="207"/>
      <c r="M328" s="207"/>
    </row>
    <row r="329" spans="9:13" ht="12.75" customHeight="1">
      <c r="I329" s="207"/>
      <c r="J329" s="207"/>
      <c r="K329" s="207"/>
      <c r="L329" s="207"/>
      <c r="M329" s="207"/>
    </row>
    <row r="330" spans="9:13" ht="12.75" customHeight="1">
      <c r="I330" s="207"/>
      <c r="J330" s="207"/>
      <c r="K330" s="207"/>
      <c r="L330" s="207"/>
      <c r="M330" s="207"/>
    </row>
    <row r="331" spans="9:13" ht="12.75" customHeight="1">
      <c r="I331" s="207"/>
      <c r="J331" s="207"/>
      <c r="K331" s="207"/>
      <c r="L331" s="207"/>
      <c r="M331" s="207"/>
    </row>
    <row r="332" spans="9:13" ht="12.75" customHeight="1">
      <c r="I332" s="207"/>
      <c r="J332" s="207"/>
      <c r="K332" s="207"/>
      <c r="L332" s="207"/>
      <c r="M332" s="207"/>
    </row>
    <row r="333" spans="9:13" ht="12.75" customHeight="1">
      <c r="I333" s="207"/>
      <c r="J333" s="207"/>
      <c r="K333" s="207"/>
      <c r="L333" s="207"/>
      <c r="M333" s="207"/>
    </row>
    <row r="334" spans="9:13" ht="12.75" customHeight="1">
      <c r="I334" s="207"/>
      <c r="J334" s="207"/>
      <c r="K334" s="207"/>
      <c r="L334" s="207"/>
      <c r="M334" s="207"/>
    </row>
    <row r="335" spans="9:13" ht="12.75" customHeight="1">
      <c r="I335" s="207"/>
      <c r="J335" s="207"/>
      <c r="K335" s="207"/>
      <c r="L335" s="207"/>
      <c r="M335" s="207"/>
    </row>
    <row r="336" spans="9:13" ht="12.75" customHeight="1">
      <c r="I336" s="207"/>
      <c r="J336" s="207"/>
      <c r="K336" s="207"/>
      <c r="L336" s="207"/>
      <c r="M336" s="207"/>
    </row>
    <row r="337" spans="9:13" ht="12.75" customHeight="1">
      <c r="I337" s="207"/>
      <c r="J337" s="207"/>
      <c r="K337" s="207"/>
      <c r="L337" s="207"/>
      <c r="M337" s="207"/>
    </row>
    <row r="338" spans="9:13" ht="12.75" customHeight="1">
      <c r="I338" s="207"/>
      <c r="J338" s="207"/>
      <c r="K338" s="207"/>
      <c r="L338" s="207"/>
      <c r="M338" s="207"/>
    </row>
    <row r="339" spans="9:13" ht="12.75" customHeight="1">
      <c r="I339" s="207"/>
      <c r="J339" s="207"/>
      <c r="K339" s="207"/>
      <c r="L339" s="207"/>
      <c r="M339" s="207"/>
    </row>
    <row r="340" spans="9:13" ht="12.75" customHeight="1">
      <c r="I340" s="207"/>
      <c r="J340" s="207"/>
      <c r="K340" s="207"/>
      <c r="L340" s="207"/>
      <c r="M340" s="207"/>
    </row>
    <row r="341" spans="9:13" ht="12.75" customHeight="1">
      <c r="I341" s="207"/>
      <c r="J341" s="207"/>
      <c r="K341" s="207"/>
      <c r="L341" s="207"/>
      <c r="M341" s="207"/>
    </row>
    <row r="342" spans="9:13" ht="12.75" customHeight="1">
      <c r="I342" s="207"/>
      <c r="J342" s="207"/>
      <c r="K342" s="207"/>
      <c r="L342" s="207"/>
      <c r="M342" s="207"/>
    </row>
    <row r="343" spans="9:13" ht="12.75" customHeight="1">
      <c r="I343" s="207"/>
      <c r="J343" s="207"/>
      <c r="K343" s="207"/>
      <c r="L343" s="207"/>
      <c r="M343" s="207"/>
    </row>
    <row r="344" spans="9:13" ht="12.75" customHeight="1">
      <c r="I344" s="207"/>
      <c r="J344" s="207"/>
      <c r="K344" s="207"/>
      <c r="L344" s="207"/>
      <c r="M344" s="207"/>
    </row>
    <row r="345" spans="9:13" ht="12.75" customHeight="1">
      <c r="I345" s="207"/>
      <c r="J345" s="207"/>
      <c r="K345" s="207"/>
      <c r="L345" s="207"/>
      <c r="M345" s="207"/>
    </row>
    <row r="346" spans="9:13" ht="12.75" customHeight="1">
      <c r="I346" s="207"/>
      <c r="J346" s="207"/>
      <c r="K346" s="207"/>
      <c r="L346" s="207"/>
      <c r="M346" s="207"/>
    </row>
    <row r="347" spans="9:13" ht="12.75" customHeight="1">
      <c r="I347" s="207"/>
      <c r="J347" s="207"/>
      <c r="K347" s="207"/>
      <c r="L347" s="207"/>
      <c r="M347" s="207"/>
    </row>
    <row r="348" spans="9:13" ht="12.75" customHeight="1">
      <c r="I348" s="207"/>
      <c r="J348" s="207"/>
      <c r="K348" s="207"/>
      <c r="L348" s="207"/>
      <c r="M348" s="207"/>
    </row>
    <row r="349" spans="9:13" ht="12.75" customHeight="1">
      <c r="I349" s="207"/>
      <c r="J349" s="207"/>
      <c r="K349" s="207"/>
      <c r="L349" s="207"/>
      <c r="M349" s="207"/>
    </row>
    <row r="350" spans="9:13" ht="12.75" customHeight="1">
      <c r="I350" s="207"/>
      <c r="J350" s="207"/>
      <c r="K350" s="207"/>
      <c r="L350" s="207"/>
      <c r="M350" s="207"/>
    </row>
    <row r="351" spans="9:13" ht="12.75" customHeight="1">
      <c r="I351" s="207"/>
      <c r="J351" s="207"/>
      <c r="K351" s="207"/>
      <c r="L351" s="207"/>
      <c r="M351" s="207"/>
    </row>
    <row r="352" spans="9:13" ht="12.75" customHeight="1">
      <c r="I352" s="207"/>
      <c r="J352" s="207"/>
      <c r="K352" s="207"/>
      <c r="L352" s="207"/>
      <c r="M352" s="207"/>
    </row>
    <row r="353" spans="9:13" ht="12.75" customHeight="1">
      <c r="I353" s="207"/>
      <c r="J353" s="207"/>
      <c r="K353" s="207"/>
      <c r="L353" s="207"/>
      <c r="M353" s="207"/>
    </row>
    <row r="354" spans="9:13" ht="12.75" customHeight="1">
      <c r="I354" s="207"/>
      <c r="J354" s="207"/>
      <c r="K354" s="207"/>
      <c r="L354" s="207"/>
      <c r="M354" s="207"/>
    </row>
    <row r="355" spans="9:13" ht="12.75" customHeight="1">
      <c r="I355" s="207"/>
      <c r="J355" s="207"/>
      <c r="K355" s="207"/>
      <c r="L355" s="207"/>
      <c r="M355" s="207"/>
    </row>
    <row r="356" spans="9:13" ht="12.75" customHeight="1">
      <c r="I356" s="207"/>
      <c r="J356" s="207"/>
      <c r="K356" s="207"/>
      <c r="L356" s="207"/>
      <c r="M356" s="207"/>
    </row>
    <row r="357" spans="9:13" ht="12.75" customHeight="1">
      <c r="I357" s="207"/>
      <c r="J357" s="207"/>
      <c r="K357" s="207"/>
      <c r="L357" s="207"/>
      <c r="M357" s="207"/>
    </row>
    <row r="358" spans="9:13" ht="12.75" customHeight="1">
      <c r="I358" s="207"/>
      <c r="J358" s="207"/>
      <c r="K358" s="207"/>
      <c r="L358" s="207"/>
      <c r="M358" s="207"/>
    </row>
    <row r="359" spans="9:13" ht="12.75" customHeight="1">
      <c r="I359" s="207"/>
      <c r="J359" s="207"/>
      <c r="K359" s="207"/>
      <c r="L359" s="207"/>
      <c r="M359" s="207"/>
    </row>
    <row r="360" spans="9:13" ht="12.75" customHeight="1">
      <c r="I360" s="207"/>
      <c r="J360" s="207"/>
      <c r="K360" s="207"/>
      <c r="L360" s="207"/>
      <c r="M360" s="207"/>
    </row>
    <row r="361" spans="9:13" ht="12.75" customHeight="1">
      <c r="I361" s="207"/>
      <c r="J361" s="207"/>
      <c r="K361" s="207"/>
      <c r="L361" s="207"/>
      <c r="M361" s="207"/>
    </row>
    <row r="362" spans="9:13" ht="12.75" customHeight="1">
      <c r="I362" s="207"/>
      <c r="J362" s="207"/>
      <c r="K362" s="207"/>
      <c r="L362" s="207"/>
      <c r="M362" s="207"/>
    </row>
    <row r="363" spans="9:13" ht="12.75" customHeight="1">
      <c r="I363" s="207"/>
      <c r="J363" s="207"/>
      <c r="K363" s="207"/>
      <c r="L363" s="207"/>
      <c r="M363" s="207"/>
    </row>
    <row r="364" spans="9:13" ht="12.75" customHeight="1">
      <c r="I364" s="207"/>
      <c r="J364" s="207"/>
      <c r="K364" s="207"/>
      <c r="L364" s="207"/>
      <c r="M364" s="207"/>
    </row>
    <row r="365" spans="9:13" ht="12.75" customHeight="1">
      <c r="I365" s="207"/>
      <c r="J365" s="207"/>
      <c r="K365" s="207"/>
      <c r="L365" s="207"/>
      <c r="M365" s="207"/>
    </row>
    <row r="366" spans="9:13" ht="12.75" customHeight="1">
      <c r="I366" s="207"/>
      <c r="J366" s="207"/>
      <c r="K366" s="207"/>
      <c r="L366" s="207"/>
      <c r="M366" s="207"/>
    </row>
    <row r="367" spans="9:13" ht="12.75" customHeight="1">
      <c r="I367" s="207"/>
      <c r="J367" s="207"/>
      <c r="K367" s="207"/>
      <c r="L367" s="207"/>
      <c r="M367" s="207"/>
    </row>
    <row r="368" spans="9:13" ht="12.75" customHeight="1">
      <c r="I368" s="207"/>
      <c r="J368" s="207"/>
      <c r="K368" s="207"/>
      <c r="L368" s="207"/>
      <c r="M368" s="207"/>
    </row>
    <row r="369" spans="9:13" ht="12.75" customHeight="1">
      <c r="I369" s="207"/>
      <c r="J369" s="207"/>
      <c r="K369" s="207"/>
      <c r="L369" s="207"/>
      <c r="M369" s="207"/>
    </row>
    <row r="370" spans="9:13" ht="12.75" customHeight="1">
      <c r="I370" s="207"/>
      <c r="J370" s="207"/>
      <c r="K370" s="207"/>
      <c r="L370" s="207"/>
      <c r="M370" s="207"/>
    </row>
    <row r="371" spans="9:13" ht="12.75" customHeight="1">
      <c r="I371" s="207"/>
      <c r="J371" s="207"/>
      <c r="K371" s="207"/>
      <c r="L371" s="207"/>
      <c r="M371" s="207"/>
    </row>
    <row r="372" spans="9:13" ht="12.75" customHeight="1">
      <c r="I372" s="207"/>
      <c r="J372" s="207"/>
      <c r="K372" s="207"/>
      <c r="L372" s="207"/>
      <c r="M372" s="207"/>
    </row>
    <row r="373" spans="9:13" ht="12.75" customHeight="1">
      <c r="I373" s="207"/>
      <c r="J373" s="207"/>
      <c r="K373" s="207"/>
      <c r="L373" s="207"/>
      <c r="M373" s="207"/>
    </row>
    <row r="374" spans="9:13" ht="12.75" customHeight="1">
      <c r="I374" s="207"/>
      <c r="J374" s="207"/>
      <c r="K374" s="207"/>
      <c r="L374" s="207"/>
      <c r="M374" s="207"/>
    </row>
    <row r="375" spans="9:13" ht="12.75" customHeight="1">
      <c r="I375" s="207"/>
      <c r="J375" s="207"/>
      <c r="K375" s="207"/>
      <c r="L375" s="207"/>
      <c r="M375" s="207"/>
    </row>
    <row r="376" spans="9:13" ht="12.75" customHeight="1">
      <c r="I376" s="207"/>
      <c r="J376" s="207"/>
      <c r="K376" s="207"/>
      <c r="L376" s="207"/>
      <c r="M376" s="207"/>
    </row>
    <row r="377" spans="9:13" ht="12.75" customHeight="1">
      <c r="I377" s="207"/>
      <c r="J377" s="207"/>
      <c r="K377" s="207"/>
      <c r="L377" s="207"/>
      <c r="M377" s="207"/>
    </row>
    <row r="378" spans="9:13" ht="12.75" customHeight="1">
      <c r="I378" s="207"/>
      <c r="J378" s="207"/>
      <c r="K378" s="207"/>
      <c r="L378" s="207"/>
      <c r="M378" s="207"/>
    </row>
    <row r="379" spans="9:13" ht="12.75" customHeight="1">
      <c r="I379" s="207"/>
      <c r="J379" s="207"/>
      <c r="K379" s="207"/>
      <c r="L379" s="207"/>
      <c r="M379" s="207"/>
    </row>
    <row r="380" spans="9:13" ht="12.75" customHeight="1">
      <c r="I380" s="207"/>
      <c r="J380" s="207"/>
      <c r="K380" s="207"/>
      <c r="L380" s="207"/>
      <c r="M380" s="207"/>
    </row>
    <row r="381" spans="9:13" ht="12.75" customHeight="1">
      <c r="I381" s="207"/>
      <c r="J381" s="207"/>
      <c r="K381" s="207"/>
      <c r="L381" s="207"/>
      <c r="M381" s="207"/>
    </row>
    <row r="382" spans="9:13" ht="12.75" customHeight="1">
      <c r="I382" s="207"/>
      <c r="J382" s="207"/>
      <c r="K382" s="207"/>
      <c r="L382" s="207"/>
      <c r="M382" s="207"/>
    </row>
    <row r="383" spans="9:13" ht="12.75" customHeight="1">
      <c r="I383" s="207"/>
      <c r="J383" s="207"/>
      <c r="K383" s="207"/>
      <c r="L383" s="207"/>
      <c r="M383" s="207"/>
    </row>
    <row r="384" spans="9:13" ht="12.75" customHeight="1">
      <c r="I384" s="207"/>
      <c r="J384" s="207"/>
      <c r="K384" s="207"/>
      <c r="L384" s="207"/>
      <c r="M384" s="207"/>
    </row>
    <row r="385" spans="9:13" ht="12.75" customHeight="1">
      <c r="I385" s="207"/>
      <c r="J385" s="207"/>
      <c r="K385" s="207"/>
      <c r="L385" s="207"/>
      <c r="M385" s="207"/>
    </row>
    <row r="386" spans="9:13" ht="12.75" customHeight="1">
      <c r="I386" s="207"/>
      <c r="J386" s="207"/>
      <c r="K386" s="207"/>
      <c r="L386" s="207"/>
      <c r="M386" s="207"/>
    </row>
    <row r="387" spans="9:13" ht="12.75" customHeight="1">
      <c r="I387" s="207"/>
      <c r="J387" s="207"/>
      <c r="K387" s="207"/>
      <c r="L387" s="207"/>
      <c r="M387" s="207"/>
    </row>
    <row r="388" spans="9:13" ht="12.75" customHeight="1">
      <c r="I388" s="207"/>
      <c r="J388" s="207"/>
      <c r="K388" s="207"/>
      <c r="L388" s="207"/>
      <c r="M388" s="207"/>
    </row>
    <row r="389" spans="9:13" ht="12.75" customHeight="1">
      <c r="I389" s="207"/>
      <c r="J389" s="207"/>
      <c r="K389" s="207"/>
      <c r="L389" s="207"/>
      <c r="M389" s="207"/>
    </row>
    <row r="390" spans="9:13" ht="12.75" customHeight="1">
      <c r="I390" s="207"/>
      <c r="J390" s="207"/>
      <c r="K390" s="207"/>
      <c r="L390" s="207"/>
      <c r="M390" s="207"/>
    </row>
    <row r="391" spans="9:13" ht="12.75" customHeight="1">
      <c r="I391" s="207"/>
      <c r="J391" s="207"/>
      <c r="K391" s="207"/>
      <c r="L391" s="207"/>
      <c r="M391" s="207"/>
    </row>
    <row r="392" spans="9:13" ht="12.75" customHeight="1">
      <c r="I392" s="207"/>
      <c r="J392" s="207"/>
      <c r="K392" s="207"/>
      <c r="L392" s="207"/>
      <c r="M392" s="207"/>
    </row>
    <row r="393" spans="9:13" ht="12.75" customHeight="1">
      <c r="I393" s="207"/>
      <c r="J393" s="207"/>
      <c r="K393" s="207"/>
      <c r="L393" s="207"/>
      <c r="M393" s="207"/>
    </row>
    <row r="394" spans="9:13" ht="12.75" customHeight="1">
      <c r="I394" s="207"/>
      <c r="J394" s="207"/>
      <c r="K394" s="207"/>
      <c r="L394" s="207"/>
      <c r="M394" s="207"/>
    </row>
    <row r="395" spans="9:13" ht="12.75" customHeight="1">
      <c r="I395" s="207"/>
      <c r="J395" s="207"/>
      <c r="K395" s="207"/>
      <c r="L395" s="207"/>
      <c r="M395" s="207"/>
    </row>
    <row r="396" spans="9:13" ht="12.75" customHeight="1">
      <c r="I396" s="207"/>
      <c r="J396" s="207"/>
      <c r="K396" s="207"/>
      <c r="L396" s="207"/>
      <c r="M396" s="207"/>
    </row>
    <row r="397" spans="9:13" ht="12.75" customHeight="1">
      <c r="I397" s="207"/>
      <c r="J397" s="207"/>
      <c r="K397" s="207"/>
      <c r="L397" s="207"/>
      <c r="M397" s="207"/>
    </row>
    <row r="398" spans="9:13" ht="12.75" customHeight="1">
      <c r="I398" s="207"/>
      <c r="J398" s="207"/>
      <c r="K398" s="207"/>
      <c r="L398" s="207"/>
      <c r="M398" s="207"/>
    </row>
  </sheetData>
  <sheetProtection/>
  <mergeCells count="505">
    <mergeCell ref="A118:B118"/>
    <mergeCell ref="A69:A70"/>
    <mergeCell ref="A71:A72"/>
    <mergeCell ref="A73:A74"/>
    <mergeCell ref="A75:A76"/>
    <mergeCell ref="B75:B76"/>
    <mergeCell ref="A117:B117"/>
    <mergeCell ref="A113:H113"/>
    <mergeCell ref="A114:B114"/>
    <mergeCell ref="A115:B115"/>
    <mergeCell ref="A61:A62"/>
    <mergeCell ref="A63:A64"/>
    <mergeCell ref="A65:A66"/>
    <mergeCell ref="A67:A68"/>
    <mergeCell ref="A41:A42"/>
    <mergeCell ref="A43:A44"/>
    <mergeCell ref="A45:A46"/>
    <mergeCell ref="A47:A48"/>
    <mergeCell ref="A33:A34"/>
    <mergeCell ref="A35:A36"/>
    <mergeCell ref="A37:A38"/>
    <mergeCell ref="A39:A40"/>
    <mergeCell ref="A13:A14"/>
    <mergeCell ref="A15:A16"/>
    <mergeCell ref="A17:A18"/>
    <mergeCell ref="A19:A20"/>
    <mergeCell ref="A5:A6"/>
    <mergeCell ref="A7:A8"/>
    <mergeCell ref="A9:A10"/>
    <mergeCell ref="A11:A12"/>
    <mergeCell ref="H104:H105"/>
    <mergeCell ref="H106:H107"/>
    <mergeCell ref="H100:H101"/>
    <mergeCell ref="H102:H103"/>
    <mergeCell ref="G98:G99"/>
    <mergeCell ref="G100:G101"/>
    <mergeCell ref="H108:H109"/>
    <mergeCell ref="H110:H111"/>
    <mergeCell ref="G106:G107"/>
    <mergeCell ref="G108:G109"/>
    <mergeCell ref="G110:G111"/>
    <mergeCell ref="H90:H91"/>
    <mergeCell ref="H92:H93"/>
    <mergeCell ref="H94:H95"/>
    <mergeCell ref="H96:H97"/>
    <mergeCell ref="H98:H99"/>
    <mergeCell ref="G102:G103"/>
    <mergeCell ref="G104:G105"/>
    <mergeCell ref="G90:G91"/>
    <mergeCell ref="G92:G93"/>
    <mergeCell ref="G94:G95"/>
    <mergeCell ref="G96:G97"/>
    <mergeCell ref="F106:F107"/>
    <mergeCell ref="F108:F109"/>
    <mergeCell ref="F110:F111"/>
    <mergeCell ref="E106:E107"/>
    <mergeCell ref="E108:E109"/>
    <mergeCell ref="E110:E111"/>
    <mergeCell ref="F92:F93"/>
    <mergeCell ref="F94:F95"/>
    <mergeCell ref="F96:F97"/>
    <mergeCell ref="F98:F99"/>
    <mergeCell ref="F100:F101"/>
    <mergeCell ref="F104:F105"/>
    <mergeCell ref="F102:F103"/>
    <mergeCell ref="E98:E99"/>
    <mergeCell ref="E100:E101"/>
    <mergeCell ref="E102:E103"/>
    <mergeCell ref="E104:E105"/>
    <mergeCell ref="E90:E91"/>
    <mergeCell ref="E92:E93"/>
    <mergeCell ref="E94:E95"/>
    <mergeCell ref="E96:E97"/>
    <mergeCell ref="F90:F91"/>
    <mergeCell ref="D104:D105"/>
    <mergeCell ref="D106:D107"/>
    <mergeCell ref="D108:D109"/>
    <mergeCell ref="D110:D111"/>
    <mergeCell ref="D98:D99"/>
    <mergeCell ref="D100:D101"/>
    <mergeCell ref="D102:D103"/>
    <mergeCell ref="D90:D91"/>
    <mergeCell ref="D92:D93"/>
    <mergeCell ref="D94:D95"/>
    <mergeCell ref="D96:D97"/>
    <mergeCell ref="B67:B68"/>
    <mergeCell ref="B69:B70"/>
    <mergeCell ref="B71:B72"/>
    <mergeCell ref="B73:B74"/>
    <mergeCell ref="C88:C89"/>
    <mergeCell ref="D88:D89"/>
    <mergeCell ref="C106:C107"/>
    <mergeCell ref="C108:C109"/>
    <mergeCell ref="C110:C111"/>
    <mergeCell ref="B41:B42"/>
    <mergeCell ref="B43:B44"/>
    <mergeCell ref="B45:B46"/>
    <mergeCell ref="B47:B48"/>
    <mergeCell ref="B61:B62"/>
    <mergeCell ref="B63:B64"/>
    <mergeCell ref="B65:B66"/>
    <mergeCell ref="C102:C103"/>
    <mergeCell ref="C104:C105"/>
    <mergeCell ref="C90:C91"/>
    <mergeCell ref="C92:C93"/>
    <mergeCell ref="C94:C95"/>
    <mergeCell ref="C96:C97"/>
    <mergeCell ref="C98:C99"/>
    <mergeCell ref="C100:C101"/>
    <mergeCell ref="B33:B34"/>
    <mergeCell ref="B35:B36"/>
    <mergeCell ref="B37:B38"/>
    <mergeCell ref="B39:B40"/>
    <mergeCell ref="L79:L80"/>
    <mergeCell ref="M79:M80"/>
    <mergeCell ref="H79:H80"/>
    <mergeCell ref="I79:I80"/>
    <mergeCell ref="J79:J80"/>
    <mergeCell ref="K79:K80"/>
    <mergeCell ref="N78:N79"/>
    <mergeCell ref="C79:C80"/>
    <mergeCell ref="D79:D80"/>
    <mergeCell ref="E79:E80"/>
    <mergeCell ref="F79:F80"/>
    <mergeCell ref="G79:G80"/>
    <mergeCell ref="L77:L78"/>
    <mergeCell ref="M77:M78"/>
    <mergeCell ref="L75:L76"/>
    <mergeCell ref="M75:M76"/>
    <mergeCell ref="E88:E89"/>
    <mergeCell ref="F88:F89"/>
    <mergeCell ref="G88:G89"/>
    <mergeCell ref="H88:H89"/>
    <mergeCell ref="N76:N77"/>
    <mergeCell ref="C77:C78"/>
    <mergeCell ref="D77:D78"/>
    <mergeCell ref="E77:E78"/>
    <mergeCell ref="F77:F78"/>
    <mergeCell ref="G77:G78"/>
    <mergeCell ref="H77:H78"/>
    <mergeCell ref="I77:I78"/>
    <mergeCell ref="J77:J78"/>
    <mergeCell ref="K77:K78"/>
    <mergeCell ref="N74:N75"/>
    <mergeCell ref="C75:C76"/>
    <mergeCell ref="D75:D76"/>
    <mergeCell ref="E75:E76"/>
    <mergeCell ref="F75:F76"/>
    <mergeCell ref="G75:G76"/>
    <mergeCell ref="H75:H76"/>
    <mergeCell ref="I75:I76"/>
    <mergeCell ref="J75:J76"/>
    <mergeCell ref="K75:K76"/>
    <mergeCell ref="J73:J74"/>
    <mergeCell ref="K73:K74"/>
    <mergeCell ref="L73:L74"/>
    <mergeCell ref="M73:M74"/>
    <mergeCell ref="L71:L72"/>
    <mergeCell ref="M71:M72"/>
    <mergeCell ref="J71:J72"/>
    <mergeCell ref="K71:K72"/>
    <mergeCell ref="N72:N73"/>
    <mergeCell ref="C73:C74"/>
    <mergeCell ref="D73:D74"/>
    <mergeCell ref="E73:E74"/>
    <mergeCell ref="F73:F74"/>
    <mergeCell ref="G73:G74"/>
    <mergeCell ref="H73:H74"/>
    <mergeCell ref="I73:I74"/>
    <mergeCell ref="L67:L68"/>
    <mergeCell ref="M67:M68"/>
    <mergeCell ref="N70:N71"/>
    <mergeCell ref="C71:C72"/>
    <mergeCell ref="D71:D72"/>
    <mergeCell ref="E71:E72"/>
    <mergeCell ref="F71:F72"/>
    <mergeCell ref="G71:G72"/>
    <mergeCell ref="H71:H72"/>
    <mergeCell ref="I71:I72"/>
    <mergeCell ref="H69:H70"/>
    <mergeCell ref="I69:I70"/>
    <mergeCell ref="J69:J70"/>
    <mergeCell ref="K69:K70"/>
    <mergeCell ref="L69:L70"/>
    <mergeCell ref="M69:M70"/>
    <mergeCell ref="H67:H68"/>
    <mergeCell ref="I67:I68"/>
    <mergeCell ref="J67:J68"/>
    <mergeCell ref="K67:K68"/>
    <mergeCell ref="N68:N69"/>
    <mergeCell ref="C69:C70"/>
    <mergeCell ref="D69:D70"/>
    <mergeCell ref="E69:E70"/>
    <mergeCell ref="F69:F70"/>
    <mergeCell ref="G69:G70"/>
    <mergeCell ref="L65:L66"/>
    <mergeCell ref="M65:M66"/>
    <mergeCell ref="L63:L64"/>
    <mergeCell ref="M63:M64"/>
    <mergeCell ref="N66:N67"/>
    <mergeCell ref="C67:C68"/>
    <mergeCell ref="D67:D68"/>
    <mergeCell ref="E67:E68"/>
    <mergeCell ref="F67:F68"/>
    <mergeCell ref="G67:G68"/>
    <mergeCell ref="N64:N65"/>
    <mergeCell ref="C65:C66"/>
    <mergeCell ref="D65:D66"/>
    <mergeCell ref="E65:E66"/>
    <mergeCell ref="F65:F66"/>
    <mergeCell ref="G65:G66"/>
    <mergeCell ref="H65:H66"/>
    <mergeCell ref="I65:I66"/>
    <mergeCell ref="J65:J66"/>
    <mergeCell ref="K65:K66"/>
    <mergeCell ref="N62:N63"/>
    <mergeCell ref="C63:C64"/>
    <mergeCell ref="D63:D64"/>
    <mergeCell ref="E63:E64"/>
    <mergeCell ref="F63:F64"/>
    <mergeCell ref="G63:G64"/>
    <mergeCell ref="H63:H64"/>
    <mergeCell ref="I63:I64"/>
    <mergeCell ref="J63:J64"/>
    <mergeCell ref="K63:K64"/>
    <mergeCell ref="J61:J62"/>
    <mergeCell ref="K61:K62"/>
    <mergeCell ref="L61:L62"/>
    <mergeCell ref="M61:M62"/>
    <mergeCell ref="K51:K52"/>
    <mergeCell ref="L51:L52"/>
    <mergeCell ref="M51:M52"/>
    <mergeCell ref="J51:J52"/>
    <mergeCell ref="C61:C62"/>
    <mergeCell ref="D61:D62"/>
    <mergeCell ref="E61:E62"/>
    <mergeCell ref="F61:F62"/>
    <mergeCell ref="G61:G62"/>
    <mergeCell ref="H61:H62"/>
    <mergeCell ref="I61:I62"/>
    <mergeCell ref="M49:M50"/>
    <mergeCell ref="N50:N51"/>
    <mergeCell ref="C51:C52"/>
    <mergeCell ref="D51:D52"/>
    <mergeCell ref="E51:E52"/>
    <mergeCell ref="F51:F52"/>
    <mergeCell ref="G51:G52"/>
    <mergeCell ref="H51:H52"/>
    <mergeCell ref="I51:I52"/>
    <mergeCell ref="G49:G50"/>
    <mergeCell ref="H49:H50"/>
    <mergeCell ref="I49:I50"/>
    <mergeCell ref="J49:J50"/>
    <mergeCell ref="C49:C50"/>
    <mergeCell ref="D49:D50"/>
    <mergeCell ref="E49:E50"/>
    <mergeCell ref="F49:F50"/>
    <mergeCell ref="G47:G48"/>
    <mergeCell ref="H47:H48"/>
    <mergeCell ref="I47:I48"/>
    <mergeCell ref="J47:J48"/>
    <mergeCell ref="C47:C48"/>
    <mergeCell ref="D47:D48"/>
    <mergeCell ref="E47:E48"/>
    <mergeCell ref="F47:F48"/>
    <mergeCell ref="K45:K46"/>
    <mergeCell ref="L45:L46"/>
    <mergeCell ref="M45:M46"/>
    <mergeCell ref="N46:N47"/>
    <mergeCell ref="K47:K48"/>
    <mergeCell ref="L47:L48"/>
    <mergeCell ref="M47:M48"/>
    <mergeCell ref="N48:N49"/>
    <mergeCell ref="K49:K50"/>
    <mergeCell ref="L49:L50"/>
    <mergeCell ref="M43:M44"/>
    <mergeCell ref="N44:N45"/>
    <mergeCell ref="C45:C46"/>
    <mergeCell ref="D45:D46"/>
    <mergeCell ref="E45:E46"/>
    <mergeCell ref="F45:F46"/>
    <mergeCell ref="G45:G46"/>
    <mergeCell ref="H45:H46"/>
    <mergeCell ref="I45:I46"/>
    <mergeCell ref="J45:J46"/>
    <mergeCell ref="G43:G44"/>
    <mergeCell ref="H43:H44"/>
    <mergeCell ref="I43:I44"/>
    <mergeCell ref="J43:J44"/>
    <mergeCell ref="C43:C44"/>
    <mergeCell ref="D43:D44"/>
    <mergeCell ref="E43:E44"/>
    <mergeCell ref="F43:F44"/>
    <mergeCell ref="G41:G42"/>
    <mergeCell ref="H41:H42"/>
    <mergeCell ref="I41:I42"/>
    <mergeCell ref="J41:J42"/>
    <mergeCell ref="C41:C42"/>
    <mergeCell ref="D41:D42"/>
    <mergeCell ref="E41:E42"/>
    <mergeCell ref="F41:F42"/>
    <mergeCell ref="K39:K40"/>
    <mergeCell ref="L39:L40"/>
    <mergeCell ref="M39:M40"/>
    <mergeCell ref="N40:N41"/>
    <mergeCell ref="K41:K42"/>
    <mergeCell ref="L41:L42"/>
    <mergeCell ref="M41:M42"/>
    <mergeCell ref="N42:N43"/>
    <mergeCell ref="K43:K44"/>
    <mergeCell ref="L43:L44"/>
    <mergeCell ref="M37:M38"/>
    <mergeCell ref="N38:N39"/>
    <mergeCell ref="C39:C40"/>
    <mergeCell ref="D39:D40"/>
    <mergeCell ref="E39:E40"/>
    <mergeCell ref="F39:F40"/>
    <mergeCell ref="G39:G40"/>
    <mergeCell ref="H39:H40"/>
    <mergeCell ref="I39:I40"/>
    <mergeCell ref="J39:J40"/>
    <mergeCell ref="G37:G38"/>
    <mergeCell ref="H37:H38"/>
    <mergeCell ref="I37:I38"/>
    <mergeCell ref="J37:J38"/>
    <mergeCell ref="C37:C38"/>
    <mergeCell ref="D37:D38"/>
    <mergeCell ref="E37:E38"/>
    <mergeCell ref="F37:F38"/>
    <mergeCell ref="G35:G36"/>
    <mergeCell ref="H35:H36"/>
    <mergeCell ref="I35:I36"/>
    <mergeCell ref="J35:J36"/>
    <mergeCell ref="C35:C36"/>
    <mergeCell ref="D35:D36"/>
    <mergeCell ref="E35:E36"/>
    <mergeCell ref="F35:F36"/>
    <mergeCell ref="K33:K34"/>
    <mergeCell ref="L33:L34"/>
    <mergeCell ref="M33:M34"/>
    <mergeCell ref="N34:N35"/>
    <mergeCell ref="K35:K36"/>
    <mergeCell ref="L35:L36"/>
    <mergeCell ref="M35:M36"/>
    <mergeCell ref="N36:N37"/>
    <mergeCell ref="K37:K38"/>
    <mergeCell ref="L37:L38"/>
    <mergeCell ref="G33:G34"/>
    <mergeCell ref="H33:H34"/>
    <mergeCell ref="I33:I34"/>
    <mergeCell ref="J33:J34"/>
    <mergeCell ref="C33:C34"/>
    <mergeCell ref="D33:D34"/>
    <mergeCell ref="E33:E34"/>
    <mergeCell ref="F33:F34"/>
    <mergeCell ref="L23:L24"/>
    <mergeCell ref="M23:M24"/>
    <mergeCell ref="N22:N23"/>
    <mergeCell ref="L21:L22"/>
    <mergeCell ref="N20:N21"/>
    <mergeCell ref="M19:M20"/>
    <mergeCell ref="M21:M22"/>
    <mergeCell ref="L19:L20"/>
    <mergeCell ref="C23:C24"/>
    <mergeCell ref="D23:D24"/>
    <mergeCell ref="E23:E24"/>
    <mergeCell ref="F23:F24"/>
    <mergeCell ref="G23:G24"/>
    <mergeCell ref="H23:H24"/>
    <mergeCell ref="I23:I24"/>
    <mergeCell ref="J23:J24"/>
    <mergeCell ref="I21:I22"/>
    <mergeCell ref="K23:K24"/>
    <mergeCell ref="J21:J22"/>
    <mergeCell ref="K19:K20"/>
    <mergeCell ref="K21:K22"/>
    <mergeCell ref="I19:I20"/>
    <mergeCell ref="J19:J20"/>
    <mergeCell ref="F21:F22"/>
    <mergeCell ref="G19:G20"/>
    <mergeCell ref="G21:G22"/>
    <mergeCell ref="H19:H20"/>
    <mergeCell ref="H21:H22"/>
    <mergeCell ref="C21:C22"/>
    <mergeCell ref="D19:D20"/>
    <mergeCell ref="D21:D22"/>
    <mergeCell ref="E19:E20"/>
    <mergeCell ref="E21:E22"/>
    <mergeCell ref="L17:L18"/>
    <mergeCell ref="K17:K18"/>
    <mergeCell ref="N14:N15"/>
    <mergeCell ref="N16:N17"/>
    <mergeCell ref="M13:M14"/>
    <mergeCell ref="M15:M16"/>
    <mergeCell ref="M17:M18"/>
    <mergeCell ref="N18:N19"/>
    <mergeCell ref="K13:K14"/>
    <mergeCell ref="K15:K16"/>
    <mergeCell ref="M5:M6"/>
    <mergeCell ref="M7:M8"/>
    <mergeCell ref="M9:M10"/>
    <mergeCell ref="M11:M12"/>
    <mergeCell ref="L9:L10"/>
    <mergeCell ref="L11:L12"/>
    <mergeCell ref="L13:L14"/>
    <mergeCell ref="L15:L16"/>
    <mergeCell ref="N6:N7"/>
    <mergeCell ref="L7:L8"/>
    <mergeCell ref="N8:N9"/>
    <mergeCell ref="K5:K6"/>
    <mergeCell ref="K7:K8"/>
    <mergeCell ref="L5:L6"/>
    <mergeCell ref="K9:K10"/>
    <mergeCell ref="N10:N11"/>
    <mergeCell ref="K11:K12"/>
    <mergeCell ref="N12:N13"/>
    <mergeCell ref="I17:I18"/>
    <mergeCell ref="J15:J16"/>
    <mergeCell ref="J17:J18"/>
    <mergeCell ref="G15:G16"/>
    <mergeCell ref="G17:G18"/>
    <mergeCell ref="H15:H16"/>
    <mergeCell ref="H17:H18"/>
    <mergeCell ref="I15:I16"/>
    <mergeCell ref="E15:E16"/>
    <mergeCell ref="E17:E18"/>
    <mergeCell ref="F15:F16"/>
    <mergeCell ref="F17:F18"/>
    <mergeCell ref="C15:C16"/>
    <mergeCell ref="C17:C18"/>
    <mergeCell ref="D15:D16"/>
    <mergeCell ref="D17:D18"/>
    <mergeCell ref="I13:I14"/>
    <mergeCell ref="J5:J6"/>
    <mergeCell ref="J7:J8"/>
    <mergeCell ref="J9:J10"/>
    <mergeCell ref="J11:J12"/>
    <mergeCell ref="J13:J14"/>
    <mergeCell ref="I5:I6"/>
    <mergeCell ref="I7:I8"/>
    <mergeCell ref="I9:I10"/>
    <mergeCell ref="I11:I12"/>
    <mergeCell ref="G13:G14"/>
    <mergeCell ref="H5:H6"/>
    <mergeCell ref="H7:H8"/>
    <mergeCell ref="H9:H10"/>
    <mergeCell ref="H11:H12"/>
    <mergeCell ref="H13:H14"/>
    <mergeCell ref="G5:G6"/>
    <mergeCell ref="G7:G8"/>
    <mergeCell ref="G9:G10"/>
    <mergeCell ref="G11:G12"/>
    <mergeCell ref="E13:E14"/>
    <mergeCell ref="F5:F6"/>
    <mergeCell ref="F7:F8"/>
    <mergeCell ref="F9:F10"/>
    <mergeCell ref="F11:F12"/>
    <mergeCell ref="F13:F14"/>
    <mergeCell ref="E5:E6"/>
    <mergeCell ref="E7:E8"/>
    <mergeCell ref="E9:E10"/>
    <mergeCell ref="E11:E12"/>
    <mergeCell ref="C13:C14"/>
    <mergeCell ref="D5:D6"/>
    <mergeCell ref="D7:D8"/>
    <mergeCell ref="D9:D10"/>
    <mergeCell ref="D11:D12"/>
    <mergeCell ref="D13:D14"/>
    <mergeCell ref="C5:C6"/>
    <mergeCell ref="C7:C8"/>
    <mergeCell ref="C9:C10"/>
    <mergeCell ref="C11:C12"/>
    <mergeCell ref="O6:O7"/>
    <mergeCell ref="O8:O9"/>
    <mergeCell ref="O10:O11"/>
    <mergeCell ref="O12:O13"/>
    <mergeCell ref="O14:O15"/>
    <mergeCell ref="O16:O17"/>
    <mergeCell ref="O18:O19"/>
    <mergeCell ref="O34:O35"/>
    <mergeCell ref="O72:O73"/>
    <mergeCell ref="O44:O45"/>
    <mergeCell ref="O46:O47"/>
    <mergeCell ref="O62:O63"/>
    <mergeCell ref="O64:O65"/>
    <mergeCell ref="B19:B20"/>
    <mergeCell ref="O66:O67"/>
    <mergeCell ref="O68:O69"/>
    <mergeCell ref="O70:O71"/>
    <mergeCell ref="O36:O37"/>
    <mergeCell ref="O38:O39"/>
    <mergeCell ref="O40:O41"/>
    <mergeCell ref="O42:O43"/>
    <mergeCell ref="C19:C20"/>
    <mergeCell ref="F19:F20"/>
    <mergeCell ref="A116:B116"/>
    <mergeCell ref="O74:O75"/>
    <mergeCell ref="C85:H85"/>
    <mergeCell ref="B5:B6"/>
    <mergeCell ref="B7:B8"/>
    <mergeCell ref="B9:B10"/>
    <mergeCell ref="B11:B12"/>
    <mergeCell ref="B13:B14"/>
    <mergeCell ref="B15:B16"/>
    <mergeCell ref="B17:B18"/>
  </mergeCells>
  <printOptions/>
  <pageMargins left="0.75" right="0.75" top="1" bottom="1" header="0" footer="0"/>
  <pageSetup fitToHeight="1" fitToWidth="1" horizontalDpi="300" verticalDpi="300" orientation="portrait" paperSize="9" scale="42" r:id="rId3"/>
  <legacyDrawing r:id="rId2"/>
</worksheet>
</file>

<file path=xl/worksheets/sheet14.xml><?xml version="1.0" encoding="utf-8"?>
<worksheet xmlns="http://schemas.openxmlformats.org/spreadsheetml/2006/main" xmlns:r="http://schemas.openxmlformats.org/officeDocument/2006/relationships">
  <dimension ref="A1:I25"/>
  <sheetViews>
    <sheetView zoomScale="140" zoomScaleNormal="140" zoomScalePageLayoutView="0" workbookViewId="0" topLeftCell="A1">
      <selection activeCell="A1" sqref="A1"/>
    </sheetView>
  </sheetViews>
  <sheetFormatPr defaultColWidth="9.140625" defaultRowHeight="12.75"/>
  <cols>
    <col min="3" max="3" width="14.7109375" style="0" customWidth="1"/>
    <col min="4" max="4" width="13.421875" style="0" customWidth="1"/>
    <col min="5" max="5" width="16.8515625" style="0" hidden="1" customWidth="1"/>
    <col min="6" max="6" width="16.28125" style="0" customWidth="1"/>
    <col min="7" max="7" width="13.8515625" style="0" customWidth="1"/>
    <col min="8" max="8" width="10.8515625" style="0" bestFit="1" customWidth="1"/>
    <col min="9" max="9" width="15.140625" style="0" bestFit="1" customWidth="1"/>
    <col min="10" max="10" width="12.421875" style="0" customWidth="1"/>
    <col min="11" max="11" width="12.140625" style="0" customWidth="1"/>
  </cols>
  <sheetData>
    <row r="1" spans="1:9" ht="26.25" thickBot="1">
      <c r="A1" s="215"/>
      <c r="B1" s="215" t="s">
        <v>167</v>
      </c>
      <c r="C1" s="216" t="str">
        <f>'Prisoptimering 3.3'!N4</f>
        <v>Differensbidrag pr. time</v>
      </c>
      <c r="D1" s="216" t="s">
        <v>168</v>
      </c>
      <c r="E1" s="31" t="s">
        <v>186</v>
      </c>
      <c r="F1" s="215" t="s">
        <v>187</v>
      </c>
      <c r="G1" s="215" t="s">
        <v>167</v>
      </c>
      <c r="H1" s="217" t="str">
        <f>D1</f>
        <v>Ekstra timeforbrug</v>
      </c>
      <c r="I1" s="218" t="s">
        <v>188</v>
      </c>
    </row>
    <row r="2" spans="1:9" ht="12.75">
      <c r="A2" s="219">
        <v>1</v>
      </c>
      <c r="B2" s="220" t="str">
        <f>CONCATENATE(1," ",'Prisoptimering 3.3'!$D$2)</f>
        <v>1 Danmark</v>
      </c>
      <c r="C2" s="221">
        <f>'Prisoptimering 3.3'!N5</f>
        <v>4400</v>
      </c>
      <c r="D2" s="222">
        <f>'Prisoptimering 3.3'!O5</f>
        <v>2000</v>
      </c>
      <c r="E2" s="223">
        <f aca="true" t="shared" si="0" ref="E2:E25">SMALL($C$2:$C$25,A2)</f>
        <v>-100</v>
      </c>
      <c r="F2" s="224">
        <f aca="true" t="shared" si="1" ref="F2:F25">LARGE($E$2:$E$25,A2)</f>
        <v>4400</v>
      </c>
      <c r="G2" s="219" t="str">
        <f>IF(F2=C2,B2,IF(F2=C10,B10,IF(F2=C18,B18)))</f>
        <v>1 Danmark</v>
      </c>
      <c r="H2" s="225">
        <f>IF(G2=$B$2,$D$2,IF(G2=$B$10,$D$10,IF(G2=$B$18,$D$18)))</f>
        <v>2000</v>
      </c>
      <c r="I2" s="226">
        <f>H2</f>
        <v>2000</v>
      </c>
    </row>
    <row r="3" spans="1:9" ht="12.75">
      <c r="A3" s="3">
        <f aca="true" t="shared" si="2" ref="A3:A25">A2+1</f>
        <v>2</v>
      </c>
      <c r="B3" s="4" t="str">
        <f>CONCATENATE(2," ",'Prisoptimering 3.3'!$D$2)</f>
        <v>2 Danmark</v>
      </c>
      <c r="C3" s="227">
        <f>'Prisoptimering 3.3'!N6</f>
        <v>1900</v>
      </c>
      <c r="D3" s="5">
        <f>'Prisoptimering 3.3'!O6</f>
        <v>500</v>
      </c>
      <c r="E3" s="91">
        <f t="shared" si="0"/>
        <v>0</v>
      </c>
      <c r="F3" s="228">
        <f t="shared" si="1"/>
        <v>2400</v>
      </c>
      <c r="G3" s="3" t="str">
        <f>IF(F3=$C$2,$B$2,IF(F3=$C$3,$B$3,IF(F3=$C$10,$B$10,IF(F3=$C$11,$B$11,IF(F3=$C$18,$B$18,IF(F3=$C$19,$B$19))))))</f>
        <v>1 Tyskland</v>
      </c>
      <c r="H3" s="229">
        <f>IF(G3=$B$2,$D$2,IF(G3=$B$10,$D$10,IF(G3=$B$18,$D$18,IF(G3=$B$3,$D$3,IF(G3=$B$11,$D$11,IF(G3=$B$19,$D$19,IF(G3=$B$4,$D$4,IF(G3=$B$12,$D$12))))))))</f>
        <v>6000</v>
      </c>
      <c r="I3" s="226">
        <f aca="true" t="shared" si="3" ref="I3:I13">H3+I2</f>
        <v>8000</v>
      </c>
    </row>
    <row r="4" spans="1:9" ht="12.75">
      <c r="A4" s="3">
        <f t="shared" si="2"/>
        <v>3</v>
      </c>
      <c r="B4" s="4" t="str">
        <f>CONCATENATE(3," ",'Prisoptimering 3.3'!$D$2)</f>
        <v>3 Danmark</v>
      </c>
      <c r="C4" s="227">
        <f>'Prisoptimering 3.3'!N8</f>
        <v>900</v>
      </c>
      <c r="D4" s="5">
        <f>'Prisoptimering 3.3'!O8</f>
        <v>500</v>
      </c>
      <c r="E4" s="91">
        <f t="shared" si="0"/>
        <v>0</v>
      </c>
      <c r="F4" s="228">
        <f t="shared" si="1"/>
        <v>1900</v>
      </c>
      <c r="G4" s="3" t="str">
        <f>IF(F4=$C$2,$B$2,IF(F4=$C$3,$B$3,IF(F4=$C$10,$B$10,IF(F4=$C$11,$B$11,IF(F4=$C$18,$B$18,IF(F4=$C$19,$B$19,IF(F4=$C$4,$B$4,IF(F4=$C$12,$B$12,))))))))</f>
        <v>2 Danmark</v>
      </c>
      <c r="H4" s="229">
        <f>IF(G4=$B$2,$D$2,IF(G4=$B$10,$D$10,IF(G4=$B$18,$D$18,IF(G4=$B$3,$D$3,IF(G4=$B$11,$D$11,IF(G4=$B$19,$D$19,IF(G4=$B$4,$D$4,IF(G4=$B$12,$D$12))))))))</f>
        <v>500</v>
      </c>
      <c r="I4" s="226">
        <f t="shared" si="3"/>
        <v>8500</v>
      </c>
    </row>
    <row r="5" spans="1:9" ht="12.75">
      <c r="A5" s="3">
        <f t="shared" si="2"/>
        <v>4</v>
      </c>
      <c r="B5" s="4" t="str">
        <f>CONCATENATE(4," ",'Prisoptimering 3.3'!$D$2)</f>
        <v>4 Danmark</v>
      </c>
      <c r="C5" s="227">
        <f>'Prisoptimering 3.3'!N10</f>
        <v>-100</v>
      </c>
      <c r="D5" s="5">
        <f>'Prisoptimering 3.3'!O10</f>
        <v>500</v>
      </c>
      <c r="E5" s="91">
        <f t="shared" si="0"/>
        <v>0</v>
      </c>
      <c r="F5" s="228">
        <f t="shared" si="1"/>
        <v>1800</v>
      </c>
      <c r="G5" s="3" t="str">
        <f>IF(F5=$C$2,$B$2,IF(F5=$C$3,$B$3,IF(F5=$C$10,$B$10,IF(F5=$C$11,$B$11,IF(F5=$C$18,$B$18,IF(F5=$C$19,$B$19,IF(F5=$C$4,$B$4,IF(F5=$C$12,$B$12,))))))))</f>
        <v>1 England</v>
      </c>
      <c r="H5" s="229">
        <f>IF(G5=$B$2,$D$2,IF(G5=$B$10,$D$10,IF(G5=$B$18,$D$18,IF(G5=$B$3,$D$3,IF(G5=$B$11,$D$11,IF(G5=$B$19,$D$19,IF(G5=$B$4,$D$4,IF(G5=$B$12,$D$12))))))))</f>
        <v>8000</v>
      </c>
      <c r="I5" s="226">
        <f t="shared" si="3"/>
        <v>16500</v>
      </c>
    </row>
    <row r="6" spans="1:9" ht="12.75">
      <c r="A6" s="3">
        <f t="shared" si="2"/>
        <v>5</v>
      </c>
      <c r="B6" s="4" t="str">
        <f>CONCATENATE(5," ",'Prisoptimering 3.3'!$D$2)</f>
        <v>5 Danmark</v>
      </c>
      <c r="C6" s="227">
        <f>'Prisoptimering 3.3'!N12</f>
        <v>0</v>
      </c>
      <c r="D6" s="5">
        <f>'Prisoptimering 3.3'!O12</f>
        <v>0</v>
      </c>
      <c r="E6" s="91">
        <f t="shared" si="0"/>
        <v>0</v>
      </c>
      <c r="F6" s="228">
        <f t="shared" si="1"/>
        <v>900</v>
      </c>
      <c r="G6" s="3" t="str">
        <f>IF(F6=$C$2,$B$2,IF(F6=$C$3,$B$3,IF(F6=$C$10,$B$10,IF(F6=$C$11,$B$11,IF(F6=$C$18,$B$18,IF(F6=$C$19,$B$19,IF(F6=$C$4,$B$4,IF(F6=$C$12,$B$12,))))))))</f>
        <v>3 Danmark</v>
      </c>
      <c r="H6" s="229">
        <f>IF(G6=$B$2,$D$2,IF(G6=$B$10,$D$10,IF(G6=$B$18,$D$18,IF(G6=$B$3,$D$3,IF(G6=$B$11,$D$11,IF(G6=$B$19,$D$19,IF(G6=$B$4,$D$4,IF(G6=$B$12,$D$12))))))))</f>
        <v>500</v>
      </c>
      <c r="I6" s="226">
        <f t="shared" si="3"/>
        <v>17000</v>
      </c>
    </row>
    <row r="7" spans="1:9" ht="12.75">
      <c r="A7" s="3">
        <f t="shared" si="2"/>
        <v>6</v>
      </c>
      <c r="B7" s="4" t="str">
        <f>CONCATENATE(6," ",'Prisoptimering 3.3'!$D$2)</f>
        <v>6 Danmark</v>
      </c>
      <c r="C7" s="227">
        <f>'Prisoptimering 3.3'!N14</f>
        <v>0</v>
      </c>
      <c r="D7" s="5">
        <f>'Prisoptimering 3.3'!O14</f>
        <v>0</v>
      </c>
      <c r="E7" s="91">
        <f t="shared" si="0"/>
        <v>0</v>
      </c>
      <c r="F7" s="228">
        <f t="shared" si="1"/>
        <v>0</v>
      </c>
      <c r="G7" s="3" t="str">
        <f>IF(F7=$C$2,$B$2,IF(F7=$C$3,$B$3,IF(F7=$C$10,$B$10,IF(F7=$C$11,$B$11,IF(F7=$C$18,$B$18,IF(F7=$C$19,$B$19,IF(F7=$C$4,$B$4,IF(F7=$C$12,$B$12,))))))))</f>
        <v>2 Tyskland</v>
      </c>
      <c r="H7" s="229">
        <f>IF(G7=$B$2,$D$2,IF(G7=$B$10,$D$10,IF(G7=$B$18,$D$18,IF(G7=$B$3,$D$3,IF(G7=$B$11,$D$11,IF(G7=$B$19,$D$19,IF(G7=$B$4,$D$4,IF(G7=$B$12,$D$12))))))))</f>
        <v>0</v>
      </c>
      <c r="I7" s="226">
        <f t="shared" si="3"/>
        <v>17000</v>
      </c>
    </row>
    <row r="8" spans="1:9" ht="12.75">
      <c r="A8" s="3">
        <f t="shared" si="2"/>
        <v>7</v>
      </c>
      <c r="B8" s="4" t="str">
        <f>CONCATENATE(7," ",'Prisoptimering 3.3'!$D$2)</f>
        <v>7 Danmark</v>
      </c>
      <c r="C8" s="227">
        <f>'Prisoptimering 3.3'!N16</f>
        <v>0</v>
      </c>
      <c r="D8" s="5">
        <f>'Prisoptimering 3.3'!O16</f>
        <v>0</v>
      </c>
      <c r="E8" s="91">
        <f t="shared" si="0"/>
        <v>0</v>
      </c>
      <c r="F8" s="228">
        <f t="shared" si="1"/>
        <v>0</v>
      </c>
      <c r="G8" s="3" t="str">
        <f>IF(F8=$C$2,$B$2,IF(F8=$C$3,$B$3,IF(F8=$C$13,$B$13,IF(F8=$C$11,$B$11,IF(F8=$C$18,$B$18,IF(F8=$C$19,$B$19,IF(F8=$C$4,$B$4,IF(F8=$C$12,$B$12,))))))))</f>
        <v>4 Tyskland</v>
      </c>
      <c r="H8" s="229">
        <f>IF(G8=$B$2,$D$2,IF(G8=$B$13,$D$13,IF(G8=$B$18,$D$18,IF(G8=$B$3,$D$3,IF(G8=$B$11,$D$11,IF(G8=$B$19,$D$19,IF(G8=$B$4,$D$4,IF(G8=$B$12,$D$12))))))))</f>
        <v>0</v>
      </c>
      <c r="I8" s="226">
        <f t="shared" si="3"/>
        <v>17000</v>
      </c>
    </row>
    <row r="9" spans="1:9" ht="13.5" thickBot="1">
      <c r="A9" s="3">
        <f t="shared" si="2"/>
        <v>8</v>
      </c>
      <c r="B9" s="4" t="str">
        <f>CONCATENATE(7," ",'Prisoptimering 3.3'!$D$2)</f>
        <v>7 Danmark</v>
      </c>
      <c r="C9" s="227">
        <f>'Prisoptimering 3.3'!N18</f>
        <v>0</v>
      </c>
      <c r="D9" s="5">
        <f>'Prisoptimering 3.3'!O18</f>
        <v>0</v>
      </c>
      <c r="E9" s="91">
        <f t="shared" si="0"/>
        <v>0</v>
      </c>
      <c r="F9" s="228">
        <f t="shared" si="1"/>
        <v>0</v>
      </c>
      <c r="G9" s="3" t="str">
        <f>IF(F9=$C$5,$B$5,IF(F9=$C$3,$B$3,IF(F9=$C$13,$B$13,IF(F9=$C$11,$B$11,IF(F9=$C$19,$B$19,IF(F9=$C$20,$B$20,IF(F9=$C$4,$B$4,IF(F9=$C$12,$B$12,))))))))</f>
        <v>4 Tyskland</v>
      </c>
      <c r="H9" s="229">
        <f>IF(G9=$B$5,$D$5,IF(G9=$B$13,$D$13,IF(G9=$B$20,$D$20,IF(G9=$B$3,$D$3,IF(G9=$B$11,$D$11,IF(G9=$B$19,$D$19,IF(G9=$B$4,$D$4,IF(G9=$B$12,$D$12))))))))</f>
        <v>0</v>
      </c>
      <c r="I9" s="226">
        <f t="shared" si="3"/>
        <v>17000</v>
      </c>
    </row>
    <row r="10" spans="1:9" ht="12.75">
      <c r="A10" s="219">
        <f t="shared" si="2"/>
        <v>9</v>
      </c>
      <c r="B10" s="220" t="str">
        <f>CONCATENATE(1," ",'Prisoptimering 3.3'!$D$30)</f>
        <v>1 Tyskland</v>
      </c>
      <c r="C10" s="221">
        <f>'Prisoptimering 3.3'!N33</f>
        <v>2400</v>
      </c>
      <c r="D10" s="222">
        <f>'Prisoptimering 3.3'!O33</f>
        <v>6000</v>
      </c>
      <c r="E10" s="223">
        <f t="shared" si="0"/>
        <v>0</v>
      </c>
      <c r="F10" s="224">
        <f t="shared" si="1"/>
        <v>0</v>
      </c>
      <c r="G10" s="4" t="str">
        <f>IF(F10=$C$5,$B$5,IF(F10=$C$3,$B$3,IF(F10=$C$13,$B$13,IF(F10=$C$11,$B$11,IF(F10=$C$19,$B$19,IF(F10=$C$20,$B$20,IF(F10=$C$4,$B$4,IF(F10=$C$12,$B$12,))))))))</f>
        <v>4 Tyskland</v>
      </c>
      <c r="H10" s="229">
        <f>IF(G10=$B$5,$D$5,IF(G10=$B$13,$D$13,IF(G10=$B$20,$D$20,IF(G10=$B$3,$D$3,IF(G10=$B$11,$D$11,IF(G10=$B$19,$D$19,IF(G10=$B$4,$D$4,IF(G10=$B$12,$D$12,"-"))))))))</f>
        <v>0</v>
      </c>
      <c r="I10" s="226">
        <f t="shared" si="3"/>
        <v>17000</v>
      </c>
    </row>
    <row r="11" spans="1:9" ht="12.75">
      <c r="A11" s="3">
        <f t="shared" si="2"/>
        <v>10</v>
      </c>
      <c r="B11" s="4" t="str">
        <f>CONCATENATE(2," ",'Prisoptimering 3.3'!$D$30)</f>
        <v>2 Tyskland</v>
      </c>
      <c r="C11" s="227">
        <f>'Prisoptimering 3.3'!N34</f>
        <v>0</v>
      </c>
      <c r="D11" s="5">
        <f>'Prisoptimering 3.3'!O34</f>
        <v>0</v>
      </c>
      <c r="E11" s="91">
        <f t="shared" si="0"/>
        <v>0</v>
      </c>
      <c r="F11" s="228">
        <f t="shared" si="1"/>
        <v>0</v>
      </c>
      <c r="G11" s="4" t="str">
        <f>IF(F11=$C$5,$B$5,IF(F11=$C$3,$B$3,IF(F11=$C$13,$B$13,IF(F11=$C$11,$B$11,IF(F11=$C$19,$B$19,IF(F11=$C$20,$B$20,IF(F11=$C$4,$B$4,IF(F11=$C$12,$B$12,))))))))</f>
        <v>4 Tyskland</v>
      </c>
      <c r="H11" s="229">
        <f>IF(G11=$B$5,$D$5,IF(G11=$B$13,$D$13,IF(G11=$B$20,$D$20,IF(G11=$B$3,$D$3,IF(G11=$B$11,$D$11,IF(G11=$B$19,$D$19,IF(G11=$B$4,$D$4,IF(G11=$B$12,$D$12,"-"))))))))</f>
        <v>0</v>
      </c>
      <c r="I11" s="226">
        <f t="shared" si="3"/>
        <v>17000</v>
      </c>
    </row>
    <row r="12" spans="1:9" ht="12.75">
      <c r="A12" s="3">
        <f t="shared" si="2"/>
        <v>11</v>
      </c>
      <c r="B12" s="4" t="str">
        <f>CONCATENATE(3," ",'Prisoptimering 3.3'!$D$30)</f>
        <v>3 Tyskland</v>
      </c>
      <c r="C12" s="227">
        <f>'Prisoptimering 3.3'!N36</f>
        <v>0</v>
      </c>
      <c r="D12" s="5">
        <f>'Prisoptimering 3.3'!O36</f>
        <v>0</v>
      </c>
      <c r="E12" s="91">
        <f t="shared" si="0"/>
        <v>0</v>
      </c>
      <c r="F12" s="228">
        <f t="shared" si="1"/>
        <v>0</v>
      </c>
      <c r="G12" s="4" t="str">
        <f>IF(F12=$C$5,$B$5,IF(F12=$C$6,$B$6,IF(F12=$C$13,$B$13,IF(F12=$C$14,$B$14,IF(F12=$C$21,$B$21,IF(F12=$C$20,$B$20,IF(F12=$C$4,$B$4,IF(F12=$C$12,$B$12,"-"))))))))</f>
        <v>5 Danmark</v>
      </c>
      <c r="H12" s="229" t="str">
        <f>IF(G12=$B$5,$D$5,IF(G12=$B$13,$D$13,IF(G12=$B$20,$D$20,IF(G12=$B$3,$D$3,IF(G12=$B$11,$D$11,IF(G12=$B$19,$D$19,IF(G12=$B$4,$D$4,IF(G12=$B$12,$D$12,"-"))))))))</f>
        <v>-</v>
      </c>
      <c r="I12" s="226" t="e">
        <f t="shared" si="3"/>
        <v>#VALUE!</v>
      </c>
    </row>
    <row r="13" spans="1:9" ht="13.5" thickBot="1">
      <c r="A13" s="3">
        <f t="shared" si="2"/>
        <v>12</v>
      </c>
      <c r="B13" s="4" t="str">
        <f>CONCATENATE(4," ",'Prisoptimering 3.3'!$D$30)</f>
        <v>4 Tyskland</v>
      </c>
      <c r="C13" s="227">
        <f>'Prisoptimering 3.3'!N38</f>
        <v>0</v>
      </c>
      <c r="D13" s="5">
        <f>'Prisoptimering 3.3'!O38</f>
        <v>0</v>
      </c>
      <c r="E13" s="91">
        <f t="shared" si="0"/>
        <v>0</v>
      </c>
      <c r="F13" s="196">
        <f t="shared" si="1"/>
        <v>0</v>
      </c>
      <c r="G13" s="175" t="str">
        <f>IF(F13=$C$5,$B$5,IF(F13=$C$6,$B$6,IF(F13=$C$13,$B$13,IF(F13=$C$14,$B$14,IF(F13=$C$21,$B$21,IF(F13=$C$20,$B$20,IF(F13=$C$4,$B$4,IF(F13=$C$12,$B$12,"-"))))))))</f>
        <v>5 Danmark</v>
      </c>
      <c r="H13" s="230" t="str">
        <f>IF(G13=$B$5,$D$5,IF(G13=$B$13,$D$13,IF(G13=$B$20,$D$20,IF(G13=$B$3,$D$3,IF(G13=$B$11,$D$11,IF(G13=$B$19,$D$19,IF(G13=$B$4,$D$4,IF(G13=$B$12,$D$12,"-"))))))))</f>
        <v>-</v>
      </c>
      <c r="I13" s="231" t="e">
        <f t="shared" si="3"/>
        <v>#VALUE!</v>
      </c>
    </row>
    <row r="14" spans="1:6" ht="12.75">
      <c r="A14" s="3">
        <f t="shared" si="2"/>
        <v>13</v>
      </c>
      <c r="B14" s="4" t="str">
        <f>CONCATENATE(5," ",'Prisoptimering 3.3'!$D$30)</f>
        <v>5 Tyskland</v>
      </c>
      <c r="C14" s="227">
        <f>'Prisoptimering 3.3'!N40</f>
        <v>0</v>
      </c>
      <c r="D14" s="5">
        <f>'Prisoptimering 3.3'!O40</f>
        <v>0</v>
      </c>
      <c r="E14" s="91">
        <f t="shared" si="0"/>
        <v>0</v>
      </c>
      <c r="F14" s="228">
        <f t="shared" si="1"/>
        <v>0</v>
      </c>
    </row>
    <row r="15" spans="1:6" ht="12.75">
      <c r="A15" s="3">
        <f t="shared" si="2"/>
        <v>14</v>
      </c>
      <c r="B15" s="4" t="str">
        <f>CONCATENATE(6," ",'Prisoptimering 3.3'!$D$30)</f>
        <v>6 Tyskland</v>
      </c>
      <c r="C15" s="227">
        <f>'Prisoptimering 3.3'!N42</f>
        <v>0</v>
      </c>
      <c r="D15" s="5">
        <f>'Prisoptimering 3.3'!O42</f>
        <v>0</v>
      </c>
      <c r="E15" s="91">
        <f t="shared" si="0"/>
        <v>0</v>
      </c>
      <c r="F15" s="228">
        <f t="shared" si="1"/>
        <v>0</v>
      </c>
    </row>
    <row r="16" spans="1:6" ht="12.75">
      <c r="A16" s="3">
        <f t="shared" si="2"/>
        <v>15</v>
      </c>
      <c r="B16" s="4" t="str">
        <f>CONCATENATE(7," ",'Prisoptimering 3.3'!$D$30)</f>
        <v>7 Tyskland</v>
      </c>
      <c r="C16" s="227">
        <f>'Prisoptimering 3.3'!N44</f>
        <v>0</v>
      </c>
      <c r="D16" s="5">
        <f>'Prisoptimering 3.3'!O44</f>
        <v>0</v>
      </c>
      <c r="E16" s="91">
        <f t="shared" si="0"/>
        <v>0</v>
      </c>
      <c r="F16" s="228">
        <f t="shared" si="1"/>
        <v>0</v>
      </c>
    </row>
    <row r="17" spans="1:6" ht="13.5" thickBot="1">
      <c r="A17" s="3">
        <f t="shared" si="2"/>
        <v>16</v>
      </c>
      <c r="B17" s="4" t="str">
        <f>CONCATENATE(8," ",'Prisoptimering 3.3'!$D$30)</f>
        <v>8 Tyskland</v>
      </c>
      <c r="C17" s="227">
        <f>'Prisoptimering 3.3'!N46</f>
        <v>0</v>
      </c>
      <c r="D17" s="5">
        <f>'Prisoptimering 3.3'!O46</f>
        <v>0</v>
      </c>
      <c r="E17" s="91">
        <f t="shared" si="0"/>
        <v>0</v>
      </c>
      <c r="F17" s="196">
        <f t="shared" si="1"/>
        <v>0</v>
      </c>
    </row>
    <row r="18" spans="1:6" ht="12.75">
      <c r="A18" s="219">
        <f t="shared" si="2"/>
        <v>17</v>
      </c>
      <c r="B18" s="220" t="str">
        <f>CONCATENATE(1," ",'Prisoptimering 3.3'!$D$58)</f>
        <v>1 England</v>
      </c>
      <c r="C18" s="221">
        <f>'Prisoptimering 3.3'!N61</f>
        <v>1800</v>
      </c>
      <c r="D18" s="222">
        <f>'Prisoptimering 3.3'!O61</f>
        <v>8000</v>
      </c>
      <c r="E18" s="223">
        <f t="shared" si="0"/>
        <v>0</v>
      </c>
      <c r="F18" s="229">
        <f t="shared" si="1"/>
        <v>0</v>
      </c>
    </row>
    <row r="19" spans="1:6" ht="12.75">
      <c r="A19" s="3">
        <f t="shared" si="2"/>
        <v>18</v>
      </c>
      <c r="B19" s="4" t="str">
        <f>CONCATENATE(2," ",'Prisoptimering 3.3'!$D$58)</f>
        <v>2 England</v>
      </c>
      <c r="C19" s="227">
        <f>'Prisoptimering 3.3'!N62</f>
        <v>0</v>
      </c>
      <c r="D19" s="5">
        <f>'Prisoptimering 3.3'!O62</f>
        <v>0</v>
      </c>
      <c r="E19" s="91">
        <f t="shared" si="0"/>
        <v>0</v>
      </c>
      <c r="F19" s="229">
        <f t="shared" si="1"/>
        <v>0</v>
      </c>
    </row>
    <row r="20" spans="1:6" ht="12.75">
      <c r="A20" s="3">
        <f t="shared" si="2"/>
        <v>19</v>
      </c>
      <c r="B20" s="4" t="str">
        <f>CONCATENATE(3," ",'Prisoptimering 3.3'!$D$58)</f>
        <v>3 England</v>
      </c>
      <c r="C20" s="227">
        <f>'Prisoptimering 3.3'!N64</f>
        <v>0</v>
      </c>
      <c r="D20" s="5">
        <f>'Prisoptimering 3.3'!O64</f>
        <v>0</v>
      </c>
      <c r="E20" s="91">
        <f t="shared" si="0"/>
        <v>0</v>
      </c>
      <c r="F20" s="229">
        <f t="shared" si="1"/>
        <v>0</v>
      </c>
    </row>
    <row r="21" spans="1:6" ht="12.75">
      <c r="A21" s="3">
        <f t="shared" si="2"/>
        <v>20</v>
      </c>
      <c r="B21" s="4" t="str">
        <f>CONCATENATE(4," ",'Prisoptimering 3.3'!$D$58)</f>
        <v>4 England</v>
      </c>
      <c r="C21" s="227">
        <f>'Prisoptimering 3.3'!N66</f>
        <v>0</v>
      </c>
      <c r="D21" s="5">
        <f>'Prisoptimering 3.3'!O66</f>
        <v>0</v>
      </c>
      <c r="E21" s="91">
        <f t="shared" si="0"/>
        <v>900</v>
      </c>
      <c r="F21" s="229">
        <f t="shared" si="1"/>
        <v>0</v>
      </c>
    </row>
    <row r="22" spans="1:6" ht="12.75">
      <c r="A22" s="3">
        <f t="shared" si="2"/>
        <v>21</v>
      </c>
      <c r="B22" s="4" t="str">
        <f>CONCATENATE(5," ",'Prisoptimering 3.3'!$D$58)</f>
        <v>5 England</v>
      </c>
      <c r="C22" s="227">
        <f>'Prisoptimering 3.3'!N68</f>
        <v>0</v>
      </c>
      <c r="D22" s="5">
        <f>'Prisoptimering 3.3'!O68</f>
        <v>0</v>
      </c>
      <c r="E22" s="91">
        <f t="shared" si="0"/>
        <v>1800</v>
      </c>
      <c r="F22" s="229">
        <f t="shared" si="1"/>
        <v>0</v>
      </c>
    </row>
    <row r="23" spans="1:6" ht="12.75">
      <c r="A23" s="3">
        <f t="shared" si="2"/>
        <v>22</v>
      </c>
      <c r="B23" s="4" t="str">
        <f>CONCATENATE(6," ",'Prisoptimering 3.3'!$D$58)</f>
        <v>6 England</v>
      </c>
      <c r="C23" s="227">
        <f>'Prisoptimering 3.3'!N70</f>
        <v>0</v>
      </c>
      <c r="D23" s="5">
        <f>'Prisoptimering 3.3'!O70</f>
        <v>0</v>
      </c>
      <c r="E23" s="91">
        <f t="shared" si="0"/>
        <v>1900</v>
      </c>
      <c r="F23" s="229">
        <f t="shared" si="1"/>
        <v>0</v>
      </c>
    </row>
    <row r="24" spans="1:6" ht="12.75">
      <c r="A24" s="3">
        <f t="shared" si="2"/>
        <v>23</v>
      </c>
      <c r="B24" s="4" t="str">
        <f>CONCATENATE(7," ",'Prisoptimering 3.3'!$D$58)</f>
        <v>7 England</v>
      </c>
      <c r="C24" s="227">
        <f>'Prisoptimering 3.3'!N72</f>
        <v>0</v>
      </c>
      <c r="D24" s="5">
        <f>'Prisoptimering 3.3'!O72</f>
        <v>0</v>
      </c>
      <c r="E24" s="91">
        <f t="shared" si="0"/>
        <v>2400</v>
      </c>
      <c r="F24" s="229">
        <f t="shared" si="1"/>
        <v>0</v>
      </c>
    </row>
    <row r="25" spans="1:6" ht="13.5" thickBot="1">
      <c r="A25" s="174">
        <f t="shared" si="2"/>
        <v>24</v>
      </c>
      <c r="B25" s="175" t="str">
        <f>CONCATENATE(8," ",'Prisoptimering 3.3'!$D$58)</f>
        <v>8 England</v>
      </c>
      <c r="C25" s="232">
        <f>'Prisoptimering 3.3'!N74</f>
        <v>0</v>
      </c>
      <c r="D25" s="233">
        <f>'Prisoptimering 3.3'!O74</f>
        <v>0</v>
      </c>
      <c r="E25" s="234">
        <f t="shared" si="0"/>
        <v>4400</v>
      </c>
      <c r="F25" s="230">
        <f t="shared" si="1"/>
        <v>-100</v>
      </c>
    </row>
  </sheetData>
  <sheetProtection/>
  <printOptions/>
  <pageMargins left="0.75" right="0.75" top="1" bottom="1" header="0" footer="0"/>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I81"/>
  <sheetViews>
    <sheetView zoomScale="110" zoomScaleNormal="110" zoomScalePageLayoutView="0" workbookViewId="0" topLeftCell="A1">
      <selection activeCell="J30" sqref="J30"/>
    </sheetView>
  </sheetViews>
  <sheetFormatPr defaultColWidth="9.140625" defaultRowHeight="12.75"/>
  <cols>
    <col min="1" max="1" width="25.7109375" style="0" customWidth="1"/>
    <col min="2" max="2" width="10.421875" style="0" customWidth="1"/>
    <col min="3" max="3" width="15.140625" style="0" bestFit="1" customWidth="1"/>
    <col min="4" max="4" width="12.140625" style="0" bestFit="1" customWidth="1"/>
    <col min="5" max="5" width="14.28125" style="0" customWidth="1"/>
    <col min="6" max="6" width="18.28125" style="0" customWidth="1"/>
    <col min="7" max="7" width="14.7109375" style="0" customWidth="1"/>
    <col min="8" max="8" width="14.28125" style="0" bestFit="1" customWidth="1"/>
  </cols>
  <sheetData>
    <row r="1" ht="13.5" thickBot="1">
      <c r="A1" s="238" t="s">
        <v>230</v>
      </c>
    </row>
    <row r="2" spans="1:8" ht="12.75">
      <c r="A2" s="515" t="s">
        <v>246</v>
      </c>
      <c r="B2" s="516"/>
      <c r="C2" s="516"/>
      <c r="D2" s="516"/>
      <c r="E2" s="516"/>
      <c r="F2" s="516"/>
      <c r="G2" s="516"/>
      <c r="H2" s="517"/>
    </row>
    <row r="3" spans="1:8" ht="13.5" customHeight="1" thickBot="1">
      <c r="A3" s="174"/>
      <c r="B3" s="175"/>
      <c r="C3" s="175"/>
      <c r="D3" s="246"/>
      <c r="E3" s="246"/>
      <c r="F3" s="518" t="s">
        <v>231</v>
      </c>
      <c r="G3" s="518"/>
      <c r="H3" s="519"/>
    </row>
    <row r="4" spans="1:8" ht="25.5">
      <c r="A4" s="219"/>
      <c r="B4" s="247" t="s">
        <v>201</v>
      </c>
      <c r="C4" s="247" t="s">
        <v>202</v>
      </c>
      <c r="D4" s="247" t="s">
        <v>203</v>
      </c>
      <c r="E4" s="247" t="s">
        <v>204</v>
      </c>
      <c r="F4" s="248" t="s">
        <v>205</v>
      </c>
      <c r="G4" s="248" t="s">
        <v>206</v>
      </c>
      <c r="H4" s="222" t="s">
        <v>207</v>
      </c>
    </row>
    <row r="5" spans="1:8" ht="12.75">
      <c r="A5" s="3" t="s">
        <v>208</v>
      </c>
      <c r="B5" s="249">
        <v>9400</v>
      </c>
      <c r="C5" s="249">
        <f>6063000/B5</f>
        <v>645</v>
      </c>
      <c r="D5" s="249">
        <v>10000</v>
      </c>
      <c r="E5" s="249">
        <v>638</v>
      </c>
      <c r="F5" s="17">
        <f>E5*B5</f>
        <v>5997200</v>
      </c>
      <c r="G5" s="17">
        <f>E5*D5</f>
        <v>6380000</v>
      </c>
      <c r="H5" s="18">
        <f>F5-G5</f>
        <v>-382800</v>
      </c>
    </row>
    <row r="6" spans="1:8" ht="12.75">
      <c r="A6" s="3" t="s">
        <v>209</v>
      </c>
      <c r="B6" s="4">
        <f>B5</f>
        <v>9400</v>
      </c>
      <c r="C6" s="4">
        <f>C5</f>
        <v>645</v>
      </c>
      <c r="D6" s="4">
        <f>D5</f>
        <v>10000</v>
      </c>
      <c r="E6" s="249">
        <v>407</v>
      </c>
      <c r="F6" s="17">
        <f>E6*B6</f>
        <v>3825800</v>
      </c>
      <c r="G6" s="17">
        <f>E6*D6</f>
        <v>4070000</v>
      </c>
      <c r="H6" s="18">
        <f>G6-F6</f>
        <v>244200</v>
      </c>
    </row>
    <row r="7" spans="1:8" ht="12.75">
      <c r="A7" s="3" t="s">
        <v>210</v>
      </c>
      <c r="B7" s="4"/>
      <c r="C7" s="4"/>
      <c r="D7" s="4"/>
      <c r="E7" s="4"/>
      <c r="F7" s="17">
        <f>F5-F6</f>
        <v>2171400</v>
      </c>
      <c r="G7" s="17">
        <f>G5-G6</f>
        <v>2310000</v>
      </c>
      <c r="H7" s="18">
        <f>F7-G7</f>
        <v>-138600</v>
      </c>
    </row>
    <row r="8" spans="1:8" ht="12.75">
      <c r="A8" s="3" t="s">
        <v>211</v>
      </c>
      <c r="B8" s="4">
        <f>B6</f>
        <v>9400</v>
      </c>
      <c r="C8" s="4">
        <f>C6</f>
        <v>645</v>
      </c>
      <c r="D8" s="4">
        <f>D6</f>
        <v>10000</v>
      </c>
      <c r="E8" s="249">
        <v>0</v>
      </c>
      <c r="F8" s="17">
        <f>E8*B8</f>
        <v>0</v>
      </c>
      <c r="G8" s="17">
        <f>E8*D8</f>
        <v>0</v>
      </c>
      <c r="H8" s="18">
        <f>G8-F8</f>
        <v>0</v>
      </c>
    </row>
    <row r="9" spans="1:8" ht="13.5" thickBot="1">
      <c r="A9" s="174" t="s">
        <v>278</v>
      </c>
      <c r="B9" s="175"/>
      <c r="C9" s="175"/>
      <c r="D9" s="175"/>
      <c r="E9" s="175"/>
      <c r="F9" s="250">
        <f>F7-F8</f>
        <v>2171400</v>
      </c>
      <c r="G9" s="250">
        <f>G7-G8</f>
        <v>2310000</v>
      </c>
      <c r="H9" s="245">
        <f>F9-G9</f>
        <v>-138600</v>
      </c>
    </row>
    <row r="10" spans="1:8" ht="12.75">
      <c r="A10" s="219" t="s">
        <v>213</v>
      </c>
      <c r="B10" s="220"/>
      <c r="C10" s="335" t="s">
        <v>212</v>
      </c>
      <c r="D10" s="335"/>
      <c r="E10" s="335"/>
      <c r="F10" s="251"/>
      <c r="G10" s="251"/>
      <c r="H10" s="252"/>
    </row>
    <row r="11" spans="1:8" ht="13.5" thickBot="1">
      <c r="A11" s="254" t="str">
        <f>CONCATENATE("Kan regnes som ",C5," - ",E5," gange ",B5)</f>
        <v>Kan regnes som 645 - 638 gange 9400</v>
      </c>
      <c r="B11" s="175"/>
      <c r="C11" s="253">
        <f>C5*B5</f>
        <v>6063000</v>
      </c>
      <c r="D11" s="175" t="str">
        <f>CONCATENATE("-  (",B5," * ",E5,")")</f>
        <v>-  (9400 * 638)</v>
      </c>
      <c r="E11" s="175"/>
      <c r="F11" s="250">
        <f>B5*C5-(B5*E5)</f>
        <v>65800</v>
      </c>
      <c r="G11" s="250"/>
      <c r="H11" s="245">
        <f>F11</f>
        <v>65800</v>
      </c>
    </row>
    <row r="12" spans="1:8" ht="12.75">
      <c r="A12" s="219" t="s">
        <v>215</v>
      </c>
      <c r="B12" s="220"/>
      <c r="C12" s="335" t="s">
        <v>214</v>
      </c>
      <c r="D12" s="335"/>
      <c r="E12" s="335"/>
      <c r="F12" s="251"/>
      <c r="G12" s="251"/>
      <c r="H12" s="252"/>
    </row>
    <row r="13" spans="1:8" ht="13.5" thickBot="1">
      <c r="A13" s="254" t="str">
        <f>CONCATENATE("Kan regnes som ",E6," - ",B74," gange ",B67)</f>
        <v>Kan regnes som 407 - 0 gange 0</v>
      </c>
      <c r="B13" s="175"/>
      <c r="C13" s="175" t="str">
        <f>CONCATENATE(" ( ",B67,"*",E6," )")</f>
        <v> ( 0*407 )</v>
      </c>
      <c r="D13" s="175" t="str">
        <f>CONCATENATE("- ",B67*B74,)</f>
        <v>- 0</v>
      </c>
      <c r="E13" s="175"/>
      <c r="F13" s="250">
        <f>(B67*E6)-(B67*B74)</f>
        <v>0</v>
      </c>
      <c r="G13" s="250"/>
      <c r="H13" s="245">
        <f>F13</f>
        <v>0</v>
      </c>
    </row>
    <row r="14" spans="1:8" ht="12.75">
      <c r="A14" s="297" t="s">
        <v>215</v>
      </c>
      <c r="B14" s="4"/>
      <c r="C14" s="4"/>
      <c r="D14" s="4"/>
      <c r="E14" s="4"/>
      <c r="F14" s="17"/>
      <c r="G14" s="17"/>
      <c r="H14" s="18"/>
    </row>
    <row r="15" spans="1:8" ht="13.5" thickBot="1">
      <c r="A15" s="296"/>
      <c r="B15" s="4"/>
      <c r="C15" s="4"/>
      <c r="D15" s="4"/>
      <c r="E15" s="4"/>
      <c r="F15" s="17">
        <f>H15</f>
        <v>-48000</v>
      </c>
      <c r="G15" s="17"/>
      <c r="H15" s="18">
        <f>H57</f>
        <v>-48000</v>
      </c>
    </row>
    <row r="16" spans="1:8" ht="12.75">
      <c r="A16" s="219" t="s">
        <v>216</v>
      </c>
      <c r="B16" s="220"/>
      <c r="C16" s="220"/>
      <c r="D16" s="220"/>
      <c r="E16" s="220"/>
      <c r="F16" s="251"/>
      <c r="G16" s="251"/>
      <c r="H16" s="252"/>
    </row>
    <row r="17" spans="1:8" ht="13.5" thickBot="1">
      <c r="A17" s="174"/>
      <c r="B17" s="175"/>
      <c r="C17" s="175"/>
      <c r="D17" s="175"/>
      <c r="E17" s="175"/>
      <c r="F17" s="250">
        <f>H17</f>
        <v>38400</v>
      </c>
      <c r="G17" s="250"/>
      <c r="H17" s="245">
        <f>H64</f>
        <v>38400</v>
      </c>
    </row>
    <row r="18" spans="1:8" ht="12.75">
      <c r="A18" s="219" t="s">
        <v>232</v>
      </c>
      <c r="B18" s="220"/>
      <c r="C18" s="220"/>
      <c r="D18" s="220"/>
      <c r="E18" s="220"/>
      <c r="F18" s="251"/>
      <c r="G18" s="251"/>
      <c r="H18" s="252"/>
    </row>
    <row r="19" spans="1:8" ht="12.75">
      <c r="A19" s="3" t="s">
        <v>233</v>
      </c>
      <c r="B19" s="4"/>
      <c r="C19" s="4"/>
      <c r="D19" s="4"/>
      <c r="E19" s="4"/>
      <c r="F19" s="17">
        <f>H19</f>
        <v>-8000</v>
      </c>
      <c r="G19" s="17"/>
      <c r="H19" s="18">
        <f>SUM(B39:E39)</f>
        <v>-8000</v>
      </c>
    </row>
    <row r="20" spans="1:8" ht="12.75">
      <c r="A20" s="3" t="s">
        <v>170</v>
      </c>
      <c r="B20" s="4"/>
      <c r="C20" s="4"/>
      <c r="D20" s="4"/>
      <c r="E20" s="4"/>
      <c r="F20" s="17">
        <f>H20</f>
        <v>-189290</v>
      </c>
      <c r="G20" s="17"/>
      <c r="H20" s="18">
        <f>H50</f>
        <v>-189290</v>
      </c>
    </row>
    <row r="21" spans="1:8" ht="13.5" thickBot="1">
      <c r="A21" s="174" t="s">
        <v>234</v>
      </c>
      <c r="B21" s="175"/>
      <c r="C21" s="175"/>
      <c r="D21" s="175"/>
      <c r="E21" s="175"/>
      <c r="F21" s="250">
        <f>H21</f>
        <v>-20350</v>
      </c>
      <c r="G21" s="250"/>
      <c r="H21" s="245">
        <f>H39</f>
        <v>-20350</v>
      </c>
    </row>
    <row r="22" spans="1:8" ht="12.75">
      <c r="A22" s="219" t="s">
        <v>218</v>
      </c>
      <c r="B22" s="220"/>
      <c r="C22" s="335" t="s">
        <v>217</v>
      </c>
      <c r="D22" s="335"/>
      <c r="E22" s="335"/>
      <c r="F22" s="220"/>
      <c r="G22" s="220"/>
      <c r="H22" s="222"/>
    </row>
    <row r="23" spans="1:8" ht="13.5" thickBot="1">
      <c r="A23" s="254" t="str">
        <f>CONCATENATE("Kan regnes som ",ROUND(B75,2)," - ",E8," gange ",B5)</f>
        <v>Kan regnes som 0 - 0 gange 9400</v>
      </c>
      <c r="B23" s="175"/>
      <c r="C23" s="255">
        <v>0</v>
      </c>
      <c r="D23" s="175" t="str">
        <f>CONCATENATE("- ",F8,)</f>
        <v>- 0</v>
      </c>
      <c r="E23" s="175"/>
      <c r="F23" s="250">
        <f>F8-C23</f>
        <v>0</v>
      </c>
      <c r="G23" s="175"/>
      <c r="H23" s="245">
        <f>F23</f>
        <v>0</v>
      </c>
    </row>
    <row r="24" spans="1:9" ht="12.75">
      <c r="A24" s="219" t="s">
        <v>219</v>
      </c>
      <c r="B24" s="220"/>
      <c r="C24" s="220"/>
      <c r="D24" s="220"/>
      <c r="E24" s="220"/>
      <c r="F24" s="251">
        <f>F9+F11+F13+F15+F17+F19+F20+F21+F23</f>
        <v>2009960</v>
      </c>
      <c r="G24" s="251">
        <f>G9</f>
        <v>2310000</v>
      </c>
      <c r="H24" s="252">
        <f>H9+H11+H13+H15+H17+H19+H20+H21+H23</f>
        <v>-300040</v>
      </c>
      <c r="I24" s="239"/>
    </row>
    <row r="25" spans="1:8" ht="12.75">
      <c r="A25" s="3" t="s">
        <v>220</v>
      </c>
      <c r="B25" s="4"/>
      <c r="C25" s="4"/>
      <c r="D25" s="4"/>
      <c r="E25" s="4"/>
      <c r="F25" s="257">
        <v>0</v>
      </c>
      <c r="G25" s="257">
        <v>0</v>
      </c>
      <c r="H25" s="18">
        <f>G25-F25</f>
        <v>0</v>
      </c>
    </row>
    <row r="26" spans="1:8" ht="12.75">
      <c r="A26" s="3" t="s">
        <v>221</v>
      </c>
      <c r="B26" s="4"/>
      <c r="C26" s="4"/>
      <c r="D26" s="4"/>
      <c r="E26" s="4"/>
      <c r="F26" s="17">
        <f>F24-F25</f>
        <v>2009960</v>
      </c>
      <c r="G26" s="17">
        <f>G24-G25</f>
        <v>2310000</v>
      </c>
      <c r="H26" s="18">
        <f>H24-H25</f>
        <v>-300040</v>
      </c>
    </row>
    <row r="27" spans="1:8" ht="12.75">
      <c r="A27" s="3" t="s">
        <v>222</v>
      </c>
      <c r="B27" s="4"/>
      <c r="C27" s="4"/>
      <c r="D27" s="4"/>
      <c r="E27" s="4"/>
      <c r="F27" s="257">
        <v>0</v>
      </c>
      <c r="G27" s="257">
        <v>0</v>
      </c>
      <c r="H27" s="18">
        <f>G27-F27</f>
        <v>0</v>
      </c>
    </row>
    <row r="28" spans="1:8" ht="13.5" thickBot="1">
      <c r="A28" s="174" t="s">
        <v>223</v>
      </c>
      <c r="B28" s="175"/>
      <c r="C28" s="175"/>
      <c r="D28" s="175"/>
      <c r="E28" s="175"/>
      <c r="F28" s="250">
        <f>F26-F27</f>
        <v>2009960</v>
      </c>
      <c r="G28" s="250">
        <f>G26-G27</f>
        <v>2310000</v>
      </c>
      <c r="H28" s="245">
        <f>H26+H27</f>
        <v>-300040</v>
      </c>
    </row>
    <row r="29" spans="1:8" ht="13.5" thickBot="1">
      <c r="A29" s="6" t="s">
        <v>247</v>
      </c>
      <c r="F29" s="239"/>
      <c r="G29" s="239"/>
      <c r="H29" s="239"/>
    </row>
    <row r="30" spans="1:8" ht="12.75">
      <c r="A30" s="219" t="str">
        <f>CONCATENATE(A19," afvigelsen:")</f>
        <v>Råvarelager afvigelsen:</v>
      </c>
      <c r="B30" s="241" t="s">
        <v>242</v>
      </c>
      <c r="C30" s="241" t="s">
        <v>243</v>
      </c>
      <c r="D30" s="241" t="s">
        <v>244</v>
      </c>
      <c r="E30" s="242" t="s">
        <v>245</v>
      </c>
      <c r="F30" s="520" t="str">
        <f>CONCATENATE(A21," afvigelsen:")</f>
        <v>Færdigvarerlager afvigelsen:</v>
      </c>
      <c r="G30" s="521"/>
      <c r="H30" s="522"/>
    </row>
    <row r="31" spans="1:8" ht="12.75">
      <c r="A31" s="3" t="s">
        <v>235</v>
      </c>
      <c r="B31" s="289">
        <v>6000</v>
      </c>
      <c r="C31" s="289">
        <v>2300</v>
      </c>
      <c r="D31" s="289">
        <v>1000</v>
      </c>
      <c r="E31" s="259">
        <v>92000</v>
      </c>
      <c r="F31" s="290" t="str">
        <f>A31</f>
        <v>Primo</v>
      </c>
      <c r="G31" s="291"/>
      <c r="H31" s="259">
        <v>1200</v>
      </c>
    </row>
    <row r="32" spans="1:8" ht="12.75">
      <c r="A32" s="243" t="s">
        <v>236</v>
      </c>
      <c r="B32" s="289">
        <v>24000</v>
      </c>
      <c r="C32" s="289">
        <v>10000</v>
      </c>
      <c r="D32" s="289">
        <v>105000</v>
      </c>
      <c r="E32" s="259">
        <v>0</v>
      </c>
      <c r="F32" s="290" t="str">
        <f>A32</f>
        <v>+ tilgang</v>
      </c>
      <c r="G32" s="291"/>
      <c r="H32" s="259">
        <v>9300</v>
      </c>
    </row>
    <row r="33" spans="1:8" ht="12.75">
      <c r="A33" s="243" t="s">
        <v>237</v>
      </c>
      <c r="B33" s="289">
        <v>23000</v>
      </c>
      <c r="C33" s="289">
        <v>9600</v>
      </c>
      <c r="D33" s="289">
        <v>95000</v>
      </c>
      <c r="E33" s="259">
        <v>57000</v>
      </c>
      <c r="F33" s="290" t="str">
        <f>CONCATENATE(A33,", solgt")</f>
        <v>- afgang, solgt</v>
      </c>
      <c r="G33" s="291"/>
      <c r="H33" s="260">
        <f>B5</f>
        <v>9400</v>
      </c>
    </row>
    <row r="34" spans="1:8" ht="12.75">
      <c r="A34" s="243" t="s">
        <v>238</v>
      </c>
      <c r="B34" s="264">
        <f>B31+B32-B33</f>
        <v>7000</v>
      </c>
      <c r="C34" s="264">
        <f>C31+C32-C33</f>
        <v>2700</v>
      </c>
      <c r="D34" s="264">
        <f>D31+D32-D33</f>
        <v>11000</v>
      </c>
      <c r="E34" s="264">
        <f>E31+E32-E33</f>
        <v>35000</v>
      </c>
      <c r="F34" s="290" t="s">
        <v>248</v>
      </c>
      <c r="G34" s="291"/>
      <c r="H34" s="261">
        <f>H31+H32-H33</f>
        <v>1100</v>
      </c>
    </row>
    <row r="35" spans="1:8" ht="12.75">
      <c r="A35" s="243" t="s">
        <v>239</v>
      </c>
      <c r="B35" s="289">
        <v>6900</v>
      </c>
      <c r="C35" s="289">
        <v>2700</v>
      </c>
      <c r="D35" s="289">
        <v>11000</v>
      </c>
      <c r="E35" s="259">
        <v>35000</v>
      </c>
      <c r="F35" s="290" t="s">
        <v>249</v>
      </c>
      <c r="G35" s="291"/>
      <c r="H35" s="259">
        <v>1050</v>
      </c>
    </row>
    <row r="36" spans="1:8" ht="12.75">
      <c r="A36" s="243" t="s">
        <v>240</v>
      </c>
      <c r="B36" s="264">
        <f>B35-B34</f>
        <v>-100</v>
      </c>
      <c r="C36" s="264">
        <f>C35-C34</f>
        <v>0</v>
      </c>
      <c r="D36" s="264">
        <f>D35-D34</f>
        <v>0</v>
      </c>
      <c r="E36" s="264">
        <f>E35-E34</f>
        <v>0</v>
      </c>
      <c r="F36" s="290" t="s">
        <v>250</v>
      </c>
      <c r="G36" s="291"/>
      <c r="H36" s="260">
        <f>H35-H34</f>
        <v>-50</v>
      </c>
    </row>
    <row r="37" spans="1:8" ht="12.75">
      <c r="A37" s="243" t="s">
        <v>259</v>
      </c>
      <c r="B37" s="289">
        <v>80</v>
      </c>
      <c r="C37" s="289">
        <v>90</v>
      </c>
      <c r="D37" s="289">
        <v>0.5</v>
      </c>
      <c r="E37" s="259">
        <v>0.5</v>
      </c>
      <c r="F37" s="290" t="s">
        <v>251</v>
      </c>
      <c r="G37" s="292">
        <v>250</v>
      </c>
      <c r="H37" s="260">
        <f>(B37*B38)+(C37*C38)+(D37*D38)+(E37*E38)+(G37*G38)</f>
        <v>407</v>
      </c>
    </row>
    <row r="38" spans="1:8" ht="12.75">
      <c r="A38" s="243" t="s">
        <v>260</v>
      </c>
      <c r="B38" s="289">
        <v>2.3</v>
      </c>
      <c r="C38" s="289">
        <v>1</v>
      </c>
      <c r="D38" s="289">
        <v>10</v>
      </c>
      <c r="E38" s="259">
        <v>6</v>
      </c>
      <c r="F38" s="293" t="s">
        <v>252</v>
      </c>
      <c r="G38" s="269">
        <v>0.5</v>
      </c>
      <c r="H38" s="260"/>
    </row>
    <row r="39" spans="1:8" ht="13.5" thickBot="1">
      <c r="A39" s="244" t="s">
        <v>241</v>
      </c>
      <c r="B39" s="266">
        <f>B37*B36</f>
        <v>-8000</v>
      </c>
      <c r="C39" s="266">
        <f>C37*C36</f>
        <v>0</v>
      </c>
      <c r="D39" s="266">
        <f>D37*D36</f>
        <v>0</v>
      </c>
      <c r="E39" s="266">
        <f>E37*E36</f>
        <v>0</v>
      </c>
      <c r="F39" s="294" t="str">
        <f>A39</f>
        <v>Afvigelse i kr.</v>
      </c>
      <c r="G39" s="295"/>
      <c r="H39" s="262">
        <f>H36*H37</f>
        <v>-20350</v>
      </c>
    </row>
    <row r="40" spans="1:8" ht="12.75">
      <c r="A40" s="278" t="str">
        <f>CONCATENATE(A20," afvigelsen:")</f>
        <v>Produktion afvigelsen:</v>
      </c>
      <c r="C40" s="220" t="str">
        <f>B30</f>
        <v>Gardinstof</v>
      </c>
      <c r="D40" s="220" t="str">
        <f>C30</f>
        <v>Glidestang</v>
      </c>
      <c r="E40" s="220" t="str">
        <f>D30</f>
        <v>Glidere</v>
      </c>
      <c r="F40" s="220" t="str">
        <f>E30</f>
        <v>Bånd</v>
      </c>
      <c r="G40" s="258" t="s">
        <v>253</v>
      </c>
      <c r="H40" s="252" t="s">
        <v>254</v>
      </c>
    </row>
    <row r="41" spans="1:8" ht="12.75">
      <c r="A41" s="263" t="str">
        <f>A31</f>
        <v>Primo</v>
      </c>
      <c r="B41" s="274">
        <v>1000</v>
      </c>
      <c r="C41" s="271">
        <f>$B$41*B38</f>
        <v>2300</v>
      </c>
      <c r="D41" s="271">
        <f>$B$41*C38</f>
        <v>1000</v>
      </c>
      <c r="E41" s="271">
        <f>$B$41*D38</f>
        <v>10000</v>
      </c>
      <c r="F41" s="271">
        <f>$B$41*E38</f>
        <v>6000</v>
      </c>
      <c r="G41" s="280">
        <f>(G38)*B41*H41</f>
        <v>250</v>
      </c>
      <c r="H41" s="270">
        <v>0.5</v>
      </c>
    </row>
    <row r="42" spans="1:8" ht="12.75">
      <c r="A42" s="263" t="str">
        <f aca="true" t="shared" si="0" ref="A42:A48">A32</f>
        <v>+ tilgang</v>
      </c>
      <c r="B42" s="275"/>
      <c r="C42" s="279">
        <v>23000</v>
      </c>
      <c r="D42" s="279">
        <v>9600</v>
      </c>
      <c r="E42" s="279">
        <v>95000</v>
      </c>
      <c r="F42" s="279">
        <v>57000</v>
      </c>
      <c r="G42" s="279">
        <v>4750</v>
      </c>
      <c r="H42" s="260"/>
    </row>
    <row r="43" spans="1:8" ht="12.75">
      <c r="A43" s="263" t="str">
        <f t="shared" si="0"/>
        <v>- afgang</v>
      </c>
      <c r="B43" s="273">
        <v>9300</v>
      </c>
      <c r="C43" s="280">
        <f>$B$43*B38</f>
        <v>21390</v>
      </c>
      <c r="D43" s="280">
        <f>$B$43*C38</f>
        <v>9300</v>
      </c>
      <c r="E43" s="280">
        <f>$B$43*D38</f>
        <v>93000</v>
      </c>
      <c r="F43" s="280">
        <f>$B$43*E38</f>
        <v>55800</v>
      </c>
      <c r="G43" s="280">
        <f>B43*G38</f>
        <v>4650</v>
      </c>
      <c r="H43" s="260"/>
    </row>
    <row r="44" spans="1:8" ht="12.75">
      <c r="A44" s="263" t="str">
        <f t="shared" si="0"/>
        <v>Ultimo beholdning</v>
      </c>
      <c r="B44" s="272"/>
      <c r="C44" s="280">
        <f>C41+C42-C43</f>
        <v>3910</v>
      </c>
      <c r="D44" s="280">
        <f>D41+D42-D43</f>
        <v>1300</v>
      </c>
      <c r="E44" s="280">
        <f>E41+E42-E43</f>
        <v>12000</v>
      </c>
      <c r="F44" s="280">
        <f>F41+F42-F43</f>
        <v>7200</v>
      </c>
      <c r="G44" s="280">
        <f>G41+G42-G43</f>
        <v>350</v>
      </c>
      <c r="H44" s="260"/>
    </row>
    <row r="45" spans="1:8" ht="12.75">
      <c r="A45" s="263" t="str">
        <f t="shared" si="0"/>
        <v>Faktisk ultimobeholdning</v>
      </c>
      <c r="B45" s="273">
        <v>980</v>
      </c>
      <c r="C45" s="280">
        <f>$B$45*B38</f>
        <v>2254</v>
      </c>
      <c r="D45" s="280">
        <f>$B$45*C38</f>
        <v>980</v>
      </c>
      <c r="E45" s="280">
        <f>$B$45*D38</f>
        <v>9800</v>
      </c>
      <c r="F45" s="280">
        <f>$B$45*E38</f>
        <v>5880</v>
      </c>
      <c r="G45" s="280">
        <f>B45*G38*H41</f>
        <v>245</v>
      </c>
      <c r="H45" s="260"/>
    </row>
    <row r="46" spans="1:8" ht="12.75">
      <c r="A46" s="263" t="str">
        <f t="shared" si="0"/>
        <v>Afvigelse i mængde</v>
      </c>
      <c r="B46" s="256"/>
      <c r="C46" s="280">
        <f>C45-C44</f>
        <v>-1656</v>
      </c>
      <c r="D46" s="280">
        <f>D45-D44</f>
        <v>-320</v>
      </c>
      <c r="E46" s="280">
        <f>E45-E44</f>
        <v>-2200</v>
      </c>
      <c r="F46" s="280">
        <f>F45-F44</f>
        <v>-1320</v>
      </c>
      <c r="G46" s="280">
        <f>G45-G44</f>
        <v>-105</v>
      </c>
      <c r="H46" s="260"/>
    </row>
    <row r="47" spans="1:8" ht="12.75">
      <c r="A47" s="263" t="str">
        <f t="shared" si="0"/>
        <v>Standardpris</v>
      </c>
      <c r="B47" s="256"/>
      <c r="C47" s="280">
        <f aca="true" t="shared" si="1" ref="C47:F48">B37</f>
        <v>80</v>
      </c>
      <c r="D47" s="280">
        <f t="shared" si="1"/>
        <v>90</v>
      </c>
      <c r="E47" s="280">
        <f t="shared" si="1"/>
        <v>0.5</v>
      </c>
      <c r="F47" s="280">
        <f t="shared" si="1"/>
        <v>0.5</v>
      </c>
      <c r="G47" s="280">
        <f>G37</f>
        <v>250</v>
      </c>
      <c r="H47" s="260"/>
    </row>
    <row r="48" spans="1:8" ht="12.75">
      <c r="A48" s="263" t="str">
        <f t="shared" si="0"/>
        <v>Standardforbrug </v>
      </c>
      <c r="B48" s="256"/>
      <c r="C48" s="280">
        <f t="shared" si="1"/>
        <v>2.3</v>
      </c>
      <c r="D48" s="280">
        <f t="shared" si="1"/>
        <v>1</v>
      </c>
      <c r="E48" s="280">
        <f t="shared" si="1"/>
        <v>10</v>
      </c>
      <c r="F48" s="280">
        <f t="shared" si="1"/>
        <v>6</v>
      </c>
      <c r="G48" s="300">
        <f>G38</f>
        <v>0.5</v>
      </c>
      <c r="H48" s="260"/>
    </row>
    <row r="49" spans="1:8" ht="12.75">
      <c r="A49" s="263" t="s">
        <v>270</v>
      </c>
      <c r="B49" s="299">
        <f>B41+B43-B45</f>
        <v>9320</v>
      </c>
      <c r="C49" s="280">
        <f>(C41+C42-C45)/$B$49</f>
        <v>2.47274678111588</v>
      </c>
      <c r="D49" s="280">
        <f>(D41+D42-D45)/$B$49</f>
        <v>1.0321888412017168</v>
      </c>
      <c r="E49" s="280">
        <f>(E41+E42-E45)/$B$49</f>
        <v>10.214592274678111</v>
      </c>
      <c r="F49" s="280">
        <f>(F41+F42-F45)/$B$49</f>
        <v>6.128755364806867</v>
      </c>
      <c r="G49" s="300">
        <f>(G41+G42-G45)/$B$49</f>
        <v>0.5101931330472103</v>
      </c>
      <c r="H49" s="260"/>
    </row>
    <row r="50" spans="1:8" ht="13.5" thickBot="1">
      <c r="A50" s="244" t="s">
        <v>255</v>
      </c>
      <c r="B50" s="268"/>
      <c r="C50" s="281">
        <f>C47*C46</f>
        <v>-132480</v>
      </c>
      <c r="D50" s="281">
        <f>D47*D46</f>
        <v>-28800</v>
      </c>
      <c r="E50" s="281">
        <f>E47*E46</f>
        <v>-1100</v>
      </c>
      <c r="F50" s="281">
        <f>F47*F46</f>
        <v>-660</v>
      </c>
      <c r="G50" s="281">
        <f>G47*G46</f>
        <v>-26250</v>
      </c>
      <c r="H50" s="262">
        <f>SUM(C50:G50)</f>
        <v>-189290</v>
      </c>
    </row>
    <row r="51" spans="1:8" ht="12.75">
      <c r="A51" s="282" t="str">
        <f>A12</f>
        <v>Indkøbsafvigelse:</v>
      </c>
      <c r="B51" s="220"/>
      <c r="C51" s="220" t="str">
        <f>C40</f>
        <v>Gardinstof</v>
      </c>
      <c r="D51" s="220" t="str">
        <f>D40</f>
        <v>Glidestang</v>
      </c>
      <c r="E51" s="220" t="str">
        <f>E40</f>
        <v>Glidere</v>
      </c>
      <c r="F51" s="283" t="str">
        <f>F40</f>
        <v>Bånd</v>
      </c>
      <c r="G51" s="283"/>
      <c r="H51" s="252" t="s">
        <v>12</v>
      </c>
    </row>
    <row r="52" spans="1:8" ht="12.75">
      <c r="A52" s="276" t="s">
        <v>256</v>
      </c>
      <c r="B52" s="4"/>
      <c r="C52" s="279">
        <v>1968000</v>
      </c>
      <c r="D52" s="279">
        <v>900000</v>
      </c>
      <c r="E52" s="279">
        <v>52500</v>
      </c>
      <c r="F52" s="279">
        <v>0</v>
      </c>
      <c r="G52" s="280"/>
      <c r="H52" s="284"/>
    </row>
    <row r="53" spans="1:8" ht="12.75">
      <c r="A53" s="276" t="s">
        <v>257</v>
      </c>
      <c r="B53" s="4"/>
      <c r="C53" s="279">
        <v>24000</v>
      </c>
      <c r="D53" s="279">
        <v>10000</v>
      </c>
      <c r="E53" s="279">
        <v>105000</v>
      </c>
      <c r="F53" s="279">
        <v>0</v>
      </c>
      <c r="G53" s="280"/>
      <c r="H53" s="284"/>
    </row>
    <row r="54" spans="1:8" ht="12.75">
      <c r="A54" s="276" t="s">
        <v>258</v>
      </c>
      <c r="B54" s="4"/>
      <c r="C54" s="280">
        <f>C53*B37</f>
        <v>1920000</v>
      </c>
      <c r="D54" s="280">
        <f>D53*C37</f>
        <v>900000</v>
      </c>
      <c r="E54" s="280">
        <f>E53*D37</f>
        <v>52500</v>
      </c>
      <c r="F54" s="280">
        <f>F53*E37</f>
        <v>0</v>
      </c>
      <c r="G54" s="280"/>
      <c r="H54" s="284"/>
    </row>
    <row r="55" spans="1:8" ht="12.75">
      <c r="A55" s="276" t="s">
        <v>259</v>
      </c>
      <c r="B55" s="4"/>
      <c r="C55" s="280">
        <f>B37</f>
        <v>80</v>
      </c>
      <c r="D55" s="280">
        <f>C37</f>
        <v>90</v>
      </c>
      <c r="E55" s="280">
        <f>D37</f>
        <v>0.5</v>
      </c>
      <c r="F55" s="280">
        <f>E37</f>
        <v>0.5</v>
      </c>
      <c r="G55" s="280"/>
      <c r="H55" s="284"/>
    </row>
    <row r="56" spans="1:8" ht="12.75">
      <c r="A56" s="276" t="s">
        <v>271</v>
      </c>
      <c r="B56" s="4"/>
      <c r="C56" s="280">
        <f>IF(C52=0,0,C52/C53)</f>
        <v>82</v>
      </c>
      <c r="D56" s="280">
        <f>IF(D52=0,0,D52/D53)</f>
        <v>90</v>
      </c>
      <c r="E56" s="280">
        <f>IF(E52=0,0,E52/E53)</f>
        <v>0.5</v>
      </c>
      <c r="F56" s="280">
        <f>IF(F52=0,0,F52/F53)</f>
        <v>0</v>
      </c>
      <c r="G56" s="280"/>
      <c r="H56" s="284"/>
    </row>
    <row r="57" spans="1:8" ht="13.5" thickBot="1">
      <c r="A57" s="285" t="s">
        <v>255</v>
      </c>
      <c r="B57" s="175"/>
      <c r="C57" s="268">
        <f>C54-C52</f>
        <v>-48000</v>
      </c>
      <c r="D57" s="268">
        <f>D54-D52</f>
        <v>0</v>
      </c>
      <c r="E57" s="268">
        <f>E54-E52</f>
        <v>0</v>
      </c>
      <c r="F57" s="268">
        <f>F54-F52</f>
        <v>0</v>
      </c>
      <c r="G57" s="281"/>
      <c r="H57" s="286">
        <f>SUM(C57:G57)</f>
        <v>-48000</v>
      </c>
    </row>
    <row r="58" spans="1:8" ht="12.75">
      <c r="A58" s="277" t="str">
        <f>CONCATENATE(A16,":")</f>
        <v>Lønsatsafvigelse:</v>
      </c>
      <c r="B58" s="220"/>
      <c r="C58" s="220"/>
      <c r="D58" s="220"/>
      <c r="E58" s="220"/>
      <c r="F58" s="283"/>
      <c r="G58" s="283"/>
      <c r="H58" s="252" t="s">
        <v>12</v>
      </c>
    </row>
    <row r="59" spans="1:8" ht="12.75">
      <c r="A59" s="276" t="s">
        <v>261</v>
      </c>
      <c r="B59" s="4"/>
      <c r="C59" s="287">
        <v>1161600</v>
      </c>
      <c r="D59" s="264"/>
      <c r="E59" s="264"/>
      <c r="F59" s="265"/>
      <c r="G59" s="265"/>
      <c r="H59" s="260"/>
    </row>
    <row r="60" spans="1:8" ht="12.75">
      <c r="A60" s="276" t="s">
        <v>262</v>
      </c>
      <c r="B60" s="4"/>
      <c r="C60" s="288">
        <v>4800</v>
      </c>
      <c r="D60" s="264"/>
      <c r="E60" s="264"/>
      <c r="F60" s="265"/>
      <c r="G60" s="265"/>
      <c r="H60" s="260"/>
    </row>
    <row r="61" spans="1:8" ht="12.75">
      <c r="A61" s="276" t="s">
        <v>263</v>
      </c>
      <c r="B61" s="4"/>
      <c r="C61" s="287">
        <f>C60*G37</f>
        <v>1200000</v>
      </c>
      <c r="D61" s="264"/>
      <c r="E61" s="264"/>
      <c r="F61" s="265"/>
      <c r="G61" s="265"/>
      <c r="H61" s="260"/>
    </row>
    <row r="62" spans="1:8" ht="12.75">
      <c r="A62" s="276" t="s">
        <v>259</v>
      </c>
      <c r="B62" s="4"/>
      <c r="C62" s="287">
        <f>G37</f>
        <v>250</v>
      </c>
      <c r="D62" s="264"/>
      <c r="E62" s="264"/>
      <c r="F62" s="265"/>
      <c r="G62" s="265"/>
      <c r="H62" s="260"/>
    </row>
    <row r="63" spans="1:8" ht="12.75">
      <c r="A63" s="276" t="s">
        <v>271</v>
      </c>
      <c r="B63" s="4"/>
      <c r="C63" s="287">
        <f>C59/C60</f>
        <v>242</v>
      </c>
      <c r="D63" s="264"/>
      <c r="E63" s="264"/>
      <c r="F63" s="265"/>
      <c r="G63" s="265"/>
      <c r="H63" s="260"/>
    </row>
    <row r="64" spans="1:8" ht="13.5" thickBot="1">
      <c r="A64" s="285" t="s">
        <v>264</v>
      </c>
      <c r="B64" s="175"/>
      <c r="C64" s="266">
        <f>C61-C59</f>
        <v>38400</v>
      </c>
      <c r="D64" s="266"/>
      <c r="E64" s="266"/>
      <c r="F64" s="267"/>
      <c r="G64" s="267"/>
      <c r="H64" s="262">
        <f>SUM(C64:G64)</f>
        <v>38400</v>
      </c>
    </row>
    <row r="65" spans="1:8" ht="12.75">
      <c r="A65" s="282" t="s">
        <v>215</v>
      </c>
      <c r="B65" s="220" t="s">
        <v>265</v>
      </c>
      <c r="C65" s="220"/>
      <c r="D65" s="220"/>
      <c r="E65" s="220"/>
      <c r="F65" s="220"/>
      <c r="G65" s="220"/>
      <c r="H65" s="222"/>
    </row>
    <row r="66" spans="1:8" ht="12.75">
      <c r="A66" s="3" t="s">
        <v>224</v>
      </c>
      <c r="B66" s="249">
        <v>0</v>
      </c>
      <c r="C66" s="4"/>
      <c r="D66" s="4"/>
      <c r="E66" s="4"/>
      <c r="F66" s="4"/>
      <c r="G66" s="4"/>
      <c r="H66" s="5"/>
    </row>
    <row r="67" spans="1:8" ht="12.75">
      <c r="A67" s="243" t="s">
        <v>266</v>
      </c>
      <c r="B67" s="249">
        <v>0</v>
      </c>
      <c r="C67" s="4"/>
      <c r="D67" s="4"/>
      <c r="E67" s="4"/>
      <c r="F67" s="4"/>
      <c r="G67" s="4"/>
      <c r="H67" s="5"/>
    </row>
    <row r="68" spans="1:8" ht="12.75">
      <c r="A68" s="243" t="s">
        <v>267</v>
      </c>
      <c r="B68" s="4">
        <f>B6</f>
        <v>9400</v>
      </c>
      <c r="C68" s="4"/>
      <c r="D68" s="4"/>
      <c r="E68" s="4"/>
      <c r="F68" s="4"/>
      <c r="G68" s="4"/>
      <c r="H68" s="5"/>
    </row>
    <row r="69" spans="1:8" ht="12.75">
      <c r="A69" s="3" t="s">
        <v>225</v>
      </c>
      <c r="B69" s="4">
        <f>B66+B67-B68</f>
        <v>-9400</v>
      </c>
      <c r="C69" s="4"/>
      <c r="D69" s="4"/>
      <c r="E69" s="4"/>
      <c r="F69" s="4"/>
      <c r="G69" s="4"/>
      <c r="H69" s="5"/>
    </row>
    <row r="70" spans="1:8" ht="12.75">
      <c r="A70" s="3" t="s">
        <v>226</v>
      </c>
      <c r="B70" s="249">
        <v>0</v>
      </c>
      <c r="C70" s="4"/>
      <c r="D70" s="4"/>
      <c r="E70" s="4"/>
      <c r="F70" s="4"/>
      <c r="G70" s="4"/>
      <c r="H70" s="5"/>
    </row>
    <row r="71" spans="1:8" ht="12.75">
      <c r="A71" s="3"/>
      <c r="B71" s="8" t="s">
        <v>227</v>
      </c>
      <c r="C71" s="4"/>
      <c r="D71" s="4"/>
      <c r="E71" s="4"/>
      <c r="F71" s="4"/>
      <c r="G71" s="4"/>
      <c r="H71" s="5"/>
    </row>
    <row r="72" spans="1:8" ht="12.75">
      <c r="A72" s="3" t="s">
        <v>207</v>
      </c>
      <c r="B72" s="4">
        <f>B70-B69</f>
        <v>9400</v>
      </c>
      <c r="C72" s="4"/>
      <c r="D72" s="4"/>
      <c r="E72" s="4"/>
      <c r="F72" s="4"/>
      <c r="G72" s="4"/>
      <c r="H72" s="5"/>
    </row>
    <row r="73" spans="1:8" ht="12.75">
      <c r="A73" s="3" t="str">
        <f>CONCATENATE("Afvigelse i kr.  ",B72," * ",E6)</f>
        <v>Afvigelse i kr.  9400 * 407</v>
      </c>
      <c r="B73" s="4">
        <f>B72*E6</f>
        <v>3825800</v>
      </c>
      <c r="C73" s="4"/>
      <c r="D73" s="4"/>
      <c r="E73" s="4"/>
      <c r="F73" s="4"/>
      <c r="G73" s="4"/>
      <c r="H73" s="5"/>
    </row>
    <row r="74" spans="1:8" ht="12.75">
      <c r="A74" s="3" t="s">
        <v>228</v>
      </c>
      <c r="B74" s="249">
        <v>0</v>
      </c>
      <c r="C74" s="4"/>
      <c r="D74" s="4"/>
      <c r="E74" s="4"/>
      <c r="F74" s="4"/>
      <c r="G74" s="4"/>
      <c r="H74" s="5"/>
    </row>
    <row r="75" spans="1:8" ht="13.5" thickBot="1">
      <c r="A75" s="174" t="s">
        <v>229</v>
      </c>
      <c r="B75" s="175">
        <f>C23/B5</f>
        <v>0</v>
      </c>
      <c r="C75" s="175"/>
      <c r="D75" s="175"/>
      <c r="E75" s="175"/>
      <c r="F75" s="175"/>
      <c r="G75" s="175"/>
      <c r="H75" s="233"/>
    </row>
    <row r="77" spans="6:8" ht="12.75">
      <c r="F77" s="240"/>
      <c r="G77" s="240"/>
      <c r="H77" s="240"/>
    </row>
    <row r="78" spans="6:8" ht="12.75">
      <c r="F78" s="240"/>
      <c r="G78" s="240"/>
      <c r="H78" s="240"/>
    </row>
    <row r="79" spans="6:8" ht="12.75">
      <c r="F79" s="240"/>
      <c r="G79" s="240"/>
      <c r="H79" s="240"/>
    </row>
    <row r="80" spans="6:8" ht="12.75">
      <c r="F80" s="240"/>
      <c r="G80" s="240"/>
      <c r="H80" s="240"/>
    </row>
    <row r="81" spans="6:8" ht="12.75">
      <c r="F81" s="240"/>
      <c r="G81" s="240"/>
      <c r="H81" s="240"/>
    </row>
  </sheetData>
  <sheetProtection/>
  <mergeCells count="6">
    <mergeCell ref="A2:H2"/>
    <mergeCell ref="F3:H3"/>
    <mergeCell ref="F30:H30"/>
    <mergeCell ref="C12:E12"/>
    <mergeCell ref="C10:E10"/>
    <mergeCell ref="C22:E22"/>
  </mergeCells>
  <printOptions/>
  <pageMargins left="0.1968503937007874" right="0.1968503937007874" top="0.3937007874015748" bottom="0.3937007874015748" header="0.5118110236220472" footer="0.5118110236220472"/>
  <pageSetup fitToHeight="1" fitToWidth="1" horizontalDpi="300" verticalDpi="300" orientation="portrait" paperSize="9" scale="81"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K36"/>
  <sheetViews>
    <sheetView zoomScalePageLayoutView="0" workbookViewId="0" topLeftCell="A1">
      <selection activeCell="B36" sqref="B36"/>
    </sheetView>
  </sheetViews>
  <sheetFormatPr defaultColWidth="9.140625" defaultRowHeight="12.75"/>
  <cols>
    <col min="1" max="1" width="7.140625" style="0" customWidth="1"/>
    <col min="2" max="2" width="34.421875" style="0" customWidth="1"/>
    <col min="3" max="3" width="13.8515625" style="0" bestFit="1" customWidth="1"/>
    <col min="4" max="4" width="15.421875" style="0" bestFit="1" customWidth="1"/>
    <col min="5" max="5" width="15.140625" style="0" bestFit="1" customWidth="1"/>
    <col min="6" max="6" width="14.421875" style="0" customWidth="1"/>
    <col min="7" max="7" width="11.57421875" style="0" customWidth="1"/>
    <col min="8" max="8" width="15.57421875" style="0" customWidth="1"/>
    <col min="9" max="9" width="13.8515625" style="0" customWidth="1"/>
    <col min="10" max="10" width="13.8515625" style="0" bestFit="1" customWidth="1"/>
  </cols>
  <sheetData>
    <row r="1" ht="24" thickBot="1">
      <c r="B1" s="523" t="s">
        <v>412</v>
      </c>
    </row>
    <row r="2" spans="1:10" ht="24" thickBot="1">
      <c r="A2" s="524"/>
      <c r="B2" s="525" t="s">
        <v>292</v>
      </c>
      <c r="C2" s="526"/>
      <c r="D2" s="526"/>
      <c r="E2" s="526"/>
      <c r="F2" s="526"/>
      <c r="G2" s="526"/>
      <c r="H2" s="526"/>
      <c r="I2" s="526"/>
      <c r="J2" s="527"/>
    </row>
    <row r="3" spans="1:10" ht="13.5" customHeight="1" thickBot="1">
      <c r="A3" s="226"/>
      <c r="B3" s="174"/>
      <c r="C3" s="175"/>
      <c r="D3" s="175"/>
      <c r="E3" s="175"/>
      <c r="F3" s="246"/>
      <c r="G3" s="246"/>
      <c r="H3" s="528" t="s">
        <v>293</v>
      </c>
      <c r="I3" s="529"/>
      <c r="J3" s="530"/>
    </row>
    <row r="4" spans="1:10" ht="26.25" thickBot="1">
      <c r="A4" s="226"/>
      <c r="B4" s="219"/>
      <c r="C4" s="531" t="s">
        <v>294</v>
      </c>
      <c r="D4" s="247" t="s">
        <v>295</v>
      </c>
      <c r="E4" s="531" t="s">
        <v>296</v>
      </c>
      <c r="F4" s="531" t="s">
        <v>297</v>
      </c>
      <c r="G4" s="247" t="s">
        <v>298</v>
      </c>
      <c r="H4" s="532" t="s">
        <v>205</v>
      </c>
      <c r="I4" s="248" t="s">
        <v>206</v>
      </c>
      <c r="J4" s="524" t="s">
        <v>207</v>
      </c>
    </row>
    <row r="5" spans="1:10" ht="13.5" thickBot="1">
      <c r="A5" s="226"/>
      <c r="B5" s="24" t="s">
        <v>208</v>
      </c>
      <c r="C5" s="533">
        <v>9400</v>
      </c>
      <c r="D5" s="534">
        <v>6063000</v>
      </c>
      <c r="E5" s="535">
        <f>D5/C5</f>
        <v>645</v>
      </c>
      <c r="F5" s="536">
        <v>10000</v>
      </c>
      <c r="G5" s="537">
        <v>638</v>
      </c>
      <c r="H5" s="538">
        <f>G5*C5</f>
        <v>5997200</v>
      </c>
      <c r="I5" s="25">
        <f>G5*F5</f>
        <v>6380000</v>
      </c>
      <c r="J5" s="539">
        <f>H5-I5</f>
        <v>-382800</v>
      </c>
    </row>
    <row r="6" spans="1:10" ht="13.5" thickBot="1">
      <c r="A6" s="226"/>
      <c r="B6" s="3" t="s">
        <v>209</v>
      </c>
      <c r="C6" s="540">
        <f>C5</f>
        <v>9400</v>
      </c>
      <c r="D6" s="541"/>
      <c r="E6" s="542">
        <f>E5</f>
        <v>645</v>
      </c>
      <c r="F6" s="543">
        <f>F5</f>
        <v>10000</v>
      </c>
      <c r="G6" s="544">
        <v>407</v>
      </c>
      <c r="H6" s="545">
        <f>G6*C6</f>
        <v>3825800</v>
      </c>
      <c r="I6" s="17">
        <f>G6*F6</f>
        <v>4070000</v>
      </c>
      <c r="J6" s="546">
        <f>I6-H6</f>
        <v>244200</v>
      </c>
    </row>
    <row r="7" spans="1:10" ht="15.75" thickBot="1">
      <c r="A7" s="226"/>
      <c r="B7" s="547" t="s">
        <v>299</v>
      </c>
      <c r="C7" s="548"/>
      <c r="D7" s="548"/>
      <c r="E7" s="549"/>
      <c r="F7" s="550"/>
      <c r="G7" s="551">
        <f>G5-G6</f>
        <v>231</v>
      </c>
      <c r="H7" s="538">
        <f>H5-H6</f>
        <v>2171400</v>
      </c>
      <c r="I7" s="25">
        <f>I5-I6</f>
        <v>2310000</v>
      </c>
      <c r="J7" s="552">
        <f>H7-I7</f>
        <v>-138600</v>
      </c>
    </row>
    <row r="8" spans="1:10" ht="13.5" thickBot="1">
      <c r="A8" s="226"/>
      <c r="B8" s="297" t="s">
        <v>211</v>
      </c>
      <c r="C8" s="540">
        <f>C6</f>
        <v>9400</v>
      </c>
      <c r="D8" s="553"/>
      <c r="E8" s="554"/>
      <c r="F8" s="543">
        <f>F6</f>
        <v>10000</v>
      </c>
      <c r="G8" s="555">
        <v>0</v>
      </c>
      <c r="H8" s="545">
        <f>G8*C8</f>
        <v>0</v>
      </c>
      <c r="I8" s="17">
        <f>G8*F8</f>
        <v>0</v>
      </c>
      <c r="J8" s="546">
        <f>I8-H8</f>
        <v>0</v>
      </c>
    </row>
    <row r="9" spans="1:10" ht="17.25" customHeight="1" thickBot="1">
      <c r="A9" s="226"/>
      <c r="B9" s="547" t="s">
        <v>300</v>
      </c>
      <c r="C9" s="31"/>
      <c r="D9" s="31"/>
      <c r="E9" s="31"/>
      <c r="F9" s="31"/>
      <c r="G9" s="556">
        <f>G7-G8</f>
        <v>231</v>
      </c>
      <c r="H9" s="538">
        <f>H7-H8</f>
        <v>2171400</v>
      </c>
      <c r="I9" s="25">
        <f>I7-I8</f>
        <v>2310000</v>
      </c>
      <c r="J9" s="552">
        <f>H9-I9</f>
        <v>-138600</v>
      </c>
    </row>
    <row r="10" spans="1:10" ht="12.75">
      <c r="A10" s="226"/>
      <c r="B10" s="557" t="s">
        <v>301</v>
      </c>
      <c r="C10" s="4"/>
      <c r="D10" s="4"/>
      <c r="E10" s="4"/>
      <c r="F10" s="4"/>
      <c r="G10" s="4"/>
      <c r="H10" s="545"/>
      <c r="I10" s="17"/>
      <c r="J10" s="546"/>
    </row>
    <row r="11" spans="1:10" ht="15">
      <c r="A11" s="558" t="s">
        <v>302</v>
      </c>
      <c r="B11" s="559" t="s">
        <v>303</v>
      </c>
      <c r="C11" s="4"/>
      <c r="D11" s="4"/>
      <c r="E11" s="4"/>
      <c r="F11" s="4"/>
      <c r="G11" s="4"/>
      <c r="H11" s="545">
        <f>J11</f>
        <v>65800</v>
      </c>
      <c r="I11" s="17"/>
      <c r="J11" s="560">
        <f>'Salgsprisafvigelse side 367'!J8</f>
        <v>65800</v>
      </c>
    </row>
    <row r="12" spans="1:10" ht="15">
      <c r="A12" s="226"/>
      <c r="B12" s="559" t="s">
        <v>304</v>
      </c>
      <c r="C12" s="4"/>
      <c r="D12" s="4"/>
      <c r="E12" s="4"/>
      <c r="F12" s="4"/>
      <c r="G12" s="4"/>
      <c r="H12" s="545"/>
      <c r="I12" s="17"/>
      <c r="J12" s="546"/>
    </row>
    <row r="13" spans="1:10" ht="12.75">
      <c r="A13" s="558" t="s">
        <v>305</v>
      </c>
      <c r="B13" s="3" t="str">
        <f>CONCATENATE("Indkøbsafvigelse ",'Indkøbsprisafvigelse side 370'!C1)</f>
        <v>Indkøbsafvigelse Gardinstof</v>
      </c>
      <c r="C13" s="4"/>
      <c r="D13" s="4"/>
      <c r="E13" s="4"/>
      <c r="F13" s="4"/>
      <c r="G13" s="4"/>
      <c r="H13" s="545">
        <f>J13</f>
        <v>-48000</v>
      </c>
      <c r="I13" s="17"/>
      <c r="J13" s="546">
        <f>'Indkøbsprisafvigelse side 370'!J8</f>
        <v>-48000</v>
      </c>
    </row>
    <row r="14" spans="1:10" ht="12.75" hidden="1">
      <c r="A14" s="558" t="s">
        <v>306</v>
      </c>
      <c r="B14" s="3" t="str">
        <f>CONCATENATE("Indkøbsafvigelse ",'Indkøbsprisafvigelse side 370'!C10)</f>
        <v>Indkøbsafvigelse Glidestang</v>
      </c>
      <c r="C14" s="4"/>
      <c r="D14" s="4"/>
      <c r="E14" s="4"/>
      <c r="F14" s="4"/>
      <c r="G14" s="4"/>
      <c r="H14" s="545">
        <f>J14</f>
        <v>0</v>
      </c>
      <c r="I14" s="17"/>
      <c r="J14" s="546">
        <f>'Indkøbsprisafvigelse side 370'!J17</f>
        <v>0</v>
      </c>
    </row>
    <row r="15" spans="1:10" ht="12.75" hidden="1">
      <c r="A15" s="558" t="s">
        <v>307</v>
      </c>
      <c r="B15" s="3" t="str">
        <f>CONCATENATE("Indkøbsafvigelse ",'Indkøbsprisafvigelse side 370'!C19)</f>
        <v>Indkøbsafvigelse Glidere</v>
      </c>
      <c r="C15" s="4"/>
      <c r="D15" s="4"/>
      <c r="E15" s="4"/>
      <c r="F15" s="4"/>
      <c r="G15" s="4"/>
      <c r="H15" s="545">
        <f>J15</f>
        <v>0</v>
      </c>
      <c r="I15" s="17"/>
      <c r="J15" s="546">
        <f>'Indkøbsprisafvigelse side 370'!J26</f>
        <v>0</v>
      </c>
    </row>
    <row r="16" spans="1:10" ht="12.75" hidden="1">
      <c r="A16" s="558" t="s">
        <v>308</v>
      </c>
      <c r="B16" s="3" t="str">
        <f>CONCATENATE("Indkøbsafvigelse ",'Indkøbsprisafvigelse side 370'!C28)</f>
        <v>Indkøbsafvigelse Råvare X</v>
      </c>
      <c r="C16" s="4"/>
      <c r="D16" s="4"/>
      <c r="E16" s="4"/>
      <c r="F16" s="4"/>
      <c r="G16" s="4"/>
      <c r="H16" s="545">
        <f>J16</f>
        <v>0</v>
      </c>
      <c r="I16" s="17"/>
      <c r="J16" s="546">
        <f>'Indkøbsprisafvigelse side 370'!J35</f>
        <v>0</v>
      </c>
    </row>
    <row r="17" spans="1:10" ht="15">
      <c r="A17" s="226"/>
      <c r="B17" s="559" t="s">
        <v>216</v>
      </c>
      <c r="C17" s="4"/>
      <c r="D17" s="4"/>
      <c r="E17" s="4"/>
      <c r="F17" s="4"/>
      <c r="G17" s="4"/>
      <c r="H17" s="545"/>
      <c r="I17" s="17"/>
      <c r="J17" s="546"/>
    </row>
    <row r="18" spans="1:10" ht="12.75">
      <c r="A18" s="558" t="s">
        <v>309</v>
      </c>
      <c r="B18" s="3" t="str">
        <f>CONCATENATE("Lønsatsafvigelse ",'Lønsatsafvigelse side 371'!C1)</f>
        <v>Lønsatsafvigelse Afdeling 1</v>
      </c>
      <c r="C18" s="4"/>
      <c r="D18" s="4"/>
      <c r="E18" s="4"/>
      <c r="F18" s="4"/>
      <c r="G18" s="4"/>
      <c r="H18" s="545">
        <f>J18</f>
        <v>38400</v>
      </c>
      <c r="I18" s="17"/>
      <c r="J18" s="546">
        <f>'Lønsatsafvigelse side 371'!J8</f>
        <v>38400</v>
      </c>
    </row>
    <row r="19" spans="1:10" ht="12.75" hidden="1">
      <c r="A19" s="558" t="s">
        <v>310</v>
      </c>
      <c r="B19" s="3" t="str">
        <f>CONCATENATE("Lønsatsafvigelse ",'Lønsatsafvigelse side 371'!C10)</f>
        <v>Lønsatsafvigelse Afdeling 2</v>
      </c>
      <c r="C19" s="4"/>
      <c r="D19" s="4"/>
      <c r="E19" s="4"/>
      <c r="F19" s="4"/>
      <c r="G19" s="4"/>
      <c r="H19" s="545">
        <f>J19</f>
        <v>0</v>
      </c>
      <c r="I19" s="17"/>
      <c r="J19" s="546">
        <f>'Lønsatsafvigelse side 371'!J17</f>
        <v>0</v>
      </c>
    </row>
    <row r="20" spans="1:10" ht="12.75" hidden="1">
      <c r="A20" s="558" t="s">
        <v>311</v>
      </c>
      <c r="B20" s="3" t="str">
        <f>CONCATENATE("Lønsatsafvigelse ",'Lønsatsafvigelse side 371'!C19)</f>
        <v>Lønsatsafvigelse Afdeling 3</v>
      </c>
      <c r="C20" s="4"/>
      <c r="D20" s="4"/>
      <c r="E20" s="4"/>
      <c r="F20" s="4"/>
      <c r="G20" s="4"/>
      <c r="H20" s="545">
        <f>J20</f>
        <v>0</v>
      </c>
      <c r="I20" s="17"/>
      <c r="J20" s="546">
        <f>'Lønsatsafvigelse side 371'!J26</f>
        <v>0</v>
      </c>
    </row>
    <row r="21" spans="1:10" ht="12.75" hidden="1">
      <c r="A21" s="558" t="s">
        <v>312</v>
      </c>
      <c r="B21" s="3" t="str">
        <f>CONCATENATE("Lønsatsafvigelse ",'Lønsatsafvigelse side 371'!C28)</f>
        <v>Lønsatsafvigelse Afdeling 4</v>
      </c>
      <c r="C21" s="4"/>
      <c r="D21" s="4"/>
      <c r="E21" s="4"/>
      <c r="F21" s="4"/>
      <c r="G21" s="4"/>
      <c r="H21" s="545">
        <f>J21</f>
        <v>0</v>
      </c>
      <c r="I21" s="17"/>
      <c r="J21" s="546">
        <f>'Lønsatsafvigelse side 371'!J35</f>
        <v>0</v>
      </c>
    </row>
    <row r="22" spans="1:10" ht="15">
      <c r="A22" s="226"/>
      <c r="B22" s="559" t="s">
        <v>313</v>
      </c>
      <c r="C22" s="4"/>
      <c r="D22" s="4"/>
      <c r="E22" s="4"/>
      <c r="F22" s="4"/>
      <c r="G22" s="4"/>
      <c r="H22" s="545"/>
      <c r="I22" s="17"/>
      <c r="J22" s="546"/>
    </row>
    <row r="23" spans="1:10" ht="12.75">
      <c r="A23" s="558" t="s">
        <v>314</v>
      </c>
      <c r="B23" s="297" t="s">
        <v>315</v>
      </c>
      <c r="C23" s="4"/>
      <c r="D23" s="4"/>
      <c r="E23" s="4"/>
      <c r="F23" s="4"/>
      <c r="G23" s="4"/>
      <c r="H23" s="545">
        <f aca="true" t="shared" si="0" ref="H23:H29">J23</f>
        <v>-189290</v>
      </c>
      <c r="I23" s="17"/>
      <c r="J23" s="546">
        <f>'Produktionsafdeling 1 side 393'!G30+'Produktionsafdeling 1 side 393'!E30+'Produktionsafdeling 1 side 393'!D30+'Produktionsafdeling 1 side 393'!C30+'Produktionsafdeling 1 side 393'!F30</f>
        <v>-189290</v>
      </c>
    </row>
    <row r="24" spans="1:10" ht="12.75" hidden="1">
      <c r="A24" s="558" t="s">
        <v>316</v>
      </c>
      <c r="B24" s="297" t="s">
        <v>317</v>
      </c>
      <c r="C24" s="4"/>
      <c r="D24" s="4"/>
      <c r="E24" s="4"/>
      <c r="F24" s="4"/>
      <c r="G24" s="4"/>
      <c r="H24" s="545">
        <f t="shared" si="0"/>
        <v>0</v>
      </c>
      <c r="I24" s="17"/>
      <c r="J24" s="546">
        <f>'Produktionsafdeling 2 side 393'!F30+'Produktionsafdeling 2 side 393'!E30+'Produktionsafdeling 2 side 393'!D30+'Produktionsafdeling 2 side 393'!C30</f>
        <v>0</v>
      </c>
    </row>
    <row r="25" spans="1:10" ht="12.75" hidden="1">
      <c r="A25" s="561" t="s">
        <v>318</v>
      </c>
      <c r="B25" s="297" t="s">
        <v>319</v>
      </c>
      <c r="C25" s="4"/>
      <c r="D25" s="4"/>
      <c r="E25" s="4"/>
      <c r="F25" s="4"/>
      <c r="G25" s="4"/>
      <c r="H25" s="545">
        <f>J25</f>
        <v>0</v>
      </c>
      <c r="I25" s="17"/>
      <c r="J25" s="546">
        <f>'Pakkeafdelingen side 396'!F31+'Pakkeafdelingen side 396'!E31+'Pakkeafdelingen side 396'!D31+'Pakkeafdelingen side 396'!C31</f>
        <v>0</v>
      </c>
    </row>
    <row r="26" spans="1:10" ht="15">
      <c r="A26" s="226"/>
      <c r="B26" s="559" t="s">
        <v>320</v>
      </c>
      <c r="C26" s="4"/>
      <c r="D26" s="4"/>
      <c r="E26" s="4"/>
      <c r="F26" s="4"/>
      <c r="G26" s="4"/>
      <c r="H26" s="545"/>
      <c r="I26" s="17"/>
      <c r="J26" s="546"/>
    </row>
    <row r="27" spans="1:10" ht="12.75">
      <c r="A27" s="561" t="s">
        <v>321</v>
      </c>
      <c r="B27" s="3" t="s">
        <v>322</v>
      </c>
      <c r="C27" s="4"/>
      <c r="D27" s="4"/>
      <c r="E27" s="4"/>
      <c r="F27" s="4"/>
      <c r="G27" s="4"/>
      <c r="H27" s="545">
        <f t="shared" si="0"/>
        <v>-8000</v>
      </c>
      <c r="I27" s="17"/>
      <c r="J27" s="546">
        <f>'Råvarelagerafgivelse side 398'!J12</f>
        <v>-8000</v>
      </c>
    </row>
    <row r="28" spans="1:10" ht="13.5" thickBot="1">
      <c r="A28" s="558" t="s">
        <v>323</v>
      </c>
      <c r="B28" s="3" t="s">
        <v>324</v>
      </c>
      <c r="C28" s="4"/>
      <c r="D28" s="4"/>
      <c r="E28" s="4"/>
      <c r="F28" s="4"/>
      <c r="G28" s="4"/>
      <c r="H28" s="545">
        <f t="shared" si="0"/>
        <v>-20350</v>
      </c>
      <c r="I28" s="17"/>
      <c r="J28" s="546">
        <f>'Færdiglagerafgivelse side 399'!J12</f>
        <v>-20350</v>
      </c>
    </row>
    <row r="29" spans="1:10" ht="15.75" hidden="1" thickBot="1">
      <c r="A29" s="558" t="s">
        <v>325</v>
      </c>
      <c r="B29" s="559" t="s">
        <v>326</v>
      </c>
      <c r="C29" s="4"/>
      <c r="D29" s="4"/>
      <c r="E29" s="4"/>
      <c r="F29" s="4"/>
      <c r="G29" s="4"/>
      <c r="H29" s="545">
        <f t="shared" si="0"/>
        <v>0</v>
      </c>
      <c r="I29" s="17"/>
      <c r="J29" s="546">
        <f>'Salgsprovisionsafvig. side 376'!J8</f>
        <v>0</v>
      </c>
    </row>
    <row r="30" spans="1:10" ht="16.5" customHeight="1" thickBot="1">
      <c r="A30" s="226"/>
      <c r="B30" s="547" t="s">
        <v>219</v>
      </c>
      <c r="C30" s="31"/>
      <c r="D30" s="31"/>
      <c r="E30" s="31"/>
      <c r="F30" s="31"/>
      <c r="G30" s="31"/>
      <c r="H30" s="538">
        <f>SUM(H9:H29)</f>
        <v>2009960</v>
      </c>
      <c r="I30" s="25">
        <f>SUM(I9:I29)</f>
        <v>2310000</v>
      </c>
      <c r="J30" s="538">
        <f>SUM(J9:J29)</f>
        <v>-300040</v>
      </c>
    </row>
    <row r="31" spans="1:10" ht="12.75" hidden="1">
      <c r="A31" s="226"/>
      <c r="B31" s="557" t="s">
        <v>327</v>
      </c>
      <c r="C31" s="4"/>
      <c r="D31" s="4"/>
      <c r="E31" s="4"/>
      <c r="F31" s="4"/>
      <c r="G31" s="4"/>
      <c r="H31" s="562">
        <v>0</v>
      </c>
      <c r="I31" s="257">
        <v>0</v>
      </c>
      <c r="J31" s="546">
        <f>I31-H31</f>
        <v>0</v>
      </c>
    </row>
    <row r="32" spans="1:11" ht="13.5" hidden="1" thickBot="1">
      <c r="A32" s="226"/>
      <c r="B32" s="3" t="s">
        <v>221</v>
      </c>
      <c r="C32" s="4"/>
      <c r="D32" s="4"/>
      <c r="E32" s="4"/>
      <c r="F32" s="4"/>
      <c r="G32" s="4"/>
      <c r="H32" s="545">
        <f>H30-H31</f>
        <v>2009960</v>
      </c>
      <c r="I32" s="17">
        <f>I30-I31</f>
        <v>2310000</v>
      </c>
      <c r="J32" s="545">
        <f>J30+J31</f>
        <v>-300040</v>
      </c>
      <c r="K32" s="239"/>
    </row>
    <row r="33" spans="1:10" ht="13.5" hidden="1" thickBot="1">
      <c r="A33" s="226"/>
      <c r="B33" s="557" t="s">
        <v>328</v>
      </c>
      <c r="C33" s="4"/>
      <c r="D33" s="4"/>
      <c r="E33" s="4"/>
      <c r="F33" s="4"/>
      <c r="G33" s="4"/>
      <c r="H33" s="562">
        <v>0</v>
      </c>
      <c r="I33" s="257">
        <v>0</v>
      </c>
      <c r="J33" s="546">
        <f>I33-H33</f>
        <v>0</v>
      </c>
    </row>
    <row r="34" spans="1:11" ht="15.75" hidden="1" thickBot="1">
      <c r="A34" s="231"/>
      <c r="B34" s="547" t="s">
        <v>329</v>
      </c>
      <c r="C34" s="31"/>
      <c r="D34" s="31"/>
      <c r="E34" s="31"/>
      <c r="F34" s="31"/>
      <c r="G34" s="31"/>
      <c r="H34" s="538">
        <f>H32-H33</f>
        <v>2009960</v>
      </c>
      <c r="I34" s="25">
        <f>I32-I33</f>
        <v>2310000</v>
      </c>
      <c r="J34" s="538">
        <f>J32+J33</f>
        <v>-300040</v>
      </c>
      <c r="K34" s="239"/>
    </row>
    <row r="35" spans="1:10" ht="12.75">
      <c r="A35" s="4"/>
      <c r="B35" s="563"/>
      <c r="C35" s="4"/>
      <c r="D35" s="4"/>
      <c r="E35" s="4"/>
      <c r="F35" s="4"/>
      <c r="G35" s="4"/>
      <c r="H35" s="17"/>
      <c r="I35" s="17"/>
      <c r="J35" s="564"/>
    </row>
    <row r="36" spans="8:9" ht="12.75">
      <c r="H36" s="239"/>
      <c r="I36" s="239"/>
    </row>
  </sheetData>
  <sheetProtection/>
  <mergeCells count="2">
    <mergeCell ref="B2:J2"/>
    <mergeCell ref="H3:J3"/>
  </mergeCells>
  <printOptions/>
  <pageMargins left="0.1968503937007874" right="0.1968503937007874" top="0.3937007874015748" bottom="0.3937007874015748" header="0.5118110236220472" footer="0.5118110236220472"/>
  <pageSetup fitToHeight="1" fitToWidth="1" horizontalDpi="300" verticalDpi="300" orientation="landscape" paperSize="9" scale="94"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J9"/>
  <sheetViews>
    <sheetView view="pageLayout" zoomScaleNormal="150" workbookViewId="0" topLeftCell="A1">
      <selection activeCell="A1" sqref="A1"/>
    </sheetView>
  </sheetViews>
  <sheetFormatPr defaultColWidth="9.140625" defaultRowHeight="12.75"/>
  <cols>
    <col min="2" max="2" width="21.57421875" style="0" customWidth="1"/>
    <col min="3" max="3" width="10.7109375" style="0" bestFit="1" customWidth="1"/>
    <col min="4" max="4" width="18.57421875" style="0" bestFit="1" customWidth="1"/>
    <col min="6" max="6" width="14.00390625" style="0" customWidth="1"/>
    <col min="10" max="10" width="14.7109375" style="0" customWidth="1"/>
  </cols>
  <sheetData>
    <row r="1" spans="1:10" ht="15">
      <c r="A1" s="524" t="str">
        <f>'Resultatkontrol side 402'!A11</f>
        <v>note 1</v>
      </c>
      <c r="B1" s="565" t="s">
        <v>213</v>
      </c>
      <c r="C1" s="220"/>
      <c r="D1" s="220"/>
      <c r="E1" s="335"/>
      <c r="F1" s="335"/>
      <c r="G1" s="335"/>
      <c r="H1" s="251"/>
      <c r="I1" s="251"/>
      <c r="J1" s="566"/>
    </row>
    <row r="2" spans="1:10" ht="12.75">
      <c r="A2" s="226"/>
      <c r="B2" s="567" t="s">
        <v>330</v>
      </c>
      <c r="C2" s="4"/>
      <c r="D2" s="4"/>
      <c r="E2" s="302"/>
      <c r="F2" s="302"/>
      <c r="G2" s="302"/>
      <c r="H2" s="17"/>
      <c r="I2" s="17"/>
      <c r="J2" s="568"/>
    </row>
    <row r="3" spans="1:10" ht="12.75">
      <c r="A3" s="226"/>
      <c r="B3" s="569" t="s">
        <v>201</v>
      </c>
      <c r="C3" s="302" t="s">
        <v>331</v>
      </c>
      <c r="D3" s="4" t="s">
        <v>332</v>
      </c>
      <c r="E3" s="302"/>
      <c r="F3" s="302"/>
      <c r="G3" s="302"/>
      <c r="H3" s="17"/>
      <c r="I3" s="17"/>
      <c r="J3" s="568"/>
    </row>
    <row r="4" spans="1:10" ht="31.5">
      <c r="A4" s="226"/>
      <c r="B4" s="570">
        <f>'Resultatkontrol side 402'!C5</f>
        <v>9400</v>
      </c>
      <c r="C4" s="571" t="s">
        <v>21</v>
      </c>
      <c r="D4" s="572">
        <f>F4/B4</f>
        <v>645</v>
      </c>
      <c r="E4" s="573" t="s">
        <v>24</v>
      </c>
      <c r="F4" s="574">
        <f>'Resultatkontrol side 402'!D5</f>
        <v>6063000</v>
      </c>
      <c r="G4" s="302"/>
      <c r="H4" s="17"/>
      <c r="I4" s="17"/>
      <c r="J4" s="568"/>
    </row>
    <row r="5" spans="1:10" ht="12.75">
      <c r="A5" s="226"/>
      <c r="B5" s="567" t="s">
        <v>333</v>
      </c>
      <c r="C5" s="302"/>
      <c r="D5" s="4"/>
      <c r="E5" s="302"/>
      <c r="F5" s="574"/>
      <c r="G5" s="302"/>
      <c r="H5" s="17"/>
      <c r="I5" s="17"/>
      <c r="J5" s="568"/>
    </row>
    <row r="6" spans="1:10" ht="12.75">
      <c r="A6" s="226"/>
      <c r="B6" s="569" t="s">
        <v>201</v>
      </c>
      <c r="C6" s="302" t="s">
        <v>331</v>
      </c>
      <c r="D6" s="4" t="s">
        <v>334</v>
      </c>
      <c r="E6" s="302"/>
      <c r="F6" s="574"/>
      <c r="G6" s="302"/>
      <c r="H6" s="17"/>
      <c r="I6" s="17"/>
      <c r="J6" s="568"/>
    </row>
    <row r="7" spans="1:10" ht="31.5">
      <c r="A7" s="226"/>
      <c r="B7" s="570">
        <f>B4</f>
        <v>9400</v>
      </c>
      <c r="C7" s="575" t="s">
        <v>21</v>
      </c>
      <c r="D7" s="576">
        <f>'Resultatkontrol side 402'!G5</f>
        <v>638</v>
      </c>
      <c r="E7" s="577" t="s">
        <v>24</v>
      </c>
      <c r="F7" s="578">
        <f>D7*B7</f>
        <v>5997200</v>
      </c>
      <c r="G7" s="302"/>
      <c r="H7" s="17"/>
      <c r="I7" s="17"/>
      <c r="J7" s="568"/>
    </row>
    <row r="8" spans="1:10" ht="12.75">
      <c r="A8" s="226"/>
      <c r="B8" s="567" t="s">
        <v>303</v>
      </c>
      <c r="C8" s="8"/>
      <c r="D8" s="4"/>
      <c r="E8" s="302"/>
      <c r="F8" s="579">
        <f>F4-F7</f>
        <v>65800</v>
      </c>
      <c r="G8" s="302"/>
      <c r="H8" s="17"/>
      <c r="I8" s="17"/>
      <c r="J8" s="580">
        <f>F8</f>
        <v>65800</v>
      </c>
    </row>
    <row r="9" spans="1:10" ht="13.5" thickBot="1">
      <c r="A9" s="231"/>
      <c r="B9" s="581" t="str">
        <f>CONCATENATE("Kan også regnes som ",ROUND(D4,2)," - ",ROUND(D7,2)," gange ",B4," = ",F8,". Den budgetterede salgspris var ",ROUND(D7,2),", den rigtige salgspris blev ",ROUND(D4,2)," derfor er afvigelsen",IF(D4&gt;D7," positiv ",IF(D4=D7," neutral ",IF(D4&lt;D7," negativ"))))</f>
        <v>Kan også regnes som 645 - 638 gange 9400 = 65800. Den budgetterede salgspris var 638, den rigtige salgspris blev 645 derfor er afvigelsen positiv </v>
      </c>
      <c r="C9" s="175"/>
      <c r="D9" s="175"/>
      <c r="E9" s="582"/>
      <c r="F9" s="175"/>
      <c r="G9" s="175"/>
      <c r="H9" s="250"/>
      <c r="I9" s="250"/>
      <c r="J9" s="583"/>
    </row>
  </sheetData>
  <sheetProtection/>
  <mergeCells count="1">
    <mergeCell ref="E1:G1"/>
  </mergeCells>
  <printOptions/>
  <pageMargins left="0.75" right="0.75" top="1" bottom="1" header="0.5" footer="0.5"/>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J36"/>
  <sheetViews>
    <sheetView zoomScale="150" zoomScaleNormal="150" workbookViewId="0" topLeftCell="A1">
      <selection activeCell="A1" sqref="A1"/>
    </sheetView>
  </sheetViews>
  <sheetFormatPr defaultColWidth="9.140625" defaultRowHeight="12.75"/>
  <cols>
    <col min="2" max="2" width="25.00390625" style="0" customWidth="1"/>
    <col min="3" max="3" width="15.28125" style="0" customWidth="1"/>
    <col min="4" max="4" width="15.7109375" style="0" customWidth="1"/>
    <col min="6" max="6" width="14.57421875" style="0" customWidth="1"/>
    <col min="10" max="10" width="13.00390625" style="0" customWidth="1"/>
  </cols>
  <sheetData>
    <row r="1" spans="1:10" ht="15">
      <c r="A1" s="524" t="str">
        <f>'Resultatkontrol side 402'!A13</f>
        <v>note 2</v>
      </c>
      <c r="B1" s="565" t="s">
        <v>335</v>
      </c>
      <c r="C1" s="584" t="s">
        <v>242</v>
      </c>
      <c r="D1" s="220"/>
      <c r="E1" s="335"/>
      <c r="F1" s="335"/>
      <c r="G1" s="335"/>
      <c r="H1" s="251"/>
      <c r="I1" s="251"/>
      <c r="J1" s="566"/>
    </row>
    <row r="2" spans="1:10" ht="12.75">
      <c r="A2" s="226"/>
      <c r="B2" s="567" t="s">
        <v>336</v>
      </c>
      <c r="C2" s="4"/>
      <c r="D2" s="4"/>
      <c r="E2" s="302"/>
      <c r="F2" s="302"/>
      <c r="G2" s="302"/>
      <c r="H2" s="17"/>
      <c r="I2" s="17"/>
      <c r="J2" s="568"/>
    </row>
    <row r="3" spans="1:10" ht="12.75">
      <c r="A3" s="226"/>
      <c r="B3" s="569" t="s">
        <v>337</v>
      </c>
      <c r="C3" s="302" t="s">
        <v>331</v>
      </c>
      <c r="D3" s="4" t="s">
        <v>338</v>
      </c>
      <c r="E3" s="302"/>
      <c r="F3" s="302"/>
      <c r="G3" s="302"/>
      <c r="H3" s="17"/>
      <c r="I3" s="17"/>
      <c r="J3" s="568"/>
    </row>
    <row r="4" spans="1:10" ht="31.5">
      <c r="A4" s="226"/>
      <c r="B4" s="585">
        <v>24000</v>
      </c>
      <c r="C4" s="571" t="s">
        <v>21</v>
      </c>
      <c r="D4" s="576">
        <f>F4/B4</f>
        <v>82</v>
      </c>
      <c r="E4" s="573" t="s">
        <v>24</v>
      </c>
      <c r="F4" s="586">
        <v>1968000</v>
      </c>
      <c r="G4" s="302"/>
      <c r="H4" s="17"/>
      <c r="I4" s="17"/>
      <c r="J4" s="568"/>
    </row>
    <row r="5" spans="1:10" ht="12.75">
      <c r="A5" s="226"/>
      <c r="B5" s="567" t="s">
        <v>339</v>
      </c>
      <c r="C5" s="302"/>
      <c r="D5" s="4"/>
      <c r="E5" s="302"/>
      <c r="F5" s="574"/>
      <c r="G5" s="302"/>
      <c r="H5" s="17"/>
      <c r="I5" s="17"/>
      <c r="J5" s="568"/>
    </row>
    <row r="6" spans="1:10" ht="12.75">
      <c r="A6" s="226"/>
      <c r="B6" s="569" t="str">
        <f>B3</f>
        <v>Faktisk  indkøb </v>
      </c>
      <c r="C6" s="302" t="s">
        <v>331</v>
      </c>
      <c r="D6" s="4" t="s">
        <v>340</v>
      </c>
      <c r="E6" s="302"/>
      <c r="F6" s="574"/>
      <c r="G6" s="302"/>
      <c r="H6" s="17"/>
      <c r="I6" s="17"/>
      <c r="J6" s="568"/>
    </row>
    <row r="7" spans="1:10" ht="31.5">
      <c r="A7" s="226"/>
      <c r="B7" s="570">
        <f>B4</f>
        <v>24000</v>
      </c>
      <c r="C7" s="575" t="s">
        <v>21</v>
      </c>
      <c r="D7" s="587">
        <v>80</v>
      </c>
      <c r="E7" s="577" t="s">
        <v>24</v>
      </c>
      <c r="F7" s="578">
        <f>D7*B7</f>
        <v>1920000</v>
      </c>
      <c r="G7" s="302"/>
      <c r="H7" s="17"/>
      <c r="I7" s="17"/>
      <c r="J7" s="568"/>
    </row>
    <row r="8" spans="1:10" ht="12.75">
      <c r="A8" s="226"/>
      <c r="B8" s="567" t="s">
        <v>335</v>
      </c>
      <c r="C8" s="8"/>
      <c r="D8" s="4"/>
      <c r="E8" s="302"/>
      <c r="F8" s="579">
        <f>F7-F4</f>
        <v>-48000</v>
      </c>
      <c r="G8" s="302"/>
      <c r="H8" s="17"/>
      <c r="I8" s="17"/>
      <c r="J8" s="580">
        <f>F8</f>
        <v>-48000</v>
      </c>
    </row>
    <row r="9" spans="1:10" ht="13.5" thickBot="1">
      <c r="A9" s="231"/>
      <c r="B9" s="581" t="str">
        <f>CONCATENATE("Kan også regnes som ",ROUND(D7,2)," - ",ROUND(D4,2)," gange ",B4," = ",F8,". Den budgetterede indkøbspris var ",ROUND(D7,2),", den rigtige indkøbspris blev ",ROUND(D4,2)," derfor er afvigelsen",IF(D4&gt;D7," negativ ",IF(D4=D7," neutral ",IF(D4&lt;D7," positiv"))))</f>
        <v>Kan også regnes som 80 - 82 gange 24000 = -48000. Den budgetterede indkøbspris var 80, den rigtige indkøbspris blev 82 derfor er afvigelsen negativ </v>
      </c>
      <c r="C9" s="175"/>
      <c r="D9" s="175"/>
      <c r="E9" s="582"/>
      <c r="F9" s="175"/>
      <c r="G9" s="175"/>
      <c r="H9" s="250"/>
      <c r="I9" s="250"/>
      <c r="J9" s="583"/>
    </row>
    <row r="10" spans="1:10" ht="15">
      <c r="A10" s="524" t="str">
        <f>'Resultatkontrol side 402'!A14</f>
        <v>note 3</v>
      </c>
      <c r="B10" s="565" t="s">
        <v>335</v>
      </c>
      <c r="C10" s="584" t="s">
        <v>243</v>
      </c>
      <c r="D10" s="220"/>
      <c r="E10" s="335"/>
      <c r="F10" s="335"/>
      <c r="G10" s="335"/>
      <c r="H10" s="251"/>
      <c r="I10" s="251"/>
      <c r="J10" s="566"/>
    </row>
    <row r="11" spans="1:10" ht="12.75">
      <c r="A11" s="226"/>
      <c r="B11" s="567" t="s">
        <v>336</v>
      </c>
      <c r="C11" s="4"/>
      <c r="D11" s="4"/>
      <c r="E11" s="302"/>
      <c r="F11" s="302"/>
      <c r="G11" s="302"/>
      <c r="H11" s="17"/>
      <c r="I11" s="17"/>
      <c r="J11" s="568"/>
    </row>
    <row r="12" spans="1:10" ht="12.75">
      <c r="A12" s="226"/>
      <c r="B12" s="569" t="s">
        <v>337</v>
      </c>
      <c r="C12" s="302" t="s">
        <v>331</v>
      </c>
      <c r="D12" s="4" t="s">
        <v>338</v>
      </c>
      <c r="E12" s="302"/>
      <c r="F12" s="302"/>
      <c r="G12" s="302"/>
      <c r="H12" s="17"/>
      <c r="I12" s="17"/>
      <c r="J12" s="568"/>
    </row>
    <row r="13" spans="1:10" ht="31.5">
      <c r="A13" s="226"/>
      <c r="B13" s="585">
        <v>10000</v>
      </c>
      <c r="C13" s="571" t="s">
        <v>21</v>
      </c>
      <c r="D13" s="576">
        <f>F13/B13</f>
        <v>90</v>
      </c>
      <c r="E13" s="573" t="s">
        <v>24</v>
      </c>
      <c r="F13" s="586">
        <v>900000</v>
      </c>
      <c r="G13" s="302"/>
      <c r="H13" s="17"/>
      <c r="I13" s="17"/>
      <c r="J13" s="568"/>
    </row>
    <row r="14" spans="1:10" ht="12.75">
      <c r="A14" s="226"/>
      <c r="B14" s="567" t="s">
        <v>339</v>
      </c>
      <c r="C14" s="302"/>
      <c r="D14" s="4"/>
      <c r="E14" s="302"/>
      <c r="F14" s="574"/>
      <c r="G14" s="302"/>
      <c r="H14" s="17"/>
      <c r="I14" s="17"/>
      <c r="J14" s="568"/>
    </row>
    <row r="15" spans="1:10" ht="12.75">
      <c r="A15" s="226"/>
      <c r="B15" s="569" t="str">
        <f>B12</f>
        <v>Faktisk  indkøb </v>
      </c>
      <c r="C15" s="302" t="s">
        <v>331</v>
      </c>
      <c r="D15" s="4" t="s">
        <v>340</v>
      </c>
      <c r="E15" s="302"/>
      <c r="F15" s="574"/>
      <c r="G15" s="302"/>
      <c r="H15" s="17"/>
      <c r="I15" s="17"/>
      <c r="J15" s="568"/>
    </row>
    <row r="16" spans="1:10" ht="31.5">
      <c r="A16" s="226"/>
      <c r="B16" s="570">
        <f>B13</f>
        <v>10000</v>
      </c>
      <c r="C16" s="575" t="s">
        <v>21</v>
      </c>
      <c r="D16" s="587">
        <v>90</v>
      </c>
      <c r="E16" s="577" t="s">
        <v>24</v>
      </c>
      <c r="F16" s="578">
        <f>D16*B16</f>
        <v>900000</v>
      </c>
      <c r="G16" s="302"/>
      <c r="H16" s="17"/>
      <c r="I16" s="17"/>
      <c r="J16" s="568"/>
    </row>
    <row r="17" spans="1:10" ht="12.75">
      <c r="A17" s="226"/>
      <c r="B17" s="567" t="s">
        <v>335</v>
      </c>
      <c r="C17" s="8"/>
      <c r="D17" s="4"/>
      <c r="E17" s="302"/>
      <c r="F17" s="579">
        <f>F16-F13</f>
        <v>0</v>
      </c>
      <c r="G17" s="302"/>
      <c r="H17" s="17"/>
      <c r="I17" s="17"/>
      <c r="J17" s="580">
        <f>F17</f>
        <v>0</v>
      </c>
    </row>
    <row r="18" spans="1:10" ht="13.5" thickBot="1">
      <c r="A18" s="231"/>
      <c r="B18" s="581" t="str">
        <f>CONCATENATE("Kan også regnes som ",ROUND(D16,2)," - ",ROUND(D13,2)," gange ",B13," = ",F17,". Den budgetterede indkøbspris var ",ROUND(D16,2),", den rigtige indkøbspris blev ",ROUND(D13,2)," derfor er afvigelsen",IF(D13&gt;D16," negativ ",IF(D13=D16," neutral ",IF(D13&lt;D16," positiv"))))</f>
        <v>Kan også regnes som 90 - 90 gange 10000 = 0. Den budgetterede indkøbspris var 90, den rigtige indkøbspris blev 90 derfor er afvigelsen neutral </v>
      </c>
      <c r="C18" s="175"/>
      <c r="D18" s="175"/>
      <c r="E18" s="582"/>
      <c r="F18" s="175"/>
      <c r="G18" s="175"/>
      <c r="H18" s="250"/>
      <c r="I18" s="250"/>
      <c r="J18" s="583"/>
    </row>
    <row r="19" spans="1:10" ht="15">
      <c r="A19" s="524" t="str">
        <f>'Resultatkontrol side 402'!A15</f>
        <v>note 4</v>
      </c>
      <c r="B19" s="565" t="s">
        <v>335</v>
      </c>
      <c r="C19" s="584" t="s">
        <v>244</v>
      </c>
      <c r="D19" s="220"/>
      <c r="E19" s="335"/>
      <c r="F19" s="335"/>
      <c r="G19" s="335"/>
      <c r="H19" s="251"/>
      <c r="I19" s="251"/>
      <c r="J19" s="566"/>
    </row>
    <row r="20" spans="1:10" ht="12.75">
      <c r="A20" s="226"/>
      <c r="B20" s="567" t="s">
        <v>336</v>
      </c>
      <c r="C20" s="4"/>
      <c r="D20" s="4"/>
      <c r="E20" s="302"/>
      <c r="F20" s="302"/>
      <c r="G20" s="302"/>
      <c r="H20" s="17"/>
      <c r="I20" s="17"/>
      <c r="J20" s="568"/>
    </row>
    <row r="21" spans="1:10" ht="12.75">
      <c r="A21" s="226"/>
      <c r="B21" s="569" t="s">
        <v>337</v>
      </c>
      <c r="C21" s="302" t="s">
        <v>331</v>
      </c>
      <c r="D21" s="4" t="s">
        <v>338</v>
      </c>
      <c r="E21" s="302"/>
      <c r="F21" s="302"/>
      <c r="G21" s="302"/>
      <c r="H21" s="17"/>
      <c r="I21" s="17"/>
      <c r="J21" s="568"/>
    </row>
    <row r="22" spans="1:10" ht="31.5">
      <c r="A22" s="226"/>
      <c r="B22" s="585">
        <v>105000</v>
      </c>
      <c r="C22" s="571" t="s">
        <v>21</v>
      </c>
      <c r="D22" s="576">
        <f>F22/B22</f>
        <v>0.5</v>
      </c>
      <c r="E22" s="573" t="s">
        <v>24</v>
      </c>
      <c r="F22" s="586">
        <v>52500</v>
      </c>
      <c r="G22" s="302"/>
      <c r="H22" s="17"/>
      <c r="I22" s="17"/>
      <c r="J22" s="568"/>
    </row>
    <row r="23" spans="1:10" ht="12.75">
      <c r="A23" s="226"/>
      <c r="B23" s="567" t="s">
        <v>339</v>
      </c>
      <c r="C23" s="302"/>
      <c r="D23" s="4"/>
      <c r="E23" s="302"/>
      <c r="F23" s="574"/>
      <c r="G23" s="302"/>
      <c r="H23" s="17"/>
      <c r="I23" s="17"/>
      <c r="J23" s="568"/>
    </row>
    <row r="24" spans="1:10" ht="12.75">
      <c r="A24" s="226"/>
      <c r="B24" s="569" t="str">
        <f>B21</f>
        <v>Faktisk  indkøb </v>
      </c>
      <c r="C24" s="302" t="s">
        <v>331</v>
      </c>
      <c r="D24" s="4" t="s">
        <v>340</v>
      </c>
      <c r="E24" s="302"/>
      <c r="F24" s="574"/>
      <c r="G24" s="302"/>
      <c r="H24" s="17"/>
      <c r="I24" s="17"/>
      <c r="J24" s="568"/>
    </row>
    <row r="25" spans="1:10" ht="31.5">
      <c r="A25" s="226"/>
      <c r="B25" s="570">
        <f>B22</f>
        <v>105000</v>
      </c>
      <c r="C25" s="575" t="s">
        <v>21</v>
      </c>
      <c r="D25" s="587">
        <v>0.5</v>
      </c>
      <c r="E25" s="577" t="s">
        <v>24</v>
      </c>
      <c r="F25" s="578">
        <f>D25*B25</f>
        <v>52500</v>
      </c>
      <c r="G25" s="302"/>
      <c r="H25" s="17"/>
      <c r="I25" s="17"/>
      <c r="J25" s="568"/>
    </row>
    <row r="26" spans="1:10" ht="12.75">
      <c r="A26" s="226"/>
      <c r="B26" s="567" t="s">
        <v>335</v>
      </c>
      <c r="C26" s="8"/>
      <c r="D26" s="4"/>
      <c r="E26" s="302"/>
      <c r="F26" s="579">
        <f>F25-F22</f>
        <v>0</v>
      </c>
      <c r="G26" s="302"/>
      <c r="H26" s="17"/>
      <c r="I26" s="17"/>
      <c r="J26" s="580">
        <f>F26</f>
        <v>0</v>
      </c>
    </row>
    <row r="27" spans="1:10" ht="13.5" thickBot="1">
      <c r="A27" s="231"/>
      <c r="B27" s="581" t="str">
        <f>CONCATENATE("Kan også regnes som ",ROUND(D25,2)," - ",ROUND(D22,2)," gange ",B22," = ",F26,". Den budgetterede indkøbspris var ",ROUND(D25,2),", den rigtige indkøbspris blev ",ROUND(D22,2)," derfor er afvigelsen",IF(D22&gt;D25," negativ ",IF(D22=D25," neutral ",IF(D22&lt;D25," positiv"))))</f>
        <v>Kan også regnes som 0,5 - 0,5 gange 105000 = 0. Den budgetterede indkøbspris var 0,5, den rigtige indkøbspris blev 0,5 derfor er afvigelsen neutral </v>
      </c>
      <c r="C27" s="175"/>
      <c r="D27" s="175"/>
      <c r="E27" s="582"/>
      <c r="F27" s="175"/>
      <c r="G27" s="175"/>
      <c r="H27" s="250"/>
      <c r="I27" s="250"/>
      <c r="J27" s="583"/>
    </row>
    <row r="28" spans="1:10" ht="15">
      <c r="A28" s="524" t="str">
        <f>'Resultatkontrol side 402'!A16</f>
        <v>note 5</v>
      </c>
      <c r="B28" s="565" t="s">
        <v>335</v>
      </c>
      <c r="C28" s="241" t="s">
        <v>341</v>
      </c>
      <c r="D28" s="220"/>
      <c r="E28" s="335"/>
      <c r="F28" s="335"/>
      <c r="G28" s="335"/>
      <c r="H28" s="251"/>
      <c r="I28" s="251"/>
      <c r="J28" s="566"/>
    </row>
    <row r="29" spans="1:10" ht="12.75">
      <c r="A29" s="226"/>
      <c r="B29" s="567" t="s">
        <v>336</v>
      </c>
      <c r="C29" s="4"/>
      <c r="D29" s="4"/>
      <c r="E29" s="302"/>
      <c r="F29" s="302"/>
      <c r="G29" s="302"/>
      <c r="H29" s="17"/>
      <c r="I29" s="17"/>
      <c r="J29" s="568"/>
    </row>
    <row r="30" spans="1:10" ht="12.75">
      <c r="A30" s="226"/>
      <c r="B30" s="569" t="s">
        <v>337</v>
      </c>
      <c r="C30" s="302" t="s">
        <v>331</v>
      </c>
      <c r="D30" s="4" t="s">
        <v>338</v>
      </c>
      <c r="E30" s="302"/>
      <c r="F30" s="302"/>
      <c r="G30" s="302"/>
      <c r="H30" s="17"/>
      <c r="I30" s="17"/>
      <c r="J30" s="568"/>
    </row>
    <row r="31" spans="1:10" ht="31.5">
      <c r="A31" s="226"/>
      <c r="B31" s="585">
        <v>120000</v>
      </c>
      <c r="C31" s="571" t="s">
        <v>21</v>
      </c>
      <c r="D31" s="576">
        <f>F31/B31</f>
        <v>1</v>
      </c>
      <c r="E31" s="573" t="s">
        <v>24</v>
      </c>
      <c r="F31" s="586">
        <v>120000</v>
      </c>
      <c r="G31" s="302"/>
      <c r="H31" s="17"/>
      <c r="I31" s="17"/>
      <c r="J31" s="568"/>
    </row>
    <row r="32" spans="1:10" ht="12.75">
      <c r="A32" s="226"/>
      <c r="B32" s="567" t="s">
        <v>339</v>
      </c>
      <c r="C32" s="302"/>
      <c r="D32" s="4"/>
      <c r="E32" s="302"/>
      <c r="F32" s="574"/>
      <c r="G32" s="302"/>
      <c r="H32" s="17"/>
      <c r="I32" s="17"/>
      <c r="J32" s="568"/>
    </row>
    <row r="33" spans="1:10" ht="12.75">
      <c r="A33" s="226"/>
      <c r="B33" s="569" t="str">
        <f>B30</f>
        <v>Faktisk  indkøb </v>
      </c>
      <c r="C33" s="302" t="s">
        <v>331</v>
      </c>
      <c r="D33" s="4" t="s">
        <v>340</v>
      </c>
      <c r="E33" s="302"/>
      <c r="F33" s="574"/>
      <c r="G33" s="302"/>
      <c r="H33" s="17"/>
      <c r="I33" s="17"/>
      <c r="J33" s="568"/>
    </row>
    <row r="34" spans="1:10" ht="31.5">
      <c r="A34" s="226"/>
      <c r="B34" s="570">
        <f>B31</f>
        <v>120000</v>
      </c>
      <c r="C34" s="575" t="s">
        <v>21</v>
      </c>
      <c r="D34" s="587">
        <v>1</v>
      </c>
      <c r="E34" s="577" t="s">
        <v>24</v>
      </c>
      <c r="F34" s="578">
        <f>D34*B34</f>
        <v>120000</v>
      </c>
      <c r="G34" s="302"/>
      <c r="H34" s="17"/>
      <c r="I34" s="17"/>
      <c r="J34" s="568"/>
    </row>
    <row r="35" spans="1:10" ht="12.75">
      <c r="A35" s="226"/>
      <c r="B35" s="567" t="s">
        <v>335</v>
      </c>
      <c r="C35" s="8"/>
      <c r="D35" s="4"/>
      <c r="E35" s="302"/>
      <c r="F35" s="579">
        <f>F34-F31</f>
        <v>0</v>
      </c>
      <c r="G35" s="302"/>
      <c r="H35" s="17"/>
      <c r="I35" s="17"/>
      <c r="J35" s="580">
        <f>F35</f>
        <v>0</v>
      </c>
    </row>
    <row r="36" spans="1:10" ht="13.5" thickBot="1">
      <c r="A36" s="231"/>
      <c r="B36" s="581" t="str">
        <f>CONCATENATE("Kan også regnes som ",ROUND(D34,2)," - ",ROUND(D31,2)," gange ",B31," = ",F35,". Den budgetterede indkøbspris var ",ROUND(D34,2),", den rigtige indkøbspris blev ",ROUND(D31,2)," derfor er afvigelsen",IF(D31&gt;D34," negativ ",IF(D31=D34," neutral ",IF(D31&lt;D34," positiv"))))</f>
        <v>Kan også regnes som 1 - 1 gange 120000 = 0. Den budgetterede indkøbspris var 1, den rigtige indkøbspris blev 1 derfor er afvigelsen neutral </v>
      </c>
      <c r="C36" s="175"/>
      <c r="D36" s="175"/>
      <c r="E36" s="582"/>
      <c r="F36" s="175"/>
      <c r="G36" s="175"/>
      <c r="H36" s="250"/>
      <c r="I36" s="250"/>
      <c r="J36" s="583"/>
    </row>
  </sheetData>
  <sheetProtection/>
  <mergeCells count="4">
    <mergeCell ref="E1:G1"/>
    <mergeCell ref="E10:G10"/>
    <mergeCell ref="E19:G19"/>
    <mergeCell ref="E28:G28"/>
  </mergeCells>
  <printOptions/>
  <pageMargins left="0.7480314960629921" right="0.7480314960629921" top="0.984251968503937" bottom="0.984251968503937" header="0.5118110236220472" footer="0.5118110236220472"/>
  <pageSetup fitToHeight="1" fitToWidth="1" horizontalDpi="600" verticalDpi="600" orientation="landscape" paperSize="9" scale="75"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J36"/>
  <sheetViews>
    <sheetView zoomScale="150" zoomScaleNormal="150" zoomScalePageLayoutView="0" workbookViewId="0" topLeftCell="A1">
      <selection activeCell="A1" sqref="A1"/>
    </sheetView>
  </sheetViews>
  <sheetFormatPr defaultColWidth="9.140625" defaultRowHeight="12.75"/>
  <cols>
    <col min="2" max="2" width="22.00390625" style="0" customWidth="1"/>
    <col min="3" max="3" width="12.421875" style="0" customWidth="1"/>
    <col min="4" max="4" width="14.8515625" style="0" customWidth="1"/>
    <col min="6" max="6" width="17.00390625" style="0" customWidth="1"/>
    <col min="9" max="9" width="12.140625" style="0" customWidth="1"/>
    <col min="10" max="10" width="12.57421875" style="0" customWidth="1"/>
  </cols>
  <sheetData>
    <row r="1" spans="1:10" ht="15">
      <c r="A1" s="524" t="str">
        <f>'Resultatkontrol side 402'!A18</f>
        <v>note 6</v>
      </c>
      <c r="B1" s="565" t="s">
        <v>342</v>
      </c>
      <c r="C1" s="241" t="s">
        <v>343</v>
      </c>
      <c r="D1" s="220"/>
      <c r="E1" s="335"/>
      <c r="F1" s="335"/>
      <c r="G1" s="335"/>
      <c r="H1" s="251"/>
      <c r="I1" s="251"/>
      <c r="J1" s="566"/>
    </row>
    <row r="2" spans="1:10" ht="12.75">
      <c r="A2" s="226"/>
      <c r="B2" s="567" t="s">
        <v>344</v>
      </c>
      <c r="C2" s="4"/>
      <c r="D2" s="4"/>
      <c r="E2" s="302"/>
      <c r="F2" s="302"/>
      <c r="G2" s="302"/>
      <c r="H2" s="17"/>
      <c r="I2" s="17"/>
      <c r="J2" s="568"/>
    </row>
    <row r="3" spans="1:10" ht="12.75">
      <c r="A3" s="226"/>
      <c r="B3" s="569" t="s">
        <v>345</v>
      </c>
      <c r="C3" s="302" t="s">
        <v>331</v>
      </c>
      <c r="D3" s="4" t="s">
        <v>346</v>
      </c>
      <c r="E3" s="302"/>
      <c r="F3" s="302"/>
      <c r="G3" s="302"/>
      <c r="H3" s="17"/>
      <c r="I3" s="17"/>
      <c r="J3" s="568"/>
    </row>
    <row r="4" spans="1:10" ht="31.5">
      <c r="A4" s="226"/>
      <c r="B4" s="585">
        <v>4800</v>
      </c>
      <c r="C4" s="571" t="s">
        <v>21</v>
      </c>
      <c r="D4" s="576">
        <f>F4/B4</f>
        <v>242</v>
      </c>
      <c r="E4" s="573" t="s">
        <v>24</v>
      </c>
      <c r="F4" s="586">
        <v>1161600</v>
      </c>
      <c r="G4" s="302"/>
      <c r="H4" s="17"/>
      <c r="I4" s="17"/>
      <c r="J4" s="568"/>
    </row>
    <row r="5" spans="1:10" ht="12.75">
      <c r="A5" s="226"/>
      <c r="B5" s="567" t="s">
        <v>347</v>
      </c>
      <c r="C5" s="302"/>
      <c r="D5" s="4"/>
      <c r="E5" s="302"/>
      <c r="F5" s="574"/>
      <c r="G5" s="302"/>
      <c r="H5" s="17"/>
      <c r="I5" s="17"/>
      <c r="J5" s="568"/>
    </row>
    <row r="6" spans="1:10" ht="12.75">
      <c r="A6" s="226"/>
      <c r="B6" s="569" t="str">
        <f>B3</f>
        <v>Faktisk udbetalet timer</v>
      </c>
      <c r="C6" s="302" t="s">
        <v>331</v>
      </c>
      <c r="D6" s="4" t="s">
        <v>348</v>
      </c>
      <c r="E6" s="302"/>
      <c r="F6" s="574"/>
      <c r="G6" s="302"/>
      <c r="H6" s="17"/>
      <c r="I6" s="17"/>
      <c r="J6" s="568"/>
    </row>
    <row r="7" spans="1:10" ht="31.5">
      <c r="A7" s="226"/>
      <c r="B7" s="570">
        <f>B4</f>
        <v>4800</v>
      </c>
      <c r="C7" s="575" t="s">
        <v>21</v>
      </c>
      <c r="D7" s="587">
        <v>250</v>
      </c>
      <c r="E7" s="577" t="s">
        <v>24</v>
      </c>
      <c r="F7" s="578">
        <f>D7*B7</f>
        <v>1200000</v>
      </c>
      <c r="G7" s="302"/>
      <c r="H7" s="17"/>
      <c r="I7" s="17"/>
      <c r="J7" s="568"/>
    </row>
    <row r="8" spans="1:10" ht="12.75">
      <c r="A8" s="226"/>
      <c r="B8" s="567" t="s">
        <v>342</v>
      </c>
      <c r="C8" s="8"/>
      <c r="D8" s="4"/>
      <c r="E8" s="302"/>
      <c r="F8" s="579">
        <f>F7-F4</f>
        <v>38400</v>
      </c>
      <c r="G8" s="302"/>
      <c r="H8" s="17"/>
      <c r="I8" s="17"/>
      <c r="J8" s="580">
        <f>F8</f>
        <v>38400</v>
      </c>
    </row>
    <row r="9" spans="1:10" ht="13.5" thickBot="1">
      <c r="A9" s="231"/>
      <c r="B9" s="581" t="str">
        <f>CONCATENATE("Kan også regnes som ",ROUND(D7,2)," - ",ROUND(D4,2)," gange ",B4," = ",F8,". Den budgetterede indkøbspris var ",ROUND(D7,2),", den rigtige indkøbspris blev ",ROUND(D4,2)," derfor er afvigelsen",IF(D4&gt;D7," negativ ",IF(D4=D7," neutral ",IF(D4&lt;D7," positiv"))))</f>
        <v>Kan også regnes som 250 - 242 gange 4800 = 38400. Den budgetterede indkøbspris var 250, den rigtige indkøbspris blev 242 derfor er afvigelsen positiv</v>
      </c>
      <c r="C9" s="175"/>
      <c r="D9" s="175"/>
      <c r="E9" s="582"/>
      <c r="F9" s="175"/>
      <c r="G9" s="175"/>
      <c r="H9" s="250"/>
      <c r="I9" s="250"/>
      <c r="J9" s="583"/>
    </row>
    <row r="10" spans="1:10" ht="15">
      <c r="A10" s="524" t="str">
        <f>'Resultatkontrol side 402'!A19</f>
        <v>note 7</v>
      </c>
      <c r="B10" s="565" t="s">
        <v>342</v>
      </c>
      <c r="C10" s="241" t="s">
        <v>349</v>
      </c>
      <c r="D10" s="220"/>
      <c r="E10" s="335"/>
      <c r="F10" s="335"/>
      <c r="G10" s="335"/>
      <c r="H10" s="251"/>
      <c r="I10" s="251"/>
      <c r="J10" s="566"/>
    </row>
    <row r="11" spans="1:10" ht="12.75">
      <c r="A11" s="226"/>
      <c r="B11" s="567" t="s">
        <v>344</v>
      </c>
      <c r="C11" s="4"/>
      <c r="D11" s="4"/>
      <c r="E11" s="302"/>
      <c r="F11" s="302"/>
      <c r="G11" s="302"/>
      <c r="H11" s="17"/>
      <c r="I11" s="17"/>
      <c r="J11" s="568"/>
    </row>
    <row r="12" spans="1:10" ht="12.75">
      <c r="A12" s="226"/>
      <c r="B12" s="569" t="s">
        <v>345</v>
      </c>
      <c r="C12" s="302" t="s">
        <v>331</v>
      </c>
      <c r="D12" s="4" t="s">
        <v>346</v>
      </c>
      <c r="E12" s="302"/>
      <c r="F12" s="302"/>
      <c r="G12" s="302"/>
      <c r="H12" s="17"/>
      <c r="I12" s="17"/>
      <c r="J12" s="568"/>
    </row>
    <row r="13" spans="1:10" ht="31.5">
      <c r="A13" s="226"/>
      <c r="B13" s="585">
        <v>10000</v>
      </c>
      <c r="C13" s="571" t="s">
        <v>21</v>
      </c>
      <c r="D13" s="576">
        <f>F13/B13</f>
        <v>100</v>
      </c>
      <c r="E13" s="573" t="s">
        <v>24</v>
      </c>
      <c r="F13" s="586">
        <v>1000000</v>
      </c>
      <c r="G13" s="302"/>
      <c r="H13" s="17"/>
      <c r="I13" s="17"/>
      <c r="J13" s="568"/>
    </row>
    <row r="14" spans="1:10" ht="12.75">
      <c r="A14" s="226"/>
      <c r="B14" s="567" t="s">
        <v>347</v>
      </c>
      <c r="C14" s="302"/>
      <c r="D14" s="4"/>
      <c r="E14" s="302"/>
      <c r="F14" s="574"/>
      <c r="G14" s="302"/>
      <c r="H14" s="17"/>
      <c r="I14" s="17"/>
      <c r="J14" s="568"/>
    </row>
    <row r="15" spans="1:10" ht="12.75">
      <c r="A15" s="226"/>
      <c r="B15" s="569" t="str">
        <f>B12</f>
        <v>Faktisk udbetalet timer</v>
      </c>
      <c r="C15" s="302" t="s">
        <v>331</v>
      </c>
      <c r="D15" s="4" t="s">
        <v>348</v>
      </c>
      <c r="E15" s="302"/>
      <c r="F15" s="574"/>
      <c r="G15" s="302"/>
      <c r="H15" s="17"/>
      <c r="I15" s="17"/>
      <c r="J15" s="568"/>
    </row>
    <row r="16" spans="1:10" ht="31.5">
      <c r="A16" s="226"/>
      <c r="B16" s="570">
        <f>B13</f>
        <v>10000</v>
      </c>
      <c r="C16" s="575" t="s">
        <v>21</v>
      </c>
      <c r="D16" s="587">
        <v>100</v>
      </c>
      <c r="E16" s="577" t="s">
        <v>24</v>
      </c>
      <c r="F16" s="578">
        <f>D16*B16</f>
        <v>1000000</v>
      </c>
      <c r="G16" s="302"/>
      <c r="H16" s="17"/>
      <c r="I16" s="17"/>
      <c r="J16" s="568"/>
    </row>
    <row r="17" spans="1:10" ht="12.75">
      <c r="A17" s="226"/>
      <c r="B17" s="567" t="s">
        <v>342</v>
      </c>
      <c r="C17" s="8"/>
      <c r="D17" s="4"/>
      <c r="E17" s="302"/>
      <c r="F17" s="579">
        <f>F16-F13</f>
        <v>0</v>
      </c>
      <c r="G17" s="302"/>
      <c r="H17" s="17"/>
      <c r="I17" s="17"/>
      <c r="J17" s="580">
        <f>F17</f>
        <v>0</v>
      </c>
    </row>
    <row r="18" spans="1:10" ht="13.5" thickBot="1">
      <c r="A18" s="231"/>
      <c r="B18" s="581" t="str">
        <f>CONCATENATE("Kan også regnes som ",ROUND(D16,2)," - ",ROUND(D13,2)," gange ",B13," = ",F17,". Den budgetterede indkøbspris var ",ROUND(D16,2),", den rigtige indkøbspris blev ",ROUND(D13,2)," derfor er afvigelsen",IF(D13&gt;D16," negativ ",IF(D13=D16," neutral ",IF(D13&lt;D16," positiv"))))</f>
        <v>Kan også regnes som 100 - 100 gange 10000 = 0. Den budgetterede indkøbspris var 100, den rigtige indkøbspris blev 100 derfor er afvigelsen neutral </v>
      </c>
      <c r="C18" s="175"/>
      <c r="D18" s="175"/>
      <c r="E18" s="582"/>
      <c r="F18" s="175"/>
      <c r="G18" s="175"/>
      <c r="H18" s="250"/>
      <c r="I18" s="250"/>
      <c r="J18" s="583"/>
    </row>
    <row r="19" spans="1:10" ht="15">
      <c r="A19" s="524" t="str">
        <f>'Resultatkontrol side 402'!A20</f>
        <v>note 8</v>
      </c>
      <c r="B19" s="565" t="s">
        <v>342</v>
      </c>
      <c r="C19" s="241" t="s">
        <v>350</v>
      </c>
      <c r="D19" s="220"/>
      <c r="E19" s="335"/>
      <c r="F19" s="335"/>
      <c r="G19" s="335"/>
      <c r="H19" s="251"/>
      <c r="I19" s="251"/>
      <c r="J19" s="566"/>
    </row>
    <row r="20" spans="1:10" ht="12.75">
      <c r="A20" s="226"/>
      <c r="B20" s="567" t="s">
        <v>344</v>
      </c>
      <c r="C20" s="4"/>
      <c r="D20" s="4"/>
      <c r="E20" s="302"/>
      <c r="F20" s="302"/>
      <c r="G20" s="302"/>
      <c r="H20" s="17"/>
      <c r="I20" s="17"/>
      <c r="J20" s="568"/>
    </row>
    <row r="21" spans="1:10" ht="12.75">
      <c r="A21" s="226"/>
      <c r="B21" s="569" t="s">
        <v>345</v>
      </c>
      <c r="C21" s="302" t="s">
        <v>331</v>
      </c>
      <c r="D21" s="4" t="s">
        <v>346</v>
      </c>
      <c r="E21" s="302"/>
      <c r="F21" s="302"/>
      <c r="G21" s="302"/>
      <c r="H21" s="17"/>
      <c r="I21" s="17"/>
      <c r="J21" s="568"/>
    </row>
    <row r="22" spans="1:10" ht="31.5">
      <c r="A22" s="226"/>
      <c r="B22" s="585">
        <v>10000</v>
      </c>
      <c r="C22" s="571" t="s">
        <v>21</v>
      </c>
      <c r="D22" s="576">
        <f>F22/B22</f>
        <v>100</v>
      </c>
      <c r="E22" s="573" t="s">
        <v>24</v>
      </c>
      <c r="F22" s="586">
        <v>1000000</v>
      </c>
      <c r="G22" s="302"/>
      <c r="H22" s="17"/>
      <c r="I22" s="17"/>
      <c r="J22" s="568"/>
    </row>
    <row r="23" spans="1:10" ht="12.75">
      <c r="A23" s="226"/>
      <c r="B23" s="567" t="s">
        <v>347</v>
      </c>
      <c r="C23" s="302"/>
      <c r="D23" s="4"/>
      <c r="E23" s="302"/>
      <c r="F23" s="574"/>
      <c r="G23" s="302"/>
      <c r="H23" s="17"/>
      <c r="I23" s="17"/>
      <c r="J23" s="568"/>
    </row>
    <row r="24" spans="1:10" ht="12.75">
      <c r="A24" s="226"/>
      <c r="B24" s="569" t="str">
        <f>B21</f>
        <v>Faktisk udbetalet timer</v>
      </c>
      <c r="C24" s="302" t="s">
        <v>331</v>
      </c>
      <c r="D24" s="4" t="s">
        <v>348</v>
      </c>
      <c r="E24" s="302"/>
      <c r="F24" s="574"/>
      <c r="G24" s="302"/>
      <c r="H24" s="17"/>
      <c r="I24" s="17"/>
      <c r="J24" s="568"/>
    </row>
    <row r="25" spans="1:10" ht="31.5">
      <c r="A25" s="226"/>
      <c r="B25" s="570">
        <f>B22</f>
        <v>10000</v>
      </c>
      <c r="C25" s="575" t="s">
        <v>21</v>
      </c>
      <c r="D25" s="587">
        <v>100</v>
      </c>
      <c r="E25" s="577" t="s">
        <v>24</v>
      </c>
      <c r="F25" s="578">
        <f>D25*B25</f>
        <v>1000000</v>
      </c>
      <c r="G25" s="302"/>
      <c r="H25" s="17"/>
      <c r="I25" s="17"/>
      <c r="J25" s="568"/>
    </row>
    <row r="26" spans="1:10" ht="12.75">
      <c r="A26" s="226"/>
      <c r="B26" s="567" t="s">
        <v>342</v>
      </c>
      <c r="C26" s="8"/>
      <c r="D26" s="4"/>
      <c r="E26" s="302"/>
      <c r="F26" s="579">
        <f>F25-F22</f>
        <v>0</v>
      </c>
      <c r="G26" s="302"/>
      <c r="H26" s="17"/>
      <c r="I26" s="17"/>
      <c r="J26" s="580">
        <f>F26</f>
        <v>0</v>
      </c>
    </row>
    <row r="27" spans="1:10" ht="13.5" thickBot="1">
      <c r="A27" s="231"/>
      <c r="B27" s="581" t="str">
        <f>CONCATENATE("Kan også regnes som ",ROUND(D25,2)," - ",ROUND(D22,2)," gange ",B22," = ",F26,". Den budgetterede indkøbspris var ",ROUND(D25,2),", den rigtige indkøbspris blev ",ROUND(D22,2)," derfor er afvigelsen",IF(D22&gt;D25," negativ ",IF(D22=D25," neutral ",IF(D22&lt;D25," positiv"))))</f>
        <v>Kan også regnes som 100 - 100 gange 10000 = 0. Den budgetterede indkøbspris var 100, den rigtige indkøbspris blev 100 derfor er afvigelsen neutral </v>
      </c>
      <c r="C27" s="175"/>
      <c r="D27" s="175"/>
      <c r="E27" s="582"/>
      <c r="F27" s="175"/>
      <c r="G27" s="175"/>
      <c r="H27" s="250"/>
      <c r="I27" s="250"/>
      <c r="J27" s="583"/>
    </row>
    <row r="28" spans="1:10" ht="15">
      <c r="A28" s="524" t="str">
        <f>'Resultatkontrol side 402'!A21</f>
        <v>note 9</v>
      </c>
      <c r="B28" s="565" t="s">
        <v>342</v>
      </c>
      <c r="C28" s="241" t="s">
        <v>351</v>
      </c>
      <c r="D28" s="220"/>
      <c r="E28" s="335"/>
      <c r="F28" s="335"/>
      <c r="G28" s="335"/>
      <c r="H28" s="251"/>
      <c r="I28" s="251"/>
      <c r="J28" s="566"/>
    </row>
    <row r="29" spans="1:10" ht="12.75">
      <c r="A29" s="226"/>
      <c r="B29" s="567" t="s">
        <v>344</v>
      </c>
      <c r="C29" s="4"/>
      <c r="D29" s="4"/>
      <c r="E29" s="302"/>
      <c r="F29" s="302"/>
      <c r="G29" s="302"/>
      <c r="H29" s="17"/>
      <c r="I29" s="17"/>
      <c r="J29" s="568"/>
    </row>
    <row r="30" spans="1:10" ht="12.75">
      <c r="A30" s="226"/>
      <c r="B30" s="569" t="s">
        <v>345</v>
      </c>
      <c r="C30" s="302" t="s">
        <v>331</v>
      </c>
      <c r="D30" s="4" t="s">
        <v>346</v>
      </c>
      <c r="E30" s="302"/>
      <c r="F30" s="302"/>
      <c r="G30" s="302"/>
      <c r="H30" s="17"/>
      <c r="I30" s="17"/>
      <c r="J30" s="568"/>
    </row>
    <row r="31" spans="1:10" ht="31.5">
      <c r="A31" s="226"/>
      <c r="B31" s="585">
        <v>10000</v>
      </c>
      <c r="C31" s="571" t="s">
        <v>21</v>
      </c>
      <c r="D31" s="576">
        <f>F31/B31</f>
        <v>100</v>
      </c>
      <c r="E31" s="573" t="s">
        <v>24</v>
      </c>
      <c r="F31" s="586">
        <v>1000000</v>
      </c>
      <c r="G31" s="302"/>
      <c r="H31" s="17"/>
      <c r="I31" s="17"/>
      <c r="J31" s="568"/>
    </row>
    <row r="32" spans="1:10" ht="12.75">
      <c r="A32" s="226"/>
      <c r="B32" s="567" t="s">
        <v>347</v>
      </c>
      <c r="C32" s="302"/>
      <c r="D32" s="4"/>
      <c r="E32" s="302"/>
      <c r="F32" s="574"/>
      <c r="G32" s="302"/>
      <c r="H32" s="17"/>
      <c r="I32" s="17"/>
      <c r="J32" s="568"/>
    </row>
    <row r="33" spans="1:10" ht="12.75">
      <c r="A33" s="226"/>
      <c r="B33" s="569" t="str">
        <f>B30</f>
        <v>Faktisk udbetalet timer</v>
      </c>
      <c r="C33" s="302" t="s">
        <v>331</v>
      </c>
      <c r="D33" s="4" t="s">
        <v>348</v>
      </c>
      <c r="E33" s="302"/>
      <c r="F33" s="574"/>
      <c r="G33" s="302"/>
      <c r="H33" s="17"/>
      <c r="I33" s="17"/>
      <c r="J33" s="568"/>
    </row>
    <row r="34" spans="1:10" ht="31.5">
      <c r="A34" s="226"/>
      <c r="B34" s="570">
        <f>B31</f>
        <v>10000</v>
      </c>
      <c r="C34" s="575" t="s">
        <v>21</v>
      </c>
      <c r="D34" s="587">
        <v>100</v>
      </c>
      <c r="E34" s="577" t="s">
        <v>24</v>
      </c>
      <c r="F34" s="578">
        <f>D34*B34</f>
        <v>1000000</v>
      </c>
      <c r="G34" s="302"/>
      <c r="H34" s="17"/>
      <c r="I34" s="17"/>
      <c r="J34" s="568"/>
    </row>
    <row r="35" spans="1:10" ht="12.75">
      <c r="A35" s="226"/>
      <c r="B35" s="567" t="s">
        <v>342</v>
      </c>
      <c r="C35" s="8"/>
      <c r="D35" s="4"/>
      <c r="E35" s="302"/>
      <c r="F35" s="579">
        <f>F34-F31</f>
        <v>0</v>
      </c>
      <c r="G35" s="302"/>
      <c r="H35" s="17"/>
      <c r="I35" s="17"/>
      <c r="J35" s="580">
        <f>F35</f>
        <v>0</v>
      </c>
    </row>
    <row r="36" spans="1:10" ht="13.5" thickBot="1">
      <c r="A36" s="231"/>
      <c r="B36" s="581" t="str">
        <f>CONCATENATE("Kan også regnes som ",ROUND(D34,2)," - ",ROUND(D31,2)," gange ",B31," = ",F35,". Den budgetterede indkøbspris var ",ROUND(D34,2),", den rigtige indkøbspris blev ",ROUND(D31,2)," derfor er afvigelsen",IF(D31&gt;D34," negativ ",IF(D31=D34," neutral ",IF(D31&lt;D34," positiv"))))</f>
        <v>Kan også regnes som 100 - 100 gange 10000 = 0. Den budgetterede indkøbspris var 100, den rigtige indkøbspris blev 100 derfor er afvigelsen neutral </v>
      </c>
      <c r="C36" s="175"/>
      <c r="D36" s="175"/>
      <c r="E36" s="582"/>
      <c r="F36" s="175"/>
      <c r="G36" s="175"/>
      <c r="H36" s="250"/>
      <c r="I36" s="250"/>
      <c r="J36" s="583"/>
    </row>
  </sheetData>
  <sheetProtection/>
  <mergeCells count="4">
    <mergeCell ref="E1:G1"/>
    <mergeCell ref="E10:G10"/>
    <mergeCell ref="E19:G19"/>
    <mergeCell ref="E28:G28"/>
  </mergeCells>
  <printOptions/>
  <pageMargins left="0.7480314960629921" right="0.7480314960629921" top="0.984251968503937" bottom="0.984251968503937" header="0.5118110236220472" footer="0.5118110236220472"/>
  <pageSetup fitToHeight="1" fitToWidth="1" horizontalDpi="600" verticalDpi="600" orientation="landscape" paperSize="9" scale="75" r:id="rId3"/>
  <legacyDrawing r:id="rId2"/>
</worksheet>
</file>

<file path=xl/worksheets/sheet2.xml><?xml version="1.0" encoding="utf-8"?>
<worksheet xmlns="http://schemas.openxmlformats.org/spreadsheetml/2006/main" xmlns:r="http://schemas.openxmlformats.org/officeDocument/2006/relationships">
  <dimension ref="A1:J49"/>
  <sheetViews>
    <sheetView zoomScale="150" zoomScaleNormal="150" zoomScalePageLayoutView="0" workbookViewId="0" topLeftCell="B1">
      <selection activeCell="J31" sqref="J31"/>
    </sheetView>
  </sheetViews>
  <sheetFormatPr defaultColWidth="9.140625" defaultRowHeight="12.75"/>
  <cols>
    <col min="1" max="1" width="28.8515625" style="0" customWidth="1"/>
    <col min="2" max="2" width="16.7109375" style="0" customWidth="1"/>
    <col min="5" max="5" width="10.7109375" style="0" bestFit="1" customWidth="1"/>
  </cols>
  <sheetData>
    <row r="1" spans="1:5" ht="13.5" thickBot="1">
      <c r="A1" s="173" t="s">
        <v>88</v>
      </c>
      <c r="B1" s="333" t="s">
        <v>133</v>
      </c>
      <c r="C1" s="333"/>
      <c r="D1" s="333"/>
      <c r="E1" s="333"/>
    </row>
    <row r="2" spans="1:9" ht="15">
      <c r="A2" s="349" t="s">
        <v>91</v>
      </c>
      <c r="B2" s="350"/>
      <c r="C2" s="350"/>
      <c r="D2" s="350"/>
      <c r="E2" s="350"/>
      <c r="F2" s="350"/>
      <c r="G2" s="350"/>
      <c r="H2" s="350"/>
      <c r="I2" s="351"/>
    </row>
    <row r="3" spans="1:9" ht="12.75">
      <c r="A3" s="3" t="s">
        <v>92</v>
      </c>
      <c r="B3" s="4"/>
      <c r="C3" s="4"/>
      <c r="D3" s="4"/>
      <c r="E3" s="4"/>
      <c r="F3" s="4"/>
      <c r="G3" s="4"/>
      <c r="H3" s="352">
        <f>H4+5000</f>
        <v>15850</v>
      </c>
      <c r="I3" s="353"/>
    </row>
    <row r="4" spans="1:9" ht="12.75">
      <c r="A4" s="3" t="s">
        <v>93</v>
      </c>
      <c r="B4" s="4"/>
      <c r="C4" s="4"/>
      <c r="D4" s="4"/>
      <c r="E4" s="4"/>
      <c r="F4" s="4"/>
      <c r="G4" s="4"/>
      <c r="H4" s="354">
        <f>(9000000*0.05)/1000+(160000000*0.065)/1000</f>
        <v>10850</v>
      </c>
      <c r="I4" s="355"/>
    </row>
    <row r="5" spans="1:9" ht="13.5" thickBot="1">
      <c r="A5" s="174" t="s">
        <v>94</v>
      </c>
      <c r="B5" s="175"/>
      <c r="C5" s="175"/>
      <c r="D5" s="175"/>
      <c r="E5" s="175"/>
      <c r="F5" s="175"/>
      <c r="G5" s="175"/>
      <c r="H5" s="356">
        <f>H3-H4</f>
        <v>5000</v>
      </c>
      <c r="I5" s="357"/>
    </row>
    <row r="6" spans="1:9" ht="15.75" thickBot="1">
      <c r="A6" s="358" t="s">
        <v>95</v>
      </c>
      <c r="B6" s="359"/>
      <c r="C6" s="359"/>
      <c r="D6" s="359"/>
      <c r="E6" s="359"/>
      <c r="F6" s="359"/>
      <c r="G6" s="359"/>
      <c r="H6" s="359"/>
      <c r="I6" s="360"/>
    </row>
    <row r="7" spans="1:9" ht="12.75">
      <c r="A7" s="334" t="s">
        <v>96</v>
      </c>
      <c r="B7" s="335"/>
      <c r="C7" s="336"/>
      <c r="D7" s="334" t="s">
        <v>97</v>
      </c>
      <c r="E7" s="335"/>
      <c r="F7" s="335"/>
      <c r="G7" s="335"/>
      <c r="H7" s="335"/>
      <c r="I7" s="336"/>
    </row>
    <row r="8" spans="1:9" ht="12.75">
      <c r="A8" s="3" t="s">
        <v>98</v>
      </c>
      <c r="B8" s="4"/>
      <c r="C8" s="176">
        <v>269000</v>
      </c>
      <c r="D8" s="3" t="s">
        <v>99</v>
      </c>
      <c r="E8" s="4"/>
      <c r="F8" s="4"/>
      <c r="G8" s="4"/>
      <c r="H8" s="4"/>
      <c r="I8" s="5"/>
    </row>
    <row r="9" spans="1:9" ht="12.75">
      <c r="A9" s="3" t="s">
        <v>100</v>
      </c>
      <c r="B9" s="4"/>
      <c r="C9" s="176">
        <v>144000</v>
      </c>
      <c r="D9" s="3" t="s">
        <v>101</v>
      </c>
      <c r="E9" s="4"/>
      <c r="F9" s="4"/>
      <c r="G9" s="4"/>
      <c r="H9" s="4"/>
      <c r="I9" s="176">
        <v>146000</v>
      </c>
    </row>
    <row r="10" spans="1:9" ht="12.75">
      <c r="A10" s="3" t="s">
        <v>102</v>
      </c>
      <c r="B10" s="4"/>
      <c r="C10" s="176">
        <v>0</v>
      </c>
      <c r="D10" s="3" t="s">
        <v>103</v>
      </c>
      <c r="E10" s="4"/>
      <c r="F10" s="4"/>
      <c r="G10" s="4"/>
      <c r="H10" s="4"/>
      <c r="I10" s="176">
        <v>9000</v>
      </c>
    </row>
    <row r="11" spans="1:9" ht="12.75">
      <c r="A11" s="3" t="s">
        <v>104</v>
      </c>
      <c r="B11" s="4"/>
      <c r="C11" s="176">
        <v>0</v>
      </c>
      <c r="D11" s="3" t="s">
        <v>105</v>
      </c>
      <c r="E11" s="4"/>
      <c r="F11" s="4"/>
      <c r="G11" s="4"/>
      <c r="H11" s="4"/>
      <c r="I11" s="176">
        <v>0</v>
      </c>
    </row>
    <row r="12" spans="1:9" ht="12.75">
      <c r="A12" s="3" t="s">
        <v>106</v>
      </c>
      <c r="B12" s="4"/>
      <c r="C12" s="176">
        <v>0</v>
      </c>
      <c r="D12" s="3" t="s">
        <v>107</v>
      </c>
      <c r="E12" s="4"/>
      <c r="F12" s="4"/>
      <c r="G12" s="4"/>
      <c r="H12" s="4"/>
      <c r="I12" s="176">
        <v>258000</v>
      </c>
    </row>
    <row r="13" spans="1:9" ht="13.5" thickBot="1">
      <c r="A13" s="174" t="s">
        <v>108</v>
      </c>
      <c r="B13" s="175"/>
      <c r="C13" s="177">
        <f>SUM(C8:C12)</f>
        <v>413000</v>
      </c>
      <c r="D13" s="174" t="s">
        <v>109</v>
      </c>
      <c r="E13" s="175"/>
      <c r="F13" s="175"/>
      <c r="G13" s="175"/>
      <c r="H13" s="175"/>
      <c r="I13" s="177">
        <f>SUM(I9:I12)</f>
        <v>413000</v>
      </c>
    </row>
    <row r="14" ht="9.75" customHeight="1"/>
    <row r="15" spans="1:9" ht="13.5" thickBot="1">
      <c r="A15" t="s">
        <v>110</v>
      </c>
      <c r="I15" s="40" t="s">
        <v>111</v>
      </c>
    </row>
    <row r="16" spans="1:9" ht="13.5" hidden="1" thickBot="1">
      <c r="A16" s="328" t="s">
        <v>112</v>
      </c>
      <c r="B16" s="178" t="s">
        <v>98</v>
      </c>
      <c r="C16" s="31" t="s">
        <v>113</v>
      </c>
      <c r="D16" s="319" t="s">
        <v>24</v>
      </c>
      <c r="E16" s="31">
        <f>C8</f>
        <v>269000</v>
      </c>
      <c r="F16" s="31" t="s">
        <v>113</v>
      </c>
      <c r="G16" s="319" t="s">
        <v>24</v>
      </c>
      <c r="H16" s="322">
        <f>E16/E17</f>
        <v>0.6513317191283293</v>
      </c>
      <c r="I16" s="363"/>
    </row>
    <row r="17" spans="1:10" ht="13.5" hidden="1" thickBot="1">
      <c r="A17" s="329"/>
      <c r="B17" s="330" t="s">
        <v>114</v>
      </c>
      <c r="C17" s="330"/>
      <c r="D17" s="320"/>
      <c r="E17" s="330">
        <f>C13</f>
        <v>413000</v>
      </c>
      <c r="F17" s="330"/>
      <c r="G17" s="320"/>
      <c r="H17" s="323"/>
      <c r="I17" s="342"/>
      <c r="J17" s="145"/>
    </row>
    <row r="18" spans="1:9" ht="13.5" hidden="1" thickBot="1">
      <c r="A18" s="328" t="s">
        <v>115</v>
      </c>
      <c r="B18" s="179" t="str">
        <f>D8</f>
        <v>Langfristet kapital</v>
      </c>
      <c r="C18" s="180" t="str">
        <f>C16</f>
        <v>*100</v>
      </c>
      <c r="D18" s="319" t="s">
        <v>24</v>
      </c>
      <c r="E18" s="181">
        <f>I10+I9+I8</f>
        <v>155000</v>
      </c>
      <c r="F18" s="180" t="str">
        <f>F16</f>
        <v>*100</v>
      </c>
      <c r="G18" s="319" t="s">
        <v>24</v>
      </c>
      <c r="H18" s="322">
        <f>E18/E19</f>
        <v>0.37530266343825663</v>
      </c>
      <c r="I18" s="317" t="str">
        <f>CONCATENATE("&gt;",ROUND(H16*100,0),"%")</f>
        <v>&gt;65%</v>
      </c>
    </row>
    <row r="19" spans="1:9" ht="13.5" hidden="1" thickBot="1">
      <c r="A19" s="329"/>
      <c r="B19" s="321" t="s">
        <v>116</v>
      </c>
      <c r="C19" s="321"/>
      <c r="D19" s="320"/>
      <c r="E19" s="321">
        <f>I13</f>
        <v>413000</v>
      </c>
      <c r="F19" s="321"/>
      <c r="G19" s="320"/>
      <c r="H19" s="323"/>
      <c r="I19" s="318"/>
    </row>
    <row r="20" spans="1:9" ht="13.5" hidden="1" thickBot="1">
      <c r="A20" s="328" t="s">
        <v>117</v>
      </c>
      <c r="B20" s="178" t="s">
        <v>118</v>
      </c>
      <c r="C20" s="31" t="s">
        <v>113</v>
      </c>
      <c r="D20" s="319" t="s">
        <v>24</v>
      </c>
      <c r="E20" s="31">
        <f>I12+I10+I11</f>
        <v>267000</v>
      </c>
      <c r="F20" s="31" t="s">
        <v>113</v>
      </c>
      <c r="G20" s="319" t="s">
        <v>24</v>
      </c>
      <c r="H20" s="322">
        <f>E20/E21</f>
        <v>0.6464891041162227</v>
      </c>
      <c r="I20" s="337">
        <v>0.7</v>
      </c>
    </row>
    <row r="21" spans="1:9" ht="13.5" hidden="1" thickBot="1">
      <c r="A21" s="329"/>
      <c r="B21" s="330" t="str">
        <f>B19</f>
        <v>Passiver </v>
      </c>
      <c r="C21" s="330"/>
      <c r="D21" s="320"/>
      <c r="E21" s="330">
        <f>C13</f>
        <v>413000</v>
      </c>
      <c r="F21" s="330"/>
      <c r="G21" s="320"/>
      <c r="H21" s="323"/>
      <c r="I21" s="338"/>
    </row>
    <row r="22" spans="1:9" ht="13.5" thickBot="1">
      <c r="A22" s="328" t="s">
        <v>119</v>
      </c>
      <c r="B22" s="178" t="str">
        <f>D9</f>
        <v>Egenkapital</v>
      </c>
      <c r="C22" s="31" t="s">
        <v>113</v>
      </c>
      <c r="D22" s="319" t="s">
        <v>24</v>
      </c>
      <c r="E22" s="31">
        <f>I9</f>
        <v>146000</v>
      </c>
      <c r="F22" s="31" t="s">
        <v>113</v>
      </c>
      <c r="G22" s="319" t="s">
        <v>24</v>
      </c>
      <c r="H22" s="322">
        <f>E22/E23</f>
        <v>0.35351089588377727</v>
      </c>
      <c r="I22" s="324">
        <f>(I20-1)*-1</f>
        <v>0.30000000000000004</v>
      </c>
    </row>
    <row r="23" spans="1:9" ht="13.5" thickBot="1">
      <c r="A23" s="329"/>
      <c r="B23" s="330" t="str">
        <f>B21</f>
        <v>Passiver </v>
      </c>
      <c r="C23" s="330"/>
      <c r="D23" s="320"/>
      <c r="E23" s="330">
        <f>I13</f>
        <v>413000</v>
      </c>
      <c r="F23" s="330"/>
      <c r="G23" s="320"/>
      <c r="H23" s="323"/>
      <c r="I23" s="325"/>
    </row>
    <row r="24" spans="1:9" ht="13.5" hidden="1" thickBot="1">
      <c r="A24" s="328" t="s">
        <v>120</v>
      </c>
      <c r="B24" s="178" t="s">
        <v>118</v>
      </c>
      <c r="C24" s="31"/>
      <c r="D24" s="319" t="s">
        <v>24</v>
      </c>
      <c r="E24" s="31">
        <f>I12+I10+I11</f>
        <v>267000</v>
      </c>
      <c r="F24" s="31"/>
      <c r="G24" s="319" t="s">
        <v>24</v>
      </c>
      <c r="H24" s="331">
        <f>E24/E25</f>
        <v>1.8287671232876712</v>
      </c>
      <c r="I24" s="326">
        <f>I20/I22</f>
        <v>2.333333333333333</v>
      </c>
    </row>
    <row r="25" spans="1:9" ht="13.5" hidden="1" thickBot="1">
      <c r="A25" s="329"/>
      <c r="B25" s="330" t="s">
        <v>101</v>
      </c>
      <c r="C25" s="330"/>
      <c r="D25" s="320"/>
      <c r="E25" s="330">
        <f>I9</f>
        <v>146000</v>
      </c>
      <c r="F25" s="330"/>
      <c r="G25" s="320"/>
      <c r="H25" s="332"/>
      <c r="I25" s="327"/>
    </row>
    <row r="26" spans="1:9" ht="13.5" thickBot="1">
      <c r="A26" s="328" t="s">
        <v>121</v>
      </c>
      <c r="B26" s="182" t="str">
        <f>A3</f>
        <v>Resultat før renter</v>
      </c>
      <c r="C26" s="183" t="str">
        <f>C22</f>
        <v>*100</v>
      </c>
      <c r="D26" s="319" t="s">
        <v>24</v>
      </c>
      <c r="E26" s="184">
        <f>H3</f>
        <v>15850</v>
      </c>
      <c r="F26" s="183" t="s">
        <v>113</v>
      </c>
      <c r="G26" s="319" t="s">
        <v>24</v>
      </c>
      <c r="H26" s="361">
        <f>E26/E27</f>
        <v>0.03837772397094431</v>
      </c>
      <c r="I26" s="341">
        <v>0.15</v>
      </c>
    </row>
    <row r="27" spans="1:9" ht="13.5" thickBot="1">
      <c r="A27" s="329"/>
      <c r="B27" s="321" t="str">
        <f>B17</f>
        <v>Aktiver</v>
      </c>
      <c r="C27" s="321"/>
      <c r="D27" s="320"/>
      <c r="E27" s="330">
        <f>C13</f>
        <v>413000</v>
      </c>
      <c r="F27" s="330"/>
      <c r="G27" s="320"/>
      <c r="H27" s="362"/>
      <c r="I27" s="342"/>
    </row>
    <row r="28" spans="1:9" ht="13.5" thickBot="1">
      <c r="A28" s="328" t="s">
        <v>122</v>
      </c>
      <c r="B28" s="178" t="str">
        <f>A4</f>
        <v>Renter</v>
      </c>
      <c r="C28" s="183" t="str">
        <f>C26</f>
        <v>*100</v>
      </c>
      <c r="D28" s="319" t="s">
        <v>24</v>
      </c>
      <c r="E28" s="184">
        <f>H4</f>
        <v>10850</v>
      </c>
      <c r="F28" s="183" t="str">
        <f>F26</f>
        <v>*100</v>
      </c>
      <c r="G28" s="319" t="s">
        <v>24</v>
      </c>
      <c r="H28" s="361">
        <f>E28/E29</f>
        <v>0.04063670411985019</v>
      </c>
      <c r="I28" s="339" t="s">
        <v>123</v>
      </c>
    </row>
    <row r="29" spans="1:9" ht="13.5" thickBot="1">
      <c r="A29" s="329"/>
      <c r="B29" s="321" t="s">
        <v>124</v>
      </c>
      <c r="C29" s="321"/>
      <c r="D29" s="320"/>
      <c r="E29" s="321">
        <f>I10+I12+I11</f>
        <v>267000</v>
      </c>
      <c r="F29" s="321"/>
      <c r="G29" s="320"/>
      <c r="H29" s="362"/>
      <c r="I29" s="340"/>
    </row>
    <row r="30" spans="1:9" ht="13.5" thickBot="1">
      <c r="A30" s="328" t="s">
        <v>125</v>
      </c>
      <c r="B30" s="182" t="str">
        <f>A5</f>
        <v>Resultat efter renter</v>
      </c>
      <c r="C30" s="183" t="str">
        <f>C28</f>
        <v>*100</v>
      </c>
      <c r="D30" s="319" t="s">
        <v>24</v>
      </c>
      <c r="E30" s="185">
        <f>H5</f>
        <v>5000</v>
      </c>
      <c r="F30" s="169" t="str">
        <f>F28</f>
        <v>*100</v>
      </c>
      <c r="G30" s="319" t="s">
        <v>24</v>
      </c>
      <c r="H30" s="367">
        <f>E30/E31</f>
        <v>0.03424657534246575</v>
      </c>
      <c r="I30" s="339" t="str">
        <f>CONCATENATE("&gt;",I26*100,"%")</f>
        <v>&gt;15%</v>
      </c>
    </row>
    <row r="31" spans="1:9" ht="13.5" thickBot="1">
      <c r="A31" s="329"/>
      <c r="B31" s="321" t="str">
        <f>D9</f>
        <v>Egenkapital</v>
      </c>
      <c r="C31" s="321"/>
      <c r="D31" s="320"/>
      <c r="E31" s="330">
        <f>I9</f>
        <v>146000</v>
      </c>
      <c r="F31" s="330"/>
      <c r="G31" s="320"/>
      <c r="H31" s="368"/>
      <c r="I31" s="340"/>
    </row>
    <row r="32" spans="1:9" ht="13.5" hidden="1" thickBot="1">
      <c r="A32" s="328" t="s">
        <v>126</v>
      </c>
      <c r="B32" s="178" t="s">
        <v>98</v>
      </c>
      <c r="C32" s="31" t="s">
        <v>113</v>
      </c>
      <c r="D32" s="319" t="s">
        <v>24</v>
      </c>
      <c r="E32" s="31">
        <f>C8</f>
        <v>269000</v>
      </c>
      <c r="F32" s="31" t="s">
        <v>113</v>
      </c>
      <c r="G32" s="319" t="s">
        <v>24</v>
      </c>
      <c r="H32" s="322">
        <f>E32/E33</f>
        <v>1.735483870967742</v>
      </c>
      <c r="I32" s="339" t="s">
        <v>127</v>
      </c>
    </row>
    <row r="33" spans="1:9" ht="13.5" hidden="1" thickBot="1">
      <c r="A33" s="329"/>
      <c r="B33" s="330" t="s">
        <v>128</v>
      </c>
      <c r="C33" s="330"/>
      <c r="D33" s="320"/>
      <c r="E33" s="330">
        <f>I10+I9</f>
        <v>155000</v>
      </c>
      <c r="F33" s="330"/>
      <c r="G33" s="320"/>
      <c r="H33" s="323"/>
      <c r="I33" s="340"/>
    </row>
    <row r="34" spans="1:9" ht="13.5" hidden="1" thickBot="1">
      <c r="A34" s="328" t="s">
        <v>129</v>
      </c>
      <c r="B34" s="31" t="s">
        <v>130</v>
      </c>
      <c r="C34" s="31" t="s">
        <v>113</v>
      </c>
      <c r="D34" s="319" t="s">
        <v>24</v>
      </c>
      <c r="E34" s="31">
        <f>C9+C12+C11</f>
        <v>144000</v>
      </c>
      <c r="F34" s="31" t="s">
        <v>113</v>
      </c>
      <c r="G34" s="319" t="s">
        <v>24</v>
      </c>
      <c r="H34" s="322">
        <f>E34/E35</f>
        <v>0.5581395348837209</v>
      </c>
      <c r="I34" s="337">
        <v>1</v>
      </c>
    </row>
    <row r="35" spans="1:9" ht="13.5" hidden="1" thickBot="1">
      <c r="A35" s="329"/>
      <c r="B35" s="330" t="s">
        <v>131</v>
      </c>
      <c r="C35" s="330"/>
      <c r="D35" s="320"/>
      <c r="E35" s="330">
        <f>I12</f>
        <v>258000</v>
      </c>
      <c r="F35" s="330"/>
      <c r="G35" s="320"/>
      <c r="H35" s="323"/>
      <c r="I35" s="338"/>
    </row>
    <row r="36" spans="1:9" ht="13.5" hidden="1" thickBot="1">
      <c r="A36" s="328" t="s">
        <v>132</v>
      </c>
      <c r="B36" s="31" t="s">
        <v>100</v>
      </c>
      <c r="C36" s="31" t="s">
        <v>113</v>
      </c>
      <c r="D36" s="319" t="s">
        <v>24</v>
      </c>
      <c r="E36" s="31">
        <f>C9+C10+C12+C11</f>
        <v>144000</v>
      </c>
      <c r="F36" s="31" t="s">
        <v>113</v>
      </c>
      <c r="G36" s="319" t="s">
        <v>24</v>
      </c>
      <c r="H36" s="322">
        <f>E36/E37</f>
        <v>0.5581395348837209</v>
      </c>
      <c r="I36" s="337">
        <v>1</v>
      </c>
    </row>
    <row r="37" spans="1:9" ht="13.5" hidden="1" thickBot="1">
      <c r="A37" s="329"/>
      <c r="B37" s="330" t="s">
        <v>131</v>
      </c>
      <c r="C37" s="330"/>
      <c r="D37" s="320"/>
      <c r="E37" s="330">
        <f>I12</f>
        <v>258000</v>
      </c>
      <c r="F37" s="330"/>
      <c r="G37" s="320"/>
      <c r="H37" s="323"/>
      <c r="I37" s="343"/>
    </row>
    <row r="38" spans="1:9" ht="12.75" customHeight="1">
      <c r="A38" s="344" t="str">
        <f>CONCATENATE("Soliditeten ligger på ",ROUND(H22*100,0),"%",,IF(H22&gt;I22," hvilket er over kravet på "," hvilket er under kravet på "),I22*100,"%. ",B1," har dermed en ",IF(H22&gt;I22,"mindre","større")," finansiel risiko end ønsket. ",ROUND(H20*100,0),"% af ",B1,"'s kapital er finansieret med fremmedkapital dvs. gearingen er ",ROUND(I24,1),". Det er ",IF(H26&gt;H28,"i orden","ikke i orden"),", da ",B1,IF(H26&gt;H28," tjener"," taber")," på at arbejde med fremmedkapitalen, rentemarginalen er på ",ROUND((H26-H28)*100,1),"%. Egenkapitalens forrentning ligger dermed",IF(H30&gt;H26," over "," under "),"afkastningsgraden. Afkastningsgraden ligger på ",ROUND(H26*100,1),"%, et",IF(H26&gt;I26," tilfredsstillende niveau"," utilfredsstillende niveau"),"sammenlignet med kravet.")</f>
        <v>Soliditeten ligger på 35% hvilket er over kravet på 30%. SUNKIST har dermed en mindre finansiel risiko end ønsket. 65% af SUNKIST's kapital er finansieret med fremmedkapital dvs. gearingen er 2,3. Det er ikke i orden, da SUNKIST taber på at arbejde med fremmedkapitalen, rentemarginalen er på -0,2%. Egenkapitalens forrentning ligger dermed under afkastningsgraden. Afkastningsgraden ligger på 3,8%, et utilfredsstillende niveausammenlignet med kravet.</v>
      </c>
      <c r="B38" s="345"/>
      <c r="C38" s="345"/>
      <c r="D38" s="345"/>
      <c r="E38" s="345"/>
      <c r="F38" s="345"/>
      <c r="G38" s="345"/>
      <c r="H38" s="345"/>
      <c r="I38" s="346"/>
    </row>
    <row r="39" spans="1:9" ht="12.75" customHeight="1">
      <c r="A39" s="347"/>
      <c r="B39" s="316"/>
      <c r="C39" s="316"/>
      <c r="D39" s="316"/>
      <c r="E39" s="316"/>
      <c r="F39" s="316"/>
      <c r="G39" s="316"/>
      <c r="H39" s="316"/>
      <c r="I39" s="348"/>
    </row>
    <row r="40" spans="1:9" ht="12.75" customHeight="1">
      <c r="A40" s="347"/>
      <c r="B40" s="316"/>
      <c r="C40" s="316"/>
      <c r="D40" s="316"/>
      <c r="E40" s="316"/>
      <c r="F40" s="316"/>
      <c r="G40" s="316"/>
      <c r="H40" s="316"/>
      <c r="I40" s="348"/>
    </row>
    <row r="41" spans="1:9" ht="12.75" customHeight="1">
      <c r="A41" s="347"/>
      <c r="B41" s="316"/>
      <c r="C41" s="316"/>
      <c r="D41" s="316"/>
      <c r="E41" s="316"/>
      <c r="F41" s="316"/>
      <c r="G41" s="316"/>
      <c r="H41" s="316"/>
      <c r="I41" s="348"/>
    </row>
    <row r="42" spans="1:9" ht="12.75" customHeight="1">
      <c r="A42" s="347"/>
      <c r="B42" s="316"/>
      <c r="C42" s="316"/>
      <c r="D42" s="316"/>
      <c r="E42" s="316"/>
      <c r="F42" s="316"/>
      <c r="G42" s="316"/>
      <c r="H42" s="316"/>
      <c r="I42" s="348"/>
    </row>
    <row r="43" spans="1:9" ht="12.75" customHeight="1">
      <c r="A43" s="347"/>
      <c r="B43" s="316"/>
      <c r="C43" s="316"/>
      <c r="D43" s="316"/>
      <c r="E43" s="316"/>
      <c r="F43" s="316"/>
      <c r="G43" s="316"/>
      <c r="H43" s="316"/>
      <c r="I43" s="348"/>
    </row>
    <row r="44" spans="1:9" ht="32.25" customHeight="1">
      <c r="A44" s="347"/>
      <c r="B44" s="316"/>
      <c r="C44" s="316"/>
      <c r="D44" s="316"/>
      <c r="E44" s="316"/>
      <c r="F44" s="316"/>
      <c r="G44" s="316"/>
      <c r="H44" s="316"/>
      <c r="I44" s="348"/>
    </row>
    <row r="45" spans="1:9" ht="12.75">
      <c r="A45" s="347" t="str">
        <f>CONCATENATE("Likviditetsgrad 1 ligger på ",ROUND(H34*100,0),"% hvilket er",IF(H34&lt;I34," under"," over")," kravet som er på ",I34*100,"%, likviditeten er dermed",IF(H34&lt;I34," utilfredsstillende."," tilfredsstillende.")," Likviditetsgrad 2 er",IF(H36&gt;I36," over"," under")," kravet. Kapitalbindingsgraden ligger på ",ROUND(H32*100,0),"% den skal helst ligge under 100%, så andelen af langfristet kapital",IF(H32&gt;100%," bør øges for at dække finansieringen af anlægsaktiverne."," dækker til fulde finansieringen af anlægsaktiverne.")," Dette forhold afspejles også ved at anlægsgraden ligger",IF(H16&lt;H18," under "," over "),"langfristet kapitalgrad.")</f>
        <v>Likviditetsgrad 1 ligger på 56% hvilket er under kravet som er på 100%, likviditeten er dermed utilfredsstillende. Likviditetsgrad 2 er under kravet. Kapitalbindingsgraden ligger på 174% den skal helst ligge under 100%, så andelen af langfristet kapital bør øges for at dække finansieringen af anlægsaktiverne. Dette forhold afspejles også ved at anlægsgraden ligger over langfristet kapitalgrad.</v>
      </c>
      <c r="B45" s="316"/>
      <c r="C45" s="316"/>
      <c r="D45" s="316"/>
      <c r="E45" s="316"/>
      <c r="F45" s="316"/>
      <c r="G45" s="316"/>
      <c r="H45" s="316"/>
      <c r="I45" s="348"/>
    </row>
    <row r="46" spans="1:9" ht="12.75">
      <c r="A46" s="347"/>
      <c r="B46" s="316"/>
      <c r="C46" s="316"/>
      <c r="D46" s="316"/>
      <c r="E46" s="316"/>
      <c r="F46" s="316"/>
      <c r="G46" s="316"/>
      <c r="H46" s="316"/>
      <c r="I46" s="348"/>
    </row>
    <row r="47" spans="1:9" ht="12.75">
      <c r="A47" s="347"/>
      <c r="B47" s="316"/>
      <c r="C47" s="316"/>
      <c r="D47" s="316"/>
      <c r="E47" s="316"/>
      <c r="F47" s="316"/>
      <c r="G47" s="316"/>
      <c r="H47" s="316"/>
      <c r="I47" s="348"/>
    </row>
    <row r="48" spans="1:9" ht="12.75">
      <c r="A48" s="347"/>
      <c r="B48" s="316"/>
      <c r="C48" s="316"/>
      <c r="D48" s="316"/>
      <c r="E48" s="316"/>
      <c r="F48" s="316"/>
      <c r="G48" s="316"/>
      <c r="H48" s="316"/>
      <c r="I48" s="348"/>
    </row>
    <row r="49" spans="1:9" ht="39" customHeight="1" thickBot="1">
      <c r="A49" s="364"/>
      <c r="B49" s="365"/>
      <c r="C49" s="365"/>
      <c r="D49" s="365"/>
      <c r="E49" s="365"/>
      <c r="F49" s="365"/>
      <c r="G49" s="365"/>
      <c r="H49" s="365"/>
      <c r="I49" s="366"/>
    </row>
  </sheetData>
  <sheetProtection/>
  <mergeCells count="87">
    <mergeCell ref="A45:I49"/>
    <mergeCell ref="H28:H29"/>
    <mergeCell ref="I28:I29"/>
    <mergeCell ref="A30:A31"/>
    <mergeCell ref="B31:C31"/>
    <mergeCell ref="D30:D31"/>
    <mergeCell ref="E31:F31"/>
    <mergeCell ref="G30:G31"/>
    <mergeCell ref="H30:H31"/>
    <mergeCell ref="I30:I31"/>
    <mergeCell ref="A6:I6"/>
    <mergeCell ref="A26:A27"/>
    <mergeCell ref="B27:C27"/>
    <mergeCell ref="D26:D27"/>
    <mergeCell ref="E27:F27"/>
    <mergeCell ref="G26:G27"/>
    <mergeCell ref="H26:H27"/>
    <mergeCell ref="I16:I17"/>
    <mergeCell ref="H16:H17"/>
    <mergeCell ref="G20:G21"/>
    <mergeCell ref="I32:I33"/>
    <mergeCell ref="I26:I27"/>
    <mergeCell ref="I34:I35"/>
    <mergeCell ref="I36:I37"/>
    <mergeCell ref="A38:I44"/>
    <mergeCell ref="A2:I2"/>
    <mergeCell ref="H3:I3"/>
    <mergeCell ref="H4:I4"/>
    <mergeCell ref="H5:I5"/>
    <mergeCell ref="A28:A29"/>
    <mergeCell ref="A16:A17"/>
    <mergeCell ref="I20:I21"/>
    <mergeCell ref="G16:G17"/>
    <mergeCell ref="H18:H19"/>
    <mergeCell ref="A20:A21"/>
    <mergeCell ref="D20:D21"/>
    <mergeCell ref="B21:C21"/>
    <mergeCell ref="E19:F19"/>
    <mergeCell ref="B1:E1"/>
    <mergeCell ref="E21:F21"/>
    <mergeCell ref="B17:C17"/>
    <mergeCell ref="D16:D17"/>
    <mergeCell ref="E17:F17"/>
    <mergeCell ref="A7:C7"/>
    <mergeCell ref="D7:I7"/>
    <mergeCell ref="A18:A19"/>
    <mergeCell ref="B19:C19"/>
    <mergeCell ref="D18:D19"/>
    <mergeCell ref="E23:F23"/>
    <mergeCell ref="A22:A23"/>
    <mergeCell ref="D22:D23"/>
    <mergeCell ref="A24:A25"/>
    <mergeCell ref="D24:D25"/>
    <mergeCell ref="G24:G25"/>
    <mergeCell ref="B23:C23"/>
    <mergeCell ref="H24:H25"/>
    <mergeCell ref="B25:C25"/>
    <mergeCell ref="E25:F25"/>
    <mergeCell ref="A32:A33"/>
    <mergeCell ref="D32:D33"/>
    <mergeCell ref="G32:G33"/>
    <mergeCell ref="H32:H33"/>
    <mergeCell ref="B33:C33"/>
    <mergeCell ref="E33:F33"/>
    <mergeCell ref="B29:C29"/>
    <mergeCell ref="A34:A35"/>
    <mergeCell ref="D34:D35"/>
    <mergeCell ref="G34:G35"/>
    <mergeCell ref="H34:H35"/>
    <mergeCell ref="B35:C35"/>
    <mergeCell ref="E35:F35"/>
    <mergeCell ref="A36:A37"/>
    <mergeCell ref="D36:D37"/>
    <mergeCell ref="G36:G37"/>
    <mergeCell ref="H36:H37"/>
    <mergeCell ref="B37:C37"/>
    <mergeCell ref="E37:F37"/>
    <mergeCell ref="I18:I19"/>
    <mergeCell ref="D28:D29"/>
    <mergeCell ref="E29:F29"/>
    <mergeCell ref="G28:G29"/>
    <mergeCell ref="G18:G19"/>
    <mergeCell ref="G22:G23"/>
    <mergeCell ref="H22:H23"/>
    <mergeCell ref="I22:I23"/>
    <mergeCell ref="I24:I25"/>
    <mergeCell ref="H20:H21"/>
  </mergeCells>
  <printOptions/>
  <pageMargins left="1.1811023622047245" right="0.5905511811023623" top="0.1968503937007874" bottom="0.1968503937007874" header="0.5118110236220472" footer="0.5118110236220472"/>
  <pageSetup horizontalDpi="600" verticalDpi="600" orientation="landscape" paperSize="9" scale="80"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I31"/>
  <sheetViews>
    <sheetView zoomScale="220" zoomScaleNormal="220" workbookViewId="0" topLeftCell="A1">
      <pane xSplit="2" ySplit="4" topLeftCell="C24"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18.7109375" style="0" customWidth="1"/>
    <col min="2" max="2" width="16.57421875" style="0" customWidth="1"/>
    <col min="3" max="3" width="9.421875" style="0" customWidth="1"/>
    <col min="4" max="4" width="10.7109375" style="0" customWidth="1"/>
    <col min="5" max="6" width="10.8515625" style="0" customWidth="1"/>
    <col min="7" max="7" width="11.140625" style="0" customWidth="1"/>
  </cols>
  <sheetData>
    <row r="1" ht="13.5" thickBot="1">
      <c r="A1" s="307" t="str">
        <f>'Resultatkontrol side 402'!A23</f>
        <v>note 10</v>
      </c>
    </row>
    <row r="2" spans="1:9" ht="18">
      <c r="A2" s="588" t="s">
        <v>352</v>
      </c>
      <c r="B2" s="589"/>
      <c r="C2" s="589"/>
      <c r="D2" s="589"/>
      <c r="E2" s="589"/>
      <c r="F2" s="589"/>
      <c r="G2" s="590"/>
      <c r="H2" s="40"/>
      <c r="I2" s="40"/>
    </row>
    <row r="3" spans="1:7" ht="35.25" customHeight="1">
      <c r="A3" s="119"/>
      <c r="B3" s="591"/>
      <c r="C3" s="592" t="s">
        <v>353</v>
      </c>
      <c r="D3" s="592" t="s">
        <v>354</v>
      </c>
      <c r="E3" s="592" t="s">
        <v>244</v>
      </c>
      <c r="F3" s="593" t="s">
        <v>245</v>
      </c>
      <c r="G3" s="594" t="s">
        <v>355</v>
      </c>
    </row>
    <row r="4" spans="1:7" ht="15">
      <c r="A4" s="559" t="s">
        <v>356</v>
      </c>
      <c r="B4" s="591"/>
      <c r="C4" s="592" t="s">
        <v>357</v>
      </c>
      <c r="D4" s="592" t="s">
        <v>358</v>
      </c>
      <c r="E4" s="592" t="s">
        <v>359</v>
      </c>
      <c r="F4" s="593" t="s">
        <v>360</v>
      </c>
      <c r="G4" s="594" t="s">
        <v>164</v>
      </c>
    </row>
    <row r="5" spans="1:7" ht="15">
      <c r="A5" s="595" t="s">
        <v>361</v>
      </c>
      <c r="B5" s="596"/>
      <c r="C5" s="597">
        <v>23000</v>
      </c>
      <c r="D5" s="597">
        <v>9600</v>
      </c>
      <c r="E5" s="597">
        <v>95000</v>
      </c>
      <c r="F5" s="598">
        <v>57000</v>
      </c>
      <c r="G5" s="599">
        <v>4750</v>
      </c>
    </row>
    <row r="6" spans="1:7" ht="15">
      <c r="A6" s="600" t="s">
        <v>362</v>
      </c>
      <c r="B6" s="601"/>
      <c r="C6" s="597">
        <v>0</v>
      </c>
      <c r="D6" s="597">
        <v>0</v>
      </c>
      <c r="E6" s="597">
        <v>0</v>
      </c>
      <c r="F6" s="598">
        <v>0</v>
      </c>
      <c r="G6" s="599">
        <v>0</v>
      </c>
    </row>
    <row r="7" spans="1:7" ht="15">
      <c r="A7" s="602" t="s">
        <v>363</v>
      </c>
      <c r="B7" s="603"/>
      <c r="C7" s="604">
        <v>0</v>
      </c>
      <c r="D7" s="604">
        <v>0</v>
      </c>
      <c r="E7" s="604">
        <v>0</v>
      </c>
      <c r="F7" s="605">
        <v>0</v>
      </c>
      <c r="G7" s="606">
        <v>0</v>
      </c>
    </row>
    <row r="8" spans="1:7" ht="15">
      <c r="A8" s="607" t="s">
        <v>364</v>
      </c>
      <c r="B8" s="608"/>
      <c r="C8" s="609">
        <f>C5+C6-C7</f>
        <v>23000</v>
      </c>
      <c r="D8" s="609">
        <f>D5+D6-D7</f>
        <v>9600</v>
      </c>
      <c r="E8" s="609">
        <f>E5+E6-E7</f>
        <v>95000</v>
      </c>
      <c r="F8" s="609">
        <f>F5+F6-F7</f>
        <v>57000</v>
      </c>
      <c r="G8" s="610">
        <f>G5+G6-G7</f>
        <v>4750</v>
      </c>
    </row>
    <row r="9" spans="1:7" ht="12.75">
      <c r="A9" s="3"/>
      <c r="B9" s="4"/>
      <c r="C9" s="611"/>
      <c r="D9" s="611"/>
      <c r="E9" s="611"/>
      <c r="F9" s="612"/>
      <c r="G9" s="613"/>
    </row>
    <row r="10" spans="1:7" ht="15">
      <c r="A10" s="614" t="s">
        <v>365</v>
      </c>
      <c r="B10" s="615"/>
      <c r="C10" s="611"/>
      <c r="D10" s="611"/>
      <c r="E10" s="611"/>
      <c r="F10" s="612"/>
      <c r="G10" s="613"/>
    </row>
    <row r="11" spans="1:7" ht="15">
      <c r="A11" s="616" t="s">
        <v>366</v>
      </c>
      <c r="B11" s="617"/>
      <c r="C11" s="609"/>
      <c r="D11" s="609"/>
      <c r="E11" s="609"/>
      <c r="F11" s="618"/>
      <c r="G11" s="610"/>
    </row>
    <row r="12" spans="1:7" ht="15">
      <c r="A12" s="619" t="s">
        <v>367</v>
      </c>
      <c r="B12" s="620"/>
      <c r="C12" s="597">
        <f>9300*2.3</f>
        <v>21390</v>
      </c>
      <c r="D12" s="597">
        <f>9300</f>
        <v>9300</v>
      </c>
      <c r="E12" s="597">
        <v>93000</v>
      </c>
      <c r="F12" s="598">
        <v>55800</v>
      </c>
      <c r="G12" s="599">
        <f>9300*0.5</f>
        <v>4650</v>
      </c>
    </row>
    <row r="13" spans="1:7" ht="15">
      <c r="A13" s="619" t="s">
        <v>368</v>
      </c>
      <c r="B13" s="620"/>
      <c r="C13" s="597">
        <v>0</v>
      </c>
      <c r="D13" s="597">
        <v>0</v>
      </c>
      <c r="E13" s="597">
        <v>0</v>
      </c>
      <c r="F13" s="598">
        <v>0</v>
      </c>
      <c r="G13" s="599">
        <v>0</v>
      </c>
    </row>
    <row r="14" spans="1:7" ht="15">
      <c r="A14" s="619" t="s">
        <v>368</v>
      </c>
      <c r="B14" s="620"/>
      <c r="C14" s="597">
        <v>0</v>
      </c>
      <c r="D14" s="597">
        <v>0</v>
      </c>
      <c r="E14" s="597">
        <v>0</v>
      </c>
      <c r="F14" s="598">
        <v>0</v>
      </c>
      <c r="G14" s="599">
        <v>0</v>
      </c>
    </row>
    <row r="15" spans="1:7" ht="15">
      <c r="A15" s="621" t="s">
        <v>369</v>
      </c>
      <c r="B15" s="622"/>
      <c r="C15" s="609"/>
      <c r="D15" s="609"/>
      <c r="E15" s="609"/>
      <c r="F15" s="618"/>
      <c r="G15" s="610"/>
    </row>
    <row r="16" spans="1:7" ht="15">
      <c r="A16" s="616" t="s">
        <v>370</v>
      </c>
      <c r="B16" s="617"/>
      <c r="C16" s="597">
        <f>980*2.3</f>
        <v>2254</v>
      </c>
      <c r="D16" s="597">
        <v>980</v>
      </c>
      <c r="E16" s="597">
        <v>9800</v>
      </c>
      <c r="F16" s="598">
        <f>6*980</f>
        <v>5880</v>
      </c>
      <c r="G16" s="599">
        <v>245</v>
      </c>
    </row>
    <row r="17" spans="1:7" ht="15">
      <c r="A17" s="607"/>
      <c r="B17" s="622"/>
      <c r="C17" s="597">
        <v>0</v>
      </c>
      <c r="D17" s="597">
        <v>0</v>
      </c>
      <c r="E17" s="597">
        <v>0</v>
      </c>
      <c r="F17" s="598">
        <v>0</v>
      </c>
      <c r="G17" s="599">
        <v>0</v>
      </c>
    </row>
    <row r="18" spans="1:7" ht="15">
      <c r="A18" s="607"/>
      <c r="B18" s="622"/>
      <c r="C18" s="597">
        <v>0</v>
      </c>
      <c r="D18" s="597">
        <v>0</v>
      </c>
      <c r="E18" s="597">
        <v>0</v>
      </c>
      <c r="F18" s="598">
        <v>0</v>
      </c>
      <c r="G18" s="599">
        <v>0</v>
      </c>
    </row>
    <row r="19" spans="1:7" ht="15">
      <c r="A19" s="621" t="s">
        <v>371</v>
      </c>
      <c r="B19" s="622"/>
      <c r="C19" s="609"/>
      <c r="D19" s="609"/>
      <c r="E19" s="609"/>
      <c r="F19" s="618"/>
      <c r="G19" s="610"/>
    </row>
    <row r="20" spans="1:7" ht="15">
      <c r="A20" s="616" t="s">
        <v>372</v>
      </c>
      <c r="B20" s="617"/>
      <c r="C20" s="597">
        <v>2300</v>
      </c>
      <c r="D20" s="597">
        <v>1000</v>
      </c>
      <c r="E20" s="597">
        <v>10000</v>
      </c>
      <c r="F20" s="598">
        <v>6000</v>
      </c>
      <c r="G20" s="599">
        <v>250</v>
      </c>
    </row>
    <row r="21" spans="1:7" ht="15">
      <c r="A21" s="607"/>
      <c r="B21" s="622"/>
      <c r="C21" s="597">
        <v>0</v>
      </c>
      <c r="D21" s="597">
        <v>0</v>
      </c>
      <c r="E21" s="597">
        <v>0</v>
      </c>
      <c r="F21" s="598">
        <v>0</v>
      </c>
      <c r="G21" s="599">
        <v>0</v>
      </c>
    </row>
    <row r="22" spans="1:7" ht="15">
      <c r="A22" s="607"/>
      <c r="B22" s="622"/>
      <c r="C22" s="597">
        <v>0</v>
      </c>
      <c r="D22" s="597">
        <v>0</v>
      </c>
      <c r="E22" s="597">
        <v>0</v>
      </c>
      <c r="F22" s="598">
        <v>0</v>
      </c>
      <c r="G22" s="599">
        <v>0</v>
      </c>
    </row>
    <row r="23" spans="1:7" ht="15.75">
      <c r="A23" s="623" t="s">
        <v>373</v>
      </c>
      <c r="B23" s="622"/>
      <c r="C23" s="609">
        <f>C12+C13+C14+C16+C17+C18-C20-C21-C22</f>
        <v>21344</v>
      </c>
      <c r="D23" s="609">
        <f>D12+D13+D14+D16+D17+D18-D20-D21-D22</f>
        <v>9280</v>
      </c>
      <c r="E23" s="609">
        <f>E12+E13+E14+E16+E17+E18-E20-E21-E22</f>
        <v>92800</v>
      </c>
      <c r="F23" s="609">
        <f>F12+F13+F14+F16+F17+F18-F20-F21-F22</f>
        <v>55680</v>
      </c>
      <c r="G23" s="610">
        <f>G12+G13+G14+G16+G17+G18-G20-G21-G22</f>
        <v>4645</v>
      </c>
    </row>
    <row r="24" spans="1:7" ht="15">
      <c r="A24" s="119"/>
      <c r="B24" s="591"/>
      <c r="C24" s="624"/>
      <c r="D24" s="624"/>
      <c r="E24" s="624"/>
      <c r="F24" s="625"/>
      <c r="G24" s="626"/>
    </row>
    <row r="25" spans="1:7" ht="15">
      <c r="A25" s="607" t="s">
        <v>374</v>
      </c>
      <c r="B25" s="622"/>
      <c r="C25" s="609">
        <f>C23-C8</f>
        <v>-1656</v>
      </c>
      <c r="D25" s="609">
        <f>D23-D8</f>
        <v>-320</v>
      </c>
      <c r="E25" s="609">
        <f>E23-E8</f>
        <v>-2200</v>
      </c>
      <c r="F25" s="609">
        <f>F23-F8</f>
        <v>-1320</v>
      </c>
      <c r="G25" s="610">
        <f>G23-G8</f>
        <v>-105</v>
      </c>
    </row>
    <row r="26" spans="1:7" ht="15">
      <c r="A26" s="607" t="s">
        <v>375</v>
      </c>
      <c r="B26" s="627">
        <v>0</v>
      </c>
      <c r="C26" s="609">
        <f>$B$26*C23</f>
        <v>0</v>
      </c>
      <c r="D26" s="609">
        <f>$B$26*D23</f>
        <v>0</v>
      </c>
      <c r="E26" s="609">
        <f>$B$26*E23</f>
        <v>0</v>
      </c>
      <c r="F26" s="609">
        <f>$B$26*F23</f>
        <v>0</v>
      </c>
      <c r="G26" s="610">
        <f>$B$26*G23</f>
        <v>0</v>
      </c>
    </row>
    <row r="27" spans="1:7" ht="15">
      <c r="A27" s="628" t="s">
        <v>376</v>
      </c>
      <c r="B27" s="622"/>
      <c r="C27" s="609">
        <f>C25+C26</f>
        <v>-1656</v>
      </c>
      <c r="D27" s="609">
        <f>D25+D26</f>
        <v>-320</v>
      </c>
      <c r="E27" s="609">
        <f>E25+E26</f>
        <v>-2200</v>
      </c>
      <c r="F27" s="609">
        <f>F25+F26</f>
        <v>-1320</v>
      </c>
      <c r="G27" s="610">
        <f>G25+G26</f>
        <v>-105</v>
      </c>
    </row>
    <row r="28" spans="1:7" ht="15">
      <c r="A28" s="119"/>
      <c r="B28" s="591"/>
      <c r="C28" s="624"/>
      <c r="D28" s="624"/>
      <c r="E28" s="624"/>
      <c r="F28" s="625"/>
      <c r="G28" s="626"/>
    </row>
    <row r="29" spans="1:7" ht="15">
      <c r="A29" s="607" t="s">
        <v>377</v>
      </c>
      <c r="B29" s="622"/>
      <c r="C29" s="597">
        <v>80</v>
      </c>
      <c r="D29" s="597">
        <v>90</v>
      </c>
      <c r="E29" s="597">
        <v>0.5</v>
      </c>
      <c r="F29" s="598">
        <v>0.5</v>
      </c>
      <c r="G29" s="599">
        <v>250</v>
      </c>
    </row>
    <row r="30" spans="1:7" ht="15">
      <c r="A30" s="607" t="s">
        <v>378</v>
      </c>
      <c r="B30" s="622"/>
      <c r="C30" s="609">
        <f>C29*C27</f>
        <v>-132480</v>
      </c>
      <c r="D30" s="609">
        <f>D29*D27</f>
        <v>-28800</v>
      </c>
      <c r="E30" s="609">
        <f>E29*E27</f>
        <v>-1100</v>
      </c>
      <c r="F30" s="609">
        <f>F29*F27</f>
        <v>-660</v>
      </c>
      <c r="G30" s="610">
        <f>G29*G27</f>
        <v>-26250</v>
      </c>
    </row>
    <row r="31" spans="1:7" ht="15.75" thickBot="1">
      <c r="A31" s="629" t="s">
        <v>379</v>
      </c>
      <c r="B31" s="630"/>
      <c r="C31" s="631">
        <f>C30+D30+E30+G30+F30</f>
        <v>-189290</v>
      </c>
      <c r="D31" s="632"/>
      <c r="E31" s="632"/>
      <c r="F31" s="632"/>
      <c r="G31" s="633"/>
    </row>
  </sheetData>
  <sheetProtection/>
  <mergeCells count="9">
    <mergeCell ref="A13:B13"/>
    <mergeCell ref="A14:B14"/>
    <mergeCell ref="C31:G31"/>
    <mergeCell ref="A2:G2"/>
    <mergeCell ref="A5:B5"/>
    <mergeCell ref="A6:B6"/>
    <mergeCell ref="A7:B7"/>
    <mergeCell ref="A10:B10"/>
    <mergeCell ref="A12:B12"/>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sheetPr>
    <pageSetUpPr fitToPage="1"/>
  </sheetPr>
  <dimension ref="A1:H31"/>
  <sheetViews>
    <sheetView zoomScale="240" zoomScaleNormal="240" zoomScalePageLayoutView="0" workbookViewId="0" topLeftCell="A27">
      <selection activeCell="A1" sqref="A1"/>
    </sheetView>
  </sheetViews>
  <sheetFormatPr defaultColWidth="9.140625" defaultRowHeight="12.75"/>
  <cols>
    <col min="1" max="1" width="18.7109375" style="0" customWidth="1"/>
    <col min="2" max="2" width="16.57421875" style="0" customWidth="1"/>
    <col min="3" max="3" width="9.421875" style="0" customWidth="1"/>
    <col min="4" max="4" width="10.7109375" style="0" customWidth="1"/>
    <col min="5" max="5" width="10.8515625" style="0" customWidth="1"/>
    <col min="6" max="6" width="11.140625" style="0" customWidth="1"/>
  </cols>
  <sheetData>
    <row r="1" ht="13.5" thickBot="1">
      <c r="A1" s="307" t="str">
        <f>'Resultatkontrol side 402'!A24</f>
        <v>note 11</v>
      </c>
    </row>
    <row r="2" spans="1:8" ht="18">
      <c r="A2" s="634" t="s">
        <v>380</v>
      </c>
      <c r="B2" s="635"/>
      <c r="C2" s="635"/>
      <c r="D2" s="635"/>
      <c r="E2" s="635"/>
      <c r="F2" s="636"/>
      <c r="G2" s="40"/>
      <c r="H2" s="40"/>
    </row>
    <row r="3" spans="1:6" ht="35.25" customHeight="1">
      <c r="A3" s="637"/>
      <c r="B3" s="638"/>
      <c r="C3" s="639" t="s">
        <v>245</v>
      </c>
      <c r="D3" s="639"/>
      <c r="E3" s="639"/>
      <c r="F3" s="640"/>
    </row>
    <row r="4" spans="1:6" ht="15">
      <c r="A4" s="641" t="s">
        <v>356</v>
      </c>
      <c r="B4" s="642"/>
      <c r="C4" s="639" t="s">
        <v>358</v>
      </c>
      <c r="D4" s="639"/>
      <c r="E4" s="639"/>
      <c r="F4" s="640"/>
    </row>
    <row r="5" spans="1:6" ht="15">
      <c r="A5" s="643" t="s">
        <v>361</v>
      </c>
      <c r="B5" s="644"/>
      <c r="C5" s="597">
        <v>0</v>
      </c>
      <c r="D5" s="597">
        <v>0</v>
      </c>
      <c r="E5" s="597">
        <v>0</v>
      </c>
      <c r="F5" s="599">
        <v>0</v>
      </c>
    </row>
    <row r="6" spans="1:6" ht="15">
      <c r="A6" s="645" t="s">
        <v>362</v>
      </c>
      <c r="B6" s="646"/>
      <c r="C6" s="597">
        <v>0</v>
      </c>
      <c r="D6" s="597">
        <v>0</v>
      </c>
      <c r="E6" s="597">
        <v>0</v>
      </c>
      <c r="F6" s="599">
        <v>0</v>
      </c>
    </row>
    <row r="7" spans="1:6" ht="15">
      <c r="A7" s="645" t="s">
        <v>363</v>
      </c>
      <c r="B7" s="646"/>
      <c r="C7" s="597">
        <v>0</v>
      </c>
      <c r="D7" s="597">
        <v>0</v>
      </c>
      <c r="E7" s="597">
        <v>0</v>
      </c>
      <c r="F7" s="599">
        <v>0</v>
      </c>
    </row>
    <row r="8" spans="1:6" ht="15">
      <c r="A8" s="647" t="s">
        <v>364</v>
      </c>
      <c r="B8" s="609"/>
      <c r="C8" s="648">
        <f>C5+C6-C7</f>
        <v>0</v>
      </c>
      <c r="D8" s="648">
        <f>D5+D6-D7</f>
        <v>0</v>
      </c>
      <c r="E8" s="648">
        <f>E5+E6-E7</f>
        <v>0</v>
      </c>
      <c r="F8" s="649">
        <f>F5+F6-F7</f>
        <v>0</v>
      </c>
    </row>
    <row r="9" spans="1:6" ht="12.75">
      <c r="A9" s="650"/>
      <c r="B9" s="651"/>
      <c r="C9" s="652"/>
      <c r="D9" s="652"/>
      <c r="E9" s="652"/>
      <c r="F9" s="653"/>
    </row>
    <row r="10" spans="1:6" ht="15">
      <c r="A10" s="654" t="s">
        <v>365</v>
      </c>
      <c r="B10" s="655"/>
      <c r="C10" s="656"/>
      <c r="D10" s="656"/>
      <c r="E10" s="656"/>
      <c r="F10" s="657"/>
    </row>
    <row r="11" spans="1:6" ht="15">
      <c r="A11" s="616" t="s">
        <v>381</v>
      </c>
      <c r="B11" s="617"/>
      <c r="C11" s="658"/>
      <c r="D11" s="658"/>
      <c r="E11" s="658"/>
      <c r="F11" s="659"/>
    </row>
    <row r="12" spans="1:6" ht="15">
      <c r="A12" s="660" t="s">
        <v>382</v>
      </c>
      <c r="B12" s="661"/>
      <c r="C12" s="597">
        <v>0</v>
      </c>
      <c r="D12" s="597">
        <v>0</v>
      </c>
      <c r="E12" s="597">
        <v>0</v>
      </c>
      <c r="F12" s="599">
        <v>0</v>
      </c>
    </row>
    <row r="13" spans="1:6" ht="15">
      <c r="A13" s="660" t="s">
        <v>383</v>
      </c>
      <c r="B13" s="661"/>
      <c r="C13" s="597">
        <v>0</v>
      </c>
      <c r="D13" s="597">
        <v>0</v>
      </c>
      <c r="E13" s="597">
        <v>0</v>
      </c>
      <c r="F13" s="599">
        <v>0</v>
      </c>
    </row>
    <row r="14" spans="1:6" ht="15">
      <c r="A14" s="660" t="s">
        <v>384</v>
      </c>
      <c r="B14" s="661"/>
      <c r="C14" s="597">
        <v>0</v>
      </c>
      <c r="D14" s="597">
        <v>0</v>
      </c>
      <c r="E14" s="597">
        <v>0</v>
      </c>
      <c r="F14" s="599">
        <v>0</v>
      </c>
    </row>
    <row r="15" spans="1:6" ht="15">
      <c r="A15" s="621" t="s">
        <v>369</v>
      </c>
      <c r="B15" s="622"/>
      <c r="C15" s="609"/>
      <c r="D15" s="609"/>
      <c r="E15" s="609"/>
      <c r="F15" s="610"/>
    </row>
    <row r="16" spans="1:6" ht="15">
      <c r="A16" s="662" t="s">
        <v>385</v>
      </c>
      <c r="B16" s="597"/>
      <c r="C16" s="597">
        <v>0</v>
      </c>
      <c r="D16" s="597">
        <v>0</v>
      </c>
      <c r="E16" s="597">
        <v>0</v>
      </c>
      <c r="F16" s="599">
        <v>0</v>
      </c>
    </row>
    <row r="17" spans="1:6" ht="15">
      <c r="A17" s="607"/>
      <c r="B17" s="608"/>
      <c r="C17" s="597">
        <v>0</v>
      </c>
      <c r="D17" s="597">
        <v>0</v>
      </c>
      <c r="E17" s="597">
        <v>0</v>
      </c>
      <c r="F17" s="599">
        <v>0</v>
      </c>
    </row>
    <row r="18" spans="1:6" ht="15">
      <c r="A18" s="607"/>
      <c r="B18" s="608"/>
      <c r="C18" s="597">
        <v>0</v>
      </c>
      <c r="D18" s="597">
        <v>0</v>
      </c>
      <c r="E18" s="597">
        <v>0</v>
      </c>
      <c r="F18" s="599">
        <v>0</v>
      </c>
    </row>
    <row r="19" spans="1:6" ht="15">
      <c r="A19" s="621" t="s">
        <v>371</v>
      </c>
      <c r="B19" s="622"/>
      <c r="C19" s="609"/>
      <c r="D19" s="609"/>
      <c r="E19" s="609"/>
      <c r="F19" s="610"/>
    </row>
    <row r="20" spans="1:6" ht="15">
      <c r="A20" s="662" t="s">
        <v>386</v>
      </c>
      <c r="B20" s="597"/>
      <c r="C20" s="597">
        <v>0</v>
      </c>
      <c r="D20" s="597">
        <v>0</v>
      </c>
      <c r="E20" s="597">
        <v>0</v>
      </c>
      <c r="F20" s="599">
        <v>0</v>
      </c>
    </row>
    <row r="21" spans="1:6" ht="15">
      <c r="A21" s="607"/>
      <c r="B21" s="608"/>
      <c r="C21" s="597">
        <v>0</v>
      </c>
      <c r="D21" s="597">
        <v>0</v>
      </c>
      <c r="E21" s="597">
        <v>0</v>
      </c>
      <c r="F21" s="599">
        <v>0</v>
      </c>
    </row>
    <row r="22" spans="1:6" ht="15">
      <c r="A22" s="607"/>
      <c r="B22" s="608"/>
      <c r="C22" s="597">
        <v>0</v>
      </c>
      <c r="D22" s="597">
        <v>0</v>
      </c>
      <c r="E22" s="597">
        <v>0</v>
      </c>
      <c r="F22" s="599">
        <v>0</v>
      </c>
    </row>
    <row r="23" spans="1:6" ht="15.75">
      <c r="A23" s="663" t="s">
        <v>373</v>
      </c>
      <c r="B23" s="609"/>
      <c r="C23" s="609">
        <f>C12+C13+C14+C16+C17+C18-C20-C21-C22</f>
        <v>0</v>
      </c>
      <c r="D23" s="609">
        <f>D12+D13+D14+D16+D17+D18-D20-D21-D22</f>
        <v>0</v>
      </c>
      <c r="E23" s="609">
        <f>E12+E13+E14+E16+E17+E18-E20-E21-E22</f>
        <v>0</v>
      </c>
      <c r="F23" s="610">
        <f>F12+F13+F14+F16+F17+F18-F20-F21-F22</f>
        <v>0</v>
      </c>
    </row>
    <row r="24" spans="1:6" ht="15">
      <c r="A24" s="607"/>
      <c r="B24" s="608"/>
      <c r="C24" s="609"/>
      <c r="D24" s="609"/>
      <c r="E24" s="609"/>
      <c r="F24" s="610"/>
    </row>
    <row r="25" spans="1:6" ht="15">
      <c r="A25" s="647" t="s">
        <v>374</v>
      </c>
      <c r="B25" s="609"/>
      <c r="C25" s="609">
        <f>C23-C8</f>
        <v>0</v>
      </c>
      <c r="D25" s="609">
        <f>D23-D8</f>
        <v>0</v>
      </c>
      <c r="E25" s="609">
        <f>E23-E8</f>
        <v>0</v>
      </c>
      <c r="F25" s="610">
        <f>F23-F8</f>
        <v>0</v>
      </c>
    </row>
    <row r="26" spans="1:6" ht="15">
      <c r="A26" s="607" t="s">
        <v>375</v>
      </c>
      <c r="B26" s="664">
        <v>0</v>
      </c>
      <c r="C26" s="609">
        <f>$B$26*C23</f>
        <v>0</v>
      </c>
      <c r="D26" s="609">
        <f>$B$26*D23</f>
        <v>0</v>
      </c>
      <c r="E26" s="609">
        <f>$B$26*E23</f>
        <v>0</v>
      </c>
      <c r="F26" s="610">
        <f>$B$26*F23</f>
        <v>0</v>
      </c>
    </row>
    <row r="27" spans="1:6" ht="15">
      <c r="A27" s="665" t="s">
        <v>376</v>
      </c>
      <c r="B27" s="609"/>
      <c r="C27" s="609">
        <f>C25+C26</f>
        <v>0</v>
      </c>
      <c r="D27" s="609">
        <f>D25+D26</f>
        <v>0</v>
      </c>
      <c r="E27" s="609">
        <f>E25+E26</f>
        <v>0</v>
      </c>
      <c r="F27" s="610">
        <f>F25+F26</f>
        <v>0</v>
      </c>
    </row>
    <row r="28" spans="1:6" ht="15">
      <c r="A28" s="607"/>
      <c r="B28" s="608"/>
      <c r="C28" s="609"/>
      <c r="D28" s="609"/>
      <c r="E28" s="609"/>
      <c r="F28" s="610"/>
    </row>
    <row r="29" spans="1:6" ht="15">
      <c r="A29" s="647" t="s">
        <v>377</v>
      </c>
      <c r="B29" s="609"/>
      <c r="C29" s="597">
        <v>0</v>
      </c>
      <c r="D29" s="597">
        <v>0</v>
      </c>
      <c r="E29" s="597">
        <v>0</v>
      </c>
      <c r="F29" s="599">
        <v>0</v>
      </c>
    </row>
    <row r="30" spans="1:6" ht="15">
      <c r="A30" s="647" t="s">
        <v>378</v>
      </c>
      <c r="B30" s="609"/>
      <c r="C30" s="609">
        <f>C29*C27</f>
        <v>0</v>
      </c>
      <c r="D30" s="609">
        <f>D29*D27</f>
        <v>0</v>
      </c>
      <c r="E30" s="609">
        <f>E29*E27</f>
        <v>0</v>
      </c>
      <c r="F30" s="610">
        <f>F29*F27</f>
        <v>0</v>
      </c>
    </row>
    <row r="31" spans="1:6" ht="15.75" thickBot="1">
      <c r="A31" s="666" t="s">
        <v>379</v>
      </c>
      <c r="B31" s="667"/>
      <c r="C31" s="668">
        <f>C30+D30+E30+F30</f>
        <v>0</v>
      </c>
      <c r="D31" s="668"/>
      <c r="E31" s="668"/>
      <c r="F31" s="669"/>
    </row>
  </sheetData>
  <sheetProtection/>
  <mergeCells count="9">
    <mergeCell ref="A13:B13"/>
    <mergeCell ref="A14:B14"/>
    <mergeCell ref="C31:F31"/>
    <mergeCell ref="A2:F2"/>
    <mergeCell ref="A5:B5"/>
    <mergeCell ref="A6:B6"/>
    <mergeCell ref="A7:B7"/>
    <mergeCell ref="A10:B10"/>
    <mergeCell ref="A12:B12"/>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3"/>
  <legacyDrawing r:id="rId2"/>
</worksheet>
</file>

<file path=xl/worksheets/sheet22.xml><?xml version="1.0" encoding="utf-8"?>
<worksheet xmlns="http://schemas.openxmlformats.org/spreadsheetml/2006/main" xmlns:r="http://schemas.openxmlformats.org/officeDocument/2006/relationships">
  <dimension ref="A1:H32"/>
  <sheetViews>
    <sheetView zoomScale="240" zoomScaleNormal="240" zoomScalePageLayoutView="0" workbookViewId="0" topLeftCell="A1">
      <selection activeCell="A1" sqref="A1"/>
    </sheetView>
  </sheetViews>
  <sheetFormatPr defaultColWidth="9.140625" defaultRowHeight="12.75"/>
  <cols>
    <col min="1" max="1" width="18.7109375" style="0" customWidth="1"/>
    <col min="2" max="2" width="16.57421875" style="0" customWidth="1"/>
    <col min="3" max="3" width="9.421875" style="0" customWidth="1"/>
    <col min="4" max="4" width="10.421875" style="0" customWidth="1"/>
    <col min="5" max="5" width="10.8515625" style="0" customWidth="1"/>
    <col min="6" max="6" width="11.140625" style="0" customWidth="1"/>
  </cols>
  <sheetData>
    <row r="1" ht="13.5" thickBot="1">
      <c r="A1" s="307" t="str">
        <f>'Resultatkontrol side 402'!A25</f>
        <v>note 12</v>
      </c>
    </row>
    <row r="2" spans="1:8" ht="18">
      <c r="A2" s="634" t="s">
        <v>387</v>
      </c>
      <c r="B2" s="635"/>
      <c r="C2" s="635"/>
      <c r="D2" s="635"/>
      <c r="E2" s="635"/>
      <c r="F2" s="636"/>
      <c r="G2" s="40"/>
      <c r="H2" s="40"/>
    </row>
    <row r="3" spans="1:6" ht="39.75" customHeight="1">
      <c r="A3" s="637"/>
      <c r="B3" s="638"/>
      <c r="C3" s="670" t="s">
        <v>388</v>
      </c>
      <c r="D3" s="670"/>
      <c r="E3" s="671" t="s">
        <v>389</v>
      </c>
      <c r="F3" s="672" t="s">
        <v>355</v>
      </c>
    </row>
    <row r="4" spans="1:6" ht="14.25" customHeight="1">
      <c r="A4" s="119"/>
      <c r="B4" s="642"/>
      <c r="C4" s="639" t="s">
        <v>390</v>
      </c>
      <c r="D4" s="639" t="s">
        <v>391</v>
      </c>
      <c r="E4" s="673"/>
      <c r="F4" s="674"/>
    </row>
    <row r="5" spans="1:6" ht="15">
      <c r="A5" s="641" t="s">
        <v>356</v>
      </c>
      <c r="B5" s="675"/>
      <c r="C5" s="639" t="s">
        <v>359</v>
      </c>
      <c r="D5" s="639" t="s">
        <v>359</v>
      </c>
      <c r="E5" s="639" t="s">
        <v>359</v>
      </c>
      <c r="F5" s="640" t="s">
        <v>164</v>
      </c>
    </row>
    <row r="6" spans="1:6" ht="15">
      <c r="A6" s="643" t="s">
        <v>392</v>
      </c>
      <c r="B6" s="644"/>
      <c r="C6" s="597">
        <v>0</v>
      </c>
      <c r="D6" s="597">
        <v>0</v>
      </c>
      <c r="E6" s="597">
        <v>0</v>
      </c>
      <c r="F6" s="599">
        <v>0</v>
      </c>
    </row>
    <row r="7" spans="1:6" ht="15">
      <c r="A7" s="645" t="s">
        <v>393</v>
      </c>
      <c r="B7" s="646"/>
      <c r="C7" s="597">
        <v>0</v>
      </c>
      <c r="D7" s="597">
        <v>0</v>
      </c>
      <c r="E7" s="597">
        <v>0</v>
      </c>
      <c r="F7" s="599">
        <v>0</v>
      </c>
    </row>
    <row r="8" spans="1:6" ht="15">
      <c r="A8" s="645" t="s">
        <v>394</v>
      </c>
      <c r="B8" s="646"/>
      <c r="C8" s="597">
        <v>0</v>
      </c>
      <c r="D8" s="597">
        <v>0</v>
      </c>
      <c r="E8" s="597">
        <v>0</v>
      </c>
      <c r="F8" s="599">
        <v>0</v>
      </c>
    </row>
    <row r="9" spans="1:6" ht="15">
      <c r="A9" s="647" t="s">
        <v>364</v>
      </c>
      <c r="B9" s="609"/>
      <c r="C9" s="609">
        <f>C6+C7-C8</f>
        <v>0</v>
      </c>
      <c r="D9" s="609">
        <f>D6+D7-D8</f>
        <v>0</v>
      </c>
      <c r="E9" s="609">
        <f>E6+E7-E8</f>
        <v>0</v>
      </c>
      <c r="F9" s="610">
        <f>F6+F7-F8</f>
        <v>0</v>
      </c>
    </row>
    <row r="10" spans="1:6" ht="12.75">
      <c r="A10" s="676"/>
      <c r="B10" s="677"/>
      <c r="C10" s="678"/>
      <c r="D10" s="678"/>
      <c r="E10" s="678"/>
      <c r="F10" s="679"/>
    </row>
    <row r="11" spans="1:6" ht="18" customHeight="1">
      <c r="A11" s="680" t="s">
        <v>395</v>
      </c>
      <c r="B11" s="681"/>
      <c r="C11" s="678"/>
      <c r="D11" s="678"/>
      <c r="E11" s="678"/>
      <c r="F11" s="679"/>
    </row>
    <row r="12" spans="1:6" ht="15">
      <c r="A12" s="662" t="s">
        <v>396</v>
      </c>
      <c r="B12" s="597"/>
      <c r="C12" s="609"/>
      <c r="D12" s="609"/>
      <c r="E12" s="609"/>
      <c r="F12" s="610"/>
    </row>
    <row r="13" spans="1:6" ht="15">
      <c r="A13" s="660" t="s">
        <v>397</v>
      </c>
      <c r="B13" s="661"/>
      <c r="C13" s="597">
        <v>0</v>
      </c>
      <c r="D13" s="597">
        <v>0</v>
      </c>
      <c r="E13" s="597">
        <v>0</v>
      </c>
      <c r="F13" s="599">
        <v>0</v>
      </c>
    </row>
    <row r="14" spans="1:6" ht="15">
      <c r="A14" s="660" t="s">
        <v>398</v>
      </c>
      <c r="B14" s="661"/>
      <c r="C14" s="597">
        <v>0</v>
      </c>
      <c r="D14" s="597">
        <v>0</v>
      </c>
      <c r="E14" s="597">
        <v>0</v>
      </c>
      <c r="F14" s="599">
        <v>0</v>
      </c>
    </row>
    <row r="15" spans="1:6" ht="15">
      <c r="A15" s="682"/>
      <c r="B15" s="683"/>
      <c r="C15" s="597">
        <v>0</v>
      </c>
      <c r="D15" s="597">
        <v>0</v>
      </c>
      <c r="E15" s="597">
        <v>0</v>
      </c>
      <c r="F15" s="599">
        <v>0</v>
      </c>
    </row>
    <row r="16" spans="1:6" ht="15">
      <c r="A16" s="684" t="s">
        <v>399</v>
      </c>
      <c r="B16" s="609"/>
      <c r="C16" s="609"/>
      <c r="D16" s="609"/>
      <c r="E16" s="609"/>
      <c r="F16" s="610"/>
    </row>
    <row r="17" spans="1:6" ht="15">
      <c r="A17" s="662" t="s">
        <v>400</v>
      </c>
      <c r="B17" s="597"/>
      <c r="C17" s="597">
        <v>0</v>
      </c>
      <c r="D17" s="597">
        <v>0</v>
      </c>
      <c r="E17" s="597">
        <v>0</v>
      </c>
      <c r="F17" s="599">
        <v>0</v>
      </c>
    </row>
    <row r="18" spans="1:6" ht="15">
      <c r="A18" s="607"/>
      <c r="B18" s="608"/>
      <c r="C18" s="597"/>
      <c r="D18" s="597"/>
      <c r="E18" s="597"/>
      <c r="F18" s="599"/>
    </row>
    <row r="19" spans="1:6" ht="15">
      <c r="A19" s="607"/>
      <c r="B19" s="608"/>
      <c r="C19" s="597"/>
      <c r="D19" s="597"/>
      <c r="E19" s="597"/>
      <c r="F19" s="599"/>
    </row>
    <row r="20" spans="1:6" ht="15">
      <c r="A20" s="684" t="s">
        <v>401</v>
      </c>
      <c r="B20" s="609"/>
      <c r="C20" s="609"/>
      <c r="D20" s="609"/>
      <c r="E20" s="609"/>
      <c r="F20" s="610"/>
    </row>
    <row r="21" spans="1:6" ht="15">
      <c r="A21" s="607"/>
      <c r="B21" s="608"/>
      <c r="C21" s="597">
        <v>0</v>
      </c>
      <c r="D21" s="597">
        <v>0</v>
      </c>
      <c r="E21" s="597">
        <v>0</v>
      </c>
      <c r="F21" s="599">
        <v>0</v>
      </c>
    </row>
    <row r="22" spans="1:6" ht="15">
      <c r="A22" s="607"/>
      <c r="B22" s="608"/>
      <c r="C22" s="597">
        <v>0</v>
      </c>
      <c r="D22" s="597">
        <v>0</v>
      </c>
      <c r="E22" s="597">
        <v>0</v>
      </c>
      <c r="F22" s="599">
        <v>0</v>
      </c>
    </row>
    <row r="23" spans="1:6" ht="15">
      <c r="A23" s="607"/>
      <c r="B23" s="608"/>
      <c r="C23" s="597">
        <v>0</v>
      </c>
      <c r="D23" s="597">
        <v>0</v>
      </c>
      <c r="E23" s="597">
        <v>0</v>
      </c>
      <c r="F23" s="599">
        <v>0</v>
      </c>
    </row>
    <row r="24" spans="1:6" ht="15.75">
      <c r="A24" s="663" t="s">
        <v>373</v>
      </c>
      <c r="B24" s="609"/>
      <c r="C24" s="609">
        <f>C13+C14+C15+C17+C18+C19-C21-C22-C23</f>
        <v>0</v>
      </c>
      <c r="D24" s="609">
        <f>D13+D14+D15+D17+D18+D19-D21-D22-D23</f>
        <v>0</v>
      </c>
      <c r="E24" s="609">
        <f>E13+E14+E15+E17+E18+E19-E21-E22-E23</f>
        <v>0</v>
      </c>
      <c r="F24" s="610">
        <f>F13+F14+F15+F17+F18+F19-F21-F22-F23</f>
        <v>0</v>
      </c>
    </row>
    <row r="25" spans="1:6" ht="15">
      <c r="A25" s="607"/>
      <c r="B25" s="608"/>
      <c r="C25" s="609"/>
      <c r="D25" s="609"/>
      <c r="E25" s="609"/>
      <c r="F25" s="610"/>
    </row>
    <row r="26" spans="1:6" ht="15">
      <c r="A26" s="647" t="s">
        <v>374</v>
      </c>
      <c r="B26" s="609"/>
      <c r="C26" s="609">
        <f>C24-C9</f>
        <v>0</v>
      </c>
      <c r="D26" s="609">
        <f>D24-D9</f>
        <v>0</v>
      </c>
      <c r="E26" s="609">
        <f>E24-E9</f>
        <v>0</v>
      </c>
      <c r="F26" s="610">
        <f>F24-F9</f>
        <v>0</v>
      </c>
    </row>
    <row r="27" spans="1:6" ht="15">
      <c r="A27" s="607" t="s">
        <v>375</v>
      </c>
      <c r="B27" s="664">
        <v>0</v>
      </c>
      <c r="C27" s="609">
        <v>0</v>
      </c>
      <c r="D27" s="609">
        <v>0</v>
      </c>
      <c r="E27" s="609">
        <f>$B$27*E24</f>
        <v>0</v>
      </c>
      <c r="F27" s="610">
        <f>$B$27*F24</f>
        <v>0</v>
      </c>
    </row>
    <row r="28" spans="1:6" ht="15">
      <c r="A28" s="665" t="s">
        <v>376</v>
      </c>
      <c r="B28" s="609"/>
      <c r="C28" s="609">
        <f>C26+C27</f>
        <v>0</v>
      </c>
      <c r="D28" s="609">
        <f>D26+D27</f>
        <v>0</v>
      </c>
      <c r="E28" s="609">
        <f>E26+E27</f>
        <v>0</v>
      </c>
      <c r="F28" s="610">
        <f>F26+F27</f>
        <v>0</v>
      </c>
    </row>
    <row r="29" spans="1:6" ht="15">
      <c r="A29" s="607"/>
      <c r="B29" s="608"/>
      <c r="C29" s="609"/>
      <c r="D29" s="609"/>
      <c r="E29" s="609"/>
      <c r="F29" s="610"/>
    </row>
    <row r="30" spans="1:6" ht="15">
      <c r="A30" s="647" t="s">
        <v>377</v>
      </c>
      <c r="B30" s="609"/>
      <c r="C30" s="597">
        <v>0</v>
      </c>
      <c r="D30" s="597">
        <v>0</v>
      </c>
      <c r="E30" s="597">
        <v>0</v>
      </c>
      <c r="F30" s="599">
        <v>0</v>
      </c>
    </row>
    <row r="31" spans="1:6" ht="15">
      <c r="A31" s="647" t="s">
        <v>378</v>
      </c>
      <c r="B31" s="609"/>
      <c r="C31" s="609">
        <f>C30*C28</f>
        <v>0</v>
      </c>
      <c r="D31" s="609">
        <f>D30*D28</f>
        <v>0</v>
      </c>
      <c r="E31" s="609">
        <f>E30*E28</f>
        <v>0</v>
      </c>
      <c r="F31" s="610">
        <f>F30*F28</f>
        <v>0</v>
      </c>
    </row>
    <row r="32" spans="1:6" ht="15.75" thickBot="1">
      <c r="A32" s="666" t="s">
        <v>379</v>
      </c>
      <c r="B32" s="667"/>
      <c r="C32" s="668">
        <f>C31+D31+E31+F31</f>
        <v>0</v>
      </c>
      <c r="D32" s="668"/>
      <c r="E32" s="668"/>
      <c r="F32" s="669"/>
    </row>
  </sheetData>
  <sheetProtection/>
  <mergeCells count="12">
    <mergeCell ref="A8:B8"/>
    <mergeCell ref="A11:B11"/>
    <mergeCell ref="A13:B13"/>
    <mergeCell ref="A14:B14"/>
    <mergeCell ref="A15:B15"/>
    <mergeCell ref="C32:F32"/>
    <mergeCell ref="A2:F2"/>
    <mergeCell ref="C3:D3"/>
    <mergeCell ref="E3:E4"/>
    <mergeCell ref="F3:F4"/>
    <mergeCell ref="A6:B6"/>
    <mergeCell ref="A7:B7"/>
  </mergeCells>
  <printOptions/>
  <pageMargins left="0.7" right="0.7" top="0.75" bottom="0.75" header="0.3" footer="0.3"/>
  <pageSetup horizontalDpi="600" verticalDpi="600" orientation="portrait" paperSize="9" r:id="rId3"/>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1:J32"/>
  <sheetViews>
    <sheetView zoomScale="190" zoomScaleNormal="190" zoomScalePageLayoutView="0" workbookViewId="0" topLeftCell="A1">
      <selection activeCell="A1" sqref="A1"/>
    </sheetView>
  </sheetViews>
  <sheetFormatPr defaultColWidth="9.140625" defaultRowHeight="12.75"/>
  <cols>
    <col min="2" max="2" width="25.7109375" style="0" bestFit="1" customWidth="1"/>
    <col min="3" max="6" width="12.7109375" style="0" customWidth="1"/>
    <col min="7" max="9" width="12.7109375" style="0" hidden="1" customWidth="1"/>
    <col min="10" max="10" width="12.7109375" style="0" customWidth="1"/>
  </cols>
  <sheetData>
    <row r="1" spans="1:10" ht="15.75" thickBot="1">
      <c r="A1" s="685" t="str">
        <f>'Resultatkontrol side 402'!A27</f>
        <v>note 13</v>
      </c>
      <c r="B1" s="686" t="str">
        <f>'Resultatkontrol side 402'!B27</f>
        <v>Råvarerlagerafvigelse</v>
      </c>
      <c r="C1" s="686"/>
      <c r="D1" s="686"/>
      <c r="E1" s="686"/>
      <c r="F1" s="686"/>
      <c r="G1" s="687"/>
      <c r="H1" s="687"/>
      <c r="I1" s="688"/>
      <c r="J1" s="689" t="s">
        <v>12</v>
      </c>
    </row>
    <row r="2" spans="1:10" ht="13.5" thickBot="1">
      <c r="A2" s="219"/>
      <c r="B2" s="690"/>
      <c r="C2" s="691" t="s">
        <v>242</v>
      </c>
      <c r="D2" s="692" t="s">
        <v>243</v>
      </c>
      <c r="E2" s="692" t="s">
        <v>244</v>
      </c>
      <c r="F2" s="693" t="s">
        <v>245</v>
      </c>
      <c r="G2" s="304"/>
      <c r="H2" s="694"/>
      <c r="I2" s="303"/>
      <c r="J2" s="695"/>
    </row>
    <row r="3" spans="1:10" ht="13.5" thickBot="1">
      <c r="A3" s="3"/>
      <c r="B3" s="696"/>
      <c r="C3" s="697" t="s">
        <v>357</v>
      </c>
      <c r="D3" s="698" t="s">
        <v>358</v>
      </c>
      <c r="E3" s="698" t="s">
        <v>359</v>
      </c>
      <c r="F3" s="699" t="s">
        <v>358</v>
      </c>
      <c r="G3" s="304"/>
      <c r="H3" s="694"/>
      <c r="I3" s="303"/>
      <c r="J3" s="546"/>
    </row>
    <row r="4" spans="1:10" ht="13.5" thickBot="1">
      <c r="A4" s="226"/>
      <c r="B4" s="700" t="s">
        <v>402</v>
      </c>
      <c r="C4" s="701">
        <v>6000</v>
      </c>
      <c r="D4" s="702">
        <v>2300</v>
      </c>
      <c r="E4" s="701">
        <v>1000</v>
      </c>
      <c r="F4" s="702">
        <v>92000</v>
      </c>
      <c r="G4" s="703">
        <v>0</v>
      </c>
      <c r="H4" s="703">
        <v>0</v>
      </c>
      <c r="I4" s="704">
        <v>0</v>
      </c>
      <c r="J4" s="546"/>
    </row>
    <row r="5" spans="1:10" ht="13.5" thickBot="1">
      <c r="A5" s="226"/>
      <c r="B5" s="243" t="s">
        <v>236</v>
      </c>
      <c r="C5" s="705">
        <v>24000</v>
      </c>
      <c r="D5" s="289">
        <v>10000</v>
      </c>
      <c r="E5" s="705">
        <v>105000</v>
      </c>
      <c r="F5" s="289">
        <v>0</v>
      </c>
      <c r="G5" s="705">
        <v>0</v>
      </c>
      <c r="H5" s="705">
        <v>0</v>
      </c>
      <c r="I5" s="289">
        <v>0</v>
      </c>
      <c r="J5" s="546"/>
    </row>
    <row r="6" spans="1:10" ht="13.5" thickBot="1">
      <c r="A6" s="226"/>
      <c r="B6" s="706" t="s">
        <v>185</v>
      </c>
      <c r="C6" s="707">
        <f>C5+C4</f>
        <v>30000</v>
      </c>
      <c r="D6" s="707">
        <f>D5+D4</f>
        <v>12300</v>
      </c>
      <c r="E6" s="707">
        <f>E5+E4</f>
        <v>106000</v>
      </c>
      <c r="F6" s="707">
        <f>F5+F4</f>
        <v>92000</v>
      </c>
      <c r="G6" s="705"/>
      <c r="H6" s="705"/>
      <c r="I6" s="289"/>
      <c r="J6" s="546"/>
    </row>
    <row r="7" spans="1:10" ht="13.5" thickBot="1">
      <c r="A7" s="226"/>
      <c r="B7" s="708" t="s">
        <v>237</v>
      </c>
      <c r="C7" s="703">
        <v>23000</v>
      </c>
      <c r="D7" s="709">
        <v>9600</v>
      </c>
      <c r="E7" s="703">
        <v>95000</v>
      </c>
      <c r="F7" s="709">
        <v>57000</v>
      </c>
      <c r="G7" s="703">
        <v>0</v>
      </c>
      <c r="H7" s="703">
        <v>0</v>
      </c>
      <c r="I7" s="704">
        <v>0</v>
      </c>
      <c r="J7" s="546"/>
    </row>
    <row r="8" spans="1:10" ht="13.5" thickBot="1">
      <c r="A8" s="226"/>
      <c r="B8" s="243" t="s">
        <v>238</v>
      </c>
      <c r="C8" s="710">
        <f>C6-C7</f>
        <v>7000</v>
      </c>
      <c r="D8" s="710">
        <f>D6-D7</f>
        <v>2700</v>
      </c>
      <c r="E8" s="710">
        <f>E6-E7</f>
        <v>11000</v>
      </c>
      <c r="F8" s="710">
        <f>F6-F7</f>
        <v>35000</v>
      </c>
      <c r="G8" s="710">
        <f>G4+G5-G7</f>
        <v>0</v>
      </c>
      <c r="H8" s="710">
        <f>H4+H5-H7</f>
        <v>0</v>
      </c>
      <c r="I8" s="264">
        <f>I4+I5-I7</f>
        <v>0</v>
      </c>
      <c r="J8" s="546"/>
    </row>
    <row r="9" spans="1:10" ht="13.5" thickBot="1">
      <c r="A9" s="226"/>
      <c r="B9" s="708" t="s">
        <v>239</v>
      </c>
      <c r="C9" s="703">
        <v>6900</v>
      </c>
      <c r="D9" s="709">
        <v>2700</v>
      </c>
      <c r="E9" s="703">
        <v>11000</v>
      </c>
      <c r="F9" s="709">
        <v>35000</v>
      </c>
      <c r="G9" s="703">
        <v>0</v>
      </c>
      <c r="H9" s="703">
        <v>0</v>
      </c>
      <c r="I9" s="704">
        <v>0</v>
      </c>
      <c r="J9" s="546"/>
    </row>
    <row r="10" spans="1:10" ht="13.5" thickBot="1">
      <c r="A10" s="226"/>
      <c r="B10" s="711" t="s">
        <v>403</v>
      </c>
      <c r="C10" s="710">
        <f aca="true" t="shared" si="0" ref="C10:I10">C9-C8</f>
        <v>-100</v>
      </c>
      <c r="D10" s="264">
        <f t="shared" si="0"/>
        <v>0</v>
      </c>
      <c r="E10" s="710">
        <f t="shared" si="0"/>
        <v>0</v>
      </c>
      <c r="F10" s="264">
        <f t="shared" si="0"/>
        <v>0</v>
      </c>
      <c r="G10" s="710">
        <f t="shared" si="0"/>
        <v>0</v>
      </c>
      <c r="H10" s="710">
        <f t="shared" si="0"/>
        <v>0</v>
      </c>
      <c r="I10" s="264">
        <f t="shared" si="0"/>
        <v>0</v>
      </c>
      <c r="J10" s="546"/>
    </row>
    <row r="11" spans="1:10" ht="13.5" thickBot="1">
      <c r="A11" s="226"/>
      <c r="B11" s="708" t="s">
        <v>259</v>
      </c>
      <c r="C11" s="703">
        <v>80</v>
      </c>
      <c r="D11" s="709">
        <v>90</v>
      </c>
      <c r="E11" s="712">
        <v>0.5</v>
      </c>
      <c r="F11" s="713">
        <v>0.5</v>
      </c>
      <c r="G11" s="712">
        <v>0</v>
      </c>
      <c r="H11" s="712">
        <v>0</v>
      </c>
      <c r="I11" s="714">
        <v>0</v>
      </c>
      <c r="J11" s="546"/>
    </row>
    <row r="12" spans="1:10" ht="13.5" thickBot="1">
      <c r="A12" s="231"/>
      <c r="B12" s="244" t="s">
        <v>241</v>
      </c>
      <c r="C12" s="715">
        <f aca="true" t="shared" si="1" ref="C12:I12">C11*C10</f>
        <v>-8000</v>
      </c>
      <c r="D12" s="266">
        <f t="shared" si="1"/>
        <v>0</v>
      </c>
      <c r="E12" s="715">
        <f t="shared" si="1"/>
        <v>0</v>
      </c>
      <c r="F12" s="266">
        <f t="shared" si="1"/>
        <v>0</v>
      </c>
      <c r="G12" s="715">
        <f t="shared" si="1"/>
        <v>0</v>
      </c>
      <c r="H12" s="715">
        <f t="shared" si="1"/>
        <v>0</v>
      </c>
      <c r="I12" s="266">
        <f t="shared" si="1"/>
        <v>0</v>
      </c>
      <c r="J12" s="716">
        <f>SUM(C12:I12)</f>
        <v>-8000</v>
      </c>
    </row>
    <row r="13" spans="1:10" ht="12.75">
      <c r="A13" s="8"/>
      <c r="B13" s="717"/>
      <c r="C13" s="8"/>
      <c r="D13" s="8"/>
      <c r="E13" s="718"/>
      <c r="F13" s="34"/>
      <c r="G13" s="34"/>
      <c r="H13" s="34"/>
      <c r="I13" s="34"/>
      <c r="J13" s="719"/>
    </row>
    <row r="14" spans="1:10" ht="12.75">
      <c r="A14" s="8"/>
      <c r="B14" s="8"/>
      <c r="C14" s="720"/>
      <c r="D14" s="720"/>
      <c r="E14" s="720"/>
      <c r="F14" s="720"/>
      <c r="G14" s="720"/>
      <c r="H14" s="720"/>
      <c r="I14" s="720"/>
      <c r="J14" s="719"/>
    </row>
    <row r="15" spans="1:10" ht="12.75">
      <c r="A15" s="8"/>
      <c r="B15" s="721"/>
      <c r="C15" s="720"/>
      <c r="D15" s="720"/>
      <c r="E15" s="720"/>
      <c r="F15" s="720"/>
      <c r="G15" s="720"/>
      <c r="H15" s="720"/>
      <c r="I15" s="720"/>
      <c r="J15" s="719"/>
    </row>
    <row r="16" spans="1:10" ht="12.75">
      <c r="A16" s="8"/>
      <c r="B16" s="721"/>
      <c r="C16" s="720"/>
      <c r="D16" s="720"/>
      <c r="E16" s="720"/>
      <c r="F16" s="720"/>
      <c r="G16" s="720"/>
      <c r="H16" s="720"/>
      <c r="I16" s="720"/>
      <c r="J16" s="719"/>
    </row>
    <row r="17" spans="1:10" ht="12.75">
      <c r="A17" s="8"/>
      <c r="B17" s="721"/>
      <c r="C17" s="720"/>
      <c r="D17" s="720"/>
      <c r="E17" s="720"/>
      <c r="F17" s="720"/>
      <c r="G17" s="720"/>
      <c r="H17" s="720"/>
      <c r="I17" s="720"/>
      <c r="J17" s="719"/>
    </row>
    <row r="18" spans="1:10" ht="12.75">
      <c r="A18" s="8"/>
      <c r="B18" s="721"/>
      <c r="C18" s="720"/>
      <c r="D18" s="720"/>
      <c r="E18" s="720"/>
      <c r="F18" s="720"/>
      <c r="G18" s="720"/>
      <c r="H18" s="720"/>
      <c r="I18" s="720"/>
      <c r="J18" s="719"/>
    </row>
    <row r="19" spans="1:10" ht="12.75">
      <c r="A19" s="8"/>
      <c r="B19" s="721"/>
      <c r="C19" s="720"/>
      <c r="D19" s="720"/>
      <c r="E19" s="720"/>
      <c r="F19" s="720"/>
      <c r="G19" s="720"/>
      <c r="H19" s="720"/>
      <c r="I19" s="720"/>
      <c r="J19" s="719"/>
    </row>
    <row r="20" spans="1:10" ht="12.75">
      <c r="A20" s="8"/>
      <c r="B20" s="721"/>
      <c r="C20" s="720"/>
      <c r="D20" s="720"/>
      <c r="E20" s="722"/>
      <c r="F20" s="722"/>
      <c r="G20" s="722"/>
      <c r="H20" s="722"/>
      <c r="I20" s="722"/>
      <c r="J20" s="719"/>
    </row>
    <row r="21" spans="1:10" ht="12.75">
      <c r="A21" s="8"/>
      <c r="B21" s="721"/>
      <c r="C21" s="720"/>
      <c r="D21" s="720"/>
      <c r="E21" s="720"/>
      <c r="F21" s="720"/>
      <c r="G21" s="720"/>
      <c r="H21" s="720"/>
      <c r="I21" s="720"/>
      <c r="J21" s="719"/>
    </row>
    <row r="22" spans="1:10" ht="12.75">
      <c r="A22" s="8"/>
      <c r="B22" s="723"/>
      <c r="C22" s="724"/>
      <c r="D22" s="724"/>
      <c r="E22" s="8"/>
      <c r="F22" s="8"/>
      <c r="G22" s="8"/>
      <c r="H22" s="8"/>
      <c r="I22" s="8"/>
      <c r="J22" s="719"/>
    </row>
    <row r="23" spans="1:10" ht="12.75">
      <c r="A23" s="8"/>
      <c r="B23" s="725"/>
      <c r="C23" s="720"/>
      <c r="D23" s="8"/>
      <c r="E23" s="8"/>
      <c r="F23" s="8"/>
      <c r="G23" s="8"/>
      <c r="H23" s="8"/>
      <c r="I23" s="8"/>
      <c r="J23" s="719"/>
    </row>
    <row r="24" spans="1:10" ht="12.75">
      <c r="A24" s="8"/>
      <c r="B24" s="725"/>
      <c r="C24" s="720"/>
      <c r="D24" s="8"/>
      <c r="E24" s="8"/>
      <c r="F24" s="8"/>
      <c r="G24" s="8"/>
      <c r="H24" s="8"/>
      <c r="I24" s="8"/>
      <c r="J24" s="719"/>
    </row>
    <row r="25" spans="1:10" ht="12.75">
      <c r="A25" s="8"/>
      <c r="B25" s="726"/>
      <c r="C25" s="720"/>
      <c r="D25" s="8"/>
      <c r="E25" s="8"/>
      <c r="F25" s="8"/>
      <c r="G25" s="8"/>
      <c r="H25" s="8"/>
      <c r="I25" s="8"/>
      <c r="J25" s="719"/>
    </row>
    <row r="26" spans="1:10" ht="12.75">
      <c r="A26" s="8"/>
      <c r="B26" s="725"/>
      <c r="C26" s="720"/>
      <c r="D26" s="8"/>
      <c r="E26" s="8"/>
      <c r="F26" s="8"/>
      <c r="G26" s="8"/>
      <c r="H26" s="8"/>
      <c r="I26" s="8"/>
      <c r="J26" s="719"/>
    </row>
    <row r="27" spans="1:10" ht="12.75">
      <c r="A27" s="8"/>
      <c r="B27" s="725"/>
      <c r="C27" s="720"/>
      <c r="D27" s="8"/>
      <c r="E27" s="8"/>
      <c r="F27" s="8"/>
      <c r="G27" s="8"/>
      <c r="H27" s="8"/>
      <c r="I27" s="8"/>
      <c r="J27" s="719"/>
    </row>
    <row r="28" spans="1:10" ht="12.75">
      <c r="A28" s="8"/>
      <c r="B28" s="725"/>
      <c r="C28" s="720"/>
      <c r="D28" s="8"/>
      <c r="E28" s="8"/>
      <c r="F28" s="8"/>
      <c r="G28" s="8"/>
      <c r="H28" s="8"/>
      <c r="I28" s="8"/>
      <c r="J28" s="719"/>
    </row>
    <row r="29" spans="1:10" ht="12.75">
      <c r="A29" s="8"/>
      <c r="B29" s="725"/>
      <c r="C29" s="727"/>
      <c r="D29" s="8"/>
      <c r="E29" s="8"/>
      <c r="F29" s="8"/>
      <c r="G29" s="8"/>
      <c r="H29" s="8"/>
      <c r="I29" s="8"/>
      <c r="J29" s="719"/>
    </row>
    <row r="30" spans="1:10" ht="12.75">
      <c r="A30" s="8"/>
      <c r="B30" s="725"/>
      <c r="C30" s="720"/>
      <c r="D30" s="8"/>
      <c r="E30" s="8"/>
      <c r="F30" s="8"/>
      <c r="G30" s="8"/>
      <c r="H30" s="8"/>
      <c r="I30" s="8"/>
      <c r="J30" s="719"/>
    </row>
    <row r="31" spans="1:10" ht="12.75">
      <c r="A31" s="8"/>
      <c r="B31" s="8"/>
      <c r="C31" s="8"/>
      <c r="D31" s="8"/>
      <c r="E31" s="8"/>
      <c r="F31" s="8"/>
      <c r="G31" s="8"/>
      <c r="H31" s="8"/>
      <c r="I31" s="8"/>
      <c r="J31" s="8"/>
    </row>
    <row r="32" spans="1:10" ht="12.75">
      <c r="A32" s="8"/>
      <c r="B32" s="8"/>
      <c r="C32" s="8"/>
      <c r="D32" s="8"/>
      <c r="E32" s="8"/>
      <c r="F32" s="8"/>
      <c r="G32" s="8"/>
      <c r="H32" s="8"/>
      <c r="I32" s="8"/>
      <c r="J32" s="8"/>
    </row>
  </sheetData>
  <sheetProtection/>
  <mergeCells count="1">
    <mergeCell ref="B1:I1"/>
  </mergeCells>
  <printOptions/>
  <pageMargins left="0.75" right="0.75" top="1" bottom="1" header="0.5" footer="0.5"/>
  <pageSetup fitToHeight="1" fitToWidth="1" horizontalDpi="600" verticalDpi="600" orientation="landscape" paperSize="9" scale="97" r:id="rId3"/>
  <legacyDrawing r:id="rId2"/>
</worksheet>
</file>

<file path=xl/worksheets/sheet24.xml><?xml version="1.0" encoding="utf-8"?>
<worksheet xmlns="http://schemas.openxmlformats.org/spreadsheetml/2006/main" xmlns:r="http://schemas.openxmlformats.org/officeDocument/2006/relationships">
  <sheetPr>
    <pageSetUpPr fitToPage="1"/>
  </sheetPr>
  <dimension ref="A1:J32"/>
  <sheetViews>
    <sheetView zoomScale="190" zoomScaleNormal="190" zoomScalePageLayoutView="0" workbookViewId="0" topLeftCell="A1">
      <selection activeCell="A1" sqref="A1"/>
    </sheetView>
  </sheetViews>
  <sheetFormatPr defaultColWidth="9.140625" defaultRowHeight="12.75"/>
  <cols>
    <col min="2" max="2" width="25.7109375" style="0" bestFit="1" customWidth="1"/>
    <col min="3" max="3" width="14.421875" style="0" customWidth="1"/>
    <col min="4" max="6" width="12.7109375" style="0" customWidth="1"/>
    <col min="7" max="9" width="12.7109375" style="0" hidden="1" customWidth="1"/>
    <col min="10" max="10" width="12.7109375" style="0" customWidth="1"/>
  </cols>
  <sheetData>
    <row r="1" spans="1:10" ht="15.75" thickBot="1">
      <c r="A1" s="685" t="str">
        <f>'Resultatkontrol side 402'!A28</f>
        <v>note 14</v>
      </c>
      <c r="B1" s="686" t="str">
        <f>'Resultatkontrol side 402'!B28</f>
        <v>Færdigvarelagerafvigelse</v>
      </c>
      <c r="C1" s="686"/>
      <c r="D1" s="686"/>
      <c r="E1" s="686"/>
      <c r="F1" s="686"/>
      <c r="G1" s="687"/>
      <c r="H1" s="687"/>
      <c r="I1" s="688"/>
      <c r="J1" s="689" t="s">
        <v>12</v>
      </c>
    </row>
    <row r="2" spans="1:10" ht="13.5" thickBot="1">
      <c r="A2" s="219"/>
      <c r="B2" s="690"/>
      <c r="C2" s="691" t="s">
        <v>404</v>
      </c>
      <c r="D2" s="692"/>
      <c r="E2" s="692"/>
      <c r="F2" s="693"/>
      <c r="G2" s="304"/>
      <c r="H2" s="694"/>
      <c r="I2" s="303"/>
      <c r="J2" s="695"/>
    </row>
    <row r="3" spans="1:10" ht="13.5" thickBot="1">
      <c r="A3" s="3"/>
      <c r="B3" s="696"/>
      <c r="C3" s="697" t="s">
        <v>360</v>
      </c>
      <c r="D3" s="698"/>
      <c r="E3" s="698"/>
      <c r="F3" s="699"/>
      <c r="G3" s="304"/>
      <c r="H3" s="694"/>
      <c r="I3" s="303"/>
      <c r="J3" s="546"/>
    </row>
    <row r="4" spans="1:10" ht="13.5" thickBot="1">
      <c r="A4" s="226"/>
      <c r="B4" s="700" t="s">
        <v>402</v>
      </c>
      <c r="C4" s="701">
        <v>1200</v>
      </c>
      <c r="D4" s="702">
        <v>0</v>
      </c>
      <c r="E4" s="701">
        <v>0</v>
      </c>
      <c r="F4" s="702">
        <v>0</v>
      </c>
      <c r="G4" s="703">
        <v>0</v>
      </c>
      <c r="H4" s="703">
        <v>0</v>
      </c>
      <c r="I4" s="704">
        <v>0</v>
      </c>
      <c r="J4" s="546"/>
    </row>
    <row r="5" spans="1:10" ht="13.5" thickBot="1">
      <c r="A5" s="226"/>
      <c r="B5" s="243" t="s">
        <v>236</v>
      </c>
      <c r="C5" s="705">
        <v>9300</v>
      </c>
      <c r="D5" s="289">
        <v>0</v>
      </c>
      <c r="E5" s="705">
        <v>0</v>
      </c>
      <c r="F5" s="289">
        <v>0</v>
      </c>
      <c r="G5" s="705">
        <v>0</v>
      </c>
      <c r="H5" s="705">
        <v>0</v>
      </c>
      <c r="I5" s="289">
        <v>0</v>
      </c>
      <c r="J5" s="546"/>
    </row>
    <row r="6" spans="1:10" ht="13.5" thickBot="1">
      <c r="A6" s="226"/>
      <c r="B6" s="706" t="s">
        <v>185</v>
      </c>
      <c r="C6" s="707">
        <f>C5+C4</f>
        <v>10500</v>
      </c>
      <c r="D6" s="707">
        <f>D5+D4</f>
        <v>0</v>
      </c>
      <c r="E6" s="707">
        <f>E5+E4</f>
        <v>0</v>
      </c>
      <c r="F6" s="707">
        <f>F5+F4</f>
        <v>0</v>
      </c>
      <c r="G6" s="705"/>
      <c r="H6" s="705"/>
      <c r="I6" s="289"/>
      <c r="J6" s="546"/>
    </row>
    <row r="7" spans="1:10" ht="13.5" thickBot="1">
      <c r="A7" s="226"/>
      <c r="B7" s="708" t="s">
        <v>237</v>
      </c>
      <c r="C7" s="703">
        <v>9400</v>
      </c>
      <c r="D7" s="709">
        <v>0</v>
      </c>
      <c r="E7" s="703">
        <v>0</v>
      </c>
      <c r="F7" s="709">
        <v>0</v>
      </c>
      <c r="G7" s="703">
        <v>0</v>
      </c>
      <c r="H7" s="703">
        <v>0</v>
      </c>
      <c r="I7" s="704">
        <v>0</v>
      </c>
      <c r="J7" s="546"/>
    </row>
    <row r="8" spans="1:10" ht="13.5" thickBot="1">
      <c r="A8" s="226"/>
      <c r="B8" s="711" t="s">
        <v>405</v>
      </c>
      <c r="C8" s="710">
        <f>C6-C7</f>
        <v>1100</v>
      </c>
      <c r="D8" s="710">
        <f>D6-D7</f>
        <v>0</v>
      </c>
      <c r="E8" s="710">
        <f>E6-E7</f>
        <v>0</v>
      </c>
      <c r="F8" s="710">
        <f>F6-F7</f>
        <v>0</v>
      </c>
      <c r="G8" s="710">
        <f>G4+G5-G7</f>
        <v>0</v>
      </c>
      <c r="H8" s="710">
        <f>H4+H5-H7</f>
        <v>0</v>
      </c>
      <c r="I8" s="264">
        <f>I4+I5-I7</f>
        <v>0</v>
      </c>
      <c r="J8" s="546"/>
    </row>
    <row r="9" spans="1:10" ht="13.5" thickBot="1">
      <c r="A9" s="226"/>
      <c r="B9" s="708" t="s">
        <v>239</v>
      </c>
      <c r="C9" s="703">
        <v>1050</v>
      </c>
      <c r="D9" s="709">
        <v>0</v>
      </c>
      <c r="E9" s="703">
        <v>0</v>
      </c>
      <c r="F9" s="709">
        <v>0</v>
      </c>
      <c r="G9" s="703">
        <v>0</v>
      </c>
      <c r="H9" s="703">
        <v>0</v>
      </c>
      <c r="I9" s="704">
        <v>0</v>
      </c>
      <c r="J9" s="546"/>
    </row>
    <row r="10" spans="1:10" ht="13.5" thickBot="1">
      <c r="A10" s="226"/>
      <c r="B10" s="711" t="s">
        <v>406</v>
      </c>
      <c r="C10" s="710">
        <f aca="true" t="shared" si="0" ref="C10:I10">C9-C8</f>
        <v>-50</v>
      </c>
      <c r="D10" s="264">
        <f t="shared" si="0"/>
        <v>0</v>
      </c>
      <c r="E10" s="710">
        <f t="shared" si="0"/>
        <v>0</v>
      </c>
      <c r="F10" s="264">
        <f t="shared" si="0"/>
        <v>0</v>
      </c>
      <c r="G10" s="710">
        <f t="shared" si="0"/>
        <v>0</v>
      </c>
      <c r="H10" s="710">
        <f t="shared" si="0"/>
        <v>0</v>
      </c>
      <c r="I10" s="264">
        <f t="shared" si="0"/>
        <v>0</v>
      </c>
      <c r="J10" s="546"/>
    </row>
    <row r="11" spans="1:10" ht="13.5" thickBot="1">
      <c r="A11" s="226"/>
      <c r="B11" s="708" t="s">
        <v>259</v>
      </c>
      <c r="C11" s="703">
        <v>407</v>
      </c>
      <c r="D11" s="709">
        <v>0</v>
      </c>
      <c r="E11" s="712">
        <v>0</v>
      </c>
      <c r="F11" s="713">
        <v>0</v>
      </c>
      <c r="G11" s="712">
        <v>0</v>
      </c>
      <c r="H11" s="712">
        <v>0</v>
      </c>
      <c r="I11" s="714">
        <v>0</v>
      </c>
      <c r="J11" s="546"/>
    </row>
    <row r="12" spans="1:10" ht="13.5" thickBot="1">
      <c r="A12" s="231"/>
      <c r="B12" s="244" t="s">
        <v>241</v>
      </c>
      <c r="C12" s="715">
        <f aca="true" t="shared" si="1" ref="C12:I12">C11*C10</f>
        <v>-20350</v>
      </c>
      <c r="D12" s="266">
        <f t="shared" si="1"/>
        <v>0</v>
      </c>
      <c r="E12" s="715">
        <f t="shared" si="1"/>
        <v>0</v>
      </c>
      <c r="F12" s="266">
        <f t="shared" si="1"/>
        <v>0</v>
      </c>
      <c r="G12" s="715">
        <f t="shared" si="1"/>
        <v>0</v>
      </c>
      <c r="H12" s="715">
        <f t="shared" si="1"/>
        <v>0</v>
      </c>
      <c r="I12" s="266">
        <f t="shared" si="1"/>
        <v>0</v>
      </c>
      <c r="J12" s="716">
        <f>SUM(C12:I12)</f>
        <v>-20350</v>
      </c>
    </row>
    <row r="13" spans="1:10" ht="12.75">
      <c r="A13" s="8"/>
      <c r="B13" s="717"/>
      <c r="C13" s="8"/>
      <c r="D13" s="8"/>
      <c r="E13" s="718"/>
      <c r="F13" s="34"/>
      <c r="G13" s="34"/>
      <c r="H13" s="34"/>
      <c r="I13" s="34"/>
      <c r="J13" s="719"/>
    </row>
    <row r="14" spans="1:10" ht="12.75">
      <c r="A14" s="8"/>
      <c r="B14" s="8"/>
      <c r="C14" s="720"/>
      <c r="D14" s="720"/>
      <c r="E14" s="720"/>
      <c r="F14" s="720"/>
      <c r="G14" s="720"/>
      <c r="H14" s="720"/>
      <c r="I14" s="720"/>
      <c r="J14" s="719"/>
    </row>
    <row r="15" spans="1:10" ht="12.75">
      <c r="A15" s="8"/>
      <c r="B15" s="721"/>
      <c r="C15" s="720"/>
      <c r="D15" s="720"/>
      <c r="E15" s="720"/>
      <c r="F15" s="720"/>
      <c r="G15" s="720"/>
      <c r="H15" s="720"/>
      <c r="I15" s="720"/>
      <c r="J15" s="719"/>
    </row>
    <row r="16" spans="1:10" ht="12.75">
      <c r="A16" s="8"/>
      <c r="B16" s="721"/>
      <c r="C16" s="720"/>
      <c r="D16" s="720"/>
      <c r="E16" s="720"/>
      <c r="F16" s="720"/>
      <c r="G16" s="720"/>
      <c r="H16" s="720"/>
      <c r="I16" s="720"/>
      <c r="J16" s="719"/>
    </row>
    <row r="17" spans="1:10" ht="12.75">
      <c r="A17" s="8"/>
      <c r="B17" s="721"/>
      <c r="C17" s="720"/>
      <c r="D17" s="720"/>
      <c r="E17" s="720"/>
      <c r="F17" s="720"/>
      <c r="G17" s="720"/>
      <c r="H17" s="720"/>
      <c r="I17" s="720"/>
      <c r="J17" s="719"/>
    </row>
    <row r="18" spans="1:10" ht="12.75">
      <c r="A18" s="8"/>
      <c r="B18" s="721"/>
      <c r="C18" s="720"/>
      <c r="D18" s="720"/>
      <c r="E18" s="720"/>
      <c r="F18" s="720"/>
      <c r="G18" s="720"/>
      <c r="H18" s="720"/>
      <c r="I18" s="720"/>
      <c r="J18" s="719"/>
    </row>
    <row r="19" spans="1:10" ht="12.75">
      <c r="A19" s="8"/>
      <c r="B19" s="721"/>
      <c r="C19" s="720"/>
      <c r="D19" s="720"/>
      <c r="E19" s="720"/>
      <c r="F19" s="720"/>
      <c r="G19" s="720"/>
      <c r="H19" s="720"/>
      <c r="I19" s="720"/>
      <c r="J19" s="719"/>
    </row>
    <row r="20" spans="1:10" ht="12.75">
      <c r="A20" s="8"/>
      <c r="B20" s="721"/>
      <c r="C20" s="720"/>
      <c r="D20" s="720"/>
      <c r="E20" s="722"/>
      <c r="F20" s="722"/>
      <c r="G20" s="722"/>
      <c r="H20" s="722"/>
      <c r="I20" s="722"/>
      <c r="J20" s="719"/>
    </row>
    <row r="21" spans="1:10" ht="12.75">
      <c r="A21" s="8"/>
      <c r="B21" s="721"/>
      <c r="C21" s="720"/>
      <c r="D21" s="720"/>
      <c r="E21" s="720"/>
      <c r="F21" s="720"/>
      <c r="G21" s="720"/>
      <c r="H21" s="720"/>
      <c r="I21" s="720"/>
      <c r="J21" s="719"/>
    </row>
    <row r="22" spans="1:10" ht="12.75">
      <c r="A22" s="8"/>
      <c r="B22" s="723"/>
      <c r="C22" s="724"/>
      <c r="D22" s="724"/>
      <c r="E22" s="8"/>
      <c r="F22" s="8"/>
      <c r="G22" s="8"/>
      <c r="H22" s="8"/>
      <c r="I22" s="8"/>
      <c r="J22" s="719"/>
    </row>
    <row r="23" spans="1:10" ht="12.75">
      <c r="A23" s="8"/>
      <c r="B23" s="725"/>
      <c r="C23" s="720"/>
      <c r="D23" s="8"/>
      <c r="E23" s="8"/>
      <c r="F23" s="8"/>
      <c r="G23" s="8"/>
      <c r="H23" s="8"/>
      <c r="I23" s="8"/>
      <c r="J23" s="719"/>
    </row>
    <row r="24" spans="1:10" ht="12.75">
      <c r="A24" s="8"/>
      <c r="B24" s="725"/>
      <c r="C24" s="720"/>
      <c r="D24" s="8"/>
      <c r="E24" s="8"/>
      <c r="F24" s="8"/>
      <c r="G24" s="8"/>
      <c r="H24" s="8"/>
      <c r="I24" s="8"/>
      <c r="J24" s="719"/>
    </row>
    <row r="25" spans="1:10" ht="12.75">
      <c r="A25" s="8"/>
      <c r="B25" s="726"/>
      <c r="C25" s="720"/>
      <c r="D25" s="8"/>
      <c r="E25" s="8"/>
      <c r="F25" s="8"/>
      <c r="G25" s="8"/>
      <c r="H25" s="8"/>
      <c r="I25" s="8"/>
      <c r="J25" s="719"/>
    </row>
    <row r="26" spans="1:10" ht="12.75">
      <c r="A26" s="8"/>
      <c r="B26" s="725"/>
      <c r="C26" s="720"/>
      <c r="D26" s="8"/>
      <c r="E26" s="8"/>
      <c r="F26" s="8"/>
      <c r="G26" s="8"/>
      <c r="H26" s="8"/>
      <c r="I26" s="8"/>
      <c r="J26" s="719"/>
    </row>
    <row r="27" spans="1:10" ht="12.75">
      <c r="A27" s="8"/>
      <c r="B27" s="725"/>
      <c r="C27" s="720"/>
      <c r="D27" s="8"/>
      <c r="E27" s="8"/>
      <c r="F27" s="8"/>
      <c r="G27" s="8"/>
      <c r="H27" s="8"/>
      <c r="I27" s="8"/>
      <c r="J27" s="719"/>
    </row>
    <row r="28" spans="1:10" ht="12.75">
      <c r="A28" s="8"/>
      <c r="B28" s="725"/>
      <c r="C28" s="720"/>
      <c r="D28" s="8"/>
      <c r="E28" s="8"/>
      <c r="F28" s="8"/>
      <c r="G28" s="8"/>
      <c r="H28" s="8"/>
      <c r="I28" s="8"/>
      <c r="J28" s="719"/>
    </row>
    <row r="29" spans="1:10" ht="12.75">
      <c r="A29" s="8"/>
      <c r="B29" s="725"/>
      <c r="C29" s="727"/>
      <c r="D29" s="8"/>
      <c r="E29" s="8"/>
      <c r="F29" s="8"/>
      <c r="G29" s="8"/>
      <c r="H29" s="8"/>
      <c r="I29" s="8"/>
      <c r="J29" s="719"/>
    </row>
    <row r="30" spans="1:10" ht="12.75">
      <c r="A30" s="8"/>
      <c r="B30" s="725"/>
      <c r="C30" s="720"/>
      <c r="D30" s="8"/>
      <c r="E30" s="8"/>
      <c r="F30" s="8"/>
      <c r="G30" s="8"/>
      <c r="H30" s="8"/>
      <c r="I30" s="8"/>
      <c r="J30" s="719"/>
    </row>
    <row r="31" spans="1:10" ht="12.75">
      <c r="A31" s="8"/>
      <c r="B31" s="8"/>
      <c r="C31" s="8"/>
      <c r="D31" s="8"/>
      <c r="E31" s="8"/>
      <c r="F31" s="8"/>
      <c r="G31" s="8"/>
      <c r="H31" s="8"/>
      <c r="I31" s="8"/>
      <c r="J31" s="8"/>
    </row>
    <row r="32" spans="1:10" ht="12.75">
      <c r="A32" s="8"/>
      <c r="B32" s="8"/>
      <c r="C32" s="8"/>
      <c r="D32" s="8"/>
      <c r="E32" s="8"/>
      <c r="F32" s="8"/>
      <c r="G32" s="8"/>
      <c r="H32" s="8"/>
      <c r="I32" s="8"/>
      <c r="J32" s="8"/>
    </row>
  </sheetData>
  <sheetProtection/>
  <mergeCells count="1">
    <mergeCell ref="B1:I1"/>
  </mergeCells>
  <printOptions/>
  <pageMargins left="0.7480314960629921" right="0.7480314960629921" top="0.984251968503937" bottom="0.984251968503937" header="0.5118110236220472" footer="0.5118110236220472"/>
  <pageSetup fitToHeight="1" fitToWidth="1" horizontalDpi="600" verticalDpi="600" orientation="landscape" paperSize="9" r:id="rId3"/>
  <legacyDrawing r:id="rId2"/>
</worksheet>
</file>

<file path=xl/worksheets/sheet25.xml><?xml version="1.0" encoding="utf-8"?>
<worksheet xmlns="http://schemas.openxmlformats.org/spreadsheetml/2006/main" xmlns:r="http://schemas.openxmlformats.org/officeDocument/2006/relationships">
  <sheetPr>
    <pageSetUpPr fitToPage="1"/>
  </sheetPr>
  <dimension ref="A1:J9"/>
  <sheetViews>
    <sheetView zoomScale="140" zoomScaleNormal="140" zoomScalePageLayoutView="0" workbookViewId="0" topLeftCell="A1">
      <selection activeCell="A1" sqref="A1"/>
    </sheetView>
  </sheetViews>
  <sheetFormatPr defaultColWidth="9.140625" defaultRowHeight="12.75"/>
  <cols>
    <col min="2" max="2" width="29.140625" style="0" customWidth="1"/>
    <col min="3" max="3" width="11.421875" style="0" customWidth="1"/>
    <col min="4" max="4" width="13.00390625" style="0" customWidth="1"/>
    <col min="6" max="6" width="16.421875" style="0" customWidth="1"/>
    <col min="10" max="10" width="13.28125" style="0" customWidth="1"/>
  </cols>
  <sheetData>
    <row r="1" spans="1:10" ht="15">
      <c r="A1" s="524" t="str">
        <f>'Resultatkontrol side 402'!A29</f>
        <v>note 15</v>
      </c>
      <c r="B1" s="565" t="str">
        <f>'Resultatkontrol side 402'!B29</f>
        <v>Salgsprovisionsafvigelse</v>
      </c>
      <c r="C1" s="220"/>
      <c r="D1" s="220"/>
      <c r="E1" s="335"/>
      <c r="F1" s="335"/>
      <c r="G1" s="335"/>
      <c r="H1" s="251"/>
      <c r="I1" s="251"/>
      <c r="J1" s="566"/>
    </row>
    <row r="2" spans="1:10" ht="12.75">
      <c r="A2" s="226"/>
      <c r="B2" s="567" t="s">
        <v>407</v>
      </c>
      <c r="C2" s="4"/>
      <c r="D2" s="4"/>
      <c r="E2" s="302"/>
      <c r="F2" s="302"/>
      <c r="G2" s="302"/>
      <c r="H2" s="17"/>
      <c r="I2" s="17"/>
      <c r="J2" s="568"/>
    </row>
    <row r="3" spans="1:10" ht="12.75">
      <c r="A3" s="226"/>
      <c r="B3" s="569" t="s">
        <v>201</v>
      </c>
      <c r="C3" s="302" t="s">
        <v>331</v>
      </c>
      <c r="D3" s="4" t="s">
        <v>408</v>
      </c>
      <c r="E3" s="302"/>
      <c r="F3" s="302"/>
      <c r="G3" s="302"/>
      <c r="H3" s="17"/>
      <c r="I3" s="17"/>
      <c r="J3" s="568"/>
    </row>
    <row r="4" spans="1:10" ht="31.5">
      <c r="A4" s="226"/>
      <c r="B4" s="570">
        <f>'Resultatkontrol side 402'!C5</f>
        <v>9400</v>
      </c>
      <c r="C4" s="571" t="s">
        <v>21</v>
      </c>
      <c r="D4" s="576">
        <f>F4/B4</f>
        <v>0</v>
      </c>
      <c r="E4" s="573" t="s">
        <v>24</v>
      </c>
      <c r="F4" s="586">
        <v>0</v>
      </c>
      <c r="G4" s="302"/>
      <c r="H4" s="17"/>
      <c r="I4" s="17"/>
      <c r="J4" s="568"/>
    </row>
    <row r="5" spans="1:10" ht="12.75">
      <c r="A5" s="226"/>
      <c r="B5" s="567" t="s">
        <v>409</v>
      </c>
      <c r="C5" s="302"/>
      <c r="D5" s="4"/>
      <c r="E5" s="302"/>
      <c r="F5" s="574"/>
      <c r="G5" s="302"/>
      <c r="H5" s="17"/>
      <c r="I5" s="17"/>
      <c r="J5" s="568"/>
    </row>
    <row r="6" spans="1:10" ht="12.75">
      <c r="A6" s="226"/>
      <c r="B6" s="569" t="s">
        <v>201</v>
      </c>
      <c r="C6" s="302" t="s">
        <v>331</v>
      </c>
      <c r="D6" s="4" t="s">
        <v>410</v>
      </c>
      <c r="E6" s="302"/>
      <c r="F6" s="574"/>
      <c r="G6" s="302"/>
      <c r="H6" s="17"/>
      <c r="I6" s="17"/>
      <c r="J6" s="568"/>
    </row>
    <row r="7" spans="1:10" ht="31.5">
      <c r="A7" s="226"/>
      <c r="B7" s="570">
        <f>B4</f>
        <v>9400</v>
      </c>
      <c r="C7" s="575" t="s">
        <v>21</v>
      </c>
      <c r="D7" s="587">
        <v>0</v>
      </c>
      <c r="E7" s="577" t="s">
        <v>24</v>
      </c>
      <c r="F7" s="578">
        <f>D7*B7</f>
        <v>0</v>
      </c>
      <c r="G7" s="302"/>
      <c r="H7" s="17"/>
      <c r="I7" s="17"/>
      <c r="J7" s="568"/>
    </row>
    <row r="8" spans="1:10" ht="12.75">
      <c r="A8" s="226"/>
      <c r="B8" s="567" t="s">
        <v>411</v>
      </c>
      <c r="C8" s="8"/>
      <c r="D8" s="4"/>
      <c r="E8" s="302"/>
      <c r="F8" s="579">
        <f>F7-F4</f>
        <v>0</v>
      </c>
      <c r="G8" s="302"/>
      <c r="H8" s="17"/>
      <c r="I8" s="17"/>
      <c r="J8" s="580">
        <f>F8</f>
        <v>0</v>
      </c>
    </row>
    <row r="9" spans="1:10" ht="13.5" thickBot="1">
      <c r="A9" s="231"/>
      <c r="B9" s="581" t="str">
        <f>CONCATENATE("Kan også regnes som ",ROUND(D7,2)," - ",ROUND(D4,2)," gange ",B4," = ",F8,". Den budgetterede salgsprovision var ",ROUND(D7,2),", den rigtige salgsprovision blev ",ROUND(D4,2)," derfor er afvigelsen",IF(D4&gt;D7," negativ ",IF(D4=D7," neutral ",IF(D4&lt;D7," positiv"))))</f>
        <v>Kan også regnes som 0 - 0 gange 9400 = 0. Den budgetterede salgsprovision var 0, den rigtige salgsprovision blev 0 derfor er afvigelsen neutral </v>
      </c>
      <c r="C9" s="175"/>
      <c r="D9" s="175"/>
      <c r="E9" s="582"/>
      <c r="F9" s="175"/>
      <c r="G9" s="175"/>
      <c r="H9" s="250"/>
      <c r="I9" s="250"/>
      <c r="J9" s="583"/>
    </row>
  </sheetData>
  <sheetProtection/>
  <mergeCells count="1">
    <mergeCell ref="E1:G1"/>
  </mergeCells>
  <printOptions/>
  <pageMargins left="0.75" right="0.75" top="1" bottom="1" header="0.5" footer="0.5"/>
  <pageSetup fitToHeight="1" fitToWidth="1" horizontalDpi="600" verticalDpi="600" orientation="landscape" paperSize="9" r:id="rId3"/>
  <legacyDrawing r:id="rId2"/>
</worksheet>
</file>

<file path=xl/worksheets/sheet26.xml><?xml version="1.0" encoding="utf-8"?>
<worksheet xmlns="http://schemas.openxmlformats.org/spreadsheetml/2006/main" xmlns:r="http://schemas.openxmlformats.org/officeDocument/2006/relationships">
  <sheetPr>
    <pageSetUpPr fitToPage="1"/>
  </sheetPr>
  <dimension ref="A1:T33"/>
  <sheetViews>
    <sheetView zoomScale="80" zoomScaleNormal="80" zoomScalePageLayoutView="0" workbookViewId="0" topLeftCell="A1">
      <selection activeCell="A5" sqref="A5:R5"/>
    </sheetView>
  </sheetViews>
  <sheetFormatPr defaultColWidth="9.140625" defaultRowHeight="12.75"/>
  <sheetData>
    <row r="1" spans="1:20" ht="34.5" customHeight="1">
      <c r="A1" s="301" t="s">
        <v>276</v>
      </c>
      <c r="B1" s="301"/>
      <c r="C1" s="301"/>
      <c r="D1" s="301"/>
      <c r="E1" s="301"/>
      <c r="F1" s="301"/>
      <c r="G1" s="301"/>
      <c r="H1" s="301"/>
      <c r="I1" s="301"/>
      <c r="J1" s="301"/>
      <c r="K1" s="301"/>
      <c r="L1" s="301"/>
      <c r="M1" s="301"/>
      <c r="N1" s="301"/>
      <c r="O1" s="298"/>
      <c r="P1" s="298"/>
      <c r="Q1" s="298"/>
      <c r="R1" s="298"/>
      <c r="S1" s="298"/>
      <c r="T1" s="298"/>
    </row>
    <row r="2" spans="1:13" ht="25.5">
      <c r="A2" s="298" t="s">
        <v>268</v>
      </c>
      <c r="B2" s="298"/>
      <c r="C2" s="298"/>
      <c r="D2" s="298"/>
      <c r="E2" s="298"/>
      <c r="F2" s="298"/>
      <c r="G2" s="298"/>
      <c r="H2" s="298"/>
      <c r="I2" s="298"/>
      <c r="J2" s="298"/>
      <c r="K2" s="298"/>
      <c r="L2" s="298"/>
      <c r="M2" s="298"/>
    </row>
    <row r="3" spans="1:13" ht="25.5">
      <c r="A3" s="298" t="s">
        <v>269</v>
      </c>
      <c r="B3" s="298"/>
      <c r="C3" s="298"/>
      <c r="D3" s="298"/>
      <c r="E3" s="298"/>
      <c r="F3" s="298"/>
      <c r="G3" s="298"/>
      <c r="H3" s="298"/>
      <c r="I3" s="298"/>
      <c r="J3" s="298"/>
      <c r="K3" s="298"/>
      <c r="L3" s="298"/>
      <c r="M3" s="298"/>
    </row>
    <row r="4" spans="1:13" ht="25.5">
      <c r="A4" s="298" t="s">
        <v>272</v>
      </c>
      <c r="B4" s="298"/>
      <c r="C4" s="298"/>
      <c r="D4" s="298"/>
      <c r="E4" s="298"/>
      <c r="F4" s="298"/>
      <c r="G4" s="298"/>
      <c r="H4" s="298"/>
      <c r="I4" s="298"/>
      <c r="J4" s="298"/>
      <c r="K4" s="298"/>
      <c r="L4" s="298"/>
      <c r="M4" s="298"/>
    </row>
    <row r="5" spans="1:13" ht="25.5">
      <c r="A5" s="298" t="s">
        <v>273</v>
      </c>
      <c r="B5" s="298"/>
      <c r="C5" s="298"/>
      <c r="D5" s="298"/>
      <c r="E5" s="298"/>
      <c r="F5" s="298"/>
      <c r="G5" s="298"/>
      <c r="H5" s="298"/>
      <c r="I5" s="298"/>
      <c r="J5" s="298"/>
      <c r="K5" s="298"/>
      <c r="L5" s="298"/>
      <c r="M5" s="298"/>
    </row>
    <row r="6" spans="1:13" ht="25.5">
      <c r="A6" s="298" t="s">
        <v>274</v>
      </c>
      <c r="B6" s="298"/>
      <c r="C6" s="298"/>
      <c r="D6" s="298"/>
      <c r="E6" s="298"/>
      <c r="F6" s="298"/>
      <c r="G6" s="298"/>
      <c r="H6" s="298"/>
      <c r="I6" s="298"/>
      <c r="J6" s="298"/>
      <c r="K6" s="298"/>
      <c r="L6" s="298"/>
      <c r="M6" s="298"/>
    </row>
    <row r="7" spans="1:13" ht="25.5">
      <c r="A7" s="298" t="s">
        <v>275</v>
      </c>
      <c r="B7" s="298"/>
      <c r="C7" s="298"/>
      <c r="D7" s="298"/>
      <c r="E7" s="298"/>
      <c r="F7" s="298"/>
      <c r="G7" s="298"/>
      <c r="H7" s="298"/>
      <c r="I7" s="298"/>
      <c r="J7" s="298"/>
      <c r="K7" s="298"/>
      <c r="L7" s="298"/>
      <c r="M7" s="298"/>
    </row>
    <row r="8" spans="1:13" ht="25.5">
      <c r="A8" s="298"/>
      <c r="B8" s="298"/>
      <c r="C8" s="298"/>
      <c r="D8" s="298"/>
      <c r="E8" s="298"/>
      <c r="F8" s="298"/>
      <c r="G8" s="298"/>
      <c r="H8" s="298"/>
      <c r="I8" s="298"/>
      <c r="J8" s="298"/>
      <c r="K8" s="298"/>
      <c r="L8" s="298"/>
      <c r="M8" s="298"/>
    </row>
    <row r="9" spans="1:13" ht="25.5">
      <c r="A9" s="298"/>
      <c r="B9" s="298"/>
      <c r="C9" s="298"/>
      <c r="D9" s="298"/>
      <c r="E9" s="298"/>
      <c r="F9" s="298"/>
      <c r="G9" s="298"/>
      <c r="H9" s="298"/>
      <c r="I9" s="298"/>
      <c r="J9" s="298"/>
      <c r="K9" s="298"/>
      <c r="L9" s="298"/>
      <c r="M9" s="298"/>
    </row>
    <row r="10" spans="1:13" ht="25.5">
      <c r="A10" s="298"/>
      <c r="B10" s="298"/>
      <c r="C10" s="298"/>
      <c r="D10" s="298"/>
      <c r="E10" s="298"/>
      <c r="F10" s="298"/>
      <c r="G10" s="298"/>
      <c r="H10" s="298"/>
      <c r="I10" s="298"/>
      <c r="J10" s="298"/>
      <c r="K10" s="298"/>
      <c r="L10" s="298"/>
      <c r="M10" s="298"/>
    </row>
    <row r="11" spans="1:13" ht="25.5">
      <c r="A11" s="298"/>
      <c r="B11" s="298"/>
      <c r="C11" s="298"/>
      <c r="D11" s="298"/>
      <c r="E11" s="298"/>
      <c r="F11" s="298"/>
      <c r="G11" s="298"/>
      <c r="H11" s="298"/>
      <c r="I11" s="298"/>
      <c r="J11" s="298"/>
      <c r="K11" s="298"/>
      <c r="L11" s="298"/>
      <c r="M11" s="298"/>
    </row>
    <row r="12" spans="1:13" ht="25.5">
      <c r="A12" s="298"/>
      <c r="B12" s="298"/>
      <c r="C12" s="298"/>
      <c r="D12" s="298"/>
      <c r="E12" s="298"/>
      <c r="F12" s="298"/>
      <c r="G12" s="298"/>
      <c r="H12" s="298"/>
      <c r="I12" s="298"/>
      <c r="J12" s="298"/>
      <c r="K12" s="298"/>
      <c r="L12" s="298"/>
      <c r="M12" s="298"/>
    </row>
    <row r="13" spans="1:13" ht="25.5">
      <c r="A13" s="298"/>
      <c r="B13" s="298"/>
      <c r="C13" s="298"/>
      <c r="D13" s="298"/>
      <c r="E13" s="298"/>
      <c r="F13" s="298"/>
      <c r="G13" s="298"/>
      <c r="H13" s="298"/>
      <c r="I13" s="298"/>
      <c r="J13" s="298"/>
      <c r="K13" s="298"/>
      <c r="L13" s="298"/>
      <c r="M13" s="298"/>
    </row>
    <row r="14" spans="1:13" ht="25.5">
      <c r="A14" s="298"/>
      <c r="B14" s="298"/>
      <c r="C14" s="298"/>
      <c r="D14" s="298"/>
      <c r="E14" s="298"/>
      <c r="F14" s="298"/>
      <c r="G14" s="298"/>
      <c r="H14" s="298"/>
      <c r="I14" s="298"/>
      <c r="J14" s="298"/>
      <c r="K14" s="298"/>
      <c r="L14" s="298"/>
      <c r="M14" s="298"/>
    </row>
    <row r="15" spans="1:13" ht="25.5">
      <c r="A15" s="298"/>
      <c r="B15" s="298"/>
      <c r="C15" s="298"/>
      <c r="D15" s="298"/>
      <c r="E15" s="298"/>
      <c r="F15" s="298"/>
      <c r="G15" s="298"/>
      <c r="H15" s="298"/>
      <c r="I15" s="298"/>
      <c r="J15" s="298"/>
      <c r="K15" s="298"/>
      <c r="L15" s="298"/>
      <c r="M15" s="298"/>
    </row>
    <row r="16" spans="1:13" ht="25.5">
      <c r="A16" s="298"/>
      <c r="B16" s="298"/>
      <c r="C16" s="298"/>
      <c r="D16" s="298"/>
      <c r="E16" s="298"/>
      <c r="F16" s="298"/>
      <c r="G16" s="298"/>
      <c r="H16" s="298"/>
      <c r="I16" s="298"/>
      <c r="J16" s="298"/>
      <c r="K16" s="298"/>
      <c r="L16" s="298"/>
      <c r="M16" s="298"/>
    </row>
    <row r="17" spans="1:13" ht="25.5">
      <c r="A17" s="298"/>
      <c r="B17" s="298"/>
      <c r="C17" s="298"/>
      <c r="D17" s="298"/>
      <c r="E17" s="298"/>
      <c r="F17" s="298"/>
      <c r="G17" s="298"/>
      <c r="H17" s="298"/>
      <c r="I17" s="298"/>
      <c r="J17" s="298"/>
      <c r="K17" s="298"/>
      <c r="L17" s="298"/>
      <c r="M17" s="298"/>
    </row>
    <row r="18" spans="1:13" ht="25.5">
      <c r="A18" s="298"/>
      <c r="B18" s="298"/>
      <c r="C18" s="298"/>
      <c r="D18" s="298"/>
      <c r="E18" s="298"/>
      <c r="F18" s="298"/>
      <c r="G18" s="298"/>
      <c r="H18" s="298"/>
      <c r="I18" s="298"/>
      <c r="J18" s="298"/>
      <c r="K18" s="298"/>
      <c r="L18" s="298"/>
      <c r="M18" s="298"/>
    </row>
    <row r="19" spans="1:13" ht="25.5">
      <c r="A19" s="298"/>
      <c r="B19" s="298"/>
      <c r="C19" s="298"/>
      <c r="D19" s="298"/>
      <c r="E19" s="298"/>
      <c r="F19" s="298"/>
      <c r="G19" s="298"/>
      <c r="H19" s="298"/>
      <c r="I19" s="298"/>
      <c r="J19" s="298"/>
      <c r="K19" s="298"/>
      <c r="L19" s="298"/>
      <c r="M19" s="298"/>
    </row>
    <row r="20" spans="1:13" ht="25.5">
      <c r="A20" s="298"/>
      <c r="B20" s="298"/>
      <c r="C20" s="298"/>
      <c r="D20" s="298"/>
      <c r="E20" s="298"/>
      <c r="F20" s="298"/>
      <c r="G20" s="298"/>
      <c r="H20" s="298"/>
      <c r="I20" s="298"/>
      <c r="J20" s="298"/>
      <c r="K20" s="298"/>
      <c r="L20" s="298"/>
      <c r="M20" s="298"/>
    </row>
    <row r="21" spans="1:13" ht="25.5">
      <c r="A21" s="298"/>
      <c r="B21" s="298"/>
      <c r="C21" s="298"/>
      <c r="D21" s="298"/>
      <c r="E21" s="298"/>
      <c r="F21" s="298"/>
      <c r="G21" s="298"/>
      <c r="H21" s="298"/>
      <c r="I21" s="298"/>
      <c r="J21" s="298"/>
      <c r="K21" s="298"/>
      <c r="L21" s="298"/>
      <c r="M21" s="298"/>
    </row>
    <row r="22" spans="1:13" ht="25.5">
      <c r="A22" s="298"/>
      <c r="B22" s="298"/>
      <c r="C22" s="298"/>
      <c r="D22" s="298"/>
      <c r="E22" s="298"/>
      <c r="F22" s="298"/>
      <c r="G22" s="298"/>
      <c r="H22" s="298"/>
      <c r="I22" s="298"/>
      <c r="J22" s="298"/>
      <c r="K22" s="298"/>
      <c r="L22" s="298"/>
      <c r="M22" s="298"/>
    </row>
    <row r="23" spans="1:13" ht="25.5">
      <c r="A23" s="298"/>
      <c r="B23" s="298"/>
      <c r="C23" s="298"/>
      <c r="D23" s="298"/>
      <c r="E23" s="298"/>
      <c r="F23" s="298"/>
      <c r="G23" s="298"/>
      <c r="H23" s="298"/>
      <c r="I23" s="298"/>
      <c r="J23" s="298"/>
      <c r="K23" s="298"/>
      <c r="L23" s="298"/>
      <c r="M23" s="298"/>
    </row>
    <row r="24" spans="1:13" ht="25.5">
      <c r="A24" s="298"/>
      <c r="B24" s="298"/>
      <c r="C24" s="298"/>
      <c r="D24" s="298"/>
      <c r="E24" s="298"/>
      <c r="F24" s="298"/>
      <c r="G24" s="298"/>
      <c r="H24" s="298"/>
      <c r="I24" s="298"/>
      <c r="J24" s="298"/>
      <c r="K24" s="298"/>
      <c r="L24" s="298"/>
      <c r="M24" s="298"/>
    </row>
    <row r="25" spans="1:13" ht="25.5">
      <c r="A25" s="298"/>
      <c r="B25" s="298"/>
      <c r="C25" s="298"/>
      <c r="D25" s="298"/>
      <c r="E25" s="298"/>
      <c r="F25" s="298"/>
      <c r="G25" s="298"/>
      <c r="H25" s="298"/>
      <c r="I25" s="298"/>
      <c r="J25" s="298"/>
      <c r="K25" s="298"/>
      <c r="L25" s="298"/>
      <c r="M25" s="298"/>
    </row>
    <row r="26" spans="1:13" ht="25.5">
      <c r="A26" s="298"/>
      <c r="B26" s="298"/>
      <c r="C26" s="298"/>
      <c r="D26" s="298"/>
      <c r="E26" s="298"/>
      <c r="F26" s="298"/>
      <c r="G26" s="298"/>
      <c r="H26" s="298"/>
      <c r="I26" s="298"/>
      <c r="J26" s="298"/>
      <c r="K26" s="298"/>
      <c r="L26" s="298"/>
      <c r="M26" s="298"/>
    </row>
    <row r="27" spans="1:13" ht="25.5">
      <c r="A27" s="298"/>
      <c r="B27" s="298"/>
      <c r="C27" s="298"/>
      <c r="D27" s="298"/>
      <c r="E27" s="298"/>
      <c r="F27" s="298"/>
      <c r="G27" s="298"/>
      <c r="H27" s="298"/>
      <c r="I27" s="298"/>
      <c r="J27" s="298"/>
      <c r="K27" s="298"/>
      <c r="L27" s="298"/>
      <c r="M27" s="298"/>
    </row>
    <row r="28" spans="1:13" ht="25.5">
      <c r="A28" s="298"/>
      <c r="B28" s="298"/>
      <c r="C28" s="298"/>
      <c r="D28" s="298"/>
      <c r="E28" s="298"/>
      <c r="F28" s="298"/>
      <c r="G28" s="298"/>
      <c r="H28" s="298"/>
      <c r="I28" s="298"/>
      <c r="J28" s="298"/>
      <c r="K28" s="298"/>
      <c r="L28" s="298"/>
      <c r="M28" s="298"/>
    </row>
    <row r="29" spans="1:13" ht="25.5">
      <c r="A29" s="298"/>
      <c r="B29" s="298"/>
      <c r="C29" s="298"/>
      <c r="D29" s="298"/>
      <c r="E29" s="298"/>
      <c r="F29" s="298"/>
      <c r="G29" s="298"/>
      <c r="H29" s="298"/>
      <c r="I29" s="298"/>
      <c r="J29" s="298"/>
      <c r="K29" s="298"/>
      <c r="L29" s="298"/>
      <c r="M29" s="298"/>
    </row>
    <row r="30" spans="1:13" ht="25.5">
      <c r="A30" s="298"/>
      <c r="B30" s="298"/>
      <c r="C30" s="298"/>
      <c r="D30" s="298"/>
      <c r="E30" s="298"/>
      <c r="F30" s="298"/>
      <c r="G30" s="298"/>
      <c r="H30" s="298"/>
      <c r="I30" s="298"/>
      <c r="J30" s="298"/>
      <c r="K30" s="298"/>
      <c r="L30" s="298"/>
      <c r="M30" s="298"/>
    </row>
    <row r="31" spans="1:13" ht="25.5">
      <c r="A31" s="298"/>
      <c r="B31" s="298"/>
      <c r="C31" s="298"/>
      <c r="D31" s="298"/>
      <c r="E31" s="298"/>
      <c r="F31" s="298"/>
      <c r="G31" s="298"/>
      <c r="H31" s="298"/>
      <c r="I31" s="298"/>
      <c r="J31" s="298"/>
      <c r="K31" s="298"/>
      <c r="L31" s="298"/>
      <c r="M31" s="298"/>
    </row>
    <row r="32" spans="1:13" ht="25.5">
      <c r="A32" s="298"/>
      <c r="B32" s="298"/>
      <c r="C32" s="298"/>
      <c r="D32" s="298"/>
      <c r="E32" s="298"/>
      <c r="F32" s="298"/>
      <c r="G32" s="298"/>
      <c r="H32" s="298"/>
      <c r="I32" s="298"/>
      <c r="J32" s="298"/>
      <c r="K32" s="298"/>
      <c r="L32" s="298"/>
      <c r="M32" s="298"/>
    </row>
    <row r="33" spans="1:13" ht="25.5">
      <c r="A33" s="298"/>
      <c r="B33" s="298"/>
      <c r="C33" s="298"/>
      <c r="D33" s="298"/>
      <c r="E33" s="298"/>
      <c r="F33" s="298"/>
      <c r="G33" s="298"/>
      <c r="H33" s="298"/>
      <c r="I33" s="298"/>
      <c r="J33" s="298"/>
      <c r="K33" s="298"/>
      <c r="L33" s="298"/>
      <c r="M33" s="298"/>
    </row>
  </sheetData>
  <sheetProtection/>
  <printOptions/>
  <pageMargins left="0.75" right="0.75" top="1" bottom="1" header="0" footer="0"/>
  <pageSetup fitToHeight="1" fitToWidth="1" orientation="landscape" paperSize="9" scale="72" r:id="rId1"/>
</worksheet>
</file>

<file path=xl/worksheets/sheet3.xml><?xml version="1.0" encoding="utf-8"?>
<worksheet xmlns="http://schemas.openxmlformats.org/spreadsheetml/2006/main" xmlns:r="http://schemas.openxmlformats.org/officeDocument/2006/relationships">
  <dimension ref="A1:J49"/>
  <sheetViews>
    <sheetView zoomScalePageLayoutView="0" workbookViewId="0" topLeftCell="A7">
      <selection activeCell="H20" sqref="H20:H23"/>
    </sheetView>
  </sheetViews>
  <sheetFormatPr defaultColWidth="9.140625" defaultRowHeight="12.75"/>
  <cols>
    <col min="1" max="1" width="28.8515625" style="0" customWidth="1"/>
    <col min="2" max="2" width="16.7109375" style="0" customWidth="1"/>
    <col min="5" max="5" width="10.7109375" style="0" bestFit="1" customWidth="1"/>
  </cols>
  <sheetData>
    <row r="1" spans="1:5" ht="13.5" thickBot="1">
      <c r="A1" s="173" t="s">
        <v>88</v>
      </c>
      <c r="B1" s="333" t="s">
        <v>133</v>
      </c>
      <c r="C1" s="333"/>
      <c r="D1" s="333"/>
      <c r="E1" s="333"/>
    </row>
    <row r="2" spans="1:9" ht="15">
      <c r="A2" s="349" t="s">
        <v>91</v>
      </c>
      <c r="B2" s="350"/>
      <c r="C2" s="350"/>
      <c r="D2" s="350"/>
      <c r="E2" s="350"/>
      <c r="F2" s="350"/>
      <c r="G2" s="350"/>
      <c r="H2" s="350"/>
      <c r="I2" s="351"/>
    </row>
    <row r="3" spans="1:9" ht="12.75">
      <c r="A3" s="3" t="s">
        <v>92</v>
      </c>
      <c r="B3" s="4"/>
      <c r="C3" s="4"/>
      <c r="D3" s="4"/>
      <c r="E3" s="4"/>
      <c r="F3" s="4"/>
      <c r="G3" s="4"/>
      <c r="H3" s="352">
        <f>H4+5000</f>
        <v>15850</v>
      </c>
      <c r="I3" s="353"/>
    </row>
    <row r="4" spans="1:9" ht="12.75">
      <c r="A4" s="3" t="s">
        <v>93</v>
      </c>
      <c r="B4" s="4"/>
      <c r="C4" s="4"/>
      <c r="D4" s="4"/>
      <c r="E4" s="4"/>
      <c r="F4" s="4"/>
      <c r="G4" s="4"/>
      <c r="H4" s="354">
        <f>(9000000*0.05)/1000+(160000000*0.065)/1000</f>
        <v>10850</v>
      </c>
      <c r="I4" s="355"/>
    </row>
    <row r="5" spans="1:9" ht="13.5" thickBot="1">
      <c r="A5" s="174" t="s">
        <v>94</v>
      </c>
      <c r="B5" s="175"/>
      <c r="C5" s="175"/>
      <c r="D5" s="175"/>
      <c r="E5" s="175"/>
      <c r="F5" s="175"/>
      <c r="G5" s="175"/>
      <c r="H5" s="356">
        <f>H3-H4</f>
        <v>5000</v>
      </c>
      <c r="I5" s="357"/>
    </row>
    <row r="6" spans="1:9" ht="15.75" thickBot="1">
      <c r="A6" s="358" t="s">
        <v>95</v>
      </c>
      <c r="B6" s="359"/>
      <c r="C6" s="359"/>
      <c r="D6" s="359"/>
      <c r="E6" s="359"/>
      <c r="F6" s="359"/>
      <c r="G6" s="359"/>
      <c r="H6" s="359"/>
      <c r="I6" s="360"/>
    </row>
    <row r="7" spans="1:9" ht="12.75">
      <c r="A7" s="334" t="s">
        <v>96</v>
      </c>
      <c r="B7" s="335"/>
      <c r="C7" s="336"/>
      <c r="D7" s="334" t="s">
        <v>97</v>
      </c>
      <c r="E7" s="335"/>
      <c r="F7" s="335"/>
      <c r="G7" s="335"/>
      <c r="H7" s="335"/>
      <c r="I7" s="336"/>
    </row>
    <row r="8" spans="1:9" ht="12.75">
      <c r="A8" s="3" t="s">
        <v>98</v>
      </c>
      <c r="B8" s="4"/>
      <c r="C8" s="176">
        <f>269000+11000</f>
        <v>280000</v>
      </c>
      <c r="D8" s="3" t="s">
        <v>99</v>
      </c>
      <c r="E8" s="4"/>
      <c r="F8" s="4"/>
      <c r="G8" s="4"/>
      <c r="H8" s="4"/>
      <c r="I8" s="5"/>
    </row>
    <row r="9" spans="1:9" ht="12.75">
      <c r="A9" s="3" t="s">
        <v>100</v>
      </c>
      <c r="B9" s="4"/>
      <c r="C9" s="176">
        <v>144000</v>
      </c>
      <c r="D9" s="3" t="s">
        <v>101</v>
      </c>
      <c r="E9" s="4"/>
      <c r="F9" s="4"/>
      <c r="G9" s="4"/>
      <c r="H9" s="4"/>
      <c r="I9" s="176">
        <v>146000</v>
      </c>
    </row>
    <row r="10" spans="1:9" ht="12.75">
      <c r="A10" s="3" t="s">
        <v>102</v>
      </c>
      <c r="B10" s="4"/>
      <c r="C10" s="176">
        <v>0</v>
      </c>
      <c r="D10" s="3" t="s">
        <v>103</v>
      </c>
      <c r="E10" s="4"/>
      <c r="F10" s="4"/>
      <c r="G10" s="4"/>
      <c r="H10" s="4"/>
      <c r="I10" s="176">
        <f>9000+11000</f>
        <v>20000</v>
      </c>
    </row>
    <row r="11" spans="1:9" ht="12.75">
      <c r="A11" s="3" t="s">
        <v>104</v>
      </c>
      <c r="B11" s="4"/>
      <c r="C11" s="176">
        <v>0</v>
      </c>
      <c r="D11" s="3" t="s">
        <v>105</v>
      </c>
      <c r="E11" s="4"/>
      <c r="F11" s="4"/>
      <c r="G11" s="4"/>
      <c r="H11" s="4"/>
      <c r="I11" s="176">
        <v>0</v>
      </c>
    </row>
    <row r="12" spans="1:9" ht="12.75">
      <c r="A12" s="3" t="s">
        <v>106</v>
      </c>
      <c r="B12" s="4"/>
      <c r="C12" s="176">
        <v>0</v>
      </c>
      <c r="D12" s="3" t="s">
        <v>107</v>
      </c>
      <c r="E12" s="4"/>
      <c r="F12" s="4"/>
      <c r="G12" s="4"/>
      <c r="H12" s="4"/>
      <c r="I12" s="176">
        <v>258000</v>
      </c>
    </row>
    <row r="13" spans="1:9" ht="13.5" thickBot="1">
      <c r="A13" s="174" t="s">
        <v>108</v>
      </c>
      <c r="B13" s="175"/>
      <c r="C13" s="177">
        <f>SUM(C8:C12)</f>
        <v>424000</v>
      </c>
      <c r="D13" s="174" t="s">
        <v>109</v>
      </c>
      <c r="E13" s="175"/>
      <c r="F13" s="175"/>
      <c r="G13" s="175"/>
      <c r="H13" s="175"/>
      <c r="I13" s="177">
        <f>SUM(I9:I12)</f>
        <v>424000</v>
      </c>
    </row>
    <row r="14" ht="9.75" customHeight="1"/>
    <row r="15" spans="1:9" ht="13.5" thickBot="1">
      <c r="A15" t="s">
        <v>110</v>
      </c>
      <c r="I15" s="40" t="s">
        <v>111</v>
      </c>
    </row>
    <row r="16" spans="1:9" ht="13.5" hidden="1" thickBot="1">
      <c r="A16" s="328" t="s">
        <v>112</v>
      </c>
      <c r="B16" s="178" t="s">
        <v>98</v>
      </c>
      <c r="C16" s="31" t="s">
        <v>113</v>
      </c>
      <c r="D16" s="319" t="s">
        <v>24</v>
      </c>
      <c r="E16" s="31">
        <f>C8</f>
        <v>280000</v>
      </c>
      <c r="F16" s="31" t="s">
        <v>113</v>
      </c>
      <c r="G16" s="319" t="s">
        <v>24</v>
      </c>
      <c r="H16" s="322">
        <f>E16/E17</f>
        <v>0.660377358490566</v>
      </c>
      <c r="I16" s="363"/>
    </row>
    <row r="17" spans="1:10" ht="13.5" hidden="1" thickBot="1">
      <c r="A17" s="329"/>
      <c r="B17" s="330" t="s">
        <v>114</v>
      </c>
      <c r="C17" s="330"/>
      <c r="D17" s="320"/>
      <c r="E17" s="330">
        <f>C13</f>
        <v>424000</v>
      </c>
      <c r="F17" s="330"/>
      <c r="G17" s="320"/>
      <c r="H17" s="323"/>
      <c r="I17" s="342"/>
      <c r="J17" s="145"/>
    </row>
    <row r="18" spans="1:9" ht="13.5" hidden="1" thickBot="1">
      <c r="A18" s="328" t="s">
        <v>115</v>
      </c>
      <c r="B18" s="179" t="str">
        <f>D8</f>
        <v>Langfristet kapital</v>
      </c>
      <c r="C18" s="180" t="str">
        <f>C16</f>
        <v>*100</v>
      </c>
      <c r="D18" s="319" t="s">
        <v>24</v>
      </c>
      <c r="E18" s="181">
        <f>I10+I9+I8</f>
        <v>166000</v>
      </c>
      <c r="F18" s="180" t="str">
        <f>F16</f>
        <v>*100</v>
      </c>
      <c r="G18" s="319" t="s">
        <v>24</v>
      </c>
      <c r="H18" s="322">
        <f>E18/E19</f>
        <v>0.3915094339622642</v>
      </c>
      <c r="I18" s="317" t="str">
        <f>CONCATENATE("&gt;",ROUND(H16*100,0),"%")</f>
        <v>&gt;66%</v>
      </c>
    </row>
    <row r="19" spans="1:9" ht="13.5" hidden="1" thickBot="1">
      <c r="A19" s="329"/>
      <c r="B19" s="321" t="s">
        <v>116</v>
      </c>
      <c r="C19" s="321"/>
      <c r="D19" s="320"/>
      <c r="E19" s="321">
        <f>I13</f>
        <v>424000</v>
      </c>
      <c r="F19" s="321"/>
      <c r="G19" s="320"/>
      <c r="H19" s="323"/>
      <c r="I19" s="318"/>
    </row>
    <row r="20" spans="1:9" ht="13.5" thickBot="1">
      <c r="A20" s="328" t="s">
        <v>117</v>
      </c>
      <c r="B20" s="178" t="s">
        <v>118</v>
      </c>
      <c r="C20" s="31" t="s">
        <v>113</v>
      </c>
      <c r="D20" s="319" t="s">
        <v>24</v>
      </c>
      <c r="E20" s="31">
        <f>I12+I10+I11</f>
        <v>278000</v>
      </c>
      <c r="F20" s="31" t="s">
        <v>113</v>
      </c>
      <c r="G20" s="319" t="s">
        <v>24</v>
      </c>
      <c r="H20" s="322">
        <f>E20/E21</f>
        <v>0.6556603773584906</v>
      </c>
      <c r="I20" s="337">
        <v>0.7</v>
      </c>
    </row>
    <row r="21" spans="1:9" ht="13.5" thickBot="1">
      <c r="A21" s="329"/>
      <c r="B21" s="330" t="str">
        <f>B19</f>
        <v>Passiver </v>
      </c>
      <c r="C21" s="330"/>
      <c r="D21" s="320"/>
      <c r="E21" s="330">
        <f>C13</f>
        <v>424000</v>
      </c>
      <c r="F21" s="330"/>
      <c r="G21" s="320"/>
      <c r="H21" s="323"/>
      <c r="I21" s="338"/>
    </row>
    <row r="22" spans="1:9" ht="13.5" thickBot="1">
      <c r="A22" s="328" t="s">
        <v>119</v>
      </c>
      <c r="B22" s="178" t="str">
        <f>D9</f>
        <v>Egenkapital</v>
      </c>
      <c r="C22" s="31" t="s">
        <v>113</v>
      </c>
      <c r="D22" s="319" t="s">
        <v>24</v>
      </c>
      <c r="E22" s="31">
        <f>I9</f>
        <v>146000</v>
      </c>
      <c r="F22" s="31" t="s">
        <v>113</v>
      </c>
      <c r="G22" s="319" t="s">
        <v>24</v>
      </c>
      <c r="H22" s="322">
        <f>E22/E23</f>
        <v>0.3443396226415094</v>
      </c>
      <c r="I22" s="324">
        <f>(I20-1)*-1</f>
        <v>0.30000000000000004</v>
      </c>
    </row>
    <row r="23" spans="1:9" ht="13.5" thickBot="1">
      <c r="A23" s="329"/>
      <c r="B23" s="330" t="str">
        <f>B21</f>
        <v>Passiver </v>
      </c>
      <c r="C23" s="330"/>
      <c r="D23" s="320"/>
      <c r="E23" s="330">
        <f>I13</f>
        <v>424000</v>
      </c>
      <c r="F23" s="330"/>
      <c r="G23" s="320"/>
      <c r="H23" s="323"/>
      <c r="I23" s="325"/>
    </row>
    <row r="24" spans="1:9" ht="13.5" hidden="1" thickBot="1">
      <c r="A24" s="328" t="s">
        <v>120</v>
      </c>
      <c r="B24" s="178" t="s">
        <v>118</v>
      </c>
      <c r="C24" s="31"/>
      <c r="D24" s="319" t="s">
        <v>24</v>
      </c>
      <c r="E24" s="31">
        <f>I12+I10+I11</f>
        <v>278000</v>
      </c>
      <c r="F24" s="31"/>
      <c r="G24" s="319" t="s">
        <v>24</v>
      </c>
      <c r="H24" s="331">
        <f>E24/E25</f>
        <v>1.904109589041096</v>
      </c>
      <c r="I24" s="326">
        <f>I20/I22</f>
        <v>2.333333333333333</v>
      </c>
    </row>
    <row r="25" spans="1:9" ht="13.5" hidden="1" thickBot="1">
      <c r="A25" s="329"/>
      <c r="B25" s="330" t="s">
        <v>101</v>
      </c>
      <c r="C25" s="330"/>
      <c r="D25" s="320"/>
      <c r="E25" s="330">
        <f>I9</f>
        <v>146000</v>
      </c>
      <c r="F25" s="330"/>
      <c r="G25" s="320"/>
      <c r="H25" s="332"/>
      <c r="I25" s="327"/>
    </row>
    <row r="26" spans="1:9" ht="13.5" hidden="1" thickBot="1">
      <c r="A26" s="328" t="s">
        <v>121</v>
      </c>
      <c r="B26" s="182" t="str">
        <f>A3</f>
        <v>Resultat før renter</v>
      </c>
      <c r="C26" s="183" t="str">
        <f>C22</f>
        <v>*100</v>
      </c>
      <c r="D26" s="319" t="s">
        <v>24</v>
      </c>
      <c r="E26" s="184">
        <f>H3</f>
        <v>15850</v>
      </c>
      <c r="F26" s="183" t="s">
        <v>113</v>
      </c>
      <c r="G26" s="319" t="s">
        <v>24</v>
      </c>
      <c r="H26" s="361">
        <f>E26/E27</f>
        <v>0.03738207547169811</v>
      </c>
      <c r="I26" s="341">
        <v>0.15</v>
      </c>
    </row>
    <row r="27" spans="1:9" ht="13.5" hidden="1" thickBot="1">
      <c r="A27" s="329"/>
      <c r="B27" s="321" t="str">
        <f>B17</f>
        <v>Aktiver</v>
      </c>
      <c r="C27" s="321"/>
      <c r="D27" s="320"/>
      <c r="E27" s="330">
        <f>C13</f>
        <v>424000</v>
      </c>
      <c r="F27" s="330"/>
      <c r="G27" s="320"/>
      <c r="H27" s="362"/>
      <c r="I27" s="342"/>
    </row>
    <row r="28" spans="1:9" ht="13.5" thickBot="1">
      <c r="A28" s="328" t="s">
        <v>122</v>
      </c>
      <c r="B28" s="178" t="str">
        <f>A4</f>
        <v>Renter</v>
      </c>
      <c r="C28" s="183" t="str">
        <f>C26</f>
        <v>*100</v>
      </c>
      <c r="D28" s="319" t="s">
        <v>24</v>
      </c>
      <c r="E28" s="184">
        <f>H4</f>
        <v>10850</v>
      </c>
      <c r="F28" s="183" t="str">
        <f>F26</f>
        <v>*100</v>
      </c>
      <c r="G28" s="319" t="s">
        <v>24</v>
      </c>
      <c r="H28" s="361">
        <f>E28/E29</f>
        <v>0.039028776978417265</v>
      </c>
      <c r="I28" s="339" t="s">
        <v>123</v>
      </c>
    </row>
    <row r="29" spans="1:9" ht="13.5" thickBot="1">
      <c r="A29" s="329"/>
      <c r="B29" s="321" t="s">
        <v>124</v>
      </c>
      <c r="C29" s="321"/>
      <c r="D29" s="320"/>
      <c r="E29" s="321">
        <f>I10+I12+I11</f>
        <v>278000</v>
      </c>
      <c r="F29" s="321"/>
      <c r="G29" s="320"/>
      <c r="H29" s="362"/>
      <c r="I29" s="340"/>
    </row>
    <row r="30" spans="1:9" ht="13.5" hidden="1" thickBot="1">
      <c r="A30" s="328" t="s">
        <v>125</v>
      </c>
      <c r="B30" s="182" t="str">
        <f>A5</f>
        <v>Resultat efter renter</v>
      </c>
      <c r="C30" s="183" t="str">
        <f>C28</f>
        <v>*100</v>
      </c>
      <c r="D30" s="319" t="s">
        <v>24</v>
      </c>
      <c r="E30" s="185">
        <f>H5</f>
        <v>5000</v>
      </c>
      <c r="F30" s="169" t="str">
        <f>F28</f>
        <v>*100</v>
      </c>
      <c r="G30" s="319" t="s">
        <v>24</v>
      </c>
      <c r="H30" s="361">
        <f>E30/E31</f>
        <v>0.03424657534246575</v>
      </c>
      <c r="I30" s="339" t="str">
        <f>CONCATENATE("&gt;",I26*100,"%")</f>
        <v>&gt;15%</v>
      </c>
    </row>
    <row r="31" spans="1:9" ht="13.5" hidden="1" thickBot="1">
      <c r="A31" s="329"/>
      <c r="B31" s="321" t="str">
        <f>D9</f>
        <v>Egenkapital</v>
      </c>
      <c r="C31" s="321"/>
      <c r="D31" s="320"/>
      <c r="E31" s="330">
        <f>I9</f>
        <v>146000</v>
      </c>
      <c r="F31" s="330"/>
      <c r="G31" s="320"/>
      <c r="H31" s="362"/>
      <c r="I31" s="340"/>
    </row>
    <row r="32" spans="1:9" ht="13.5" hidden="1" thickBot="1">
      <c r="A32" s="328" t="s">
        <v>126</v>
      </c>
      <c r="B32" s="178" t="s">
        <v>98</v>
      </c>
      <c r="C32" s="31" t="s">
        <v>113</v>
      </c>
      <c r="D32" s="319" t="s">
        <v>24</v>
      </c>
      <c r="E32" s="31">
        <f>C8</f>
        <v>280000</v>
      </c>
      <c r="F32" s="31" t="s">
        <v>113</v>
      </c>
      <c r="G32" s="319" t="s">
        <v>24</v>
      </c>
      <c r="H32" s="322">
        <f>E32/E33</f>
        <v>1.6867469879518073</v>
      </c>
      <c r="I32" s="339" t="s">
        <v>127</v>
      </c>
    </row>
    <row r="33" spans="1:9" ht="13.5" hidden="1" thickBot="1">
      <c r="A33" s="329"/>
      <c r="B33" s="330" t="s">
        <v>128</v>
      </c>
      <c r="C33" s="330"/>
      <c r="D33" s="320"/>
      <c r="E33" s="330">
        <f>I10+I9</f>
        <v>166000</v>
      </c>
      <c r="F33" s="330"/>
      <c r="G33" s="320"/>
      <c r="H33" s="323"/>
      <c r="I33" s="340"/>
    </row>
    <row r="34" spans="1:9" ht="13.5" hidden="1" thickBot="1">
      <c r="A34" s="328" t="s">
        <v>129</v>
      </c>
      <c r="B34" s="31" t="s">
        <v>130</v>
      </c>
      <c r="C34" s="31" t="s">
        <v>113</v>
      </c>
      <c r="D34" s="319" t="s">
        <v>24</v>
      </c>
      <c r="E34" s="31">
        <f>C9+C12+C11</f>
        <v>144000</v>
      </c>
      <c r="F34" s="31" t="s">
        <v>113</v>
      </c>
      <c r="G34" s="319" t="s">
        <v>24</v>
      </c>
      <c r="H34" s="322">
        <f>E34/E35</f>
        <v>0.5581395348837209</v>
      </c>
      <c r="I34" s="337">
        <v>1</v>
      </c>
    </row>
    <row r="35" spans="1:9" ht="13.5" hidden="1" thickBot="1">
      <c r="A35" s="329"/>
      <c r="B35" s="330" t="s">
        <v>131</v>
      </c>
      <c r="C35" s="330"/>
      <c r="D35" s="320"/>
      <c r="E35" s="330">
        <f>I12</f>
        <v>258000</v>
      </c>
      <c r="F35" s="330"/>
      <c r="G35" s="320"/>
      <c r="H35" s="323"/>
      <c r="I35" s="338"/>
    </row>
    <row r="36" spans="1:9" ht="13.5" hidden="1" thickBot="1">
      <c r="A36" s="328" t="s">
        <v>132</v>
      </c>
      <c r="B36" s="31" t="s">
        <v>100</v>
      </c>
      <c r="C36" s="31" t="s">
        <v>113</v>
      </c>
      <c r="D36" s="319" t="s">
        <v>24</v>
      </c>
      <c r="E36" s="31">
        <f>C9+C10+C12+C11</f>
        <v>144000</v>
      </c>
      <c r="F36" s="31" t="s">
        <v>113</v>
      </c>
      <c r="G36" s="319" t="s">
        <v>24</v>
      </c>
      <c r="H36" s="322">
        <f>E36/E37</f>
        <v>0.5581395348837209</v>
      </c>
      <c r="I36" s="337">
        <v>1</v>
      </c>
    </row>
    <row r="37" spans="1:9" ht="13.5" hidden="1" thickBot="1">
      <c r="A37" s="329"/>
      <c r="B37" s="330" t="s">
        <v>131</v>
      </c>
      <c r="C37" s="330"/>
      <c r="D37" s="320"/>
      <c r="E37" s="330">
        <f>I12</f>
        <v>258000</v>
      </c>
      <c r="F37" s="330"/>
      <c r="G37" s="320"/>
      <c r="H37" s="323"/>
      <c r="I37" s="343"/>
    </row>
    <row r="38" spans="1:9" ht="12.75" customHeight="1">
      <c r="A38" s="344" t="str">
        <f>CONCATENATE("Soliditeten ligger på ",ROUND(H22*100,0),"%",,IF(H22&gt;I22," hvilket er over kravet på "," hvilket er under kravet på "),I22*100,"%. ",B1," har dermed en ",IF(H22&gt;I22,"mindre","større")," finansiel risiko end ønsket. ",ROUND(H20*100,0),"% af ",B1,"'s kapital er finansieret med fremmedkapital dvs. gearingen er ",ROUND(I24,1),". ")</f>
        <v>Soliditeten ligger på 34% hvilket er over kravet på 30%. SUNKIST har dermed en mindre finansiel risiko end ønsket. 66% af SUNKIST's kapital er finansieret med fremmedkapital dvs. gearingen er 2,3. </v>
      </c>
      <c r="B38" s="345"/>
      <c r="C38" s="345"/>
      <c r="D38" s="345"/>
      <c r="E38" s="345"/>
      <c r="F38" s="345"/>
      <c r="G38" s="345"/>
      <c r="H38" s="345"/>
      <c r="I38" s="346"/>
    </row>
    <row r="39" spans="1:9" ht="12.75" customHeight="1">
      <c r="A39" s="347"/>
      <c r="B39" s="316"/>
      <c r="C39" s="316"/>
      <c r="D39" s="316"/>
      <c r="E39" s="316"/>
      <c r="F39" s="316"/>
      <c r="G39" s="316"/>
      <c r="H39" s="316"/>
      <c r="I39" s="348"/>
    </row>
    <row r="40" spans="1:9" ht="12.75" customHeight="1">
      <c r="A40" s="347"/>
      <c r="B40" s="316"/>
      <c r="C40" s="316"/>
      <c r="D40" s="316"/>
      <c r="E40" s="316"/>
      <c r="F40" s="316"/>
      <c r="G40" s="316"/>
      <c r="H40" s="316"/>
      <c r="I40" s="348"/>
    </row>
    <row r="41" spans="1:9" ht="12.75" customHeight="1">
      <c r="A41" s="347"/>
      <c r="B41" s="316"/>
      <c r="C41" s="316"/>
      <c r="D41" s="316"/>
      <c r="E41" s="316"/>
      <c r="F41" s="316"/>
      <c r="G41" s="316"/>
      <c r="H41" s="316"/>
      <c r="I41" s="348"/>
    </row>
    <row r="42" spans="1:9" ht="12.75" customHeight="1">
      <c r="A42" s="347"/>
      <c r="B42" s="316"/>
      <c r="C42" s="316"/>
      <c r="D42" s="316"/>
      <c r="E42" s="316"/>
      <c r="F42" s="316"/>
      <c r="G42" s="316"/>
      <c r="H42" s="316"/>
      <c r="I42" s="348"/>
    </row>
    <row r="43" spans="1:9" ht="12.75" customHeight="1">
      <c r="A43" s="347"/>
      <c r="B43" s="316"/>
      <c r="C43" s="316"/>
      <c r="D43" s="316"/>
      <c r="E43" s="316"/>
      <c r="F43" s="316"/>
      <c r="G43" s="316"/>
      <c r="H43" s="316"/>
      <c r="I43" s="348"/>
    </row>
    <row r="44" spans="1:9" ht="32.25" customHeight="1">
      <c r="A44" s="347"/>
      <c r="B44" s="316"/>
      <c r="C44" s="316"/>
      <c r="D44" s="316"/>
      <c r="E44" s="316"/>
      <c r="F44" s="316"/>
      <c r="G44" s="316"/>
      <c r="H44" s="316"/>
      <c r="I44" s="348"/>
    </row>
    <row r="45" spans="1:9" ht="12.75">
      <c r="A45" s="347" t="s">
        <v>135</v>
      </c>
      <c r="B45" s="316"/>
      <c r="C45" s="316"/>
      <c r="D45" s="316"/>
      <c r="E45" s="316"/>
      <c r="F45" s="316"/>
      <c r="G45" s="316"/>
      <c r="H45" s="316"/>
      <c r="I45" s="348"/>
    </row>
    <row r="46" spans="1:9" ht="12.75">
      <c r="A46" s="347"/>
      <c r="B46" s="316"/>
      <c r="C46" s="316"/>
      <c r="D46" s="316"/>
      <c r="E46" s="316"/>
      <c r="F46" s="316"/>
      <c r="G46" s="316"/>
      <c r="H46" s="316"/>
      <c r="I46" s="348"/>
    </row>
    <row r="47" spans="1:9" ht="12.75">
      <c r="A47" s="347"/>
      <c r="B47" s="316"/>
      <c r="C47" s="316"/>
      <c r="D47" s="316"/>
      <c r="E47" s="316"/>
      <c r="F47" s="316"/>
      <c r="G47" s="316"/>
      <c r="H47" s="316"/>
      <c r="I47" s="348"/>
    </row>
    <row r="48" spans="1:9" ht="12.75">
      <c r="A48" s="347"/>
      <c r="B48" s="316"/>
      <c r="C48" s="316"/>
      <c r="D48" s="316"/>
      <c r="E48" s="316"/>
      <c r="F48" s="316"/>
      <c r="G48" s="316"/>
      <c r="H48" s="316"/>
      <c r="I48" s="348"/>
    </row>
    <row r="49" spans="1:9" ht="39" customHeight="1" thickBot="1">
      <c r="A49" s="364"/>
      <c r="B49" s="365"/>
      <c r="C49" s="365"/>
      <c r="D49" s="365"/>
      <c r="E49" s="365"/>
      <c r="F49" s="365"/>
      <c r="G49" s="365"/>
      <c r="H49" s="365"/>
      <c r="I49" s="366"/>
    </row>
  </sheetData>
  <sheetProtection/>
  <mergeCells count="87">
    <mergeCell ref="I22:I23"/>
    <mergeCell ref="I24:I25"/>
    <mergeCell ref="H20:H21"/>
    <mergeCell ref="D28:D29"/>
    <mergeCell ref="E29:F29"/>
    <mergeCell ref="G28:G29"/>
    <mergeCell ref="G18:G19"/>
    <mergeCell ref="G22:G23"/>
    <mergeCell ref="H22:H23"/>
    <mergeCell ref="A36:A37"/>
    <mergeCell ref="D36:D37"/>
    <mergeCell ref="G36:G37"/>
    <mergeCell ref="H36:H37"/>
    <mergeCell ref="B37:C37"/>
    <mergeCell ref="E37:F37"/>
    <mergeCell ref="A34:A35"/>
    <mergeCell ref="D34:D35"/>
    <mergeCell ref="G34:G35"/>
    <mergeCell ref="H34:H35"/>
    <mergeCell ref="B35:C35"/>
    <mergeCell ref="E35:F35"/>
    <mergeCell ref="A32:A33"/>
    <mergeCell ref="D32:D33"/>
    <mergeCell ref="G32:G33"/>
    <mergeCell ref="H32:H33"/>
    <mergeCell ref="B33:C33"/>
    <mergeCell ref="E33:F33"/>
    <mergeCell ref="A24:A25"/>
    <mergeCell ref="D24:D25"/>
    <mergeCell ref="G24:G25"/>
    <mergeCell ref="H24:H25"/>
    <mergeCell ref="B25:C25"/>
    <mergeCell ref="E25:F25"/>
    <mergeCell ref="B1:E1"/>
    <mergeCell ref="E21:F21"/>
    <mergeCell ref="B17:C17"/>
    <mergeCell ref="D16:D17"/>
    <mergeCell ref="E17:F17"/>
    <mergeCell ref="A7:C7"/>
    <mergeCell ref="A20:A21"/>
    <mergeCell ref="D20:D21"/>
    <mergeCell ref="B21:C21"/>
    <mergeCell ref="E19:F19"/>
    <mergeCell ref="B23:C23"/>
    <mergeCell ref="E23:F23"/>
    <mergeCell ref="A22:A23"/>
    <mergeCell ref="D22:D23"/>
    <mergeCell ref="A2:I2"/>
    <mergeCell ref="H3:I3"/>
    <mergeCell ref="H4:I4"/>
    <mergeCell ref="H5:I5"/>
    <mergeCell ref="A28:A29"/>
    <mergeCell ref="B29:C29"/>
    <mergeCell ref="A16:A17"/>
    <mergeCell ref="I20:I21"/>
    <mergeCell ref="G16:G17"/>
    <mergeCell ref="D7:I7"/>
    <mergeCell ref="A6:I6"/>
    <mergeCell ref="A26:A27"/>
    <mergeCell ref="B27:C27"/>
    <mergeCell ref="D26:D27"/>
    <mergeCell ref="E27:F27"/>
    <mergeCell ref="G26:G27"/>
    <mergeCell ref="A18:A19"/>
    <mergeCell ref="B19:C19"/>
    <mergeCell ref="D18:D19"/>
    <mergeCell ref="H18:H19"/>
    <mergeCell ref="A45:I49"/>
    <mergeCell ref="H28:H29"/>
    <mergeCell ref="I28:I29"/>
    <mergeCell ref="A30:A31"/>
    <mergeCell ref="B31:C31"/>
    <mergeCell ref="D30:D31"/>
    <mergeCell ref="I32:I33"/>
    <mergeCell ref="I34:I35"/>
    <mergeCell ref="I36:I37"/>
    <mergeCell ref="A38:I44"/>
    <mergeCell ref="E31:F31"/>
    <mergeCell ref="G30:G31"/>
    <mergeCell ref="H30:H31"/>
    <mergeCell ref="I30:I31"/>
    <mergeCell ref="H26:H27"/>
    <mergeCell ref="I16:I17"/>
    <mergeCell ref="H16:H17"/>
    <mergeCell ref="G20:G21"/>
    <mergeCell ref="I26:I27"/>
    <mergeCell ref="I18:I19"/>
  </mergeCells>
  <printOptions/>
  <pageMargins left="1.1811023622047245" right="0.5905511811023623" top="0.1968503937007874" bottom="0.1968503937007874" header="0.5118110236220472" footer="0.5118110236220472"/>
  <pageSetup horizontalDpi="600" verticalDpi="600" orientation="landscape" paperSize="9" scale="80" r:id="rId3"/>
  <legacyDrawing r:id="rId2"/>
</worksheet>
</file>

<file path=xl/worksheets/sheet4.xml><?xml version="1.0" encoding="utf-8"?>
<worksheet xmlns="http://schemas.openxmlformats.org/spreadsheetml/2006/main" xmlns:r="http://schemas.openxmlformats.org/officeDocument/2006/relationships">
  <dimension ref="A1:K387"/>
  <sheetViews>
    <sheetView zoomScale="140" zoomScaleNormal="140" zoomScalePageLayoutView="0" workbookViewId="0" topLeftCell="A7">
      <selection activeCell="F10" sqref="F10"/>
    </sheetView>
  </sheetViews>
  <sheetFormatPr defaultColWidth="9.140625" defaultRowHeight="12.75"/>
  <cols>
    <col min="1" max="1" width="6.28125" style="0" customWidth="1"/>
    <col min="2" max="2" width="13.8515625" style="0" customWidth="1"/>
    <col min="3" max="3" width="15.7109375" style="0" customWidth="1"/>
    <col min="4" max="4" width="17.421875" style="0" customWidth="1"/>
    <col min="5" max="5" width="13.57421875" style="0" customWidth="1"/>
    <col min="6" max="6" width="14.57421875" style="0" customWidth="1"/>
    <col min="7" max="7" width="14.421875" style="0" customWidth="1"/>
  </cols>
  <sheetData>
    <row r="1" spans="1:7" ht="27" thickBot="1">
      <c r="A1" s="371" t="s">
        <v>7</v>
      </c>
      <c r="B1" s="372"/>
      <c r="C1" s="372"/>
      <c r="D1" s="372"/>
      <c r="E1" s="372"/>
      <c r="F1" s="372"/>
      <c r="G1" s="373"/>
    </row>
    <row r="2" spans="1:7" ht="12.75">
      <c r="A2" s="374" t="s">
        <v>51</v>
      </c>
      <c r="B2" s="375"/>
      <c r="C2" s="375"/>
      <c r="D2" s="63">
        <v>11000000</v>
      </c>
      <c r="E2" s="4"/>
      <c r="F2" s="4"/>
      <c r="G2" s="5"/>
    </row>
    <row r="3" spans="1:7" ht="12.75">
      <c r="A3" s="369" t="s">
        <v>0</v>
      </c>
      <c r="B3" s="370"/>
      <c r="C3" s="370"/>
      <c r="D3" s="37">
        <v>98</v>
      </c>
      <c r="E3" s="4"/>
      <c r="F3" s="4"/>
      <c r="G3" s="5"/>
    </row>
    <row r="4" spans="1:7" ht="12.75">
      <c r="A4" s="369" t="s">
        <v>41</v>
      </c>
      <c r="B4" s="370"/>
      <c r="C4" s="370"/>
      <c r="D4" s="19">
        <v>180000</v>
      </c>
      <c r="E4" s="4"/>
      <c r="F4" s="4"/>
      <c r="G4" s="5"/>
    </row>
    <row r="5" spans="1:7" ht="13.5" thickBot="1">
      <c r="A5" s="369" t="s">
        <v>18</v>
      </c>
      <c r="B5" s="370"/>
      <c r="C5" s="370"/>
      <c r="D5" s="51">
        <f>(D2*(D3/100))-D4</f>
        <v>10600000</v>
      </c>
      <c r="E5" s="4"/>
      <c r="F5" s="4"/>
      <c r="G5" s="5"/>
    </row>
    <row r="6" spans="1:7" ht="13.5" thickTop="1">
      <c r="A6" s="369" t="s">
        <v>39</v>
      </c>
      <c r="B6" s="370"/>
      <c r="C6" s="370"/>
      <c r="D6" s="52">
        <v>0.05</v>
      </c>
      <c r="E6" s="4"/>
      <c r="F6" s="4"/>
      <c r="G6" s="5"/>
    </row>
    <row r="7" spans="1:7" ht="12.75">
      <c r="A7" s="369" t="s">
        <v>35</v>
      </c>
      <c r="B7" s="370"/>
      <c r="C7" s="370"/>
      <c r="D7" s="49">
        <v>6</v>
      </c>
      <c r="E7" s="4"/>
      <c r="F7" s="4"/>
      <c r="G7" s="5"/>
    </row>
    <row r="8" spans="1:7" ht="12.75">
      <c r="A8" s="369" t="s">
        <v>36</v>
      </c>
      <c r="B8" s="370"/>
      <c r="C8" s="370"/>
      <c r="D8" s="49">
        <v>4</v>
      </c>
      <c r="E8" s="4"/>
      <c r="F8" s="4"/>
      <c r="G8" s="5"/>
    </row>
    <row r="9" spans="1:7" ht="12.75">
      <c r="A9" s="369" t="s">
        <v>37</v>
      </c>
      <c r="B9" s="370"/>
      <c r="C9" s="370"/>
      <c r="D9" s="48">
        <f>D7*D8</f>
        <v>24</v>
      </c>
      <c r="E9" s="4"/>
      <c r="F9" s="17">
        <f>SUM(C21:C24)</f>
        <v>2133412.514065845</v>
      </c>
      <c r="G9" s="5"/>
    </row>
    <row r="10" spans="1:7" ht="12.75">
      <c r="A10" s="369" t="s">
        <v>40</v>
      </c>
      <c r="B10" s="370"/>
      <c r="C10" s="370"/>
      <c r="D10" s="50">
        <f>D6/D8</f>
        <v>0.0125</v>
      </c>
      <c r="E10" s="4"/>
      <c r="F10" s="4"/>
      <c r="G10" s="5"/>
    </row>
    <row r="11" spans="1:7" ht="12.75">
      <c r="A11" s="369" t="s">
        <v>8</v>
      </c>
      <c r="B11" s="370"/>
      <c r="C11" s="370"/>
      <c r="D11" s="18">
        <f>(PMT(D10,D9,D2))</f>
        <v>-533353.1285164612</v>
      </c>
      <c r="E11" s="67" t="s">
        <v>53</v>
      </c>
      <c r="F11" s="68"/>
      <c r="G11" s="90"/>
    </row>
    <row r="12" spans="1:7" ht="12.75" hidden="1">
      <c r="A12" s="369" t="s">
        <v>13</v>
      </c>
      <c r="B12" s="370"/>
      <c r="C12" s="370"/>
      <c r="D12" s="37">
        <v>0</v>
      </c>
      <c r="E12" s="4"/>
      <c r="F12" s="4"/>
      <c r="G12" s="5"/>
    </row>
    <row r="13" spans="1:7" ht="12.75">
      <c r="A13" s="379"/>
      <c r="B13" s="380"/>
      <c r="C13" s="380"/>
      <c r="D13" s="381"/>
      <c r="E13" s="4"/>
      <c r="F13" s="4"/>
      <c r="G13" s="5"/>
    </row>
    <row r="14" spans="1:7" ht="12.75" hidden="1">
      <c r="A14" s="3"/>
      <c r="B14" s="4"/>
      <c r="C14" s="4"/>
      <c r="D14" s="18">
        <f>D11-D12</f>
        <v>-533353.1285164612</v>
      </c>
      <c r="E14" s="4"/>
      <c r="F14" s="4"/>
      <c r="G14" s="5"/>
    </row>
    <row r="15" spans="1:7" ht="12.75" hidden="1">
      <c r="A15" s="3"/>
      <c r="B15" s="4"/>
      <c r="C15" s="4"/>
      <c r="D15" s="5"/>
      <c r="E15" s="4"/>
      <c r="F15" s="4"/>
      <c r="G15" s="5"/>
    </row>
    <row r="16" spans="1:11" ht="18">
      <c r="A16" s="376" t="s">
        <v>38</v>
      </c>
      <c r="B16" s="377"/>
      <c r="C16" s="377"/>
      <c r="D16" s="78">
        <f>(POWER((RATE(D9,D14,D5)+1),D8))-1</f>
        <v>0.06418955063205001</v>
      </c>
      <c r="E16" s="376" t="str">
        <f>E11</f>
        <v>(Beregning: se note til annuitetslån)</v>
      </c>
      <c r="F16" s="377"/>
      <c r="G16" s="378"/>
      <c r="H16" s="1"/>
      <c r="I16" s="1"/>
      <c r="J16" s="1"/>
      <c r="K16" s="1"/>
    </row>
    <row r="17" spans="1:11" ht="13.5" thickBot="1">
      <c r="A17" s="382"/>
      <c r="B17" s="383"/>
      <c r="C17" s="383"/>
      <c r="D17" s="384"/>
      <c r="E17" s="8"/>
      <c r="F17" s="8"/>
      <c r="G17" s="7"/>
      <c r="H17" s="1"/>
      <c r="I17" s="1"/>
      <c r="J17" s="1"/>
      <c r="K17" s="1"/>
    </row>
    <row r="18" spans="1:11" ht="13.5" thickBot="1">
      <c r="A18" s="9"/>
      <c r="B18" s="10"/>
      <c r="C18" s="10"/>
      <c r="D18" s="16"/>
      <c r="E18" s="16"/>
      <c r="F18" s="16"/>
      <c r="G18" s="11"/>
      <c r="H18" s="1"/>
      <c r="I18" s="1"/>
      <c r="J18" s="1"/>
      <c r="K18" s="1"/>
    </row>
    <row r="19" spans="1:11" ht="12.75">
      <c r="A19" s="12" t="str">
        <f>CONCATENATE("Amortisationstabel annuitetslån: (",D9," terminer)")</f>
        <v>Amortisationstabel annuitetslån: (24 terminer)</v>
      </c>
      <c r="B19" s="13"/>
      <c r="C19" s="13"/>
      <c r="D19" s="8"/>
      <c r="E19" s="8"/>
      <c r="F19" s="8"/>
      <c r="G19" s="7"/>
      <c r="H19" s="1"/>
      <c r="I19" s="1"/>
      <c r="J19" s="1"/>
      <c r="K19" s="1"/>
    </row>
    <row r="20" spans="1:8" ht="25.5">
      <c r="A20" s="3" t="s">
        <v>2</v>
      </c>
      <c r="B20" s="14" t="s">
        <v>3</v>
      </c>
      <c r="C20" s="14" t="s">
        <v>17</v>
      </c>
      <c r="D20" s="35" t="s">
        <v>16</v>
      </c>
      <c r="E20" s="14" t="s">
        <v>4</v>
      </c>
      <c r="F20" s="14" t="s">
        <v>5</v>
      </c>
      <c r="G20" s="15" t="s">
        <v>6</v>
      </c>
      <c r="H20" s="2"/>
    </row>
    <row r="21" spans="1:7" ht="12.75">
      <c r="A21" s="3">
        <v>1</v>
      </c>
      <c r="B21" s="17">
        <f>D2</f>
        <v>11000000</v>
      </c>
      <c r="C21" s="17">
        <f aca="true" t="shared" si="0" ref="C21:C84">IF(A21&lt;=$D$9,$D$14*-1,0)</f>
        <v>533353.1285164612</v>
      </c>
      <c r="D21" s="17">
        <f aca="true" t="shared" si="1" ref="D21:D84">IF(A21&gt;$D$9,0,$D$11*-1)</f>
        <v>533353.1285164612</v>
      </c>
      <c r="E21" s="20">
        <f aca="true" t="shared" si="2" ref="E21:E84">B21*$D$10</f>
        <v>137500</v>
      </c>
      <c r="F21" s="17">
        <f aca="true" t="shared" si="3" ref="F21:F84">D21-E21</f>
        <v>395853.12851646123</v>
      </c>
      <c r="G21" s="18">
        <f aca="true" t="shared" si="4" ref="G21:G84">B21-F21</f>
        <v>10604146.871483538</v>
      </c>
    </row>
    <row r="22" spans="1:7" ht="12.75">
      <c r="A22" s="3">
        <f aca="true" t="shared" si="5" ref="A22:A85">A21+1</f>
        <v>2</v>
      </c>
      <c r="B22" s="17">
        <f aca="true" t="shared" si="6" ref="B22:B85">IF(A22&lt;=$D$9,G21,0)</f>
        <v>10604146.871483538</v>
      </c>
      <c r="C22" s="17">
        <f t="shared" si="0"/>
        <v>533353.1285164612</v>
      </c>
      <c r="D22" s="17">
        <f t="shared" si="1"/>
        <v>533353.1285164612</v>
      </c>
      <c r="E22" s="20">
        <f t="shared" si="2"/>
        <v>132551.83589354422</v>
      </c>
      <c r="F22" s="17">
        <f t="shared" si="3"/>
        <v>400801.292622917</v>
      </c>
      <c r="G22" s="18">
        <f t="shared" si="4"/>
        <v>10203345.578860622</v>
      </c>
    </row>
    <row r="23" spans="1:7" ht="12.75">
      <c r="A23" s="3">
        <f t="shared" si="5"/>
        <v>3</v>
      </c>
      <c r="B23" s="17">
        <f t="shared" si="6"/>
        <v>10203345.578860622</v>
      </c>
      <c r="C23" s="17">
        <f t="shared" si="0"/>
        <v>533353.1285164612</v>
      </c>
      <c r="D23" s="17">
        <f t="shared" si="1"/>
        <v>533353.1285164612</v>
      </c>
      <c r="E23" s="20">
        <f t="shared" si="2"/>
        <v>127541.81973575777</v>
      </c>
      <c r="F23" s="17">
        <f t="shared" si="3"/>
        <v>405811.30878070346</v>
      </c>
      <c r="G23" s="18">
        <f t="shared" si="4"/>
        <v>9797534.270079918</v>
      </c>
    </row>
    <row r="24" spans="1:7" ht="12.75">
      <c r="A24" s="3">
        <f t="shared" si="5"/>
        <v>4</v>
      </c>
      <c r="B24" s="17">
        <f t="shared" si="6"/>
        <v>9797534.270079918</v>
      </c>
      <c r="C24" s="17">
        <f t="shared" si="0"/>
        <v>533353.1285164612</v>
      </c>
      <c r="D24" s="17">
        <f t="shared" si="1"/>
        <v>533353.1285164612</v>
      </c>
      <c r="E24" s="20">
        <f t="shared" si="2"/>
        <v>122469.17837599898</v>
      </c>
      <c r="F24" s="17">
        <f t="shared" si="3"/>
        <v>410883.95014046226</v>
      </c>
      <c r="G24" s="18">
        <f t="shared" si="4"/>
        <v>9386650.319939457</v>
      </c>
    </row>
    <row r="25" spans="1:7" ht="12.75">
      <c r="A25" s="3">
        <f t="shared" si="5"/>
        <v>5</v>
      </c>
      <c r="B25" s="17">
        <f t="shared" si="6"/>
        <v>9386650.319939457</v>
      </c>
      <c r="C25" s="17">
        <f t="shared" si="0"/>
        <v>533353.1285164612</v>
      </c>
      <c r="D25" s="17">
        <f t="shared" si="1"/>
        <v>533353.1285164612</v>
      </c>
      <c r="E25" s="20">
        <f t="shared" si="2"/>
        <v>117333.12899924321</v>
      </c>
      <c r="F25" s="17">
        <f t="shared" si="3"/>
        <v>416019.99951721804</v>
      </c>
      <c r="G25" s="18">
        <f t="shared" si="4"/>
        <v>8970630.32042224</v>
      </c>
    </row>
    <row r="26" spans="1:7" ht="12.75">
      <c r="A26" s="3">
        <f t="shared" si="5"/>
        <v>6</v>
      </c>
      <c r="B26" s="17">
        <f t="shared" si="6"/>
        <v>8970630.32042224</v>
      </c>
      <c r="C26" s="17">
        <f t="shared" si="0"/>
        <v>533353.1285164612</v>
      </c>
      <c r="D26" s="17">
        <f t="shared" si="1"/>
        <v>533353.1285164612</v>
      </c>
      <c r="E26" s="20">
        <f t="shared" si="2"/>
        <v>112132.879005278</v>
      </c>
      <c r="F26" s="17">
        <f t="shared" si="3"/>
        <v>421220.24951118324</v>
      </c>
      <c r="G26" s="18">
        <f t="shared" si="4"/>
        <v>8549410.070911057</v>
      </c>
    </row>
    <row r="27" spans="1:7" ht="12.75">
      <c r="A27" s="3">
        <f t="shared" si="5"/>
        <v>7</v>
      </c>
      <c r="B27" s="17">
        <f t="shared" si="6"/>
        <v>8549410.070911057</v>
      </c>
      <c r="C27" s="17">
        <f t="shared" si="0"/>
        <v>533353.1285164612</v>
      </c>
      <c r="D27" s="17">
        <f t="shared" si="1"/>
        <v>533353.1285164612</v>
      </c>
      <c r="E27" s="20">
        <f t="shared" si="2"/>
        <v>106867.62588638822</v>
      </c>
      <c r="F27" s="17">
        <f t="shared" si="3"/>
        <v>426485.502630073</v>
      </c>
      <c r="G27" s="18">
        <f t="shared" si="4"/>
        <v>8122924.568280985</v>
      </c>
    </row>
    <row r="28" spans="1:7" ht="12.75">
      <c r="A28" s="3">
        <f t="shared" si="5"/>
        <v>8</v>
      </c>
      <c r="B28" s="17">
        <f t="shared" si="6"/>
        <v>8122924.568280985</v>
      </c>
      <c r="C28" s="17">
        <f t="shared" si="0"/>
        <v>533353.1285164612</v>
      </c>
      <c r="D28" s="17">
        <f t="shared" si="1"/>
        <v>533353.1285164612</v>
      </c>
      <c r="E28" s="20">
        <f t="shared" si="2"/>
        <v>101536.55710351231</v>
      </c>
      <c r="F28" s="17">
        <f t="shared" si="3"/>
        <v>431816.5714129489</v>
      </c>
      <c r="G28" s="18">
        <f t="shared" si="4"/>
        <v>7691107.996868036</v>
      </c>
    </row>
    <row r="29" spans="1:7" ht="12.75">
      <c r="A29" s="3">
        <f t="shared" si="5"/>
        <v>9</v>
      </c>
      <c r="B29" s="17">
        <f t="shared" si="6"/>
        <v>7691107.996868036</v>
      </c>
      <c r="C29" s="17">
        <f t="shared" si="0"/>
        <v>533353.1285164612</v>
      </c>
      <c r="D29" s="17">
        <f t="shared" si="1"/>
        <v>533353.1285164612</v>
      </c>
      <c r="E29" s="20">
        <f t="shared" si="2"/>
        <v>96138.84996085045</v>
      </c>
      <c r="F29" s="17">
        <f t="shared" si="3"/>
        <v>437214.2785556108</v>
      </c>
      <c r="G29" s="18">
        <f t="shared" si="4"/>
        <v>7253893.718312425</v>
      </c>
    </row>
    <row r="30" spans="1:7" ht="12.75">
      <c r="A30" s="3">
        <f t="shared" si="5"/>
        <v>10</v>
      </c>
      <c r="B30" s="17">
        <f t="shared" si="6"/>
        <v>7253893.718312425</v>
      </c>
      <c r="C30" s="17">
        <f t="shared" si="0"/>
        <v>533353.1285164612</v>
      </c>
      <c r="D30" s="17">
        <f t="shared" si="1"/>
        <v>533353.1285164612</v>
      </c>
      <c r="E30" s="20">
        <f t="shared" si="2"/>
        <v>90673.67147890531</v>
      </c>
      <c r="F30" s="17">
        <f t="shared" si="3"/>
        <v>442679.4570375559</v>
      </c>
      <c r="G30" s="18">
        <f t="shared" si="4"/>
        <v>6811214.261274869</v>
      </c>
    </row>
    <row r="31" spans="1:7" ht="12.75">
      <c r="A31" s="3">
        <f t="shared" si="5"/>
        <v>11</v>
      </c>
      <c r="B31" s="17">
        <f t="shared" si="6"/>
        <v>6811214.261274869</v>
      </c>
      <c r="C31" s="17">
        <f t="shared" si="0"/>
        <v>533353.1285164612</v>
      </c>
      <c r="D31" s="17">
        <f t="shared" si="1"/>
        <v>533353.1285164612</v>
      </c>
      <c r="E31" s="20">
        <f t="shared" si="2"/>
        <v>85140.17826593586</v>
      </c>
      <c r="F31" s="17">
        <f t="shared" si="3"/>
        <v>448212.9502505254</v>
      </c>
      <c r="G31" s="18">
        <f t="shared" si="4"/>
        <v>6363001.311024344</v>
      </c>
    </row>
    <row r="32" spans="1:7" ht="12.75">
      <c r="A32" s="3">
        <f t="shared" si="5"/>
        <v>12</v>
      </c>
      <c r="B32" s="17">
        <f t="shared" si="6"/>
        <v>6363001.311024344</v>
      </c>
      <c r="C32" s="17">
        <f t="shared" si="0"/>
        <v>533353.1285164612</v>
      </c>
      <c r="D32" s="17">
        <f t="shared" si="1"/>
        <v>533353.1285164612</v>
      </c>
      <c r="E32" s="20">
        <f t="shared" si="2"/>
        <v>79537.5163878043</v>
      </c>
      <c r="F32" s="17">
        <f t="shared" si="3"/>
        <v>453815.61212865694</v>
      </c>
      <c r="G32" s="18">
        <f t="shared" si="4"/>
        <v>5909185.698895686</v>
      </c>
    </row>
    <row r="33" spans="1:7" ht="12.75">
      <c r="A33" s="3">
        <f t="shared" si="5"/>
        <v>13</v>
      </c>
      <c r="B33" s="17">
        <f t="shared" si="6"/>
        <v>5909185.698895686</v>
      </c>
      <c r="C33" s="17">
        <f t="shared" si="0"/>
        <v>533353.1285164612</v>
      </c>
      <c r="D33" s="17">
        <f t="shared" si="1"/>
        <v>533353.1285164612</v>
      </c>
      <c r="E33" s="20">
        <f t="shared" si="2"/>
        <v>73864.82123619608</v>
      </c>
      <c r="F33" s="17">
        <f t="shared" si="3"/>
        <v>459488.30728026514</v>
      </c>
      <c r="G33" s="18">
        <f t="shared" si="4"/>
        <v>5449697.3916154215</v>
      </c>
    </row>
    <row r="34" spans="1:7" ht="12.75">
      <c r="A34" s="3">
        <f t="shared" si="5"/>
        <v>14</v>
      </c>
      <c r="B34" s="17">
        <f t="shared" si="6"/>
        <v>5449697.3916154215</v>
      </c>
      <c r="C34" s="17">
        <f t="shared" si="0"/>
        <v>533353.1285164612</v>
      </c>
      <c r="D34" s="17">
        <f t="shared" si="1"/>
        <v>533353.1285164612</v>
      </c>
      <c r="E34" s="20">
        <f t="shared" si="2"/>
        <v>68121.21739519277</v>
      </c>
      <c r="F34" s="17">
        <f t="shared" si="3"/>
        <v>465231.91112126847</v>
      </c>
      <c r="G34" s="18">
        <f t="shared" si="4"/>
        <v>4984465.480494153</v>
      </c>
    </row>
    <row r="35" spans="1:7" ht="12.75">
      <c r="A35" s="3">
        <f t="shared" si="5"/>
        <v>15</v>
      </c>
      <c r="B35" s="17">
        <f t="shared" si="6"/>
        <v>4984465.480494153</v>
      </c>
      <c r="C35" s="17">
        <f t="shared" si="0"/>
        <v>533353.1285164612</v>
      </c>
      <c r="D35" s="17">
        <f t="shared" si="1"/>
        <v>533353.1285164612</v>
      </c>
      <c r="E35" s="20">
        <f t="shared" si="2"/>
        <v>62305.81850617691</v>
      </c>
      <c r="F35" s="17">
        <f t="shared" si="3"/>
        <v>471047.3100102843</v>
      </c>
      <c r="G35" s="18">
        <f t="shared" si="4"/>
        <v>4513418.170483869</v>
      </c>
    </row>
    <row r="36" spans="1:7" ht="12.75">
      <c r="A36" s="3">
        <f t="shared" si="5"/>
        <v>16</v>
      </c>
      <c r="B36" s="17">
        <f t="shared" si="6"/>
        <v>4513418.170483869</v>
      </c>
      <c r="C36" s="17">
        <f t="shared" si="0"/>
        <v>533353.1285164612</v>
      </c>
      <c r="D36" s="17">
        <f t="shared" si="1"/>
        <v>533353.1285164612</v>
      </c>
      <c r="E36" s="20">
        <f t="shared" si="2"/>
        <v>56417.72713104836</v>
      </c>
      <c r="F36" s="17">
        <f t="shared" si="3"/>
        <v>476935.4013854129</v>
      </c>
      <c r="G36" s="18">
        <f t="shared" si="4"/>
        <v>4036482.7690984556</v>
      </c>
    </row>
    <row r="37" spans="1:7" ht="12.75">
      <c r="A37" s="3">
        <f t="shared" si="5"/>
        <v>17</v>
      </c>
      <c r="B37" s="17">
        <f t="shared" si="6"/>
        <v>4036482.7690984556</v>
      </c>
      <c r="C37" s="17">
        <f t="shared" si="0"/>
        <v>533353.1285164612</v>
      </c>
      <c r="D37" s="17">
        <f t="shared" si="1"/>
        <v>533353.1285164612</v>
      </c>
      <c r="E37" s="20">
        <f t="shared" si="2"/>
        <v>50456.0346137307</v>
      </c>
      <c r="F37" s="17">
        <f t="shared" si="3"/>
        <v>482897.09390273056</v>
      </c>
      <c r="G37" s="18">
        <f t="shared" si="4"/>
        <v>3553585.675195725</v>
      </c>
    </row>
    <row r="38" spans="1:7" ht="12.75">
      <c r="A38" s="3">
        <f t="shared" si="5"/>
        <v>18</v>
      </c>
      <c r="B38" s="17">
        <f t="shared" si="6"/>
        <v>3553585.675195725</v>
      </c>
      <c r="C38" s="17">
        <f t="shared" si="0"/>
        <v>533353.1285164612</v>
      </c>
      <c r="D38" s="17">
        <f t="shared" si="1"/>
        <v>533353.1285164612</v>
      </c>
      <c r="E38" s="20">
        <f t="shared" si="2"/>
        <v>44419.82093994657</v>
      </c>
      <c r="F38" s="17">
        <f t="shared" si="3"/>
        <v>488933.30757651466</v>
      </c>
      <c r="G38" s="18">
        <f t="shared" si="4"/>
        <v>3064652.3676192104</v>
      </c>
    </row>
    <row r="39" spans="1:7" ht="12.75">
      <c r="A39" s="3">
        <f t="shared" si="5"/>
        <v>19</v>
      </c>
      <c r="B39" s="17">
        <f t="shared" si="6"/>
        <v>3064652.3676192104</v>
      </c>
      <c r="C39" s="17">
        <f t="shared" si="0"/>
        <v>533353.1285164612</v>
      </c>
      <c r="D39" s="17">
        <f t="shared" si="1"/>
        <v>533353.1285164612</v>
      </c>
      <c r="E39" s="20">
        <f t="shared" si="2"/>
        <v>38308.15459524013</v>
      </c>
      <c r="F39" s="17">
        <f t="shared" si="3"/>
        <v>495044.9739212211</v>
      </c>
      <c r="G39" s="18">
        <f t="shared" si="4"/>
        <v>2569607.393697989</v>
      </c>
    </row>
    <row r="40" spans="1:7" ht="12.75">
      <c r="A40" s="3">
        <f t="shared" si="5"/>
        <v>20</v>
      </c>
      <c r="B40" s="17">
        <f t="shared" si="6"/>
        <v>2569607.393697989</v>
      </c>
      <c r="C40" s="17">
        <f t="shared" si="0"/>
        <v>533353.1285164612</v>
      </c>
      <c r="D40" s="17">
        <f t="shared" si="1"/>
        <v>533353.1285164612</v>
      </c>
      <c r="E40" s="20">
        <f t="shared" si="2"/>
        <v>32120.092421224865</v>
      </c>
      <c r="F40" s="17">
        <f t="shared" si="3"/>
        <v>501233.03609523637</v>
      </c>
      <c r="G40" s="18">
        <f t="shared" si="4"/>
        <v>2068374.3576027527</v>
      </c>
    </row>
    <row r="41" spans="1:7" ht="12.75">
      <c r="A41" s="3">
        <f t="shared" si="5"/>
        <v>21</v>
      </c>
      <c r="B41" s="17">
        <f t="shared" si="6"/>
        <v>2068374.3576027527</v>
      </c>
      <c r="C41" s="17">
        <f t="shared" si="0"/>
        <v>533353.1285164612</v>
      </c>
      <c r="D41" s="17">
        <f t="shared" si="1"/>
        <v>533353.1285164612</v>
      </c>
      <c r="E41" s="20">
        <f t="shared" si="2"/>
        <v>25854.67947003441</v>
      </c>
      <c r="F41" s="17">
        <f t="shared" si="3"/>
        <v>507498.4490464268</v>
      </c>
      <c r="G41" s="18">
        <f t="shared" si="4"/>
        <v>1560875.9085563258</v>
      </c>
    </row>
    <row r="42" spans="1:7" ht="12.75">
      <c r="A42" s="3">
        <f t="shared" si="5"/>
        <v>22</v>
      </c>
      <c r="B42" s="17">
        <f t="shared" si="6"/>
        <v>1560875.9085563258</v>
      </c>
      <c r="C42" s="17">
        <f t="shared" si="0"/>
        <v>533353.1285164612</v>
      </c>
      <c r="D42" s="17">
        <f t="shared" si="1"/>
        <v>533353.1285164612</v>
      </c>
      <c r="E42" s="20">
        <f t="shared" si="2"/>
        <v>19510.948856954074</v>
      </c>
      <c r="F42" s="17">
        <f t="shared" si="3"/>
        <v>513842.1796595072</v>
      </c>
      <c r="G42" s="18">
        <f t="shared" si="4"/>
        <v>1047033.7288968186</v>
      </c>
    </row>
    <row r="43" spans="1:7" ht="12.75">
      <c r="A43" s="3">
        <f t="shared" si="5"/>
        <v>23</v>
      </c>
      <c r="B43" s="17">
        <f t="shared" si="6"/>
        <v>1047033.7288968186</v>
      </c>
      <c r="C43" s="17">
        <f t="shared" si="0"/>
        <v>533353.1285164612</v>
      </c>
      <c r="D43" s="17">
        <f t="shared" si="1"/>
        <v>533353.1285164612</v>
      </c>
      <c r="E43" s="20">
        <f t="shared" si="2"/>
        <v>13087.921611210233</v>
      </c>
      <c r="F43" s="17">
        <f t="shared" si="3"/>
        <v>520265.206905251</v>
      </c>
      <c r="G43" s="18">
        <f t="shared" si="4"/>
        <v>526768.5219915676</v>
      </c>
    </row>
    <row r="44" spans="1:7" ht="12.75">
      <c r="A44" s="3">
        <f t="shared" si="5"/>
        <v>24</v>
      </c>
      <c r="B44" s="17">
        <f t="shared" si="6"/>
        <v>526768.5219915676</v>
      </c>
      <c r="C44" s="17">
        <f t="shared" si="0"/>
        <v>533353.1285164612</v>
      </c>
      <c r="D44" s="17">
        <f t="shared" si="1"/>
        <v>533353.1285164612</v>
      </c>
      <c r="E44" s="20">
        <f t="shared" si="2"/>
        <v>6584.606524894595</v>
      </c>
      <c r="F44" s="17">
        <f t="shared" si="3"/>
        <v>526768.5219915666</v>
      </c>
      <c r="G44" s="18">
        <f t="shared" si="4"/>
        <v>9.313225746154785E-10</v>
      </c>
    </row>
    <row r="45" spans="1:7" ht="12.75">
      <c r="A45" s="3">
        <f t="shared" si="5"/>
        <v>25</v>
      </c>
      <c r="B45" s="17">
        <f t="shared" si="6"/>
        <v>0</v>
      </c>
      <c r="C45" s="17">
        <f t="shared" si="0"/>
        <v>0</v>
      </c>
      <c r="D45" s="17">
        <f t="shared" si="1"/>
        <v>0</v>
      </c>
      <c r="E45" s="20">
        <f t="shared" si="2"/>
        <v>0</v>
      </c>
      <c r="F45" s="17">
        <f t="shared" si="3"/>
        <v>0</v>
      </c>
      <c r="G45" s="18">
        <f t="shared" si="4"/>
        <v>0</v>
      </c>
    </row>
    <row r="46" spans="1:7" ht="12.75">
      <c r="A46" s="3">
        <f t="shared" si="5"/>
        <v>26</v>
      </c>
      <c r="B46" s="17">
        <f t="shared" si="6"/>
        <v>0</v>
      </c>
      <c r="C46" s="17">
        <f t="shared" si="0"/>
        <v>0</v>
      </c>
      <c r="D46" s="17">
        <f t="shared" si="1"/>
        <v>0</v>
      </c>
      <c r="E46" s="20">
        <f t="shared" si="2"/>
        <v>0</v>
      </c>
      <c r="F46" s="17">
        <f t="shared" si="3"/>
        <v>0</v>
      </c>
      <c r="G46" s="18">
        <f t="shared" si="4"/>
        <v>0</v>
      </c>
    </row>
    <row r="47" spans="1:7" ht="12.75">
      <c r="A47" s="3">
        <f t="shared" si="5"/>
        <v>27</v>
      </c>
      <c r="B47" s="17">
        <f t="shared" si="6"/>
        <v>0</v>
      </c>
      <c r="C47" s="17">
        <f t="shared" si="0"/>
        <v>0</v>
      </c>
      <c r="D47" s="17">
        <f t="shared" si="1"/>
        <v>0</v>
      </c>
      <c r="E47" s="20">
        <f t="shared" si="2"/>
        <v>0</v>
      </c>
      <c r="F47" s="17">
        <f t="shared" si="3"/>
        <v>0</v>
      </c>
      <c r="G47" s="18">
        <f t="shared" si="4"/>
        <v>0</v>
      </c>
    </row>
    <row r="48" spans="1:7" ht="12.75">
      <c r="A48" s="3">
        <f t="shared" si="5"/>
        <v>28</v>
      </c>
      <c r="B48" s="17">
        <f t="shared" si="6"/>
        <v>0</v>
      </c>
      <c r="C48" s="17">
        <f t="shared" si="0"/>
        <v>0</v>
      </c>
      <c r="D48" s="17">
        <f t="shared" si="1"/>
        <v>0</v>
      </c>
      <c r="E48" s="20">
        <f t="shared" si="2"/>
        <v>0</v>
      </c>
      <c r="F48" s="17">
        <f t="shared" si="3"/>
        <v>0</v>
      </c>
      <c r="G48" s="18">
        <f t="shared" si="4"/>
        <v>0</v>
      </c>
    </row>
    <row r="49" spans="1:7" ht="12.75">
      <c r="A49" s="3">
        <f t="shared" si="5"/>
        <v>29</v>
      </c>
      <c r="B49" s="17">
        <f t="shared" si="6"/>
        <v>0</v>
      </c>
      <c r="C49" s="17">
        <f t="shared" si="0"/>
        <v>0</v>
      </c>
      <c r="D49" s="17">
        <f t="shared" si="1"/>
        <v>0</v>
      </c>
      <c r="E49" s="20">
        <f t="shared" si="2"/>
        <v>0</v>
      </c>
      <c r="F49" s="17">
        <f t="shared" si="3"/>
        <v>0</v>
      </c>
      <c r="G49" s="18">
        <f t="shared" si="4"/>
        <v>0</v>
      </c>
    </row>
    <row r="50" spans="1:7" ht="12.75">
      <c r="A50" s="3">
        <f t="shared" si="5"/>
        <v>30</v>
      </c>
      <c r="B50" s="17">
        <f t="shared" si="6"/>
        <v>0</v>
      </c>
      <c r="C50" s="17">
        <f t="shared" si="0"/>
        <v>0</v>
      </c>
      <c r="D50" s="17">
        <f t="shared" si="1"/>
        <v>0</v>
      </c>
      <c r="E50" s="20">
        <f t="shared" si="2"/>
        <v>0</v>
      </c>
      <c r="F50" s="17">
        <f t="shared" si="3"/>
        <v>0</v>
      </c>
      <c r="G50" s="18">
        <f t="shared" si="4"/>
        <v>0</v>
      </c>
    </row>
    <row r="51" spans="1:7" ht="12.75">
      <c r="A51" s="3">
        <f t="shared" si="5"/>
        <v>31</v>
      </c>
      <c r="B51" s="17">
        <f t="shared" si="6"/>
        <v>0</v>
      </c>
      <c r="C51" s="17">
        <f t="shared" si="0"/>
        <v>0</v>
      </c>
      <c r="D51" s="17">
        <f t="shared" si="1"/>
        <v>0</v>
      </c>
      <c r="E51" s="20">
        <f t="shared" si="2"/>
        <v>0</v>
      </c>
      <c r="F51" s="17">
        <f t="shared" si="3"/>
        <v>0</v>
      </c>
      <c r="G51" s="18">
        <f t="shared" si="4"/>
        <v>0</v>
      </c>
    </row>
    <row r="52" spans="1:7" ht="12.75">
      <c r="A52" s="3">
        <f t="shared" si="5"/>
        <v>32</v>
      </c>
      <c r="B52" s="17">
        <f t="shared" si="6"/>
        <v>0</v>
      </c>
      <c r="C52" s="17">
        <f t="shared" si="0"/>
        <v>0</v>
      </c>
      <c r="D52" s="17">
        <f t="shared" si="1"/>
        <v>0</v>
      </c>
      <c r="E52" s="20">
        <f t="shared" si="2"/>
        <v>0</v>
      </c>
      <c r="F52" s="17">
        <f t="shared" si="3"/>
        <v>0</v>
      </c>
      <c r="G52" s="18">
        <f t="shared" si="4"/>
        <v>0</v>
      </c>
    </row>
    <row r="53" spans="1:7" ht="12.75">
      <c r="A53" s="3">
        <f t="shared" si="5"/>
        <v>33</v>
      </c>
      <c r="B53" s="17">
        <f t="shared" si="6"/>
        <v>0</v>
      </c>
      <c r="C53" s="17">
        <f t="shared" si="0"/>
        <v>0</v>
      </c>
      <c r="D53" s="17">
        <f t="shared" si="1"/>
        <v>0</v>
      </c>
      <c r="E53" s="20">
        <f t="shared" si="2"/>
        <v>0</v>
      </c>
      <c r="F53" s="17">
        <f t="shared" si="3"/>
        <v>0</v>
      </c>
      <c r="G53" s="18">
        <f t="shared" si="4"/>
        <v>0</v>
      </c>
    </row>
    <row r="54" spans="1:7" ht="12.75">
      <c r="A54" s="3">
        <f t="shared" si="5"/>
        <v>34</v>
      </c>
      <c r="B54" s="17">
        <f t="shared" si="6"/>
        <v>0</v>
      </c>
      <c r="C54" s="17">
        <f t="shared" si="0"/>
        <v>0</v>
      </c>
      <c r="D54" s="17">
        <f t="shared" si="1"/>
        <v>0</v>
      </c>
      <c r="E54" s="20">
        <f t="shared" si="2"/>
        <v>0</v>
      </c>
      <c r="F54" s="17">
        <f t="shared" si="3"/>
        <v>0</v>
      </c>
      <c r="G54" s="18">
        <f t="shared" si="4"/>
        <v>0</v>
      </c>
    </row>
    <row r="55" spans="1:7" ht="12.75">
      <c r="A55" s="3">
        <f t="shared" si="5"/>
        <v>35</v>
      </c>
      <c r="B55" s="17">
        <f t="shared" si="6"/>
        <v>0</v>
      </c>
      <c r="C55" s="17">
        <f t="shared" si="0"/>
        <v>0</v>
      </c>
      <c r="D55" s="17">
        <f t="shared" si="1"/>
        <v>0</v>
      </c>
      <c r="E55" s="20">
        <f t="shared" si="2"/>
        <v>0</v>
      </c>
      <c r="F55" s="17">
        <f t="shared" si="3"/>
        <v>0</v>
      </c>
      <c r="G55" s="18">
        <f t="shared" si="4"/>
        <v>0</v>
      </c>
    </row>
    <row r="56" spans="1:7" ht="12.75">
      <c r="A56" s="3">
        <f t="shared" si="5"/>
        <v>36</v>
      </c>
      <c r="B56" s="17">
        <f t="shared" si="6"/>
        <v>0</v>
      </c>
      <c r="C56" s="17">
        <f t="shared" si="0"/>
        <v>0</v>
      </c>
      <c r="D56" s="17">
        <f t="shared" si="1"/>
        <v>0</v>
      </c>
      <c r="E56" s="20">
        <f t="shared" si="2"/>
        <v>0</v>
      </c>
      <c r="F56" s="17">
        <f t="shared" si="3"/>
        <v>0</v>
      </c>
      <c r="G56" s="18">
        <f t="shared" si="4"/>
        <v>0</v>
      </c>
    </row>
    <row r="57" spans="1:7" ht="12.75">
      <c r="A57" s="3">
        <f t="shared" si="5"/>
        <v>37</v>
      </c>
      <c r="B57" s="17">
        <f t="shared" si="6"/>
        <v>0</v>
      </c>
      <c r="C57" s="17">
        <f t="shared" si="0"/>
        <v>0</v>
      </c>
      <c r="D57" s="17">
        <f t="shared" si="1"/>
        <v>0</v>
      </c>
      <c r="E57" s="20">
        <f t="shared" si="2"/>
        <v>0</v>
      </c>
      <c r="F57" s="17">
        <f t="shared" si="3"/>
        <v>0</v>
      </c>
      <c r="G57" s="18">
        <f t="shared" si="4"/>
        <v>0</v>
      </c>
    </row>
    <row r="58" spans="1:7" ht="12.75">
      <c r="A58" s="3">
        <f t="shared" si="5"/>
        <v>38</v>
      </c>
      <c r="B58" s="17">
        <f t="shared" si="6"/>
        <v>0</v>
      </c>
      <c r="C58" s="17">
        <f t="shared" si="0"/>
        <v>0</v>
      </c>
      <c r="D58" s="17">
        <f t="shared" si="1"/>
        <v>0</v>
      </c>
      <c r="E58" s="20">
        <f t="shared" si="2"/>
        <v>0</v>
      </c>
      <c r="F58" s="17">
        <f t="shared" si="3"/>
        <v>0</v>
      </c>
      <c r="G58" s="18">
        <f t="shared" si="4"/>
        <v>0</v>
      </c>
    </row>
    <row r="59" spans="1:7" ht="12.75">
      <c r="A59" s="3">
        <f t="shared" si="5"/>
        <v>39</v>
      </c>
      <c r="B59" s="17">
        <f t="shared" si="6"/>
        <v>0</v>
      </c>
      <c r="C59" s="17">
        <f t="shared" si="0"/>
        <v>0</v>
      </c>
      <c r="D59" s="17">
        <f t="shared" si="1"/>
        <v>0</v>
      </c>
      <c r="E59" s="20">
        <f t="shared" si="2"/>
        <v>0</v>
      </c>
      <c r="F59" s="17">
        <f t="shared" si="3"/>
        <v>0</v>
      </c>
      <c r="G59" s="18">
        <f t="shared" si="4"/>
        <v>0</v>
      </c>
    </row>
    <row r="60" spans="1:7" ht="13.5" thickBot="1">
      <c r="A60" s="3">
        <f t="shared" si="5"/>
        <v>40</v>
      </c>
      <c r="B60" s="17">
        <f t="shared" si="6"/>
        <v>0</v>
      </c>
      <c r="C60" s="17">
        <f t="shared" si="0"/>
        <v>0</v>
      </c>
      <c r="D60" s="17">
        <f t="shared" si="1"/>
        <v>0</v>
      </c>
      <c r="E60" s="20">
        <f t="shared" si="2"/>
        <v>0</v>
      </c>
      <c r="F60" s="17">
        <f t="shared" si="3"/>
        <v>0</v>
      </c>
      <c r="G60" s="18">
        <f t="shared" si="4"/>
        <v>0</v>
      </c>
    </row>
    <row r="61" spans="1:7" ht="12.75" hidden="1">
      <c r="A61" s="3">
        <f t="shared" si="5"/>
        <v>41</v>
      </c>
      <c r="B61" s="17">
        <f t="shared" si="6"/>
        <v>0</v>
      </c>
      <c r="C61" s="17">
        <f t="shared" si="0"/>
        <v>0</v>
      </c>
      <c r="D61" s="17">
        <f t="shared" si="1"/>
        <v>0</v>
      </c>
      <c r="E61" s="20">
        <f t="shared" si="2"/>
        <v>0</v>
      </c>
      <c r="F61" s="17">
        <f t="shared" si="3"/>
        <v>0</v>
      </c>
      <c r="G61" s="18">
        <f t="shared" si="4"/>
        <v>0</v>
      </c>
    </row>
    <row r="62" spans="1:7" ht="12.75" hidden="1">
      <c r="A62" s="3">
        <f t="shared" si="5"/>
        <v>42</v>
      </c>
      <c r="B62" s="17">
        <f t="shared" si="6"/>
        <v>0</v>
      </c>
      <c r="C62" s="17">
        <f t="shared" si="0"/>
        <v>0</v>
      </c>
      <c r="D62" s="17">
        <f t="shared" si="1"/>
        <v>0</v>
      </c>
      <c r="E62" s="20">
        <f t="shared" si="2"/>
        <v>0</v>
      </c>
      <c r="F62" s="17">
        <f t="shared" si="3"/>
        <v>0</v>
      </c>
      <c r="G62" s="18">
        <f t="shared" si="4"/>
        <v>0</v>
      </c>
    </row>
    <row r="63" spans="1:7" ht="12.75" hidden="1">
      <c r="A63" s="3">
        <f t="shared" si="5"/>
        <v>43</v>
      </c>
      <c r="B63" s="17">
        <f t="shared" si="6"/>
        <v>0</v>
      </c>
      <c r="C63" s="17">
        <f t="shared" si="0"/>
        <v>0</v>
      </c>
      <c r="D63" s="17">
        <f t="shared" si="1"/>
        <v>0</v>
      </c>
      <c r="E63" s="20">
        <f t="shared" si="2"/>
        <v>0</v>
      </c>
      <c r="F63" s="17">
        <f t="shared" si="3"/>
        <v>0</v>
      </c>
      <c r="G63" s="18">
        <f t="shared" si="4"/>
        <v>0</v>
      </c>
    </row>
    <row r="64" spans="1:7" ht="12.75" hidden="1">
      <c r="A64" s="3">
        <f t="shared" si="5"/>
        <v>44</v>
      </c>
      <c r="B64" s="17">
        <f t="shared" si="6"/>
        <v>0</v>
      </c>
      <c r="C64" s="17">
        <f t="shared" si="0"/>
        <v>0</v>
      </c>
      <c r="D64" s="17">
        <f t="shared" si="1"/>
        <v>0</v>
      </c>
      <c r="E64" s="20">
        <f t="shared" si="2"/>
        <v>0</v>
      </c>
      <c r="F64" s="17">
        <f t="shared" si="3"/>
        <v>0</v>
      </c>
      <c r="G64" s="18">
        <f t="shared" si="4"/>
        <v>0</v>
      </c>
    </row>
    <row r="65" spans="1:7" ht="12.75" hidden="1">
      <c r="A65" s="3">
        <f t="shared" si="5"/>
        <v>45</v>
      </c>
      <c r="B65" s="17">
        <f t="shared" si="6"/>
        <v>0</v>
      </c>
      <c r="C65" s="17">
        <f t="shared" si="0"/>
        <v>0</v>
      </c>
      <c r="D65" s="17">
        <f t="shared" si="1"/>
        <v>0</v>
      </c>
      <c r="E65" s="20">
        <f t="shared" si="2"/>
        <v>0</v>
      </c>
      <c r="F65" s="17">
        <f t="shared" si="3"/>
        <v>0</v>
      </c>
      <c r="G65" s="18">
        <f t="shared" si="4"/>
        <v>0</v>
      </c>
    </row>
    <row r="66" spans="1:7" ht="12.75" hidden="1">
      <c r="A66" s="3">
        <f t="shared" si="5"/>
        <v>46</v>
      </c>
      <c r="B66" s="17">
        <f t="shared" si="6"/>
        <v>0</v>
      </c>
      <c r="C66" s="17">
        <f t="shared" si="0"/>
        <v>0</v>
      </c>
      <c r="D66" s="17">
        <f t="shared" si="1"/>
        <v>0</v>
      </c>
      <c r="E66" s="20">
        <f t="shared" si="2"/>
        <v>0</v>
      </c>
      <c r="F66" s="17">
        <f t="shared" si="3"/>
        <v>0</v>
      </c>
      <c r="G66" s="18">
        <f t="shared" si="4"/>
        <v>0</v>
      </c>
    </row>
    <row r="67" spans="1:7" ht="12.75" hidden="1">
      <c r="A67" s="3">
        <f t="shared" si="5"/>
        <v>47</v>
      </c>
      <c r="B67" s="17">
        <f t="shared" si="6"/>
        <v>0</v>
      </c>
      <c r="C67" s="17">
        <f t="shared" si="0"/>
        <v>0</v>
      </c>
      <c r="D67" s="17">
        <f t="shared" si="1"/>
        <v>0</v>
      </c>
      <c r="E67" s="20">
        <f t="shared" si="2"/>
        <v>0</v>
      </c>
      <c r="F67" s="17">
        <f t="shared" si="3"/>
        <v>0</v>
      </c>
      <c r="G67" s="18">
        <f t="shared" si="4"/>
        <v>0</v>
      </c>
    </row>
    <row r="68" spans="1:7" ht="12.75" hidden="1">
      <c r="A68" s="3">
        <f t="shared" si="5"/>
        <v>48</v>
      </c>
      <c r="B68" s="17">
        <f t="shared" si="6"/>
        <v>0</v>
      </c>
      <c r="C68" s="17">
        <f t="shared" si="0"/>
        <v>0</v>
      </c>
      <c r="D68" s="17">
        <f t="shared" si="1"/>
        <v>0</v>
      </c>
      <c r="E68" s="20">
        <f t="shared" si="2"/>
        <v>0</v>
      </c>
      <c r="F68" s="17">
        <f t="shared" si="3"/>
        <v>0</v>
      </c>
      <c r="G68" s="18">
        <f t="shared" si="4"/>
        <v>0</v>
      </c>
    </row>
    <row r="69" spans="1:7" ht="12.75" hidden="1">
      <c r="A69" s="3">
        <f t="shared" si="5"/>
        <v>49</v>
      </c>
      <c r="B69" s="17">
        <f t="shared" si="6"/>
        <v>0</v>
      </c>
      <c r="C69" s="17">
        <f t="shared" si="0"/>
        <v>0</v>
      </c>
      <c r="D69" s="17">
        <f t="shared" si="1"/>
        <v>0</v>
      </c>
      <c r="E69" s="20">
        <f t="shared" si="2"/>
        <v>0</v>
      </c>
      <c r="F69" s="17">
        <f t="shared" si="3"/>
        <v>0</v>
      </c>
      <c r="G69" s="18">
        <f t="shared" si="4"/>
        <v>0</v>
      </c>
    </row>
    <row r="70" spans="1:7" ht="12.75" hidden="1">
      <c r="A70" s="3">
        <f t="shared" si="5"/>
        <v>50</v>
      </c>
      <c r="B70" s="17">
        <f t="shared" si="6"/>
        <v>0</v>
      </c>
      <c r="C70" s="17">
        <f t="shared" si="0"/>
        <v>0</v>
      </c>
      <c r="D70" s="17">
        <f t="shared" si="1"/>
        <v>0</v>
      </c>
      <c r="E70" s="20">
        <f t="shared" si="2"/>
        <v>0</v>
      </c>
      <c r="F70" s="17">
        <f t="shared" si="3"/>
        <v>0</v>
      </c>
      <c r="G70" s="18">
        <f t="shared" si="4"/>
        <v>0</v>
      </c>
    </row>
    <row r="71" spans="1:7" ht="12.75" hidden="1">
      <c r="A71" s="3">
        <f t="shared" si="5"/>
        <v>51</v>
      </c>
      <c r="B71" s="17">
        <f t="shared" si="6"/>
        <v>0</v>
      </c>
      <c r="C71" s="17">
        <f t="shared" si="0"/>
        <v>0</v>
      </c>
      <c r="D71" s="17">
        <f t="shared" si="1"/>
        <v>0</v>
      </c>
      <c r="E71" s="20">
        <f t="shared" si="2"/>
        <v>0</v>
      </c>
      <c r="F71" s="17">
        <f t="shared" si="3"/>
        <v>0</v>
      </c>
      <c r="G71" s="18">
        <f t="shared" si="4"/>
        <v>0</v>
      </c>
    </row>
    <row r="72" spans="1:7" ht="12.75" hidden="1">
      <c r="A72" s="3">
        <f t="shared" si="5"/>
        <v>52</v>
      </c>
      <c r="B72" s="17">
        <f t="shared" si="6"/>
        <v>0</v>
      </c>
      <c r="C72" s="17">
        <f t="shared" si="0"/>
        <v>0</v>
      </c>
      <c r="D72" s="17">
        <f t="shared" si="1"/>
        <v>0</v>
      </c>
      <c r="E72" s="20">
        <f t="shared" si="2"/>
        <v>0</v>
      </c>
      <c r="F72" s="17">
        <f t="shared" si="3"/>
        <v>0</v>
      </c>
      <c r="G72" s="18">
        <f t="shared" si="4"/>
        <v>0</v>
      </c>
    </row>
    <row r="73" spans="1:7" ht="12.75" hidden="1">
      <c r="A73" s="3">
        <f t="shared" si="5"/>
        <v>53</v>
      </c>
      <c r="B73" s="17">
        <f t="shared" si="6"/>
        <v>0</v>
      </c>
      <c r="C73" s="17">
        <f t="shared" si="0"/>
        <v>0</v>
      </c>
      <c r="D73" s="17">
        <f t="shared" si="1"/>
        <v>0</v>
      </c>
      <c r="E73" s="20">
        <f t="shared" si="2"/>
        <v>0</v>
      </c>
      <c r="F73" s="17">
        <f t="shared" si="3"/>
        <v>0</v>
      </c>
      <c r="G73" s="18">
        <f t="shared" si="4"/>
        <v>0</v>
      </c>
    </row>
    <row r="74" spans="1:7" ht="12.75" hidden="1">
      <c r="A74" s="3">
        <f t="shared" si="5"/>
        <v>54</v>
      </c>
      <c r="B74" s="17">
        <f t="shared" si="6"/>
        <v>0</v>
      </c>
      <c r="C74" s="17">
        <f t="shared" si="0"/>
        <v>0</v>
      </c>
      <c r="D74" s="17">
        <f t="shared" si="1"/>
        <v>0</v>
      </c>
      <c r="E74" s="20">
        <f t="shared" si="2"/>
        <v>0</v>
      </c>
      <c r="F74" s="17">
        <f t="shared" si="3"/>
        <v>0</v>
      </c>
      <c r="G74" s="18">
        <f t="shared" si="4"/>
        <v>0</v>
      </c>
    </row>
    <row r="75" spans="1:7" ht="12.75" hidden="1">
      <c r="A75" s="3">
        <f t="shared" si="5"/>
        <v>55</v>
      </c>
      <c r="B75" s="17">
        <f t="shared" si="6"/>
        <v>0</v>
      </c>
      <c r="C75" s="17">
        <f t="shared" si="0"/>
        <v>0</v>
      </c>
      <c r="D75" s="17">
        <f t="shared" si="1"/>
        <v>0</v>
      </c>
      <c r="E75" s="20">
        <f t="shared" si="2"/>
        <v>0</v>
      </c>
      <c r="F75" s="17">
        <f t="shared" si="3"/>
        <v>0</v>
      </c>
      <c r="G75" s="18">
        <f t="shared" si="4"/>
        <v>0</v>
      </c>
    </row>
    <row r="76" spans="1:7" ht="12.75" hidden="1">
      <c r="A76" s="3">
        <f t="shared" si="5"/>
        <v>56</v>
      </c>
      <c r="B76" s="17">
        <f t="shared" si="6"/>
        <v>0</v>
      </c>
      <c r="C76" s="17">
        <f t="shared" si="0"/>
        <v>0</v>
      </c>
      <c r="D76" s="17">
        <f t="shared" si="1"/>
        <v>0</v>
      </c>
      <c r="E76" s="20">
        <f t="shared" si="2"/>
        <v>0</v>
      </c>
      <c r="F76" s="17">
        <f t="shared" si="3"/>
        <v>0</v>
      </c>
      <c r="G76" s="18">
        <f t="shared" si="4"/>
        <v>0</v>
      </c>
    </row>
    <row r="77" spans="1:7" ht="12.75" hidden="1">
      <c r="A77" s="3">
        <f t="shared" si="5"/>
        <v>57</v>
      </c>
      <c r="B77" s="17">
        <f t="shared" si="6"/>
        <v>0</v>
      </c>
      <c r="C77" s="17">
        <f t="shared" si="0"/>
        <v>0</v>
      </c>
      <c r="D77" s="17">
        <f t="shared" si="1"/>
        <v>0</v>
      </c>
      <c r="E77" s="20">
        <f t="shared" si="2"/>
        <v>0</v>
      </c>
      <c r="F77" s="17">
        <f t="shared" si="3"/>
        <v>0</v>
      </c>
      <c r="G77" s="18">
        <f t="shared" si="4"/>
        <v>0</v>
      </c>
    </row>
    <row r="78" spans="1:7" ht="12.75" hidden="1">
      <c r="A78" s="3">
        <f t="shared" si="5"/>
        <v>58</v>
      </c>
      <c r="B78" s="17">
        <f t="shared" si="6"/>
        <v>0</v>
      </c>
      <c r="C78" s="17">
        <f t="shared" si="0"/>
        <v>0</v>
      </c>
      <c r="D78" s="17">
        <f t="shared" si="1"/>
        <v>0</v>
      </c>
      <c r="E78" s="20">
        <f t="shared" si="2"/>
        <v>0</v>
      </c>
      <c r="F78" s="17">
        <f t="shared" si="3"/>
        <v>0</v>
      </c>
      <c r="G78" s="18">
        <f t="shared" si="4"/>
        <v>0</v>
      </c>
    </row>
    <row r="79" spans="1:7" ht="12.75" hidden="1">
      <c r="A79" s="3">
        <f t="shared" si="5"/>
        <v>59</v>
      </c>
      <c r="B79" s="17">
        <f t="shared" si="6"/>
        <v>0</v>
      </c>
      <c r="C79" s="17">
        <f t="shared" si="0"/>
        <v>0</v>
      </c>
      <c r="D79" s="17">
        <f t="shared" si="1"/>
        <v>0</v>
      </c>
      <c r="E79" s="20">
        <f t="shared" si="2"/>
        <v>0</v>
      </c>
      <c r="F79" s="17">
        <f t="shared" si="3"/>
        <v>0</v>
      </c>
      <c r="G79" s="18">
        <f t="shared" si="4"/>
        <v>0</v>
      </c>
    </row>
    <row r="80" spans="1:7" ht="12.75" hidden="1">
      <c r="A80" s="3">
        <f t="shared" si="5"/>
        <v>60</v>
      </c>
      <c r="B80" s="17">
        <f t="shared" si="6"/>
        <v>0</v>
      </c>
      <c r="C80" s="17">
        <f t="shared" si="0"/>
        <v>0</v>
      </c>
      <c r="D80" s="17">
        <f t="shared" si="1"/>
        <v>0</v>
      </c>
      <c r="E80" s="20">
        <f t="shared" si="2"/>
        <v>0</v>
      </c>
      <c r="F80" s="17">
        <f t="shared" si="3"/>
        <v>0</v>
      </c>
      <c r="G80" s="18">
        <f t="shared" si="4"/>
        <v>0</v>
      </c>
    </row>
    <row r="81" spans="1:7" ht="12.75" hidden="1">
      <c r="A81" s="3">
        <f t="shared" si="5"/>
        <v>61</v>
      </c>
      <c r="B81" s="17">
        <f t="shared" si="6"/>
        <v>0</v>
      </c>
      <c r="C81" s="17">
        <f t="shared" si="0"/>
        <v>0</v>
      </c>
      <c r="D81" s="17">
        <f t="shared" si="1"/>
        <v>0</v>
      </c>
      <c r="E81" s="20">
        <f t="shared" si="2"/>
        <v>0</v>
      </c>
      <c r="F81" s="17">
        <f t="shared" si="3"/>
        <v>0</v>
      </c>
      <c r="G81" s="18">
        <f t="shared" si="4"/>
        <v>0</v>
      </c>
    </row>
    <row r="82" spans="1:7" ht="12.75" hidden="1">
      <c r="A82" s="3">
        <f t="shared" si="5"/>
        <v>62</v>
      </c>
      <c r="B82" s="17">
        <f t="shared" si="6"/>
        <v>0</v>
      </c>
      <c r="C82" s="17">
        <f t="shared" si="0"/>
        <v>0</v>
      </c>
      <c r="D82" s="17">
        <f t="shared" si="1"/>
        <v>0</v>
      </c>
      <c r="E82" s="20">
        <f t="shared" si="2"/>
        <v>0</v>
      </c>
      <c r="F82" s="17">
        <f t="shared" si="3"/>
        <v>0</v>
      </c>
      <c r="G82" s="18">
        <f t="shared" si="4"/>
        <v>0</v>
      </c>
    </row>
    <row r="83" spans="1:7" ht="12.75" hidden="1">
      <c r="A83" s="3">
        <f t="shared" si="5"/>
        <v>63</v>
      </c>
      <c r="B83" s="17">
        <f t="shared" si="6"/>
        <v>0</v>
      </c>
      <c r="C83" s="17">
        <f t="shared" si="0"/>
        <v>0</v>
      </c>
      <c r="D83" s="17">
        <f t="shared" si="1"/>
        <v>0</v>
      </c>
      <c r="E83" s="20">
        <f t="shared" si="2"/>
        <v>0</v>
      </c>
      <c r="F83" s="17">
        <f t="shared" si="3"/>
        <v>0</v>
      </c>
      <c r="G83" s="18">
        <f t="shared" si="4"/>
        <v>0</v>
      </c>
    </row>
    <row r="84" spans="1:7" ht="12.75" hidden="1">
      <c r="A84" s="3">
        <f t="shared" si="5"/>
        <v>64</v>
      </c>
      <c r="B84" s="17">
        <f t="shared" si="6"/>
        <v>0</v>
      </c>
      <c r="C84" s="17">
        <f t="shared" si="0"/>
        <v>0</v>
      </c>
      <c r="D84" s="17">
        <f t="shared" si="1"/>
        <v>0</v>
      </c>
      <c r="E84" s="20">
        <f t="shared" si="2"/>
        <v>0</v>
      </c>
      <c r="F84" s="17">
        <f t="shared" si="3"/>
        <v>0</v>
      </c>
      <c r="G84" s="18">
        <f t="shared" si="4"/>
        <v>0</v>
      </c>
    </row>
    <row r="85" spans="1:7" ht="12.75" hidden="1">
      <c r="A85" s="3">
        <f t="shared" si="5"/>
        <v>65</v>
      </c>
      <c r="B85" s="17">
        <f t="shared" si="6"/>
        <v>0</v>
      </c>
      <c r="C85" s="17">
        <f aca="true" t="shared" si="7" ref="C85:C148">IF(A85&lt;=$D$9,$D$14*-1,0)</f>
        <v>0</v>
      </c>
      <c r="D85" s="17">
        <f aca="true" t="shared" si="8" ref="D85:D148">IF(A85&gt;$D$9,0,$D$11*-1)</f>
        <v>0</v>
      </c>
      <c r="E85" s="20">
        <f aca="true" t="shared" si="9" ref="E85:E148">B85*$D$10</f>
        <v>0</v>
      </c>
      <c r="F85" s="17">
        <f aca="true" t="shared" si="10" ref="F85:F148">D85-E85</f>
        <v>0</v>
      </c>
      <c r="G85" s="18">
        <f aca="true" t="shared" si="11" ref="G85:G148">B85-F85</f>
        <v>0</v>
      </c>
    </row>
    <row r="86" spans="1:7" ht="12.75" hidden="1">
      <c r="A86" s="3">
        <f aca="true" t="shared" si="12" ref="A86:A149">A85+1</f>
        <v>66</v>
      </c>
      <c r="B86" s="17">
        <f aca="true" t="shared" si="13" ref="B86:B149">IF(A86&lt;=$D$9,G85,0)</f>
        <v>0</v>
      </c>
      <c r="C86" s="17">
        <f t="shared" si="7"/>
        <v>0</v>
      </c>
      <c r="D86" s="17">
        <f t="shared" si="8"/>
        <v>0</v>
      </c>
      <c r="E86" s="20">
        <f t="shared" si="9"/>
        <v>0</v>
      </c>
      <c r="F86" s="17">
        <f t="shared" si="10"/>
        <v>0</v>
      </c>
      <c r="G86" s="18">
        <f t="shared" si="11"/>
        <v>0</v>
      </c>
    </row>
    <row r="87" spans="1:7" ht="12.75" hidden="1">
      <c r="A87" s="3">
        <f t="shared" si="12"/>
        <v>67</v>
      </c>
      <c r="B87" s="17">
        <f t="shared" si="13"/>
        <v>0</v>
      </c>
      <c r="C87" s="17">
        <f t="shared" si="7"/>
        <v>0</v>
      </c>
      <c r="D87" s="17">
        <f t="shared" si="8"/>
        <v>0</v>
      </c>
      <c r="E87" s="20">
        <f t="shared" si="9"/>
        <v>0</v>
      </c>
      <c r="F87" s="17">
        <f t="shared" si="10"/>
        <v>0</v>
      </c>
      <c r="G87" s="18">
        <f t="shared" si="11"/>
        <v>0</v>
      </c>
    </row>
    <row r="88" spans="1:7" ht="12.75" hidden="1">
      <c r="A88" s="3">
        <f t="shared" si="12"/>
        <v>68</v>
      </c>
      <c r="B88" s="17">
        <f t="shared" si="13"/>
        <v>0</v>
      </c>
      <c r="C88" s="17">
        <f t="shared" si="7"/>
        <v>0</v>
      </c>
      <c r="D88" s="17">
        <f t="shared" si="8"/>
        <v>0</v>
      </c>
      <c r="E88" s="20">
        <f t="shared" si="9"/>
        <v>0</v>
      </c>
      <c r="F88" s="17">
        <f t="shared" si="10"/>
        <v>0</v>
      </c>
      <c r="G88" s="18">
        <f t="shared" si="11"/>
        <v>0</v>
      </c>
    </row>
    <row r="89" spans="1:7" ht="12.75" hidden="1">
      <c r="A89" s="3">
        <f t="shared" si="12"/>
        <v>69</v>
      </c>
      <c r="B89" s="17">
        <f t="shared" si="13"/>
        <v>0</v>
      </c>
      <c r="C89" s="17">
        <f t="shared" si="7"/>
        <v>0</v>
      </c>
      <c r="D89" s="17">
        <f t="shared" si="8"/>
        <v>0</v>
      </c>
      <c r="E89" s="20">
        <f t="shared" si="9"/>
        <v>0</v>
      </c>
      <c r="F89" s="17">
        <f t="shared" si="10"/>
        <v>0</v>
      </c>
      <c r="G89" s="18">
        <f t="shared" si="11"/>
        <v>0</v>
      </c>
    </row>
    <row r="90" spans="1:7" ht="12.75" hidden="1">
      <c r="A90" s="3">
        <f t="shared" si="12"/>
        <v>70</v>
      </c>
      <c r="B90" s="17">
        <f t="shared" si="13"/>
        <v>0</v>
      </c>
      <c r="C90" s="17">
        <f t="shared" si="7"/>
        <v>0</v>
      </c>
      <c r="D90" s="17">
        <f t="shared" si="8"/>
        <v>0</v>
      </c>
      <c r="E90" s="20">
        <f t="shared" si="9"/>
        <v>0</v>
      </c>
      <c r="F90" s="17">
        <f t="shared" si="10"/>
        <v>0</v>
      </c>
      <c r="G90" s="18">
        <f t="shared" si="11"/>
        <v>0</v>
      </c>
    </row>
    <row r="91" spans="1:7" ht="12.75" hidden="1">
      <c r="A91" s="3">
        <f t="shared" si="12"/>
        <v>71</v>
      </c>
      <c r="B91" s="17">
        <f t="shared" si="13"/>
        <v>0</v>
      </c>
      <c r="C91" s="17">
        <f t="shared" si="7"/>
        <v>0</v>
      </c>
      <c r="D91" s="17">
        <f t="shared" si="8"/>
        <v>0</v>
      </c>
      <c r="E91" s="20">
        <f t="shared" si="9"/>
        <v>0</v>
      </c>
      <c r="F91" s="17">
        <f t="shared" si="10"/>
        <v>0</v>
      </c>
      <c r="G91" s="18">
        <f t="shared" si="11"/>
        <v>0</v>
      </c>
    </row>
    <row r="92" spans="1:7" ht="12.75" hidden="1">
      <c r="A92" s="3">
        <f t="shared" si="12"/>
        <v>72</v>
      </c>
      <c r="B92" s="17">
        <f t="shared" si="13"/>
        <v>0</v>
      </c>
      <c r="C92" s="17">
        <f t="shared" si="7"/>
        <v>0</v>
      </c>
      <c r="D92" s="17">
        <f t="shared" si="8"/>
        <v>0</v>
      </c>
      <c r="E92" s="20">
        <f t="shared" si="9"/>
        <v>0</v>
      </c>
      <c r="F92" s="17">
        <f t="shared" si="10"/>
        <v>0</v>
      </c>
      <c r="G92" s="18">
        <f t="shared" si="11"/>
        <v>0</v>
      </c>
    </row>
    <row r="93" spans="1:7" ht="12.75" hidden="1">
      <c r="A93" s="3">
        <f t="shared" si="12"/>
        <v>73</v>
      </c>
      <c r="B93" s="17">
        <f t="shared" si="13"/>
        <v>0</v>
      </c>
      <c r="C93" s="17">
        <f t="shared" si="7"/>
        <v>0</v>
      </c>
      <c r="D93" s="17">
        <f t="shared" si="8"/>
        <v>0</v>
      </c>
      <c r="E93" s="20">
        <f t="shared" si="9"/>
        <v>0</v>
      </c>
      <c r="F93" s="17">
        <f t="shared" si="10"/>
        <v>0</v>
      </c>
      <c r="G93" s="18">
        <f t="shared" si="11"/>
        <v>0</v>
      </c>
    </row>
    <row r="94" spans="1:7" ht="12.75" hidden="1">
      <c r="A94" s="3">
        <f t="shared" si="12"/>
        <v>74</v>
      </c>
      <c r="B94" s="17">
        <f t="shared" si="13"/>
        <v>0</v>
      </c>
      <c r="C94" s="17">
        <f t="shared" si="7"/>
        <v>0</v>
      </c>
      <c r="D94" s="17">
        <f t="shared" si="8"/>
        <v>0</v>
      </c>
      <c r="E94" s="20">
        <f t="shared" si="9"/>
        <v>0</v>
      </c>
      <c r="F94" s="17">
        <f t="shared" si="10"/>
        <v>0</v>
      </c>
      <c r="G94" s="18">
        <f t="shared" si="11"/>
        <v>0</v>
      </c>
    </row>
    <row r="95" spans="1:7" ht="12.75" hidden="1">
      <c r="A95" s="3">
        <f t="shared" si="12"/>
        <v>75</v>
      </c>
      <c r="B95" s="17">
        <f t="shared" si="13"/>
        <v>0</v>
      </c>
      <c r="C95" s="17">
        <f t="shared" si="7"/>
        <v>0</v>
      </c>
      <c r="D95" s="17">
        <f t="shared" si="8"/>
        <v>0</v>
      </c>
      <c r="E95" s="20">
        <f t="shared" si="9"/>
        <v>0</v>
      </c>
      <c r="F95" s="17">
        <f t="shared" si="10"/>
        <v>0</v>
      </c>
      <c r="G95" s="18">
        <f t="shared" si="11"/>
        <v>0</v>
      </c>
    </row>
    <row r="96" spans="1:7" ht="12.75" hidden="1">
      <c r="A96" s="3">
        <f t="shared" si="12"/>
        <v>76</v>
      </c>
      <c r="B96" s="17">
        <f t="shared" si="13"/>
        <v>0</v>
      </c>
      <c r="C96" s="17">
        <f t="shared" si="7"/>
        <v>0</v>
      </c>
      <c r="D96" s="17">
        <f t="shared" si="8"/>
        <v>0</v>
      </c>
      <c r="E96" s="20">
        <f t="shared" si="9"/>
        <v>0</v>
      </c>
      <c r="F96" s="17">
        <f t="shared" si="10"/>
        <v>0</v>
      </c>
      <c r="G96" s="18">
        <f t="shared" si="11"/>
        <v>0</v>
      </c>
    </row>
    <row r="97" spans="1:7" ht="12.75" hidden="1">
      <c r="A97" s="3">
        <f t="shared" si="12"/>
        <v>77</v>
      </c>
      <c r="B97" s="17">
        <f t="shared" si="13"/>
        <v>0</v>
      </c>
      <c r="C97" s="17">
        <f t="shared" si="7"/>
        <v>0</v>
      </c>
      <c r="D97" s="17">
        <f t="shared" si="8"/>
        <v>0</v>
      </c>
      <c r="E97" s="20">
        <f t="shared" si="9"/>
        <v>0</v>
      </c>
      <c r="F97" s="17">
        <f t="shared" si="10"/>
        <v>0</v>
      </c>
      <c r="G97" s="18">
        <f t="shared" si="11"/>
        <v>0</v>
      </c>
    </row>
    <row r="98" spans="1:7" ht="12.75" hidden="1">
      <c r="A98" s="3">
        <f t="shared" si="12"/>
        <v>78</v>
      </c>
      <c r="B98" s="17">
        <f t="shared" si="13"/>
        <v>0</v>
      </c>
      <c r="C98" s="17">
        <f t="shared" si="7"/>
        <v>0</v>
      </c>
      <c r="D98" s="17">
        <f t="shared" si="8"/>
        <v>0</v>
      </c>
      <c r="E98" s="20">
        <f t="shared" si="9"/>
        <v>0</v>
      </c>
      <c r="F98" s="17">
        <f t="shared" si="10"/>
        <v>0</v>
      </c>
      <c r="G98" s="18">
        <f t="shared" si="11"/>
        <v>0</v>
      </c>
    </row>
    <row r="99" spans="1:7" ht="12.75" hidden="1">
      <c r="A99" s="3">
        <f t="shared" si="12"/>
        <v>79</v>
      </c>
      <c r="B99" s="17">
        <f t="shared" si="13"/>
        <v>0</v>
      </c>
      <c r="C99" s="17">
        <f t="shared" si="7"/>
        <v>0</v>
      </c>
      <c r="D99" s="17">
        <f t="shared" si="8"/>
        <v>0</v>
      </c>
      <c r="E99" s="20">
        <f t="shared" si="9"/>
        <v>0</v>
      </c>
      <c r="F99" s="17">
        <f t="shared" si="10"/>
        <v>0</v>
      </c>
      <c r="G99" s="18">
        <f t="shared" si="11"/>
        <v>0</v>
      </c>
    </row>
    <row r="100" spans="1:7" ht="12.75" hidden="1">
      <c r="A100" s="3">
        <f t="shared" si="12"/>
        <v>80</v>
      </c>
      <c r="B100" s="17">
        <f t="shared" si="13"/>
        <v>0</v>
      </c>
      <c r="C100" s="17">
        <f t="shared" si="7"/>
        <v>0</v>
      </c>
      <c r="D100" s="17">
        <f t="shared" si="8"/>
        <v>0</v>
      </c>
      <c r="E100" s="20">
        <f t="shared" si="9"/>
        <v>0</v>
      </c>
      <c r="F100" s="17">
        <f t="shared" si="10"/>
        <v>0</v>
      </c>
      <c r="G100" s="18">
        <f t="shared" si="11"/>
        <v>0</v>
      </c>
    </row>
    <row r="101" spans="1:7" ht="12.75" hidden="1">
      <c r="A101" s="3">
        <f t="shared" si="12"/>
        <v>81</v>
      </c>
      <c r="B101" s="17">
        <f t="shared" si="13"/>
        <v>0</v>
      </c>
      <c r="C101" s="17">
        <f t="shared" si="7"/>
        <v>0</v>
      </c>
      <c r="D101" s="17">
        <f t="shared" si="8"/>
        <v>0</v>
      </c>
      <c r="E101" s="20">
        <f t="shared" si="9"/>
        <v>0</v>
      </c>
      <c r="F101" s="17">
        <f t="shared" si="10"/>
        <v>0</v>
      </c>
      <c r="G101" s="18">
        <f t="shared" si="11"/>
        <v>0</v>
      </c>
    </row>
    <row r="102" spans="1:7" ht="12.75" hidden="1">
      <c r="A102" s="3">
        <f t="shared" si="12"/>
        <v>82</v>
      </c>
      <c r="B102" s="17">
        <f t="shared" si="13"/>
        <v>0</v>
      </c>
      <c r="C102" s="17">
        <f t="shared" si="7"/>
        <v>0</v>
      </c>
      <c r="D102" s="17">
        <f t="shared" si="8"/>
        <v>0</v>
      </c>
      <c r="E102" s="20">
        <f t="shared" si="9"/>
        <v>0</v>
      </c>
      <c r="F102" s="17">
        <f t="shared" si="10"/>
        <v>0</v>
      </c>
      <c r="G102" s="18">
        <f t="shared" si="11"/>
        <v>0</v>
      </c>
    </row>
    <row r="103" spans="1:7" ht="12.75" hidden="1">
      <c r="A103" s="3">
        <f t="shared" si="12"/>
        <v>83</v>
      </c>
      <c r="B103" s="17">
        <f t="shared" si="13"/>
        <v>0</v>
      </c>
      <c r="C103" s="17">
        <f t="shared" si="7"/>
        <v>0</v>
      </c>
      <c r="D103" s="17">
        <f t="shared" si="8"/>
        <v>0</v>
      </c>
      <c r="E103" s="20">
        <f t="shared" si="9"/>
        <v>0</v>
      </c>
      <c r="F103" s="17">
        <f t="shared" si="10"/>
        <v>0</v>
      </c>
      <c r="G103" s="18">
        <f t="shared" si="11"/>
        <v>0</v>
      </c>
    </row>
    <row r="104" spans="1:7" ht="12.75" hidden="1">
      <c r="A104" s="3">
        <f t="shared" si="12"/>
        <v>84</v>
      </c>
      <c r="B104" s="17">
        <f t="shared" si="13"/>
        <v>0</v>
      </c>
      <c r="C104" s="17">
        <f t="shared" si="7"/>
        <v>0</v>
      </c>
      <c r="D104" s="17">
        <f t="shared" si="8"/>
        <v>0</v>
      </c>
      <c r="E104" s="20">
        <f t="shared" si="9"/>
        <v>0</v>
      </c>
      <c r="F104" s="17">
        <f t="shared" si="10"/>
        <v>0</v>
      </c>
      <c r="G104" s="18">
        <f t="shared" si="11"/>
        <v>0</v>
      </c>
    </row>
    <row r="105" spans="1:7" ht="12.75" hidden="1">
      <c r="A105" s="3">
        <f t="shared" si="12"/>
        <v>85</v>
      </c>
      <c r="B105" s="17">
        <f t="shared" si="13"/>
        <v>0</v>
      </c>
      <c r="C105" s="17">
        <f t="shared" si="7"/>
        <v>0</v>
      </c>
      <c r="D105" s="17">
        <f t="shared" si="8"/>
        <v>0</v>
      </c>
      <c r="E105" s="20">
        <f t="shared" si="9"/>
        <v>0</v>
      </c>
      <c r="F105" s="17">
        <f t="shared" si="10"/>
        <v>0</v>
      </c>
      <c r="G105" s="18">
        <f t="shared" si="11"/>
        <v>0</v>
      </c>
    </row>
    <row r="106" spans="1:7" ht="12.75" hidden="1">
      <c r="A106" s="3">
        <f t="shared" si="12"/>
        <v>86</v>
      </c>
      <c r="B106" s="17">
        <f t="shared" si="13"/>
        <v>0</v>
      </c>
      <c r="C106" s="17">
        <f t="shared" si="7"/>
        <v>0</v>
      </c>
      <c r="D106" s="17">
        <f t="shared" si="8"/>
        <v>0</v>
      </c>
      <c r="E106" s="20">
        <f t="shared" si="9"/>
        <v>0</v>
      </c>
      <c r="F106" s="17">
        <f t="shared" si="10"/>
        <v>0</v>
      </c>
      <c r="G106" s="18">
        <f t="shared" si="11"/>
        <v>0</v>
      </c>
    </row>
    <row r="107" spans="1:7" ht="12.75" hidden="1">
      <c r="A107" s="3">
        <f t="shared" si="12"/>
        <v>87</v>
      </c>
      <c r="B107" s="17">
        <f t="shared" si="13"/>
        <v>0</v>
      </c>
      <c r="C107" s="17">
        <f t="shared" si="7"/>
        <v>0</v>
      </c>
      <c r="D107" s="17">
        <f t="shared" si="8"/>
        <v>0</v>
      </c>
      <c r="E107" s="20">
        <f t="shared" si="9"/>
        <v>0</v>
      </c>
      <c r="F107" s="17">
        <f t="shared" si="10"/>
        <v>0</v>
      </c>
      <c r="G107" s="18">
        <f t="shared" si="11"/>
        <v>0</v>
      </c>
    </row>
    <row r="108" spans="1:7" ht="12.75" hidden="1">
      <c r="A108" s="3">
        <f t="shared" si="12"/>
        <v>88</v>
      </c>
      <c r="B108" s="17">
        <f t="shared" si="13"/>
        <v>0</v>
      </c>
      <c r="C108" s="17">
        <f t="shared" si="7"/>
        <v>0</v>
      </c>
      <c r="D108" s="17">
        <f t="shared" si="8"/>
        <v>0</v>
      </c>
      <c r="E108" s="20">
        <f t="shared" si="9"/>
        <v>0</v>
      </c>
      <c r="F108" s="17">
        <f t="shared" si="10"/>
        <v>0</v>
      </c>
      <c r="G108" s="18">
        <f t="shared" si="11"/>
        <v>0</v>
      </c>
    </row>
    <row r="109" spans="1:7" ht="12.75" hidden="1">
      <c r="A109" s="3">
        <f t="shared" si="12"/>
        <v>89</v>
      </c>
      <c r="B109" s="17">
        <f t="shared" si="13"/>
        <v>0</v>
      </c>
      <c r="C109" s="17">
        <f t="shared" si="7"/>
        <v>0</v>
      </c>
      <c r="D109" s="17">
        <f t="shared" si="8"/>
        <v>0</v>
      </c>
      <c r="E109" s="20">
        <f t="shared" si="9"/>
        <v>0</v>
      </c>
      <c r="F109" s="17">
        <f t="shared" si="10"/>
        <v>0</v>
      </c>
      <c r="G109" s="18">
        <f t="shared" si="11"/>
        <v>0</v>
      </c>
    </row>
    <row r="110" spans="1:7" ht="12.75" hidden="1">
      <c r="A110" s="3">
        <f t="shared" si="12"/>
        <v>90</v>
      </c>
      <c r="B110" s="17">
        <f t="shared" si="13"/>
        <v>0</v>
      </c>
      <c r="C110" s="17">
        <f t="shared" si="7"/>
        <v>0</v>
      </c>
      <c r="D110" s="17">
        <f t="shared" si="8"/>
        <v>0</v>
      </c>
      <c r="E110" s="20">
        <f t="shared" si="9"/>
        <v>0</v>
      </c>
      <c r="F110" s="17">
        <f t="shared" si="10"/>
        <v>0</v>
      </c>
      <c r="G110" s="18">
        <f t="shared" si="11"/>
        <v>0</v>
      </c>
    </row>
    <row r="111" spans="1:7" ht="12.75" hidden="1">
      <c r="A111" s="3">
        <f t="shared" si="12"/>
        <v>91</v>
      </c>
      <c r="B111" s="17">
        <f t="shared" si="13"/>
        <v>0</v>
      </c>
      <c r="C111" s="17">
        <f t="shared" si="7"/>
        <v>0</v>
      </c>
      <c r="D111" s="17">
        <f t="shared" si="8"/>
        <v>0</v>
      </c>
      <c r="E111" s="20">
        <f t="shared" si="9"/>
        <v>0</v>
      </c>
      <c r="F111" s="17">
        <f t="shared" si="10"/>
        <v>0</v>
      </c>
      <c r="G111" s="18">
        <f t="shared" si="11"/>
        <v>0</v>
      </c>
    </row>
    <row r="112" spans="1:7" ht="12.75" hidden="1">
      <c r="A112" s="3">
        <f t="shared" si="12"/>
        <v>92</v>
      </c>
      <c r="B112" s="17">
        <f t="shared" si="13"/>
        <v>0</v>
      </c>
      <c r="C112" s="17">
        <f t="shared" si="7"/>
        <v>0</v>
      </c>
      <c r="D112" s="17">
        <f t="shared" si="8"/>
        <v>0</v>
      </c>
      <c r="E112" s="20">
        <f t="shared" si="9"/>
        <v>0</v>
      </c>
      <c r="F112" s="17">
        <f t="shared" si="10"/>
        <v>0</v>
      </c>
      <c r="G112" s="18">
        <f t="shared" si="11"/>
        <v>0</v>
      </c>
    </row>
    <row r="113" spans="1:7" ht="12.75" hidden="1">
      <c r="A113" s="3">
        <f t="shared" si="12"/>
        <v>93</v>
      </c>
      <c r="B113" s="17">
        <f t="shared" si="13"/>
        <v>0</v>
      </c>
      <c r="C113" s="17">
        <f t="shared" si="7"/>
        <v>0</v>
      </c>
      <c r="D113" s="17">
        <f t="shared" si="8"/>
        <v>0</v>
      </c>
      <c r="E113" s="20">
        <f t="shared" si="9"/>
        <v>0</v>
      </c>
      <c r="F113" s="17">
        <f t="shared" si="10"/>
        <v>0</v>
      </c>
      <c r="G113" s="18">
        <f t="shared" si="11"/>
        <v>0</v>
      </c>
    </row>
    <row r="114" spans="1:7" ht="12.75" hidden="1">
      <c r="A114" s="3">
        <f t="shared" si="12"/>
        <v>94</v>
      </c>
      <c r="B114" s="17">
        <f t="shared" si="13"/>
        <v>0</v>
      </c>
      <c r="C114" s="17">
        <f t="shared" si="7"/>
        <v>0</v>
      </c>
      <c r="D114" s="17">
        <f t="shared" si="8"/>
        <v>0</v>
      </c>
      <c r="E114" s="20">
        <f t="shared" si="9"/>
        <v>0</v>
      </c>
      <c r="F114" s="17">
        <f t="shared" si="10"/>
        <v>0</v>
      </c>
      <c r="G114" s="18">
        <f t="shared" si="11"/>
        <v>0</v>
      </c>
    </row>
    <row r="115" spans="1:7" ht="12.75" hidden="1">
      <c r="A115" s="3">
        <f t="shared" si="12"/>
        <v>95</v>
      </c>
      <c r="B115" s="17">
        <f t="shared" si="13"/>
        <v>0</v>
      </c>
      <c r="C115" s="17">
        <f t="shared" si="7"/>
        <v>0</v>
      </c>
      <c r="D115" s="17">
        <f t="shared" si="8"/>
        <v>0</v>
      </c>
      <c r="E115" s="20">
        <f t="shared" si="9"/>
        <v>0</v>
      </c>
      <c r="F115" s="17">
        <f t="shared" si="10"/>
        <v>0</v>
      </c>
      <c r="G115" s="18">
        <f t="shared" si="11"/>
        <v>0</v>
      </c>
    </row>
    <row r="116" spans="1:7" ht="12.75" hidden="1">
      <c r="A116" s="3">
        <f t="shared" si="12"/>
        <v>96</v>
      </c>
      <c r="B116" s="17">
        <f t="shared" si="13"/>
        <v>0</v>
      </c>
      <c r="C116" s="17">
        <f t="shared" si="7"/>
        <v>0</v>
      </c>
      <c r="D116" s="17">
        <f t="shared" si="8"/>
        <v>0</v>
      </c>
      <c r="E116" s="20">
        <f t="shared" si="9"/>
        <v>0</v>
      </c>
      <c r="F116" s="17">
        <f t="shared" si="10"/>
        <v>0</v>
      </c>
      <c r="G116" s="18">
        <f t="shared" si="11"/>
        <v>0</v>
      </c>
    </row>
    <row r="117" spans="1:7" ht="12.75" hidden="1">
      <c r="A117" s="3">
        <f t="shared" si="12"/>
        <v>97</v>
      </c>
      <c r="B117" s="17">
        <f t="shared" si="13"/>
        <v>0</v>
      </c>
      <c r="C117" s="17">
        <f t="shared" si="7"/>
        <v>0</v>
      </c>
      <c r="D117" s="17">
        <f t="shared" si="8"/>
        <v>0</v>
      </c>
      <c r="E117" s="20">
        <f t="shared" si="9"/>
        <v>0</v>
      </c>
      <c r="F117" s="17">
        <f t="shared" si="10"/>
        <v>0</v>
      </c>
      <c r="G117" s="18">
        <f t="shared" si="11"/>
        <v>0</v>
      </c>
    </row>
    <row r="118" spans="1:7" ht="12.75" hidden="1">
      <c r="A118" s="3">
        <f t="shared" si="12"/>
        <v>98</v>
      </c>
      <c r="B118" s="17">
        <f t="shared" si="13"/>
        <v>0</v>
      </c>
      <c r="C118" s="17">
        <f t="shared" si="7"/>
        <v>0</v>
      </c>
      <c r="D118" s="17">
        <f t="shared" si="8"/>
        <v>0</v>
      </c>
      <c r="E118" s="20">
        <f t="shared" si="9"/>
        <v>0</v>
      </c>
      <c r="F118" s="17">
        <f t="shared" si="10"/>
        <v>0</v>
      </c>
      <c r="G118" s="18">
        <f t="shared" si="11"/>
        <v>0</v>
      </c>
    </row>
    <row r="119" spans="1:7" ht="12.75" hidden="1">
      <c r="A119" s="3">
        <f t="shared" si="12"/>
        <v>99</v>
      </c>
      <c r="B119" s="17">
        <f t="shared" si="13"/>
        <v>0</v>
      </c>
      <c r="C119" s="17">
        <f t="shared" si="7"/>
        <v>0</v>
      </c>
      <c r="D119" s="17">
        <f t="shared" si="8"/>
        <v>0</v>
      </c>
      <c r="E119" s="20">
        <f t="shared" si="9"/>
        <v>0</v>
      </c>
      <c r="F119" s="17">
        <f t="shared" si="10"/>
        <v>0</v>
      </c>
      <c r="G119" s="18">
        <f t="shared" si="11"/>
        <v>0</v>
      </c>
    </row>
    <row r="120" spans="1:7" ht="12.75" hidden="1">
      <c r="A120" s="3">
        <f t="shared" si="12"/>
        <v>100</v>
      </c>
      <c r="B120" s="17">
        <f t="shared" si="13"/>
        <v>0</v>
      </c>
      <c r="C120" s="17">
        <f t="shared" si="7"/>
        <v>0</v>
      </c>
      <c r="D120" s="17">
        <f t="shared" si="8"/>
        <v>0</v>
      </c>
      <c r="E120" s="20">
        <f t="shared" si="9"/>
        <v>0</v>
      </c>
      <c r="F120" s="17">
        <f t="shared" si="10"/>
        <v>0</v>
      </c>
      <c r="G120" s="18">
        <f t="shared" si="11"/>
        <v>0</v>
      </c>
    </row>
    <row r="121" spans="1:7" ht="12.75" hidden="1">
      <c r="A121" s="3">
        <f t="shared" si="12"/>
        <v>101</v>
      </c>
      <c r="B121" s="17">
        <f t="shared" si="13"/>
        <v>0</v>
      </c>
      <c r="C121" s="17">
        <f t="shared" si="7"/>
        <v>0</v>
      </c>
      <c r="D121" s="17">
        <f t="shared" si="8"/>
        <v>0</v>
      </c>
      <c r="E121" s="20">
        <f t="shared" si="9"/>
        <v>0</v>
      </c>
      <c r="F121" s="17">
        <f t="shared" si="10"/>
        <v>0</v>
      </c>
      <c r="G121" s="18">
        <f t="shared" si="11"/>
        <v>0</v>
      </c>
    </row>
    <row r="122" spans="1:7" ht="12.75" hidden="1">
      <c r="A122" s="3">
        <f t="shared" si="12"/>
        <v>102</v>
      </c>
      <c r="B122" s="17">
        <f t="shared" si="13"/>
        <v>0</v>
      </c>
      <c r="C122" s="17">
        <f t="shared" si="7"/>
        <v>0</v>
      </c>
      <c r="D122" s="17">
        <f t="shared" si="8"/>
        <v>0</v>
      </c>
      <c r="E122" s="20">
        <f t="shared" si="9"/>
        <v>0</v>
      </c>
      <c r="F122" s="17">
        <f t="shared" si="10"/>
        <v>0</v>
      </c>
      <c r="G122" s="18">
        <f t="shared" si="11"/>
        <v>0</v>
      </c>
    </row>
    <row r="123" spans="1:7" ht="12.75" hidden="1">
      <c r="A123" s="3">
        <f t="shared" si="12"/>
        <v>103</v>
      </c>
      <c r="B123" s="17">
        <f t="shared" si="13"/>
        <v>0</v>
      </c>
      <c r="C123" s="17">
        <f t="shared" si="7"/>
        <v>0</v>
      </c>
      <c r="D123" s="17">
        <f t="shared" si="8"/>
        <v>0</v>
      </c>
      <c r="E123" s="20">
        <f t="shared" si="9"/>
        <v>0</v>
      </c>
      <c r="F123" s="17">
        <f t="shared" si="10"/>
        <v>0</v>
      </c>
      <c r="G123" s="18">
        <f t="shared" si="11"/>
        <v>0</v>
      </c>
    </row>
    <row r="124" spans="1:7" ht="12.75" hidden="1">
      <c r="A124" s="3">
        <f t="shared" si="12"/>
        <v>104</v>
      </c>
      <c r="B124" s="17">
        <f t="shared" si="13"/>
        <v>0</v>
      </c>
      <c r="C124" s="17">
        <f t="shared" si="7"/>
        <v>0</v>
      </c>
      <c r="D124" s="17">
        <f t="shared" si="8"/>
        <v>0</v>
      </c>
      <c r="E124" s="20">
        <f t="shared" si="9"/>
        <v>0</v>
      </c>
      <c r="F124" s="17">
        <f t="shared" si="10"/>
        <v>0</v>
      </c>
      <c r="G124" s="18">
        <f t="shared" si="11"/>
        <v>0</v>
      </c>
    </row>
    <row r="125" spans="1:7" ht="12.75" hidden="1">
      <c r="A125" s="3">
        <f t="shared" si="12"/>
        <v>105</v>
      </c>
      <c r="B125" s="17">
        <f t="shared" si="13"/>
        <v>0</v>
      </c>
      <c r="C125" s="17">
        <f t="shared" si="7"/>
        <v>0</v>
      </c>
      <c r="D125" s="17">
        <f t="shared" si="8"/>
        <v>0</v>
      </c>
      <c r="E125" s="20">
        <f t="shared" si="9"/>
        <v>0</v>
      </c>
      <c r="F125" s="17">
        <f t="shared" si="10"/>
        <v>0</v>
      </c>
      <c r="G125" s="18">
        <f t="shared" si="11"/>
        <v>0</v>
      </c>
    </row>
    <row r="126" spans="1:7" ht="12.75" hidden="1">
      <c r="A126" s="3">
        <f t="shared" si="12"/>
        <v>106</v>
      </c>
      <c r="B126" s="17">
        <f t="shared" si="13"/>
        <v>0</v>
      </c>
      <c r="C126" s="17">
        <f t="shared" si="7"/>
        <v>0</v>
      </c>
      <c r="D126" s="17">
        <f t="shared" si="8"/>
        <v>0</v>
      </c>
      <c r="E126" s="20">
        <f t="shared" si="9"/>
        <v>0</v>
      </c>
      <c r="F126" s="17">
        <f t="shared" si="10"/>
        <v>0</v>
      </c>
      <c r="G126" s="18">
        <f t="shared" si="11"/>
        <v>0</v>
      </c>
    </row>
    <row r="127" spans="1:7" ht="12.75" hidden="1">
      <c r="A127" s="3">
        <f t="shared" si="12"/>
        <v>107</v>
      </c>
      <c r="B127" s="17">
        <f t="shared" si="13"/>
        <v>0</v>
      </c>
      <c r="C127" s="17">
        <f t="shared" si="7"/>
        <v>0</v>
      </c>
      <c r="D127" s="17">
        <f t="shared" si="8"/>
        <v>0</v>
      </c>
      <c r="E127" s="20">
        <f t="shared" si="9"/>
        <v>0</v>
      </c>
      <c r="F127" s="17">
        <f t="shared" si="10"/>
        <v>0</v>
      </c>
      <c r="G127" s="18">
        <f t="shared" si="11"/>
        <v>0</v>
      </c>
    </row>
    <row r="128" spans="1:7" ht="12.75" hidden="1">
      <c r="A128" s="3">
        <f t="shared" si="12"/>
        <v>108</v>
      </c>
      <c r="B128" s="17">
        <f t="shared" si="13"/>
        <v>0</v>
      </c>
      <c r="C128" s="17">
        <f t="shared" si="7"/>
        <v>0</v>
      </c>
      <c r="D128" s="17">
        <f t="shared" si="8"/>
        <v>0</v>
      </c>
      <c r="E128" s="20">
        <f t="shared" si="9"/>
        <v>0</v>
      </c>
      <c r="F128" s="17">
        <f t="shared" si="10"/>
        <v>0</v>
      </c>
      <c r="G128" s="18">
        <f t="shared" si="11"/>
        <v>0</v>
      </c>
    </row>
    <row r="129" spans="1:7" ht="12.75" hidden="1">
      <c r="A129" s="3">
        <f t="shared" si="12"/>
        <v>109</v>
      </c>
      <c r="B129" s="17">
        <f t="shared" si="13"/>
        <v>0</v>
      </c>
      <c r="C129" s="17">
        <f t="shared" si="7"/>
        <v>0</v>
      </c>
      <c r="D129" s="17">
        <f t="shared" si="8"/>
        <v>0</v>
      </c>
      <c r="E129" s="20">
        <f t="shared" si="9"/>
        <v>0</v>
      </c>
      <c r="F129" s="17">
        <f t="shared" si="10"/>
        <v>0</v>
      </c>
      <c r="G129" s="18">
        <f t="shared" si="11"/>
        <v>0</v>
      </c>
    </row>
    <row r="130" spans="1:7" ht="12.75" hidden="1">
      <c r="A130" s="3">
        <f t="shared" si="12"/>
        <v>110</v>
      </c>
      <c r="B130" s="17">
        <f t="shared" si="13"/>
        <v>0</v>
      </c>
      <c r="C130" s="17">
        <f t="shared" si="7"/>
        <v>0</v>
      </c>
      <c r="D130" s="17">
        <f t="shared" si="8"/>
        <v>0</v>
      </c>
      <c r="E130" s="20">
        <f t="shared" si="9"/>
        <v>0</v>
      </c>
      <c r="F130" s="17">
        <f t="shared" si="10"/>
        <v>0</v>
      </c>
      <c r="G130" s="18">
        <f t="shared" si="11"/>
        <v>0</v>
      </c>
    </row>
    <row r="131" spans="1:7" ht="12.75" hidden="1">
      <c r="A131" s="3">
        <f t="shared" si="12"/>
        <v>111</v>
      </c>
      <c r="B131" s="17">
        <f t="shared" si="13"/>
        <v>0</v>
      </c>
      <c r="C131" s="17">
        <f t="shared" si="7"/>
        <v>0</v>
      </c>
      <c r="D131" s="17">
        <f t="shared" si="8"/>
        <v>0</v>
      </c>
      <c r="E131" s="20">
        <f t="shared" si="9"/>
        <v>0</v>
      </c>
      <c r="F131" s="17">
        <f t="shared" si="10"/>
        <v>0</v>
      </c>
      <c r="G131" s="18">
        <f t="shared" si="11"/>
        <v>0</v>
      </c>
    </row>
    <row r="132" spans="1:7" ht="12.75" hidden="1">
      <c r="A132" s="3">
        <f t="shared" si="12"/>
        <v>112</v>
      </c>
      <c r="B132" s="17">
        <f t="shared" si="13"/>
        <v>0</v>
      </c>
      <c r="C132" s="17">
        <f t="shared" si="7"/>
        <v>0</v>
      </c>
      <c r="D132" s="17">
        <f t="shared" si="8"/>
        <v>0</v>
      </c>
      <c r="E132" s="20">
        <f t="shared" si="9"/>
        <v>0</v>
      </c>
      <c r="F132" s="17">
        <f t="shared" si="10"/>
        <v>0</v>
      </c>
      <c r="G132" s="18">
        <f t="shared" si="11"/>
        <v>0</v>
      </c>
    </row>
    <row r="133" spans="1:7" ht="12.75" hidden="1">
      <c r="A133" s="3">
        <f t="shared" si="12"/>
        <v>113</v>
      </c>
      <c r="B133" s="17">
        <f t="shared" si="13"/>
        <v>0</v>
      </c>
      <c r="C133" s="17">
        <f t="shared" si="7"/>
        <v>0</v>
      </c>
      <c r="D133" s="17">
        <f t="shared" si="8"/>
        <v>0</v>
      </c>
      <c r="E133" s="20">
        <f t="shared" si="9"/>
        <v>0</v>
      </c>
      <c r="F133" s="17">
        <f t="shared" si="10"/>
        <v>0</v>
      </c>
      <c r="G133" s="18">
        <f t="shared" si="11"/>
        <v>0</v>
      </c>
    </row>
    <row r="134" spans="1:7" ht="12.75" hidden="1">
      <c r="A134" s="3">
        <f t="shared" si="12"/>
        <v>114</v>
      </c>
      <c r="B134" s="17">
        <f t="shared" si="13"/>
        <v>0</v>
      </c>
      <c r="C134" s="17">
        <f t="shared" si="7"/>
        <v>0</v>
      </c>
      <c r="D134" s="17">
        <f t="shared" si="8"/>
        <v>0</v>
      </c>
      <c r="E134" s="20">
        <f t="shared" si="9"/>
        <v>0</v>
      </c>
      <c r="F134" s="17">
        <f t="shared" si="10"/>
        <v>0</v>
      </c>
      <c r="G134" s="18">
        <f t="shared" si="11"/>
        <v>0</v>
      </c>
    </row>
    <row r="135" spans="1:7" ht="12.75" hidden="1">
      <c r="A135" s="3">
        <f t="shared" si="12"/>
        <v>115</v>
      </c>
      <c r="B135" s="17">
        <f t="shared" si="13"/>
        <v>0</v>
      </c>
      <c r="C135" s="17">
        <f t="shared" si="7"/>
        <v>0</v>
      </c>
      <c r="D135" s="17">
        <f t="shared" si="8"/>
        <v>0</v>
      </c>
      <c r="E135" s="20">
        <f t="shared" si="9"/>
        <v>0</v>
      </c>
      <c r="F135" s="17">
        <f t="shared" si="10"/>
        <v>0</v>
      </c>
      <c r="G135" s="18">
        <f t="shared" si="11"/>
        <v>0</v>
      </c>
    </row>
    <row r="136" spans="1:7" ht="12.75" hidden="1">
      <c r="A136" s="3">
        <f t="shared" si="12"/>
        <v>116</v>
      </c>
      <c r="B136" s="17">
        <f t="shared" si="13"/>
        <v>0</v>
      </c>
      <c r="C136" s="17">
        <f t="shared" si="7"/>
        <v>0</v>
      </c>
      <c r="D136" s="17">
        <f t="shared" si="8"/>
        <v>0</v>
      </c>
      <c r="E136" s="20">
        <f t="shared" si="9"/>
        <v>0</v>
      </c>
      <c r="F136" s="17">
        <f t="shared" si="10"/>
        <v>0</v>
      </c>
      <c r="G136" s="18">
        <f t="shared" si="11"/>
        <v>0</v>
      </c>
    </row>
    <row r="137" spans="1:7" ht="12.75" hidden="1">
      <c r="A137" s="3">
        <f t="shared" si="12"/>
        <v>117</v>
      </c>
      <c r="B137" s="17">
        <f t="shared" si="13"/>
        <v>0</v>
      </c>
      <c r="C137" s="17">
        <f t="shared" si="7"/>
        <v>0</v>
      </c>
      <c r="D137" s="17">
        <f t="shared" si="8"/>
        <v>0</v>
      </c>
      <c r="E137" s="20">
        <f t="shared" si="9"/>
        <v>0</v>
      </c>
      <c r="F137" s="17">
        <f t="shared" si="10"/>
        <v>0</v>
      </c>
      <c r="G137" s="18">
        <f t="shared" si="11"/>
        <v>0</v>
      </c>
    </row>
    <row r="138" spans="1:7" ht="12.75" hidden="1">
      <c r="A138" s="3">
        <f t="shared" si="12"/>
        <v>118</v>
      </c>
      <c r="B138" s="17">
        <f t="shared" si="13"/>
        <v>0</v>
      </c>
      <c r="C138" s="17">
        <f t="shared" si="7"/>
        <v>0</v>
      </c>
      <c r="D138" s="17">
        <f t="shared" si="8"/>
        <v>0</v>
      </c>
      <c r="E138" s="20">
        <f t="shared" si="9"/>
        <v>0</v>
      </c>
      <c r="F138" s="17">
        <f t="shared" si="10"/>
        <v>0</v>
      </c>
      <c r="G138" s="18">
        <f t="shared" si="11"/>
        <v>0</v>
      </c>
    </row>
    <row r="139" spans="1:7" ht="12.75" hidden="1">
      <c r="A139" s="3">
        <f t="shared" si="12"/>
        <v>119</v>
      </c>
      <c r="B139" s="17">
        <f t="shared" si="13"/>
        <v>0</v>
      </c>
      <c r="C139" s="17">
        <f t="shared" si="7"/>
        <v>0</v>
      </c>
      <c r="D139" s="17">
        <f t="shared" si="8"/>
        <v>0</v>
      </c>
      <c r="E139" s="20">
        <f t="shared" si="9"/>
        <v>0</v>
      </c>
      <c r="F139" s="17">
        <f t="shared" si="10"/>
        <v>0</v>
      </c>
      <c r="G139" s="18">
        <f t="shared" si="11"/>
        <v>0</v>
      </c>
    </row>
    <row r="140" spans="1:7" ht="12.75" hidden="1">
      <c r="A140" s="3">
        <f t="shared" si="12"/>
        <v>120</v>
      </c>
      <c r="B140" s="17">
        <f t="shared" si="13"/>
        <v>0</v>
      </c>
      <c r="C140" s="17">
        <f t="shared" si="7"/>
        <v>0</v>
      </c>
      <c r="D140" s="17">
        <f t="shared" si="8"/>
        <v>0</v>
      </c>
      <c r="E140" s="20">
        <f t="shared" si="9"/>
        <v>0</v>
      </c>
      <c r="F140" s="17">
        <f t="shared" si="10"/>
        <v>0</v>
      </c>
      <c r="G140" s="18">
        <f t="shared" si="11"/>
        <v>0</v>
      </c>
    </row>
    <row r="141" spans="1:7" ht="12.75" hidden="1">
      <c r="A141" s="3">
        <f t="shared" si="12"/>
        <v>121</v>
      </c>
      <c r="B141" s="17">
        <f t="shared" si="13"/>
        <v>0</v>
      </c>
      <c r="C141" s="17">
        <f t="shared" si="7"/>
        <v>0</v>
      </c>
      <c r="D141" s="17">
        <f t="shared" si="8"/>
        <v>0</v>
      </c>
      <c r="E141" s="20">
        <f t="shared" si="9"/>
        <v>0</v>
      </c>
      <c r="F141" s="17">
        <f t="shared" si="10"/>
        <v>0</v>
      </c>
      <c r="G141" s="18">
        <f t="shared" si="11"/>
        <v>0</v>
      </c>
    </row>
    <row r="142" spans="1:7" ht="12.75" hidden="1">
      <c r="A142" s="3">
        <f t="shared" si="12"/>
        <v>122</v>
      </c>
      <c r="B142" s="17">
        <f t="shared" si="13"/>
        <v>0</v>
      </c>
      <c r="C142" s="17">
        <f t="shared" si="7"/>
        <v>0</v>
      </c>
      <c r="D142" s="17">
        <f t="shared" si="8"/>
        <v>0</v>
      </c>
      <c r="E142" s="20">
        <f t="shared" si="9"/>
        <v>0</v>
      </c>
      <c r="F142" s="17">
        <f t="shared" si="10"/>
        <v>0</v>
      </c>
      <c r="G142" s="18">
        <f t="shared" si="11"/>
        <v>0</v>
      </c>
    </row>
    <row r="143" spans="1:7" ht="12.75" hidden="1">
      <c r="A143" s="3">
        <f t="shared" si="12"/>
        <v>123</v>
      </c>
      <c r="B143" s="17">
        <f t="shared" si="13"/>
        <v>0</v>
      </c>
      <c r="C143" s="17">
        <f t="shared" si="7"/>
        <v>0</v>
      </c>
      <c r="D143" s="17">
        <f t="shared" si="8"/>
        <v>0</v>
      </c>
      <c r="E143" s="20">
        <f t="shared" si="9"/>
        <v>0</v>
      </c>
      <c r="F143" s="17">
        <f t="shared" si="10"/>
        <v>0</v>
      </c>
      <c r="G143" s="18">
        <f t="shared" si="11"/>
        <v>0</v>
      </c>
    </row>
    <row r="144" spans="1:7" ht="12.75" hidden="1">
      <c r="A144" s="3">
        <f t="shared" si="12"/>
        <v>124</v>
      </c>
      <c r="B144" s="17">
        <f t="shared" si="13"/>
        <v>0</v>
      </c>
      <c r="C144" s="17">
        <f t="shared" si="7"/>
        <v>0</v>
      </c>
      <c r="D144" s="17">
        <f t="shared" si="8"/>
        <v>0</v>
      </c>
      <c r="E144" s="20">
        <f t="shared" si="9"/>
        <v>0</v>
      </c>
      <c r="F144" s="17">
        <f t="shared" si="10"/>
        <v>0</v>
      </c>
      <c r="G144" s="18">
        <f t="shared" si="11"/>
        <v>0</v>
      </c>
    </row>
    <row r="145" spans="1:7" ht="12.75" hidden="1">
      <c r="A145" s="3">
        <f t="shared" si="12"/>
        <v>125</v>
      </c>
      <c r="B145" s="17">
        <f t="shared" si="13"/>
        <v>0</v>
      </c>
      <c r="C145" s="17">
        <f t="shared" si="7"/>
        <v>0</v>
      </c>
      <c r="D145" s="17">
        <f t="shared" si="8"/>
        <v>0</v>
      </c>
      <c r="E145" s="20">
        <f t="shared" si="9"/>
        <v>0</v>
      </c>
      <c r="F145" s="17">
        <f t="shared" si="10"/>
        <v>0</v>
      </c>
      <c r="G145" s="18">
        <f t="shared" si="11"/>
        <v>0</v>
      </c>
    </row>
    <row r="146" spans="1:7" ht="12.75" hidden="1">
      <c r="A146" s="3">
        <f t="shared" si="12"/>
        <v>126</v>
      </c>
      <c r="B146" s="17">
        <f t="shared" si="13"/>
        <v>0</v>
      </c>
      <c r="C146" s="17">
        <f t="shared" si="7"/>
        <v>0</v>
      </c>
      <c r="D146" s="17">
        <f t="shared" si="8"/>
        <v>0</v>
      </c>
      <c r="E146" s="20">
        <f t="shared" si="9"/>
        <v>0</v>
      </c>
      <c r="F146" s="17">
        <f t="shared" si="10"/>
        <v>0</v>
      </c>
      <c r="G146" s="18">
        <f t="shared" si="11"/>
        <v>0</v>
      </c>
    </row>
    <row r="147" spans="1:7" ht="12.75" hidden="1">
      <c r="A147" s="3">
        <f t="shared" si="12"/>
        <v>127</v>
      </c>
      <c r="B147" s="17">
        <f t="shared" si="13"/>
        <v>0</v>
      </c>
      <c r="C147" s="17">
        <f t="shared" si="7"/>
        <v>0</v>
      </c>
      <c r="D147" s="17">
        <f t="shared" si="8"/>
        <v>0</v>
      </c>
      <c r="E147" s="20">
        <f t="shared" si="9"/>
        <v>0</v>
      </c>
      <c r="F147" s="17">
        <f t="shared" si="10"/>
        <v>0</v>
      </c>
      <c r="G147" s="18">
        <f t="shared" si="11"/>
        <v>0</v>
      </c>
    </row>
    <row r="148" spans="1:7" ht="12.75" hidden="1">
      <c r="A148" s="3">
        <f t="shared" si="12"/>
        <v>128</v>
      </c>
      <c r="B148" s="17">
        <f t="shared" si="13"/>
        <v>0</v>
      </c>
      <c r="C148" s="17">
        <f t="shared" si="7"/>
        <v>0</v>
      </c>
      <c r="D148" s="17">
        <f t="shared" si="8"/>
        <v>0</v>
      </c>
      <c r="E148" s="20">
        <f t="shared" si="9"/>
        <v>0</v>
      </c>
      <c r="F148" s="17">
        <f t="shared" si="10"/>
        <v>0</v>
      </c>
      <c r="G148" s="18">
        <f t="shared" si="11"/>
        <v>0</v>
      </c>
    </row>
    <row r="149" spans="1:7" ht="12.75" hidden="1">
      <c r="A149" s="3">
        <f t="shared" si="12"/>
        <v>129</v>
      </c>
      <c r="B149" s="17">
        <f t="shared" si="13"/>
        <v>0</v>
      </c>
      <c r="C149" s="17">
        <f aca="true" t="shared" si="14" ref="C149:C212">IF(A149&lt;=$D$9,$D$14*-1,0)</f>
        <v>0</v>
      </c>
      <c r="D149" s="17">
        <f aca="true" t="shared" si="15" ref="D149:D212">IF(A149&gt;$D$9,0,$D$11*-1)</f>
        <v>0</v>
      </c>
      <c r="E149" s="20">
        <f aca="true" t="shared" si="16" ref="E149:E212">B149*$D$10</f>
        <v>0</v>
      </c>
      <c r="F149" s="17">
        <f aca="true" t="shared" si="17" ref="F149:F212">D149-E149</f>
        <v>0</v>
      </c>
      <c r="G149" s="18">
        <f aca="true" t="shared" si="18" ref="G149:G212">B149-F149</f>
        <v>0</v>
      </c>
    </row>
    <row r="150" spans="1:7" ht="12.75" hidden="1">
      <c r="A150" s="3">
        <f aca="true" t="shared" si="19" ref="A150:A213">A149+1</f>
        <v>130</v>
      </c>
      <c r="B150" s="17">
        <f aca="true" t="shared" si="20" ref="B150:B213">IF(A150&lt;=$D$9,G149,0)</f>
        <v>0</v>
      </c>
      <c r="C150" s="17">
        <f t="shared" si="14"/>
        <v>0</v>
      </c>
      <c r="D150" s="17">
        <f t="shared" si="15"/>
        <v>0</v>
      </c>
      <c r="E150" s="20">
        <f t="shared" si="16"/>
        <v>0</v>
      </c>
      <c r="F150" s="17">
        <f t="shared" si="17"/>
        <v>0</v>
      </c>
      <c r="G150" s="18">
        <f t="shared" si="18"/>
        <v>0</v>
      </c>
    </row>
    <row r="151" spans="1:7" ht="12.75" hidden="1">
      <c r="A151" s="3">
        <f t="shared" si="19"/>
        <v>131</v>
      </c>
      <c r="B151" s="17">
        <f t="shared" si="20"/>
        <v>0</v>
      </c>
      <c r="C151" s="17">
        <f t="shared" si="14"/>
        <v>0</v>
      </c>
      <c r="D151" s="17">
        <f t="shared" si="15"/>
        <v>0</v>
      </c>
      <c r="E151" s="20">
        <f t="shared" si="16"/>
        <v>0</v>
      </c>
      <c r="F151" s="17">
        <f t="shared" si="17"/>
        <v>0</v>
      </c>
      <c r="G151" s="18">
        <f t="shared" si="18"/>
        <v>0</v>
      </c>
    </row>
    <row r="152" spans="1:7" ht="12.75" hidden="1">
      <c r="A152" s="3">
        <f t="shared" si="19"/>
        <v>132</v>
      </c>
      <c r="B152" s="17">
        <f t="shared" si="20"/>
        <v>0</v>
      </c>
      <c r="C152" s="17">
        <f t="shared" si="14"/>
        <v>0</v>
      </c>
      <c r="D152" s="17">
        <f t="shared" si="15"/>
        <v>0</v>
      </c>
      <c r="E152" s="20">
        <f t="shared" si="16"/>
        <v>0</v>
      </c>
      <c r="F152" s="17">
        <f t="shared" si="17"/>
        <v>0</v>
      </c>
      <c r="G152" s="18">
        <f t="shared" si="18"/>
        <v>0</v>
      </c>
    </row>
    <row r="153" spans="1:7" ht="12.75" hidden="1">
      <c r="A153" s="3">
        <f t="shared" si="19"/>
        <v>133</v>
      </c>
      <c r="B153" s="17">
        <f t="shared" si="20"/>
        <v>0</v>
      </c>
      <c r="C153" s="17">
        <f t="shared" si="14"/>
        <v>0</v>
      </c>
      <c r="D153" s="17">
        <f t="shared" si="15"/>
        <v>0</v>
      </c>
      <c r="E153" s="20">
        <f t="shared" si="16"/>
        <v>0</v>
      </c>
      <c r="F153" s="17">
        <f t="shared" si="17"/>
        <v>0</v>
      </c>
      <c r="G153" s="18">
        <f t="shared" si="18"/>
        <v>0</v>
      </c>
    </row>
    <row r="154" spans="1:7" ht="12.75" hidden="1">
      <c r="A154" s="3">
        <f t="shared" si="19"/>
        <v>134</v>
      </c>
      <c r="B154" s="17">
        <f t="shared" si="20"/>
        <v>0</v>
      </c>
      <c r="C154" s="17">
        <f t="shared" si="14"/>
        <v>0</v>
      </c>
      <c r="D154" s="17">
        <f t="shared" si="15"/>
        <v>0</v>
      </c>
      <c r="E154" s="20">
        <f t="shared" si="16"/>
        <v>0</v>
      </c>
      <c r="F154" s="17">
        <f t="shared" si="17"/>
        <v>0</v>
      </c>
      <c r="G154" s="18">
        <f t="shared" si="18"/>
        <v>0</v>
      </c>
    </row>
    <row r="155" spans="1:7" ht="12.75" hidden="1">
      <c r="A155" s="3">
        <f t="shared" si="19"/>
        <v>135</v>
      </c>
      <c r="B155" s="17">
        <f t="shared" si="20"/>
        <v>0</v>
      </c>
      <c r="C155" s="17">
        <f t="shared" si="14"/>
        <v>0</v>
      </c>
      <c r="D155" s="17">
        <f t="shared" si="15"/>
        <v>0</v>
      </c>
      <c r="E155" s="20">
        <f t="shared" si="16"/>
        <v>0</v>
      </c>
      <c r="F155" s="17">
        <f t="shared" si="17"/>
        <v>0</v>
      </c>
      <c r="G155" s="18">
        <f t="shared" si="18"/>
        <v>0</v>
      </c>
    </row>
    <row r="156" spans="1:7" ht="12.75" hidden="1">
      <c r="A156" s="3">
        <f t="shared" si="19"/>
        <v>136</v>
      </c>
      <c r="B156" s="17">
        <f t="shared" si="20"/>
        <v>0</v>
      </c>
      <c r="C156" s="17">
        <f t="shared" si="14"/>
        <v>0</v>
      </c>
      <c r="D156" s="17">
        <f t="shared" si="15"/>
        <v>0</v>
      </c>
      <c r="E156" s="20">
        <f t="shared" si="16"/>
        <v>0</v>
      </c>
      <c r="F156" s="17">
        <f t="shared" si="17"/>
        <v>0</v>
      </c>
      <c r="G156" s="18">
        <f t="shared" si="18"/>
        <v>0</v>
      </c>
    </row>
    <row r="157" spans="1:7" ht="12.75" hidden="1">
      <c r="A157" s="3">
        <f t="shared" si="19"/>
        <v>137</v>
      </c>
      <c r="B157" s="17">
        <f t="shared" si="20"/>
        <v>0</v>
      </c>
      <c r="C157" s="17">
        <f t="shared" si="14"/>
        <v>0</v>
      </c>
      <c r="D157" s="17">
        <f t="shared" si="15"/>
        <v>0</v>
      </c>
      <c r="E157" s="20">
        <f t="shared" si="16"/>
        <v>0</v>
      </c>
      <c r="F157" s="17">
        <f t="shared" si="17"/>
        <v>0</v>
      </c>
      <c r="G157" s="18">
        <f t="shared" si="18"/>
        <v>0</v>
      </c>
    </row>
    <row r="158" spans="1:7" ht="12.75" hidden="1">
      <c r="A158" s="3">
        <f t="shared" si="19"/>
        <v>138</v>
      </c>
      <c r="B158" s="17">
        <f t="shared" si="20"/>
        <v>0</v>
      </c>
      <c r="C158" s="17">
        <f t="shared" si="14"/>
        <v>0</v>
      </c>
      <c r="D158" s="17">
        <f t="shared" si="15"/>
        <v>0</v>
      </c>
      <c r="E158" s="20">
        <f t="shared" si="16"/>
        <v>0</v>
      </c>
      <c r="F158" s="17">
        <f t="shared" si="17"/>
        <v>0</v>
      </c>
      <c r="G158" s="18">
        <f t="shared" si="18"/>
        <v>0</v>
      </c>
    </row>
    <row r="159" spans="1:7" ht="12.75" hidden="1">
      <c r="A159" s="3">
        <f t="shared" si="19"/>
        <v>139</v>
      </c>
      <c r="B159" s="17">
        <f t="shared" si="20"/>
        <v>0</v>
      </c>
      <c r="C159" s="17">
        <f t="shared" si="14"/>
        <v>0</v>
      </c>
      <c r="D159" s="17">
        <f t="shared" si="15"/>
        <v>0</v>
      </c>
      <c r="E159" s="20">
        <f t="shared" si="16"/>
        <v>0</v>
      </c>
      <c r="F159" s="17">
        <f t="shared" si="17"/>
        <v>0</v>
      </c>
      <c r="G159" s="18">
        <f t="shared" si="18"/>
        <v>0</v>
      </c>
    </row>
    <row r="160" spans="1:7" ht="12.75" hidden="1">
      <c r="A160" s="3">
        <f t="shared" si="19"/>
        <v>140</v>
      </c>
      <c r="B160" s="17">
        <f t="shared" si="20"/>
        <v>0</v>
      </c>
      <c r="C160" s="17">
        <f t="shared" si="14"/>
        <v>0</v>
      </c>
      <c r="D160" s="17">
        <f t="shared" si="15"/>
        <v>0</v>
      </c>
      <c r="E160" s="20">
        <f t="shared" si="16"/>
        <v>0</v>
      </c>
      <c r="F160" s="17">
        <f t="shared" si="17"/>
        <v>0</v>
      </c>
      <c r="G160" s="18">
        <f t="shared" si="18"/>
        <v>0</v>
      </c>
    </row>
    <row r="161" spans="1:7" ht="12.75" hidden="1">
      <c r="A161" s="3">
        <f t="shared" si="19"/>
        <v>141</v>
      </c>
      <c r="B161" s="17">
        <f t="shared" si="20"/>
        <v>0</v>
      </c>
      <c r="C161" s="17">
        <f t="shared" si="14"/>
        <v>0</v>
      </c>
      <c r="D161" s="17">
        <f t="shared" si="15"/>
        <v>0</v>
      </c>
      <c r="E161" s="20">
        <f t="shared" si="16"/>
        <v>0</v>
      </c>
      <c r="F161" s="17">
        <f t="shared" si="17"/>
        <v>0</v>
      </c>
      <c r="G161" s="18">
        <f t="shared" si="18"/>
        <v>0</v>
      </c>
    </row>
    <row r="162" spans="1:7" ht="12.75" hidden="1">
      <c r="A162" s="3">
        <f t="shared" si="19"/>
        <v>142</v>
      </c>
      <c r="B162" s="17">
        <f t="shared" si="20"/>
        <v>0</v>
      </c>
      <c r="C162" s="17">
        <f t="shared" si="14"/>
        <v>0</v>
      </c>
      <c r="D162" s="17">
        <f t="shared" si="15"/>
        <v>0</v>
      </c>
      <c r="E162" s="20">
        <f t="shared" si="16"/>
        <v>0</v>
      </c>
      <c r="F162" s="17">
        <f t="shared" si="17"/>
        <v>0</v>
      </c>
      <c r="G162" s="18">
        <f t="shared" si="18"/>
        <v>0</v>
      </c>
    </row>
    <row r="163" spans="1:7" ht="12.75" hidden="1">
      <c r="A163" s="3">
        <f t="shared" si="19"/>
        <v>143</v>
      </c>
      <c r="B163" s="17">
        <f t="shared" si="20"/>
        <v>0</v>
      </c>
      <c r="C163" s="17">
        <f t="shared" si="14"/>
        <v>0</v>
      </c>
      <c r="D163" s="17">
        <f t="shared" si="15"/>
        <v>0</v>
      </c>
      <c r="E163" s="20">
        <f t="shared" si="16"/>
        <v>0</v>
      </c>
      <c r="F163" s="17">
        <f t="shared" si="17"/>
        <v>0</v>
      </c>
      <c r="G163" s="18">
        <f t="shared" si="18"/>
        <v>0</v>
      </c>
    </row>
    <row r="164" spans="1:7" ht="12.75" hidden="1">
      <c r="A164" s="3">
        <f t="shared" si="19"/>
        <v>144</v>
      </c>
      <c r="B164" s="17">
        <f t="shared" si="20"/>
        <v>0</v>
      </c>
      <c r="C164" s="17">
        <f t="shared" si="14"/>
        <v>0</v>
      </c>
      <c r="D164" s="17">
        <f t="shared" si="15"/>
        <v>0</v>
      </c>
      <c r="E164" s="20">
        <f t="shared" si="16"/>
        <v>0</v>
      </c>
      <c r="F164" s="17">
        <f t="shared" si="17"/>
        <v>0</v>
      </c>
      <c r="G164" s="18">
        <f t="shared" si="18"/>
        <v>0</v>
      </c>
    </row>
    <row r="165" spans="1:7" ht="12.75" hidden="1">
      <c r="A165" s="3">
        <f t="shared" si="19"/>
        <v>145</v>
      </c>
      <c r="B165" s="17">
        <f t="shared" si="20"/>
        <v>0</v>
      </c>
      <c r="C165" s="17">
        <f t="shared" si="14"/>
        <v>0</v>
      </c>
      <c r="D165" s="17">
        <f t="shared" si="15"/>
        <v>0</v>
      </c>
      <c r="E165" s="20">
        <f t="shared" si="16"/>
        <v>0</v>
      </c>
      <c r="F165" s="17">
        <f t="shared" si="17"/>
        <v>0</v>
      </c>
      <c r="G165" s="18">
        <f t="shared" si="18"/>
        <v>0</v>
      </c>
    </row>
    <row r="166" spans="1:7" ht="12.75" hidden="1">
      <c r="A166" s="3">
        <f t="shared" si="19"/>
        <v>146</v>
      </c>
      <c r="B166" s="17">
        <f t="shared" si="20"/>
        <v>0</v>
      </c>
      <c r="C166" s="17">
        <f t="shared" si="14"/>
        <v>0</v>
      </c>
      <c r="D166" s="17">
        <f t="shared" si="15"/>
        <v>0</v>
      </c>
      <c r="E166" s="20">
        <f t="shared" si="16"/>
        <v>0</v>
      </c>
      <c r="F166" s="17">
        <f t="shared" si="17"/>
        <v>0</v>
      </c>
      <c r="G166" s="18">
        <f t="shared" si="18"/>
        <v>0</v>
      </c>
    </row>
    <row r="167" spans="1:7" ht="12.75" hidden="1">
      <c r="A167" s="3">
        <f t="shared" si="19"/>
        <v>147</v>
      </c>
      <c r="B167" s="17">
        <f t="shared" si="20"/>
        <v>0</v>
      </c>
      <c r="C167" s="17">
        <f t="shared" si="14"/>
        <v>0</v>
      </c>
      <c r="D167" s="17">
        <f t="shared" si="15"/>
        <v>0</v>
      </c>
      <c r="E167" s="20">
        <f t="shared" si="16"/>
        <v>0</v>
      </c>
      <c r="F167" s="17">
        <f t="shared" si="17"/>
        <v>0</v>
      </c>
      <c r="G167" s="18">
        <f t="shared" si="18"/>
        <v>0</v>
      </c>
    </row>
    <row r="168" spans="1:7" ht="12.75" hidden="1">
      <c r="A168" s="3">
        <f t="shared" si="19"/>
        <v>148</v>
      </c>
      <c r="B168" s="17">
        <f t="shared" si="20"/>
        <v>0</v>
      </c>
      <c r="C168" s="17">
        <f t="shared" si="14"/>
        <v>0</v>
      </c>
      <c r="D168" s="17">
        <f t="shared" si="15"/>
        <v>0</v>
      </c>
      <c r="E168" s="20">
        <f t="shared" si="16"/>
        <v>0</v>
      </c>
      <c r="F168" s="17">
        <f t="shared" si="17"/>
        <v>0</v>
      </c>
      <c r="G168" s="18">
        <f t="shared" si="18"/>
        <v>0</v>
      </c>
    </row>
    <row r="169" spans="1:7" ht="12.75" hidden="1">
      <c r="A169" s="3">
        <f t="shared" si="19"/>
        <v>149</v>
      </c>
      <c r="B169" s="17">
        <f t="shared" si="20"/>
        <v>0</v>
      </c>
      <c r="C169" s="17">
        <f t="shared" si="14"/>
        <v>0</v>
      </c>
      <c r="D169" s="17">
        <f t="shared" si="15"/>
        <v>0</v>
      </c>
      <c r="E169" s="20">
        <f t="shared" si="16"/>
        <v>0</v>
      </c>
      <c r="F169" s="17">
        <f t="shared" si="17"/>
        <v>0</v>
      </c>
      <c r="G169" s="18">
        <f t="shared" si="18"/>
        <v>0</v>
      </c>
    </row>
    <row r="170" spans="1:7" ht="12.75" hidden="1">
      <c r="A170" s="3">
        <f t="shared" si="19"/>
        <v>150</v>
      </c>
      <c r="B170" s="17">
        <f t="shared" si="20"/>
        <v>0</v>
      </c>
      <c r="C170" s="17">
        <f t="shared" si="14"/>
        <v>0</v>
      </c>
      <c r="D170" s="17">
        <f t="shared" si="15"/>
        <v>0</v>
      </c>
      <c r="E170" s="20">
        <f t="shared" si="16"/>
        <v>0</v>
      </c>
      <c r="F170" s="17">
        <f t="shared" si="17"/>
        <v>0</v>
      </c>
      <c r="G170" s="18">
        <f t="shared" si="18"/>
        <v>0</v>
      </c>
    </row>
    <row r="171" spans="1:7" ht="12.75" hidden="1">
      <c r="A171" s="3">
        <f t="shared" si="19"/>
        <v>151</v>
      </c>
      <c r="B171" s="17">
        <f t="shared" si="20"/>
        <v>0</v>
      </c>
      <c r="C171" s="17">
        <f t="shared" si="14"/>
        <v>0</v>
      </c>
      <c r="D171" s="17">
        <f t="shared" si="15"/>
        <v>0</v>
      </c>
      <c r="E171" s="20">
        <f t="shared" si="16"/>
        <v>0</v>
      </c>
      <c r="F171" s="17">
        <f t="shared" si="17"/>
        <v>0</v>
      </c>
      <c r="G171" s="18">
        <f t="shared" si="18"/>
        <v>0</v>
      </c>
    </row>
    <row r="172" spans="1:7" ht="12.75" hidden="1">
      <c r="A172" s="3">
        <f t="shared" si="19"/>
        <v>152</v>
      </c>
      <c r="B172" s="17">
        <f t="shared" si="20"/>
        <v>0</v>
      </c>
      <c r="C172" s="17">
        <f t="shared" si="14"/>
        <v>0</v>
      </c>
      <c r="D172" s="17">
        <f t="shared" si="15"/>
        <v>0</v>
      </c>
      <c r="E172" s="20">
        <f t="shared" si="16"/>
        <v>0</v>
      </c>
      <c r="F172" s="17">
        <f t="shared" si="17"/>
        <v>0</v>
      </c>
      <c r="G172" s="18">
        <f t="shared" si="18"/>
        <v>0</v>
      </c>
    </row>
    <row r="173" spans="1:7" ht="12.75" hidden="1">
      <c r="A173" s="3">
        <f t="shared" si="19"/>
        <v>153</v>
      </c>
      <c r="B173" s="17">
        <f t="shared" si="20"/>
        <v>0</v>
      </c>
      <c r="C173" s="17">
        <f t="shared" si="14"/>
        <v>0</v>
      </c>
      <c r="D173" s="17">
        <f t="shared" si="15"/>
        <v>0</v>
      </c>
      <c r="E173" s="20">
        <f t="shared" si="16"/>
        <v>0</v>
      </c>
      <c r="F173" s="17">
        <f t="shared" si="17"/>
        <v>0</v>
      </c>
      <c r="G173" s="18">
        <f t="shared" si="18"/>
        <v>0</v>
      </c>
    </row>
    <row r="174" spans="1:7" ht="12.75" hidden="1">
      <c r="A174" s="3">
        <f t="shared" si="19"/>
        <v>154</v>
      </c>
      <c r="B174" s="17">
        <f t="shared" si="20"/>
        <v>0</v>
      </c>
      <c r="C174" s="17">
        <f t="shared" si="14"/>
        <v>0</v>
      </c>
      <c r="D174" s="17">
        <f t="shared" si="15"/>
        <v>0</v>
      </c>
      <c r="E174" s="20">
        <f t="shared" si="16"/>
        <v>0</v>
      </c>
      <c r="F174" s="17">
        <f t="shared" si="17"/>
        <v>0</v>
      </c>
      <c r="G174" s="18">
        <f t="shared" si="18"/>
        <v>0</v>
      </c>
    </row>
    <row r="175" spans="1:7" ht="12.75" hidden="1">
      <c r="A175" s="3">
        <f t="shared" si="19"/>
        <v>155</v>
      </c>
      <c r="B175" s="17">
        <f t="shared" si="20"/>
        <v>0</v>
      </c>
      <c r="C175" s="17">
        <f t="shared" si="14"/>
        <v>0</v>
      </c>
      <c r="D175" s="17">
        <f t="shared" si="15"/>
        <v>0</v>
      </c>
      <c r="E175" s="20">
        <f t="shared" si="16"/>
        <v>0</v>
      </c>
      <c r="F175" s="17">
        <f t="shared" si="17"/>
        <v>0</v>
      </c>
      <c r="G175" s="18">
        <f t="shared" si="18"/>
        <v>0</v>
      </c>
    </row>
    <row r="176" spans="1:7" ht="12.75" hidden="1">
      <c r="A176" s="3">
        <f t="shared" si="19"/>
        <v>156</v>
      </c>
      <c r="B176" s="17">
        <f t="shared" si="20"/>
        <v>0</v>
      </c>
      <c r="C176" s="17">
        <f t="shared" si="14"/>
        <v>0</v>
      </c>
      <c r="D176" s="17">
        <f t="shared" si="15"/>
        <v>0</v>
      </c>
      <c r="E176" s="20">
        <f t="shared" si="16"/>
        <v>0</v>
      </c>
      <c r="F176" s="17">
        <f t="shared" si="17"/>
        <v>0</v>
      </c>
      <c r="G176" s="18">
        <f t="shared" si="18"/>
        <v>0</v>
      </c>
    </row>
    <row r="177" spans="1:7" ht="12.75" hidden="1">
      <c r="A177" s="3">
        <f t="shared" si="19"/>
        <v>157</v>
      </c>
      <c r="B177" s="17">
        <f t="shared" si="20"/>
        <v>0</v>
      </c>
      <c r="C177" s="17">
        <f t="shared" si="14"/>
        <v>0</v>
      </c>
      <c r="D177" s="17">
        <f t="shared" si="15"/>
        <v>0</v>
      </c>
      <c r="E177" s="20">
        <f t="shared" si="16"/>
        <v>0</v>
      </c>
      <c r="F177" s="17">
        <f t="shared" si="17"/>
        <v>0</v>
      </c>
      <c r="G177" s="18">
        <f t="shared" si="18"/>
        <v>0</v>
      </c>
    </row>
    <row r="178" spans="1:7" ht="12.75" hidden="1">
      <c r="A178" s="3">
        <f t="shared" si="19"/>
        <v>158</v>
      </c>
      <c r="B178" s="17">
        <f t="shared" si="20"/>
        <v>0</v>
      </c>
      <c r="C178" s="17">
        <f t="shared" si="14"/>
        <v>0</v>
      </c>
      <c r="D178" s="17">
        <f t="shared" si="15"/>
        <v>0</v>
      </c>
      <c r="E178" s="20">
        <f t="shared" si="16"/>
        <v>0</v>
      </c>
      <c r="F178" s="17">
        <f t="shared" si="17"/>
        <v>0</v>
      </c>
      <c r="G178" s="18">
        <f t="shared" si="18"/>
        <v>0</v>
      </c>
    </row>
    <row r="179" spans="1:7" ht="12.75" hidden="1">
      <c r="A179" s="3">
        <f t="shared" si="19"/>
        <v>159</v>
      </c>
      <c r="B179" s="17">
        <f t="shared" si="20"/>
        <v>0</v>
      </c>
      <c r="C179" s="17">
        <f t="shared" si="14"/>
        <v>0</v>
      </c>
      <c r="D179" s="17">
        <f t="shared" si="15"/>
        <v>0</v>
      </c>
      <c r="E179" s="20">
        <f t="shared" si="16"/>
        <v>0</v>
      </c>
      <c r="F179" s="17">
        <f t="shared" si="17"/>
        <v>0</v>
      </c>
      <c r="G179" s="18">
        <f t="shared" si="18"/>
        <v>0</v>
      </c>
    </row>
    <row r="180" spans="1:7" ht="12.75" hidden="1">
      <c r="A180" s="3">
        <f t="shared" si="19"/>
        <v>160</v>
      </c>
      <c r="B180" s="17">
        <f t="shared" si="20"/>
        <v>0</v>
      </c>
      <c r="C180" s="17">
        <f t="shared" si="14"/>
        <v>0</v>
      </c>
      <c r="D180" s="17">
        <f t="shared" si="15"/>
        <v>0</v>
      </c>
      <c r="E180" s="20">
        <f t="shared" si="16"/>
        <v>0</v>
      </c>
      <c r="F180" s="17">
        <f t="shared" si="17"/>
        <v>0</v>
      </c>
      <c r="G180" s="18">
        <f t="shared" si="18"/>
        <v>0</v>
      </c>
    </row>
    <row r="181" spans="1:7" ht="12.75" hidden="1">
      <c r="A181" s="3">
        <f t="shared" si="19"/>
        <v>161</v>
      </c>
      <c r="B181" s="17">
        <f t="shared" si="20"/>
        <v>0</v>
      </c>
      <c r="C181" s="17">
        <f t="shared" si="14"/>
        <v>0</v>
      </c>
      <c r="D181" s="17">
        <f t="shared" si="15"/>
        <v>0</v>
      </c>
      <c r="E181" s="20">
        <f t="shared" si="16"/>
        <v>0</v>
      </c>
      <c r="F181" s="17">
        <f t="shared" si="17"/>
        <v>0</v>
      </c>
      <c r="G181" s="18">
        <f t="shared" si="18"/>
        <v>0</v>
      </c>
    </row>
    <row r="182" spans="1:7" ht="12.75" hidden="1">
      <c r="A182" s="3">
        <f t="shared" si="19"/>
        <v>162</v>
      </c>
      <c r="B182" s="17">
        <f t="shared" si="20"/>
        <v>0</v>
      </c>
      <c r="C182" s="17">
        <f t="shared" si="14"/>
        <v>0</v>
      </c>
      <c r="D182" s="17">
        <f t="shared" si="15"/>
        <v>0</v>
      </c>
      <c r="E182" s="20">
        <f t="shared" si="16"/>
        <v>0</v>
      </c>
      <c r="F182" s="17">
        <f t="shared" si="17"/>
        <v>0</v>
      </c>
      <c r="G182" s="18">
        <f t="shared" si="18"/>
        <v>0</v>
      </c>
    </row>
    <row r="183" spans="1:7" ht="12.75" hidden="1">
      <c r="A183" s="3">
        <f t="shared" si="19"/>
        <v>163</v>
      </c>
      <c r="B183" s="17">
        <f t="shared" si="20"/>
        <v>0</v>
      </c>
      <c r="C183" s="17">
        <f t="shared" si="14"/>
        <v>0</v>
      </c>
      <c r="D183" s="17">
        <f t="shared" si="15"/>
        <v>0</v>
      </c>
      <c r="E183" s="20">
        <f t="shared" si="16"/>
        <v>0</v>
      </c>
      <c r="F183" s="17">
        <f t="shared" si="17"/>
        <v>0</v>
      </c>
      <c r="G183" s="18">
        <f t="shared" si="18"/>
        <v>0</v>
      </c>
    </row>
    <row r="184" spans="1:7" ht="12.75" hidden="1">
      <c r="A184" s="3">
        <f t="shared" si="19"/>
        <v>164</v>
      </c>
      <c r="B184" s="17">
        <f t="shared" si="20"/>
        <v>0</v>
      </c>
      <c r="C184" s="17">
        <f t="shared" si="14"/>
        <v>0</v>
      </c>
      <c r="D184" s="17">
        <f t="shared" si="15"/>
        <v>0</v>
      </c>
      <c r="E184" s="20">
        <f t="shared" si="16"/>
        <v>0</v>
      </c>
      <c r="F184" s="17">
        <f t="shared" si="17"/>
        <v>0</v>
      </c>
      <c r="G184" s="18">
        <f t="shared" si="18"/>
        <v>0</v>
      </c>
    </row>
    <row r="185" spans="1:7" ht="12.75" hidden="1">
      <c r="A185" s="3">
        <f t="shared" si="19"/>
        <v>165</v>
      </c>
      <c r="B185" s="17">
        <f t="shared" si="20"/>
        <v>0</v>
      </c>
      <c r="C185" s="17">
        <f t="shared" si="14"/>
        <v>0</v>
      </c>
      <c r="D185" s="17">
        <f t="shared" si="15"/>
        <v>0</v>
      </c>
      <c r="E185" s="20">
        <f t="shared" si="16"/>
        <v>0</v>
      </c>
      <c r="F185" s="17">
        <f t="shared" si="17"/>
        <v>0</v>
      </c>
      <c r="G185" s="18">
        <f t="shared" si="18"/>
        <v>0</v>
      </c>
    </row>
    <row r="186" spans="1:7" ht="12.75" hidden="1">
      <c r="A186" s="3">
        <f t="shared" si="19"/>
        <v>166</v>
      </c>
      <c r="B186" s="17">
        <f t="shared" si="20"/>
        <v>0</v>
      </c>
      <c r="C186" s="17">
        <f t="shared" si="14"/>
        <v>0</v>
      </c>
      <c r="D186" s="17">
        <f t="shared" si="15"/>
        <v>0</v>
      </c>
      <c r="E186" s="20">
        <f t="shared" si="16"/>
        <v>0</v>
      </c>
      <c r="F186" s="17">
        <f t="shared" si="17"/>
        <v>0</v>
      </c>
      <c r="G186" s="18">
        <f t="shared" si="18"/>
        <v>0</v>
      </c>
    </row>
    <row r="187" spans="1:7" ht="12.75" hidden="1">
      <c r="A187" s="3">
        <f t="shared" si="19"/>
        <v>167</v>
      </c>
      <c r="B187" s="17">
        <f t="shared" si="20"/>
        <v>0</v>
      </c>
      <c r="C187" s="17">
        <f t="shared" si="14"/>
        <v>0</v>
      </c>
      <c r="D187" s="17">
        <f t="shared" si="15"/>
        <v>0</v>
      </c>
      <c r="E187" s="20">
        <f t="shared" si="16"/>
        <v>0</v>
      </c>
      <c r="F187" s="17">
        <f t="shared" si="17"/>
        <v>0</v>
      </c>
      <c r="G187" s="18">
        <f t="shared" si="18"/>
        <v>0</v>
      </c>
    </row>
    <row r="188" spans="1:7" ht="12.75" hidden="1">
      <c r="A188" s="3">
        <f t="shared" si="19"/>
        <v>168</v>
      </c>
      <c r="B188" s="17">
        <f t="shared" si="20"/>
        <v>0</v>
      </c>
      <c r="C188" s="17">
        <f t="shared" si="14"/>
        <v>0</v>
      </c>
      <c r="D188" s="17">
        <f t="shared" si="15"/>
        <v>0</v>
      </c>
      <c r="E188" s="20">
        <f t="shared" si="16"/>
        <v>0</v>
      </c>
      <c r="F188" s="17">
        <f t="shared" si="17"/>
        <v>0</v>
      </c>
      <c r="G188" s="18">
        <f t="shared" si="18"/>
        <v>0</v>
      </c>
    </row>
    <row r="189" spans="1:7" ht="12.75" hidden="1">
      <c r="A189" s="3">
        <f t="shared" si="19"/>
        <v>169</v>
      </c>
      <c r="B189" s="17">
        <f t="shared" si="20"/>
        <v>0</v>
      </c>
      <c r="C189" s="17">
        <f t="shared" si="14"/>
        <v>0</v>
      </c>
      <c r="D189" s="17">
        <f t="shared" si="15"/>
        <v>0</v>
      </c>
      <c r="E189" s="20">
        <f t="shared" si="16"/>
        <v>0</v>
      </c>
      <c r="F189" s="17">
        <f t="shared" si="17"/>
        <v>0</v>
      </c>
      <c r="G189" s="18">
        <f t="shared" si="18"/>
        <v>0</v>
      </c>
    </row>
    <row r="190" spans="1:7" ht="12.75" hidden="1">
      <c r="A190" s="3">
        <f t="shared" si="19"/>
        <v>170</v>
      </c>
      <c r="B190" s="17">
        <f t="shared" si="20"/>
        <v>0</v>
      </c>
      <c r="C190" s="17">
        <f t="shared" si="14"/>
        <v>0</v>
      </c>
      <c r="D190" s="17">
        <f t="shared" si="15"/>
        <v>0</v>
      </c>
      <c r="E190" s="20">
        <f t="shared" si="16"/>
        <v>0</v>
      </c>
      <c r="F190" s="17">
        <f t="shared" si="17"/>
        <v>0</v>
      </c>
      <c r="G190" s="18">
        <f t="shared" si="18"/>
        <v>0</v>
      </c>
    </row>
    <row r="191" spans="1:7" ht="12.75" hidden="1">
      <c r="A191" s="3">
        <f t="shared" si="19"/>
        <v>171</v>
      </c>
      <c r="B191" s="17">
        <f t="shared" si="20"/>
        <v>0</v>
      </c>
      <c r="C191" s="17">
        <f t="shared" si="14"/>
        <v>0</v>
      </c>
      <c r="D191" s="17">
        <f t="shared" si="15"/>
        <v>0</v>
      </c>
      <c r="E191" s="20">
        <f t="shared" si="16"/>
        <v>0</v>
      </c>
      <c r="F191" s="17">
        <f t="shared" si="17"/>
        <v>0</v>
      </c>
      <c r="G191" s="18">
        <f t="shared" si="18"/>
        <v>0</v>
      </c>
    </row>
    <row r="192" spans="1:7" ht="12.75" hidden="1">
      <c r="A192" s="3">
        <f t="shared" si="19"/>
        <v>172</v>
      </c>
      <c r="B192" s="17">
        <f t="shared" si="20"/>
        <v>0</v>
      </c>
      <c r="C192" s="17">
        <f t="shared" si="14"/>
        <v>0</v>
      </c>
      <c r="D192" s="17">
        <f t="shared" si="15"/>
        <v>0</v>
      </c>
      <c r="E192" s="20">
        <f t="shared" si="16"/>
        <v>0</v>
      </c>
      <c r="F192" s="17">
        <f t="shared" si="17"/>
        <v>0</v>
      </c>
      <c r="G192" s="18">
        <f t="shared" si="18"/>
        <v>0</v>
      </c>
    </row>
    <row r="193" spans="1:7" ht="12.75" hidden="1">
      <c r="A193" s="3">
        <f t="shared" si="19"/>
        <v>173</v>
      </c>
      <c r="B193" s="17">
        <f t="shared" si="20"/>
        <v>0</v>
      </c>
      <c r="C193" s="17">
        <f t="shared" si="14"/>
        <v>0</v>
      </c>
      <c r="D193" s="17">
        <f t="shared" si="15"/>
        <v>0</v>
      </c>
      <c r="E193" s="20">
        <f t="shared" si="16"/>
        <v>0</v>
      </c>
      <c r="F193" s="17">
        <f t="shared" si="17"/>
        <v>0</v>
      </c>
      <c r="G193" s="18">
        <f t="shared" si="18"/>
        <v>0</v>
      </c>
    </row>
    <row r="194" spans="1:7" ht="12.75" hidden="1">
      <c r="A194" s="3">
        <f t="shared" si="19"/>
        <v>174</v>
      </c>
      <c r="B194" s="17">
        <f t="shared" si="20"/>
        <v>0</v>
      </c>
      <c r="C194" s="17">
        <f t="shared" si="14"/>
        <v>0</v>
      </c>
      <c r="D194" s="17">
        <f t="shared" si="15"/>
        <v>0</v>
      </c>
      <c r="E194" s="20">
        <f t="shared" si="16"/>
        <v>0</v>
      </c>
      <c r="F194" s="17">
        <f t="shared" si="17"/>
        <v>0</v>
      </c>
      <c r="G194" s="18">
        <f t="shared" si="18"/>
        <v>0</v>
      </c>
    </row>
    <row r="195" spans="1:7" ht="12.75" hidden="1">
      <c r="A195" s="3">
        <f t="shared" si="19"/>
        <v>175</v>
      </c>
      <c r="B195" s="17">
        <f t="shared" si="20"/>
        <v>0</v>
      </c>
      <c r="C195" s="17">
        <f t="shared" si="14"/>
        <v>0</v>
      </c>
      <c r="D195" s="17">
        <f t="shared" si="15"/>
        <v>0</v>
      </c>
      <c r="E195" s="20">
        <f t="shared" si="16"/>
        <v>0</v>
      </c>
      <c r="F195" s="17">
        <f t="shared" si="17"/>
        <v>0</v>
      </c>
      <c r="G195" s="18">
        <f t="shared" si="18"/>
        <v>0</v>
      </c>
    </row>
    <row r="196" spans="1:7" ht="12.75" hidden="1">
      <c r="A196" s="3">
        <f t="shared" si="19"/>
        <v>176</v>
      </c>
      <c r="B196" s="17">
        <f t="shared" si="20"/>
        <v>0</v>
      </c>
      <c r="C196" s="17">
        <f t="shared" si="14"/>
        <v>0</v>
      </c>
      <c r="D196" s="17">
        <f t="shared" si="15"/>
        <v>0</v>
      </c>
      <c r="E196" s="20">
        <f t="shared" si="16"/>
        <v>0</v>
      </c>
      <c r="F196" s="17">
        <f t="shared" si="17"/>
        <v>0</v>
      </c>
      <c r="G196" s="18">
        <f t="shared" si="18"/>
        <v>0</v>
      </c>
    </row>
    <row r="197" spans="1:7" ht="12.75" hidden="1">
      <c r="A197" s="3">
        <f t="shared" si="19"/>
        <v>177</v>
      </c>
      <c r="B197" s="17">
        <f t="shared" si="20"/>
        <v>0</v>
      </c>
      <c r="C197" s="17">
        <f t="shared" si="14"/>
        <v>0</v>
      </c>
      <c r="D197" s="17">
        <f t="shared" si="15"/>
        <v>0</v>
      </c>
      <c r="E197" s="20">
        <f t="shared" si="16"/>
        <v>0</v>
      </c>
      <c r="F197" s="17">
        <f t="shared" si="17"/>
        <v>0</v>
      </c>
      <c r="G197" s="18">
        <f t="shared" si="18"/>
        <v>0</v>
      </c>
    </row>
    <row r="198" spans="1:7" ht="12.75" hidden="1">
      <c r="A198" s="3">
        <f t="shared" si="19"/>
        <v>178</v>
      </c>
      <c r="B198" s="17">
        <f t="shared" si="20"/>
        <v>0</v>
      </c>
      <c r="C198" s="17">
        <f t="shared" si="14"/>
        <v>0</v>
      </c>
      <c r="D198" s="17">
        <f t="shared" si="15"/>
        <v>0</v>
      </c>
      <c r="E198" s="20">
        <f t="shared" si="16"/>
        <v>0</v>
      </c>
      <c r="F198" s="17">
        <f t="shared" si="17"/>
        <v>0</v>
      </c>
      <c r="G198" s="18">
        <f t="shared" si="18"/>
        <v>0</v>
      </c>
    </row>
    <row r="199" spans="1:7" ht="12.75" hidden="1">
      <c r="A199" s="3">
        <f t="shared" si="19"/>
        <v>179</v>
      </c>
      <c r="B199" s="17">
        <f t="shared" si="20"/>
        <v>0</v>
      </c>
      <c r="C199" s="17">
        <f t="shared" si="14"/>
        <v>0</v>
      </c>
      <c r="D199" s="17">
        <f t="shared" si="15"/>
        <v>0</v>
      </c>
      <c r="E199" s="20">
        <f t="shared" si="16"/>
        <v>0</v>
      </c>
      <c r="F199" s="17">
        <f t="shared" si="17"/>
        <v>0</v>
      </c>
      <c r="G199" s="18">
        <f t="shared" si="18"/>
        <v>0</v>
      </c>
    </row>
    <row r="200" spans="1:7" ht="12.75" hidden="1">
      <c r="A200" s="3">
        <f t="shared" si="19"/>
        <v>180</v>
      </c>
      <c r="B200" s="17">
        <f t="shared" si="20"/>
        <v>0</v>
      </c>
      <c r="C200" s="17">
        <f t="shared" si="14"/>
        <v>0</v>
      </c>
      <c r="D200" s="17">
        <f t="shared" si="15"/>
        <v>0</v>
      </c>
      <c r="E200" s="20">
        <f t="shared" si="16"/>
        <v>0</v>
      </c>
      <c r="F200" s="17">
        <f t="shared" si="17"/>
        <v>0</v>
      </c>
      <c r="G200" s="18">
        <f t="shared" si="18"/>
        <v>0</v>
      </c>
    </row>
    <row r="201" spans="1:7" ht="12.75" hidden="1">
      <c r="A201" s="3">
        <f t="shared" si="19"/>
        <v>181</v>
      </c>
      <c r="B201" s="17">
        <f t="shared" si="20"/>
        <v>0</v>
      </c>
      <c r="C201" s="17">
        <f t="shared" si="14"/>
        <v>0</v>
      </c>
      <c r="D201" s="17">
        <f t="shared" si="15"/>
        <v>0</v>
      </c>
      <c r="E201" s="20">
        <f t="shared" si="16"/>
        <v>0</v>
      </c>
      <c r="F201" s="17">
        <f t="shared" si="17"/>
        <v>0</v>
      </c>
      <c r="G201" s="18">
        <f t="shared" si="18"/>
        <v>0</v>
      </c>
    </row>
    <row r="202" spans="1:7" ht="12.75" hidden="1">
      <c r="A202" s="3">
        <f t="shared" si="19"/>
        <v>182</v>
      </c>
      <c r="B202" s="17">
        <f t="shared" si="20"/>
        <v>0</v>
      </c>
      <c r="C202" s="17">
        <f t="shared" si="14"/>
        <v>0</v>
      </c>
      <c r="D202" s="17">
        <f t="shared" si="15"/>
        <v>0</v>
      </c>
      <c r="E202" s="20">
        <f t="shared" si="16"/>
        <v>0</v>
      </c>
      <c r="F202" s="17">
        <f t="shared" si="17"/>
        <v>0</v>
      </c>
      <c r="G202" s="18">
        <f t="shared" si="18"/>
        <v>0</v>
      </c>
    </row>
    <row r="203" spans="1:7" ht="12.75" hidden="1">
      <c r="A203" s="3">
        <f t="shared" si="19"/>
        <v>183</v>
      </c>
      <c r="B203" s="17">
        <f t="shared" si="20"/>
        <v>0</v>
      </c>
      <c r="C203" s="17">
        <f t="shared" si="14"/>
        <v>0</v>
      </c>
      <c r="D203" s="17">
        <f t="shared" si="15"/>
        <v>0</v>
      </c>
      <c r="E203" s="20">
        <f t="shared" si="16"/>
        <v>0</v>
      </c>
      <c r="F203" s="17">
        <f t="shared" si="17"/>
        <v>0</v>
      </c>
      <c r="G203" s="18">
        <f t="shared" si="18"/>
        <v>0</v>
      </c>
    </row>
    <row r="204" spans="1:7" ht="12.75" hidden="1">
      <c r="A204" s="3">
        <f t="shared" si="19"/>
        <v>184</v>
      </c>
      <c r="B204" s="17">
        <f t="shared" si="20"/>
        <v>0</v>
      </c>
      <c r="C204" s="17">
        <f t="shared" si="14"/>
        <v>0</v>
      </c>
      <c r="D204" s="17">
        <f t="shared" si="15"/>
        <v>0</v>
      </c>
      <c r="E204" s="20">
        <f t="shared" si="16"/>
        <v>0</v>
      </c>
      <c r="F204" s="17">
        <f t="shared" si="17"/>
        <v>0</v>
      </c>
      <c r="G204" s="18">
        <f t="shared" si="18"/>
        <v>0</v>
      </c>
    </row>
    <row r="205" spans="1:7" ht="12.75" hidden="1">
      <c r="A205" s="3">
        <f t="shared" si="19"/>
        <v>185</v>
      </c>
      <c r="B205" s="17">
        <f t="shared" si="20"/>
        <v>0</v>
      </c>
      <c r="C205" s="17">
        <f t="shared" si="14"/>
        <v>0</v>
      </c>
      <c r="D205" s="17">
        <f t="shared" si="15"/>
        <v>0</v>
      </c>
      <c r="E205" s="20">
        <f t="shared" si="16"/>
        <v>0</v>
      </c>
      <c r="F205" s="17">
        <f t="shared" si="17"/>
        <v>0</v>
      </c>
      <c r="G205" s="18">
        <f t="shared" si="18"/>
        <v>0</v>
      </c>
    </row>
    <row r="206" spans="1:7" ht="12.75" hidden="1">
      <c r="A206" s="3">
        <f t="shared" si="19"/>
        <v>186</v>
      </c>
      <c r="B206" s="17">
        <f t="shared" si="20"/>
        <v>0</v>
      </c>
      <c r="C206" s="17">
        <f t="shared" si="14"/>
        <v>0</v>
      </c>
      <c r="D206" s="17">
        <f t="shared" si="15"/>
        <v>0</v>
      </c>
      <c r="E206" s="20">
        <f t="shared" si="16"/>
        <v>0</v>
      </c>
      <c r="F206" s="17">
        <f t="shared" si="17"/>
        <v>0</v>
      </c>
      <c r="G206" s="18">
        <f t="shared" si="18"/>
        <v>0</v>
      </c>
    </row>
    <row r="207" spans="1:7" ht="12.75" hidden="1">
      <c r="A207" s="3">
        <f t="shared" si="19"/>
        <v>187</v>
      </c>
      <c r="B207" s="17">
        <f t="shared" si="20"/>
        <v>0</v>
      </c>
      <c r="C207" s="17">
        <f t="shared" si="14"/>
        <v>0</v>
      </c>
      <c r="D207" s="17">
        <f t="shared" si="15"/>
        <v>0</v>
      </c>
      <c r="E207" s="20">
        <f t="shared" si="16"/>
        <v>0</v>
      </c>
      <c r="F207" s="17">
        <f t="shared" si="17"/>
        <v>0</v>
      </c>
      <c r="G207" s="18">
        <f t="shared" si="18"/>
        <v>0</v>
      </c>
    </row>
    <row r="208" spans="1:7" ht="12.75" hidden="1">
      <c r="A208" s="3">
        <f t="shared" si="19"/>
        <v>188</v>
      </c>
      <c r="B208" s="17">
        <f t="shared" si="20"/>
        <v>0</v>
      </c>
      <c r="C208" s="17">
        <f t="shared" si="14"/>
        <v>0</v>
      </c>
      <c r="D208" s="17">
        <f t="shared" si="15"/>
        <v>0</v>
      </c>
      <c r="E208" s="20">
        <f t="shared" si="16"/>
        <v>0</v>
      </c>
      <c r="F208" s="17">
        <f t="shared" si="17"/>
        <v>0</v>
      </c>
      <c r="G208" s="18">
        <f t="shared" si="18"/>
        <v>0</v>
      </c>
    </row>
    <row r="209" spans="1:7" ht="12.75" hidden="1">
      <c r="A209" s="3">
        <f t="shared" si="19"/>
        <v>189</v>
      </c>
      <c r="B209" s="17">
        <f t="shared" si="20"/>
        <v>0</v>
      </c>
      <c r="C209" s="17">
        <f t="shared" si="14"/>
        <v>0</v>
      </c>
      <c r="D209" s="17">
        <f t="shared" si="15"/>
        <v>0</v>
      </c>
      <c r="E209" s="20">
        <f t="shared" si="16"/>
        <v>0</v>
      </c>
      <c r="F209" s="17">
        <f t="shared" si="17"/>
        <v>0</v>
      </c>
      <c r="G209" s="18">
        <f t="shared" si="18"/>
        <v>0</v>
      </c>
    </row>
    <row r="210" spans="1:7" ht="12.75" hidden="1">
      <c r="A210" s="3">
        <f t="shared" si="19"/>
        <v>190</v>
      </c>
      <c r="B210" s="17">
        <f t="shared" si="20"/>
        <v>0</v>
      </c>
      <c r="C210" s="17">
        <f t="shared" si="14"/>
        <v>0</v>
      </c>
      <c r="D210" s="17">
        <f t="shared" si="15"/>
        <v>0</v>
      </c>
      <c r="E210" s="20">
        <f t="shared" si="16"/>
        <v>0</v>
      </c>
      <c r="F210" s="17">
        <f t="shared" si="17"/>
        <v>0</v>
      </c>
      <c r="G210" s="18">
        <f t="shared" si="18"/>
        <v>0</v>
      </c>
    </row>
    <row r="211" spans="1:7" ht="12.75" hidden="1">
      <c r="A211" s="3">
        <f t="shared" si="19"/>
        <v>191</v>
      </c>
      <c r="B211" s="17">
        <f t="shared" si="20"/>
        <v>0</v>
      </c>
      <c r="C211" s="17">
        <f t="shared" si="14"/>
        <v>0</v>
      </c>
      <c r="D211" s="17">
        <f t="shared" si="15"/>
        <v>0</v>
      </c>
      <c r="E211" s="20">
        <f t="shared" si="16"/>
        <v>0</v>
      </c>
      <c r="F211" s="17">
        <f t="shared" si="17"/>
        <v>0</v>
      </c>
      <c r="G211" s="18">
        <f t="shared" si="18"/>
        <v>0</v>
      </c>
    </row>
    <row r="212" spans="1:7" ht="12.75" hidden="1">
      <c r="A212" s="3">
        <f t="shared" si="19"/>
        <v>192</v>
      </c>
      <c r="B212" s="17">
        <f t="shared" si="20"/>
        <v>0</v>
      </c>
      <c r="C212" s="17">
        <f t="shared" si="14"/>
        <v>0</v>
      </c>
      <c r="D212" s="17">
        <f t="shared" si="15"/>
        <v>0</v>
      </c>
      <c r="E212" s="20">
        <f t="shared" si="16"/>
        <v>0</v>
      </c>
      <c r="F212" s="17">
        <f t="shared" si="17"/>
        <v>0</v>
      </c>
      <c r="G212" s="18">
        <f t="shared" si="18"/>
        <v>0</v>
      </c>
    </row>
    <row r="213" spans="1:7" ht="12.75" hidden="1">
      <c r="A213" s="3">
        <f t="shared" si="19"/>
        <v>193</v>
      </c>
      <c r="B213" s="17">
        <f t="shared" si="20"/>
        <v>0</v>
      </c>
      <c r="C213" s="17">
        <f aca="true" t="shared" si="21" ref="C213:C276">IF(A213&lt;=$D$9,$D$14*-1,0)</f>
        <v>0</v>
      </c>
      <c r="D213" s="17">
        <f aca="true" t="shared" si="22" ref="D213:D276">IF(A213&gt;$D$9,0,$D$11*-1)</f>
        <v>0</v>
      </c>
      <c r="E213" s="20">
        <f aca="true" t="shared" si="23" ref="E213:E276">B213*$D$10</f>
        <v>0</v>
      </c>
      <c r="F213" s="17">
        <f aca="true" t="shared" si="24" ref="F213:F276">D213-E213</f>
        <v>0</v>
      </c>
      <c r="G213" s="18">
        <f aca="true" t="shared" si="25" ref="G213:G276">B213-F213</f>
        <v>0</v>
      </c>
    </row>
    <row r="214" spans="1:7" ht="12.75" hidden="1">
      <c r="A214" s="3">
        <f aca="true" t="shared" si="26" ref="A214:A277">A213+1</f>
        <v>194</v>
      </c>
      <c r="B214" s="17">
        <f aca="true" t="shared" si="27" ref="B214:B277">IF(A214&lt;=$D$9,G213,0)</f>
        <v>0</v>
      </c>
      <c r="C214" s="17">
        <f t="shared" si="21"/>
        <v>0</v>
      </c>
      <c r="D214" s="17">
        <f t="shared" si="22"/>
        <v>0</v>
      </c>
      <c r="E214" s="20">
        <f t="shared" si="23"/>
        <v>0</v>
      </c>
      <c r="F214" s="17">
        <f t="shared" si="24"/>
        <v>0</v>
      </c>
      <c r="G214" s="18">
        <f t="shared" si="25"/>
        <v>0</v>
      </c>
    </row>
    <row r="215" spans="1:7" ht="12.75" hidden="1">
      <c r="A215" s="3">
        <f t="shared" si="26"/>
        <v>195</v>
      </c>
      <c r="B215" s="17">
        <f t="shared" si="27"/>
        <v>0</v>
      </c>
      <c r="C215" s="17">
        <f t="shared" si="21"/>
        <v>0</v>
      </c>
      <c r="D215" s="17">
        <f t="shared" si="22"/>
        <v>0</v>
      </c>
      <c r="E215" s="20">
        <f t="shared" si="23"/>
        <v>0</v>
      </c>
      <c r="F215" s="17">
        <f t="shared" si="24"/>
        <v>0</v>
      </c>
      <c r="G215" s="18">
        <f t="shared" si="25"/>
        <v>0</v>
      </c>
    </row>
    <row r="216" spans="1:7" ht="12.75" hidden="1">
      <c r="A216" s="3">
        <f t="shared" si="26"/>
        <v>196</v>
      </c>
      <c r="B216" s="17">
        <f t="shared" si="27"/>
        <v>0</v>
      </c>
      <c r="C216" s="17">
        <f t="shared" si="21"/>
        <v>0</v>
      </c>
      <c r="D216" s="17">
        <f t="shared" si="22"/>
        <v>0</v>
      </c>
      <c r="E216" s="20">
        <f t="shared" si="23"/>
        <v>0</v>
      </c>
      <c r="F216" s="17">
        <f t="shared" si="24"/>
        <v>0</v>
      </c>
      <c r="G216" s="18">
        <f t="shared" si="25"/>
        <v>0</v>
      </c>
    </row>
    <row r="217" spans="1:7" ht="12.75" hidden="1">
      <c r="A217" s="3">
        <f t="shared" si="26"/>
        <v>197</v>
      </c>
      <c r="B217" s="17">
        <f t="shared" si="27"/>
        <v>0</v>
      </c>
      <c r="C217" s="17">
        <f t="shared" si="21"/>
        <v>0</v>
      </c>
      <c r="D217" s="17">
        <f t="shared" si="22"/>
        <v>0</v>
      </c>
      <c r="E217" s="20">
        <f t="shared" si="23"/>
        <v>0</v>
      </c>
      <c r="F217" s="17">
        <f t="shared" si="24"/>
        <v>0</v>
      </c>
      <c r="G217" s="18">
        <f t="shared" si="25"/>
        <v>0</v>
      </c>
    </row>
    <row r="218" spans="1:7" ht="12.75" hidden="1">
      <c r="A218" s="3">
        <f t="shared" si="26"/>
        <v>198</v>
      </c>
      <c r="B218" s="17">
        <f t="shared" si="27"/>
        <v>0</v>
      </c>
      <c r="C218" s="17">
        <f t="shared" si="21"/>
        <v>0</v>
      </c>
      <c r="D218" s="17">
        <f t="shared" si="22"/>
        <v>0</v>
      </c>
      <c r="E218" s="20">
        <f t="shared" si="23"/>
        <v>0</v>
      </c>
      <c r="F218" s="17">
        <f t="shared" si="24"/>
        <v>0</v>
      </c>
      <c r="G218" s="18">
        <f t="shared" si="25"/>
        <v>0</v>
      </c>
    </row>
    <row r="219" spans="1:7" ht="12.75" hidden="1">
      <c r="A219" s="3">
        <f t="shared" si="26"/>
        <v>199</v>
      </c>
      <c r="B219" s="17">
        <f t="shared" si="27"/>
        <v>0</v>
      </c>
      <c r="C219" s="17">
        <f t="shared" si="21"/>
        <v>0</v>
      </c>
      <c r="D219" s="17">
        <f t="shared" si="22"/>
        <v>0</v>
      </c>
      <c r="E219" s="20">
        <f t="shared" si="23"/>
        <v>0</v>
      </c>
      <c r="F219" s="17">
        <f t="shared" si="24"/>
        <v>0</v>
      </c>
      <c r="G219" s="18">
        <f t="shared" si="25"/>
        <v>0</v>
      </c>
    </row>
    <row r="220" spans="1:7" ht="12.75" hidden="1">
      <c r="A220" s="3">
        <f t="shared" si="26"/>
        <v>200</v>
      </c>
      <c r="B220" s="17">
        <f t="shared" si="27"/>
        <v>0</v>
      </c>
      <c r="C220" s="17">
        <f t="shared" si="21"/>
        <v>0</v>
      </c>
      <c r="D220" s="17">
        <f t="shared" si="22"/>
        <v>0</v>
      </c>
      <c r="E220" s="20">
        <f t="shared" si="23"/>
        <v>0</v>
      </c>
      <c r="F220" s="17">
        <f t="shared" si="24"/>
        <v>0</v>
      </c>
      <c r="G220" s="18">
        <f t="shared" si="25"/>
        <v>0</v>
      </c>
    </row>
    <row r="221" spans="1:7" ht="12.75" hidden="1">
      <c r="A221" s="3">
        <f t="shared" si="26"/>
        <v>201</v>
      </c>
      <c r="B221" s="17">
        <f t="shared" si="27"/>
        <v>0</v>
      </c>
      <c r="C221" s="17">
        <f t="shared" si="21"/>
        <v>0</v>
      </c>
      <c r="D221" s="17">
        <f t="shared" si="22"/>
        <v>0</v>
      </c>
      <c r="E221" s="20">
        <f t="shared" si="23"/>
        <v>0</v>
      </c>
      <c r="F221" s="17">
        <f t="shared" si="24"/>
        <v>0</v>
      </c>
      <c r="G221" s="18">
        <f t="shared" si="25"/>
        <v>0</v>
      </c>
    </row>
    <row r="222" spans="1:7" ht="12.75" hidden="1">
      <c r="A222" s="3">
        <f t="shared" si="26"/>
        <v>202</v>
      </c>
      <c r="B222" s="17">
        <f t="shared" si="27"/>
        <v>0</v>
      </c>
      <c r="C222" s="17">
        <f t="shared" si="21"/>
        <v>0</v>
      </c>
      <c r="D222" s="17">
        <f t="shared" si="22"/>
        <v>0</v>
      </c>
      <c r="E222" s="20">
        <f t="shared" si="23"/>
        <v>0</v>
      </c>
      <c r="F222" s="17">
        <f t="shared" si="24"/>
        <v>0</v>
      </c>
      <c r="G222" s="18">
        <f t="shared" si="25"/>
        <v>0</v>
      </c>
    </row>
    <row r="223" spans="1:7" ht="12.75" hidden="1">
      <c r="A223" s="3">
        <f t="shared" si="26"/>
        <v>203</v>
      </c>
      <c r="B223" s="17">
        <f t="shared" si="27"/>
        <v>0</v>
      </c>
      <c r="C223" s="17">
        <f t="shared" si="21"/>
        <v>0</v>
      </c>
      <c r="D223" s="17">
        <f t="shared" si="22"/>
        <v>0</v>
      </c>
      <c r="E223" s="20">
        <f t="shared" si="23"/>
        <v>0</v>
      </c>
      <c r="F223" s="17">
        <f t="shared" si="24"/>
        <v>0</v>
      </c>
      <c r="G223" s="18">
        <f t="shared" si="25"/>
        <v>0</v>
      </c>
    </row>
    <row r="224" spans="1:7" ht="12.75" hidden="1">
      <c r="A224" s="3">
        <f t="shared" si="26"/>
        <v>204</v>
      </c>
      <c r="B224" s="17">
        <f t="shared" si="27"/>
        <v>0</v>
      </c>
      <c r="C224" s="17">
        <f t="shared" si="21"/>
        <v>0</v>
      </c>
      <c r="D224" s="17">
        <f t="shared" si="22"/>
        <v>0</v>
      </c>
      <c r="E224" s="20">
        <f t="shared" si="23"/>
        <v>0</v>
      </c>
      <c r="F224" s="17">
        <f t="shared" si="24"/>
        <v>0</v>
      </c>
      <c r="G224" s="18">
        <f t="shared" si="25"/>
        <v>0</v>
      </c>
    </row>
    <row r="225" spans="1:7" ht="12.75" hidden="1">
      <c r="A225" s="3">
        <f t="shared" si="26"/>
        <v>205</v>
      </c>
      <c r="B225" s="17">
        <f t="shared" si="27"/>
        <v>0</v>
      </c>
      <c r="C225" s="17">
        <f t="shared" si="21"/>
        <v>0</v>
      </c>
      <c r="D225" s="17">
        <f t="shared" si="22"/>
        <v>0</v>
      </c>
      <c r="E225" s="20">
        <f t="shared" si="23"/>
        <v>0</v>
      </c>
      <c r="F225" s="17">
        <f t="shared" si="24"/>
        <v>0</v>
      </c>
      <c r="G225" s="18">
        <f t="shared" si="25"/>
        <v>0</v>
      </c>
    </row>
    <row r="226" spans="1:7" ht="12.75" hidden="1">
      <c r="A226" s="3">
        <f t="shared" si="26"/>
        <v>206</v>
      </c>
      <c r="B226" s="17">
        <f t="shared" si="27"/>
        <v>0</v>
      </c>
      <c r="C226" s="17">
        <f t="shared" si="21"/>
        <v>0</v>
      </c>
      <c r="D226" s="17">
        <f t="shared" si="22"/>
        <v>0</v>
      </c>
      <c r="E226" s="20">
        <f t="shared" si="23"/>
        <v>0</v>
      </c>
      <c r="F226" s="17">
        <f t="shared" si="24"/>
        <v>0</v>
      </c>
      <c r="G226" s="18">
        <f t="shared" si="25"/>
        <v>0</v>
      </c>
    </row>
    <row r="227" spans="1:7" ht="12.75" hidden="1">
      <c r="A227" s="3">
        <f t="shared" si="26"/>
        <v>207</v>
      </c>
      <c r="B227" s="17">
        <f t="shared" si="27"/>
        <v>0</v>
      </c>
      <c r="C227" s="17">
        <f t="shared" si="21"/>
        <v>0</v>
      </c>
      <c r="D227" s="17">
        <f t="shared" si="22"/>
        <v>0</v>
      </c>
      <c r="E227" s="20">
        <f t="shared" si="23"/>
        <v>0</v>
      </c>
      <c r="F227" s="17">
        <f t="shared" si="24"/>
        <v>0</v>
      </c>
      <c r="G227" s="18">
        <f t="shared" si="25"/>
        <v>0</v>
      </c>
    </row>
    <row r="228" spans="1:7" ht="12.75" hidden="1">
      <c r="A228" s="3">
        <f t="shared" si="26"/>
        <v>208</v>
      </c>
      <c r="B228" s="17">
        <f t="shared" si="27"/>
        <v>0</v>
      </c>
      <c r="C228" s="17">
        <f t="shared" si="21"/>
        <v>0</v>
      </c>
      <c r="D228" s="17">
        <f t="shared" si="22"/>
        <v>0</v>
      </c>
      <c r="E228" s="20">
        <f t="shared" si="23"/>
        <v>0</v>
      </c>
      <c r="F228" s="17">
        <f t="shared" si="24"/>
        <v>0</v>
      </c>
      <c r="G228" s="18">
        <f t="shared" si="25"/>
        <v>0</v>
      </c>
    </row>
    <row r="229" spans="1:7" ht="12.75" hidden="1">
      <c r="A229" s="3">
        <f t="shared" si="26"/>
        <v>209</v>
      </c>
      <c r="B229" s="17">
        <f t="shared" si="27"/>
        <v>0</v>
      </c>
      <c r="C229" s="17">
        <f t="shared" si="21"/>
        <v>0</v>
      </c>
      <c r="D229" s="17">
        <f t="shared" si="22"/>
        <v>0</v>
      </c>
      <c r="E229" s="20">
        <f t="shared" si="23"/>
        <v>0</v>
      </c>
      <c r="F229" s="17">
        <f t="shared" si="24"/>
        <v>0</v>
      </c>
      <c r="G229" s="18">
        <f t="shared" si="25"/>
        <v>0</v>
      </c>
    </row>
    <row r="230" spans="1:7" ht="12.75" hidden="1">
      <c r="A230" s="3">
        <f t="shared" si="26"/>
        <v>210</v>
      </c>
      <c r="B230" s="17">
        <f t="shared" si="27"/>
        <v>0</v>
      </c>
      <c r="C230" s="17">
        <f t="shared" si="21"/>
        <v>0</v>
      </c>
      <c r="D230" s="17">
        <f t="shared" si="22"/>
        <v>0</v>
      </c>
      <c r="E230" s="20">
        <f t="shared" si="23"/>
        <v>0</v>
      </c>
      <c r="F230" s="17">
        <f t="shared" si="24"/>
        <v>0</v>
      </c>
      <c r="G230" s="18">
        <f t="shared" si="25"/>
        <v>0</v>
      </c>
    </row>
    <row r="231" spans="1:7" ht="12.75" hidden="1">
      <c r="A231" s="3">
        <f t="shared" si="26"/>
        <v>211</v>
      </c>
      <c r="B231" s="17">
        <f t="shared" si="27"/>
        <v>0</v>
      </c>
      <c r="C231" s="17">
        <f t="shared" si="21"/>
        <v>0</v>
      </c>
      <c r="D231" s="17">
        <f t="shared" si="22"/>
        <v>0</v>
      </c>
      <c r="E231" s="20">
        <f t="shared" si="23"/>
        <v>0</v>
      </c>
      <c r="F231" s="17">
        <f t="shared" si="24"/>
        <v>0</v>
      </c>
      <c r="G231" s="18">
        <f t="shared" si="25"/>
        <v>0</v>
      </c>
    </row>
    <row r="232" spans="1:7" ht="12.75" hidden="1">
      <c r="A232" s="3">
        <f t="shared" si="26"/>
        <v>212</v>
      </c>
      <c r="B232" s="17">
        <f t="shared" si="27"/>
        <v>0</v>
      </c>
      <c r="C232" s="17">
        <f t="shared" si="21"/>
        <v>0</v>
      </c>
      <c r="D232" s="17">
        <f t="shared" si="22"/>
        <v>0</v>
      </c>
      <c r="E232" s="20">
        <f t="shared" si="23"/>
        <v>0</v>
      </c>
      <c r="F232" s="17">
        <f t="shared" si="24"/>
        <v>0</v>
      </c>
      <c r="G232" s="18">
        <f t="shared" si="25"/>
        <v>0</v>
      </c>
    </row>
    <row r="233" spans="1:7" ht="12.75" hidden="1">
      <c r="A233" s="3">
        <f t="shared" si="26"/>
        <v>213</v>
      </c>
      <c r="B233" s="17">
        <f t="shared" si="27"/>
        <v>0</v>
      </c>
      <c r="C233" s="17">
        <f t="shared" si="21"/>
        <v>0</v>
      </c>
      <c r="D233" s="17">
        <f t="shared" si="22"/>
        <v>0</v>
      </c>
      <c r="E233" s="20">
        <f t="shared" si="23"/>
        <v>0</v>
      </c>
      <c r="F233" s="17">
        <f t="shared" si="24"/>
        <v>0</v>
      </c>
      <c r="G233" s="18">
        <f t="shared" si="25"/>
        <v>0</v>
      </c>
    </row>
    <row r="234" spans="1:7" ht="12.75" hidden="1">
      <c r="A234" s="3">
        <f t="shared" si="26"/>
        <v>214</v>
      </c>
      <c r="B234" s="17">
        <f t="shared" si="27"/>
        <v>0</v>
      </c>
      <c r="C234" s="17">
        <f t="shared" si="21"/>
        <v>0</v>
      </c>
      <c r="D234" s="17">
        <f t="shared" si="22"/>
        <v>0</v>
      </c>
      <c r="E234" s="20">
        <f t="shared" si="23"/>
        <v>0</v>
      </c>
      <c r="F234" s="17">
        <f t="shared" si="24"/>
        <v>0</v>
      </c>
      <c r="G234" s="18">
        <f t="shared" si="25"/>
        <v>0</v>
      </c>
    </row>
    <row r="235" spans="1:7" ht="12.75" hidden="1">
      <c r="A235" s="3">
        <f t="shared" si="26"/>
        <v>215</v>
      </c>
      <c r="B235" s="17">
        <f t="shared" si="27"/>
        <v>0</v>
      </c>
      <c r="C235" s="17">
        <f t="shared" si="21"/>
        <v>0</v>
      </c>
      <c r="D235" s="17">
        <f t="shared" si="22"/>
        <v>0</v>
      </c>
      <c r="E235" s="20">
        <f t="shared" si="23"/>
        <v>0</v>
      </c>
      <c r="F235" s="17">
        <f t="shared" si="24"/>
        <v>0</v>
      </c>
      <c r="G235" s="18">
        <f t="shared" si="25"/>
        <v>0</v>
      </c>
    </row>
    <row r="236" spans="1:7" ht="12.75" hidden="1">
      <c r="A236" s="3">
        <f t="shared" si="26"/>
        <v>216</v>
      </c>
      <c r="B236" s="17">
        <f t="shared" si="27"/>
        <v>0</v>
      </c>
      <c r="C236" s="17">
        <f t="shared" si="21"/>
        <v>0</v>
      </c>
      <c r="D236" s="17">
        <f t="shared" si="22"/>
        <v>0</v>
      </c>
      <c r="E236" s="20">
        <f t="shared" si="23"/>
        <v>0</v>
      </c>
      <c r="F236" s="17">
        <f t="shared" si="24"/>
        <v>0</v>
      </c>
      <c r="G236" s="18">
        <f t="shared" si="25"/>
        <v>0</v>
      </c>
    </row>
    <row r="237" spans="1:7" ht="12.75" hidden="1">
      <c r="A237" s="3">
        <f t="shared" si="26"/>
        <v>217</v>
      </c>
      <c r="B237" s="17">
        <f t="shared" si="27"/>
        <v>0</v>
      </c>
      <c r="C237" s="17">
        <f t="shared" si="21"/>
        <v>0</v>
      </c>
      <c r="D237" s="17">
        <f t="shared" si="22"/>
        <v>0</v>
      </c>
      <c r="E237" s="20">
        <f t="shared" si="23"/>
        <v>0</v>
      </c>
      <c r="F237" s="17">
        <f t="shared" si="24"/>
        <v>0</v>
      </c>
      <c r="G237" s="18">
        <f t="shared" si="25"/>
        <v>0</v>
      </c>
    </row>
    <row r="238" spans="1:7" ht="12.75" hidden="1">
      <c r="A238" s="3">
        <f t="shared" si="26"/>
        <v>218</v>
      </c>
      <c r="B238" s="17">
        <f t="shared" si="27"/>
        <v>0</v>
      </c>
      <c r="C238" s="17">
        <f t="shared" si="21"/>
        <v>0</v>
      </c>
      <c r="D238" s="17">
        <f t="shared" si="22"/>
        <v>0</v>
      </c>
      <c r="E238" s="20">
        <f t="shared" si="23"/>
        <v>0</v>
      </c>
      <c r="F238" s="17">
        <f t="shared" si="24"/>
        <v>0</v>
      </c>
      <c r="G238" s="18">
        <f t="shared" si="25"/>
        <v>0</v>
      </c>
    </row>
    <row r="239" spans="1:7" ht="12.75" hidden="1">
      <c r="A239" s="3">
        <f t="shared" si="26"/>
        <v>219</v>
      </c>
      <c r="B239" s="17">
        <f t="shared" si="27"/>
        <v>0</v>
      </c>
      <c r="C239" s="17">
        <f t="shared" si="21"/>
        <v>0</v>
      </c>
      <c r="D239" s="17">
        <f t="shared" si="22"/>
        <v>0</v>
      </c>
      <c r="E239" s="20">
        <f t="shared" si="23"/>
        <v>0</v>
      </c>
      <c r="F239" s="17">
        <f t="shared" si="24"/>
        <v>0</v>
      </c>
      <c r="G239" s="18">
        <f t="shared" si="25"/>
        <v>0</v>
      </c>
    </row>
    <row r="240" spans="1:7" ht="12.75" hidden="1">
      <c r="A240" s="3">
        <f t="shared" si="26"/>
        <v>220</v>
      </c>
      <c r="B240" s="17">
        <f t="shared" si="27"/>
        <v>0</v>
      </c>
      <c r="C240" s="17">
        <f t="shared" si="21"/>
        <v>0</v>
      </c>
      <c r="D240" s="17">
        <f t="shared" si="22"/>
        <v>0</v>
      </c>
      <c r="E240" s="20">
        <f t="shared" si="23"/>
        <v>0</v>
      </c>
      <c r="F240" s="17">
        <f t="shared" si="24"/>
        <v>0</v>
      </c>
      <c r="G240" s="18">
        <f t="shared" si="25"/>
        <v>0</v>
      </c>
    </row>
    <row r="241" spans="1:7" ht="12.75" hidden="1">
      <c r="A241" s="3">
        <f t="shared" si="26"/>
        <v>221</v>
      </c>
      <c r="B241" s="17">
        <f t="shared" si="27"/>
        <v>0</v>
      </c>
      <c r="C241" s="17">
        <f t="shared" si="21"/>
        <v>0</v>
      </c>
      <c r="D241" s="17">
        <f t="shared" si="22"/>
        <v>0</v>
      </c>
      <c r="E241" s="20">
        <f t="shared" si="23"/>
        <v>0</v>
      </c>
      <c r="F241" s="17">
        <f t="shared" si="24"/>
        <v>0</v>
      </c>
      <c r="G241" s="18">
        <f t="shared" si="25"/>
        <v>0</v>
      </c>
    </row>
    <row r="242" spans="1:7" ht="12.75" hidden="1">
      <c r="A242" s="3">
        <f t="shared" si="26"/>
        <v>222</v>
      </c>
      <c r="B242" s="17">
        <f t="shared" si="27"/>
        <v>0</v>
      </c>
      <c r="C242" s="17">
        <f t="shared" si="21"/>
        <v>0</v>
      </c>
      <c r="D242" s="17">
        <f t="shared" si="22"/>
        <v>0</v>
      </c>
      <c r="E242" s="20">
        <f t="shared" si="23"/>
        <v>0</v>
      </c>
      <c r="F242" s="17">
        <f t="shared" si="24"/>
        <v>0</v>
      </c>
      <c r="G242" s="18">
        <f t="shared" si="25"/>
        <v>0</v>
      </c>
    </row>
    <row r="243" spans="1:7" ht="12.75" hidden="1">
      <c r="A243" s="3">
        <f t="shared" si="26"/>
        <v>223</v>
      </c>
      <c r="B243" s="17">
        <f t="shared" si="27"/>
        <v>0</v>
      </c>
      <c r="C243" s="17">
        <f t="shared" si="21"/>
        <v>0</v>
      </c>
      <c r="D243" s="17">
        <f t="shared" si="22"/>
        <v>0</v>
      </c>
      <c r="E243" s="20">
        <f t="shared" si="23"/>
        <v>0</v>
      </c>
      <c r="F243" s="17">
        <f t="shared" si="24"/>
        <v>0</v>
      </c>
      <c r="G243" s="18">
        <f t="shared" si="25"/>
        <v>0</v>
      </c>
    </row>
    <row r="244" spans="1:7" ht="12.75" hidden="1">
      <c r="A244" s="3">
        <f t="shared" si="26"/>
        <v>224</v>
      </c>
      <c r="B244" s="17">
        <f t="shared" si="27"/>
        <v>0</v>
      </c>
      <c r="C244" s="17">
        <f t="shared" si="21"/>
        <v>0</v>
      </c>
      <c r="D244" s="17">
        <f t="shared" si="22"/>
        <v>0</v>
      </c>
      <c r="E244" s="20">
        <f t="shared" si="23"/>
        <v>0</v>
      </c>
      <c r="F244" s="17">
        <f t="shared" si="24"/>
        <v>0</v>
      </c>
      <c r="G244" s="18">
        <f t="shared" si="25"/>
        <v>0</v>
      </c>
    </row>
    <row r="245" spans="1:7" ht="12.75" hidden="1">
      <c r="A245" s="3">
        <f t="shared" si="26"/>
        <v>225</v>
      </c>
      <c r="B245" s="17">
        <f t="shared" si="27"/>
        <v>0</v>
      </c>
      <c r="C245" s="17">
        <f t="shared" si="21"/>
        <v>0</v>
      </c>
      <c r="D245" s="17">
        <f t="shared" si="22"/>
        <v>0</v>
      </c>
      <c r="E245" s="20">
        <f t="shared" si="23"/>
        <v>0</v>
      </c>
      <c r="F245" s="17">
        <f t="shared" si="24"/>
        <v>0</v>
      </c>
      <c r="G245" s="18">
        <f t="shared" si="25"/>
        <v>0</v>
      </c>
    </row>
    <row r="246" spans="1:7" ht="12.75" hidden="1">
      <c r="A246" s="3">
        <f t="shared" si="26"/>
        <v>226</v>
      </c>
      <c r="B246" s="17">
        <f t="shared" si="27"/>
        <v>0</v>
      </c>
      <c r="C246" s="17">
        <f t="shared" si="21"/>
        <v>0</v>
      </c>
      <c r="D246" s="17">
        <f t="shared" si="22"/>
        <v>0</v>
      </c>
      <c r="E246" s="20">
        <f t="shared" si="23"/>
        <v>0</v>
      </c>
      <c r="F246" s="17">
        <f t="shared" si="24"/>
        <v>0</v>
      </c>
      <c r="G246" s="18">
        <f t="shared" si="25"/>
        <v>0</v>
      </c>
    </row>
    <row r="247" spans="1:7" ht="12.75" hidden="1">
      <c r="A247" s="3">
        <f t="shared" si="26"/>
        <v>227</v>
      </c>
      <c r="B247" s="17">
        <f t="shared" si="27"/>
        <v>0</v>
      </c>
      <c r="C247" s="17">
        <f t="shared" si="21"/>
        <v>0</v>
      </c>
      <c r="D247" s="17">
        <f t="shared" si="22"/>
        <v>0</v>
      </c>
      <c r="E247" s="20">
        <f t="shared" si="23"/>
        <v>0</v>
      </c>
      <c r="F247" s="17">
        <f t="shared" si="24"/>
        <v>0</v>
      </c>
      <c r="G247" s="18">
        <f t="shared" si="25"/>
        <v>0</v>
      </c>
    </row>
    <row r="248" spans="1:7" ht="12.75" hidden="1">
      <c r="A248" s="3">
        <f t="shared" si="26"/>
        <v>228</v>
      </c>
      <c r="B248" s="17">
        <f t="shared" si="27"/>
        <v>0</v>
      </c>
      <c r="C248" s="17">
        <f t="shared" si="21"/>
        <v>0</v>
      </c>
      <c r="D248" s="17">
        <f t="shared" si="22"/>
        <v>0</v>
      </c>
      <c r="E248" s="20">
        <f t="shared" si="23"/>
        <v>0</v>
      </c>
      <c r="F248" s="17">
        <f t="shared" si="24"/>
        <v>0</v>
      </c>
      <c r="G248" s="18">
        <f t="shared" si="25"/>
        <v>0</v>
      </c>
    </row>
    <row r="249" spans="1:7" ht="12.75" hidden="1">
      <c r="A249" s="3">
        <f t="shared" si="26"/>
        <v>229</v>
      </c>
      <c r="B249" s="17">
        <f t="shared" si="27"/>
        <v>0</v>
      </c>
      <c r="C249" s="17">
        <f t="shared" si="21"/>
        <v>0</v>
      </c>
      <c r="D249" s="17">
        <f t="shared" si="22"/>
        <v>0</v>
      </c>
      <c r="E249" s="20">
        <f t="shared" si="23"/>
        <v>0</v>
      </c>
      <c r="F249" s="17">
        <f t="shared" si="24"/>
        <v>0</v>
      </c>
      <c r="G249" s="18">
        <f t="shared" si="25"/>
        <v>0</v>
      </c>
    </row>
    <row r="250" spans="1:7" ht="12.75" hidden="1">
      <c r="A250" s="3">
        <f t="shared" si="26"/>
        <v>230</v>
      </c>
      <c r="B250" s="17">
        <f t="shared" si="27"/>
        <v>0</v>
      </c>
      <c r="C250" s="17">
        <f t="shared" si="21"/>
        <v>0</v>
      </c>
      <c r="D250" s="17">
        <f t="shared" si="22"/>
        <v>0</v>
      </c>
      <c r="E250" s="20">
        <f t="shared" si="23"/>
        <v>0</v>
      </c>
      <c r="F250" s="17">
        <f t="shared" si="24"/>
        <v>0</v>
      </c>
      <c r="G250" s="18">
        <f t="shared" si="25"/>
        <v>0</v>
      </c>
    </row>
    <row r="251" spans="1:7" ht="12.75" hidden="1">
      <c r="A251" s="3">
        <f t="shared" si="26"/>
        <v>231</v>
      </c>
      <c r="B251" s="17">
        <f t="shared" si="27"/>
        <v>0</v>
      </c>
      <c r="C251" s="17">
        <f t="shared" si="21"/>
        <v>0</v>
      </c>
      <c r="D251" s="17">
        <f t="shared" si="22"/>
        <v>0</v>
      </c>
      <c r="E251" s="20">
        <f t="shared" si="23"/>
        <v>0</v>
      </c>
      <c r="F251" s="17">
        <f t="shared" si="24"/>
        <v>0</v>
      </c>
      <c r="G251" s="18">
        <f t="shared" si="25"/>
        <v>0</v>
      </c>
    </row>
    <row r="252" spans="1:7" ht="12.75" hidden="1">
      <c r="A252" s="3">
        <f t="shared" si="26"/>
        <v>232</v>
      </c>
      <c r="B252" s="17">
        <f t="shared" si="27"/>
        <v>0</v>
      </c>
      <c r="C252" s="17">
        <f t="shared" si="21"/>
        <v>0</v>
      </c>
      <c r="D252" s="17">
        <f t="shared" si="22"/>
        <v>0</v>
      </c>
      <c r="E252" s="20">
        <f t="shared" si="23"/>
        <v>0</v>
      </c>
      <c r="F252" s="17">
        <f t="shared" si="24"/>
        <v>0</v>
      </c>
      <c r="G252" s="18">
        <f t="shared" si="25"/>
        <v>0</v>
      </c>
    </row>
    <row r="253" spans="1:7" ht="12.75" hidden="1">
      <c r="A253" s="3">
        <f t="shared" si="26"/>
        <v>233</v>
      </c>
      <c r="B253" s="17">
        <f t="shared" si="27"/>
        <v>0</v>
      </c>
      <c r="C253" s="17">
        <f t="shared" si="21"/>
        <v>0</v>
      </c>
      <c r="D253" s="17">
        <f t="shared" si="22"/>
        <v>0</v>
      </c>
      <c r="E253" s="20">
        <f t="shared" si="23"/>
        <v>0</v>
      </c>
      <c r="F253" s="17">
        <f t="shared" si="24"/>
        <v>0</v>
      </c>
      <c r="G253" s="18">
        <f t="shared" si="25"/>
        <v>0</v>
      </c>
    </row>
    <row r="254" spans="1:7" ht="12.75" hidden="1">
      <c r="A254" s="3">
        <f t="shared" si="26"/>
        <v>234</v>
      </c>
      <c r="B254" s="17">
        <f t="shared" si="27"/>
        <v>0</v>
      </c>
      <c r="C254" s="17">
        <f t="shared" si="21"/>
        <v>0</v>
      </c>
      <c r="D254" s="17">
        <f t="shared" si="22"/>
        <v>0</v>
      </c>
      <c r="E254" s="20">
        <f t="shared" si="23"/>
        <v>0</v>
      </c>
      <c r="F254" s="17">
        <f t="shared" si="24"/>
        <v>0</v>
      </c>
      <c r="G254" s="18">
        <f t="shared" si="25"/>
        <v>0</v>
      </c>
    </row>
    <row r="255" spans="1:7" ht="12.75" hidden="1">
      <c r="A255" s="3">
        <f t="shared" si="26"/>
        <v>235</v>
      </c>
      <c r="B255" s="17">
        <f t="shared" si="27"/>
        <v>0</v>
      </c>
      <c r="C255" s="17">
        <f t="shared" si="21"/>
        <v>0</v>
      </c>
      <c r="D255" s="17">
        <f t="shared" si="22"/>
        <v>0</v>
      </c>
      <c r="E255" s="20">
        <f t="shared" si="23"/>
        <v>0</v>
      </c>
      <c r="F255" s="17">
        <f t="shared" si="24"/>
        <v>0</v>
      </c>
      <c r="G255" s="18">
        <f t="shared" si="25"/>
        <v>0</v>
      </c>
    </row>
    <row r="256" spans="1:7" ht="12.75" hidden="1">
      <c r="A256" s="3">
        <f t="shared" si="26"/>
        <v>236</v>
      </c>
      <c r="B256" s="17">
        <f t="shared" si="27"/>
        <v>0</v>
      </c>
      <c r="C256" s="17">
        <f t="shared" si="21"/>
        <v>0</v>
      </c>
      <c r="D256" s="17">
        <f t="shared" si="22"/>
        <v>0</v>
      </c>
      <c r="E256" s="20">
        <f t="shared" si="23"/>
        <v>0</v>
      </c>
      <c r="F256" s="17">
        <f t="shared" si="24"/>
        <v>0</v>
      </c>
      <c r="G256" s="18">
        <f t="shared" si="25"/>
        <v>0</v>
      </c>
    </row>
    <row r="257" spans="1:7" ht="12.75" hidden="1">
      <c r="A257" s="3">
        <f t="shared" si="26"/>
        <v>237</v>
      </c>
      <c r="B257" s="17">
        <f t="shared" si="27"/>
        <v>0</v>
      </c>
      <c r="C257" s="17">
        <f t="shared" si="21"/>
        <v>0</v>
      </c>
      <c r="D257" s="17">
        <f t="shared" si="22"/>
        <v>0</v>
      </c>
      <c r="E257" s="20">
        <f t="shared" si="23"/>
        <v>0</v>
      </c>
      <c r="F257" s="17">
        <f t="shared" si="24"/>
        <v>0</v>
      </c>
      <c r="G257" s="18">
        <f t="shared" si="25"/>
        <v>0</v>
      </c>
    </row>
    <row r="258" spans="1:7" ht="12.75" hidden="1">
      <c r="A258" s="3">
        <f t="shared" si="26"/>
        <v>238</v>
      </c>
      <c r="B258" s="17">
        <f t="shared" si="27"/>
        <v>0</v>
      </c>
      <c r="C258" s="17">
        <f t="shared" si="21"/>
        <v>0</v>
      </c>
      <c r="D258" s="17">
        <f t="shared" si="22"/>
        <v>0</v>
      </c>
      <c r="E258" s="20">
        <f t="shared" si="23"/>
        <v>0</v>
      </c>
      <c r="F258" s="17">
        <f t="shared" si="24"/>
        <v>0</v>
      </c>
      <c r="G258" s="18">
        <f t="shared" si="25"/>
        <v>0</v>
      </c>
    </row>
    <row r="259" spans="1:7" ht="12.75" hidden="1">
      <c r="A259" s="3">
        <f t="shared" si="26"/>
        <v>239</v>
      </c>
      <c r="B259" s="17">
        <f t="shared" si="27"/>
        <v>0</v>
      </c>
      <c r="C259" s="17">
        <f t="shared" si="21"/>
        <v>0</v>
      </c>
      <c r="D259" s="17">
        <f t="shared" si="22"/>
        <v>0</v>
      </c>
      <c r="E259" s="20">
        <f t="shared" si="23"/>
        <v>0</v>
      </c>
      <c r="F259" s="17">
        <f t="shared" si="24"/>
        <v>0</v>
      </c>
      <c r="G259" s="18">
        <f t="shared" si="25"/>
        <v>0</v>
      </c>
    </row>
    <row r="260" spans="1:7" ht="12.75" hidden="1">
      <c r="A260" s="3">
        <f t="shared" si="26"/>
        <v>240</v>
      </c>
      <c r="B260" s="17">
        <f t="shared" si="27"/>
        <v>0</v>
      </c>
      <c r="C260" s="17">
        <f t="shared" si="21"/>
        <v>0</v>
      </c>
      <c r="D260" s="17">
        <f t="shared" si="22"/>
        <v>0</v>
      </c>
      <c r="E260" s="20">
        <f t="shared" si="23"/>
        <v>0</v>
      </c>
      <c r="F260" s="17">
        <f t="shared" si="24"/>
        <v>0</v>
      </c>
      <c r="G260" s="18">
        <f t="shared" si="25"/>
        <v>0</v>
      </c>
    </row>
    <row r="261" spans="1:7" ht="12.75" hidden="1">
      <c r="A261" s="3">
        <f t="shared" si="26"/>
        <v>241</v>
      </c>
      <c r="B261" s="17">
        <f t="shared" si="27"/>
        <v>0</v>
      </c>
      <c r="C261" s="17">
        <f t="shared" si="21"/>
        <v>0</v>
      </c>
      <c r="D261" s="17">
        <f t="shared" si="22"/>
        <v>0</v>
      </c>
      <c r="E261" s="20">
        <f t="shared" si="23"/>
        <v>0</v>
      </c>
      <c r="F261" s="17">
        <f t="shared" si="24"/>
        <v>0</v>
      </c>
      <c r="G261" s="18">
        <f t="shared" si="25"/>
        <v>0</v>
      </c>
    </row>
    <row r="262" spans="1:7" ht="12.75" hidden="1">
      <c r="A262" s="3">
        <f t="shared" si="26"/>
        <v>242</v>
      </c>
      <c r="B262" s="17">
        <f t="shared" si="27"/>
        <v>0</v>
      </c>
      <c r="C262" s="17">
        <f t="shared" si="21"/>
        <v>0</v>
      </c>
      <c r="D262" s="17">
        <f t="shared" si="22"/>
        <v>0</v>
      </c>
      <c r="E262" s="20">
        <f t="shared" si="23"/>
        <v>0</v>
      </c>
      <c r="F262" s="17">
        <f t="shared" si="24"/>
        <v>0</v>
      </c>
      <c r="G262" s="18">
        <f t="shared" si="25"/>
        <v>0</v>
      </c>
    </row>
    <row r="263" spans="1:7" ht="12.75" hidden="1">
      <c r="A263" s="3">
        <f t="shared" si="26"/>
        <v>243</v>
      </c>
      <c r="B263" s="17">
        <f t="shared" si="27"/>
        <v>0</v>
      </c>
      <c r="C263" s="17">
        <f t="shared" si="21"/>
        <v>0</v>
      </c>
      <c r="D263" s="17">
        <f t="shared" si="22"/>
        <v>0</v>
      </c>
      <c r="E263" s="20">
        <f t="shared" si="23"/>
        <v>0</v>
      </c>
      <c r="F263" s="17">
        <f t="shared" si="24"/>
        <v>0</v>
      </c>
      <c r="G263" s="18">
        <f t="shared" si="25"/>
        <v>0</v>
      </c>
    </row>
    <row r="264" spans="1:7" ht="12.75" hidden="1">
      <c r="A264" s="3">
        <f t="shared" si="26"/>
        <v>244</v>
      </c>
      <c r="B264" s="17">
        <f t="shared" si="27"/>
        <v>0</v>
      </c>
      <c r="C264" s="17">
        <f t="shared" si="21"/>
        <v>0</v>
      </c>
      <c r="D264" s="17">
        <f t="shared" si="22"/>
        <v>0</v>
      </c>
      <c r="E264" s="20">
        <f t="shared" si="23"/>
        <v>0</v>
      </c>
      <c r="F264" s="17">
        <f t="shared" si="24"/>
        <v>0</v>
      </c>
      <c r="G264" s="18">
        <f t="shared" si="25"/>
        <v>0</v>
      </c>
    </row>
    <row r="265" spans="1:7" ht="12.75" hidden="1">
      <c r="A265" s="3">
        <f t="shared" si="26"/>
        <v>245</v>
      </c>
      <c r="B265" s="17">
        <f t="shared" si="27"/>
        <v>0</v>
      </c>
      <c r="C265" s="17">
        <f t="shared" si="21"/>
        <v>0</v>
      </c>
      <c r="D265" s="17">
        <f t="shared" si="22"/>
        <v>0</v>
      </c>
      <c r="E265" s="20">
        <f t="shared" si="23"/>
        <v>0</v>
      </c>
      <c r="F265" s="17">
        <f t="shared" si="24"/>
        <v>0</v>
      </c>
      <c r="G265" s="18">
        <f t="shared" si="25"/>
        <v>0</v>
      </c>
    </row>
    <row r="266" spans="1:7" ht="12.75" hidden="1">
      <c r="A266" s="3">
        <f t="shared" si="26"/>
        <v>246</v>
      </c>
      <c r="B266" s="17">
        <f t="shared" si="27"/>
        <v>0</v>
      </c>
      <c r="C266" s="17">
        <f t="shared" si="21"/>
        <v>0</v>
      </c>
      <c r="D266" s="17">
        <f t="shared" si="22"/>
        <v>0</v>
      </c>
      <c r="E266" s="20">
        <f t="shared" si="23"/>
        <v>0</v>
      </c>
      <c r="F266" s="17">
        <f t="shared" si="24"/>
        <v>0</v>
      </c>
      <c r="G266" s="18">
        <f t="shared" si="25"/>
        <v>0</v>
      </c>
    </row>
    <row r="267" spans="1:7" ht="12.75" hidden="1">
      <c r="A267" s="3">
        <f t="shared" si="26"/>
        <v>247</v>
      </c>
      <c r="B267" s="17">
        <f t="shared" si="27"/>
        <v>0</v>
      </c>
      <c r="C267" s="17">
        <f t="shared" si="21"/>
        <v>0</v>
      </c>
      <c r="D267" s="17">
        <f t="shared" si="22"/>
        <v>0</v>
      </c>
      <c r="E267" s="20">
        <f t="shared" si="23"/>
        <v>0</v>
      </c>
      <c r="F267" s="17">
        <f t="shared" si="24"/>
        <v>0</v>
      </c>
      <c r="G267" s="18">
        <f t="shared" si="25"/>
        <v>0</v>
      </c>
    </row>
    <row r="268" spans="1:7" ht="12.75" hidden="1">
      <c r="A268" s="3">
        <f t="shared" si="26"/>
        <v>248</v>
      </c>
      <c r="B268" s="17">
        <f t="shared" si="27"/>
        <v>0</v>
      </c>
      <c r="C268" s="17">
        <f t="shared" si="21"/>
        <v>0</v>
      </c>
      <c r="D268" s="17">
        <f t="shared" si="22"/>
        <v>0</v>
      </c>
      <c r="E268" s="20">
        <f t="shared" si="23"/>
        <v>0</v>
      </c>
      <c r="F268" s="17">
        <f t="shared" si="24"/>
        <v>0</v>
      </c>
      <c r="G268" s="18">
        <f t="shared" si="25"/>
        <v>0</v>
      </c>
    </row>
    <row r="269" spans="1:7" ht="12.75" hidden="1">
      <c r="A269" s="3">
        <f t="shared" si="26"/>
        <v>249</v>
      </c>
      <c r="B269" s="17">
        <f t="shared" si="27"/>
        <v>0</v>
      </c>
      <c r="C269" s="17">
        <f t="shared" si="21"/>
        <v>0</v>
      </c>
      <c r="D269" s="17">
        <f t="shared" si="22"/>
        <v>0</v>
      </c>
      <c r="E269" s="20">
        <f t="shared" si="23"/>
        <v>0</v>
      </c>
      <c r="F269" s="17">
        <f t="shared" si="24"/>
        <v>0</v>
      </c>
      <c r="G269" s="18">
        <f t="shared" si="25"/>
        <v>0</v>
      </c>
    </row>
    <row r="270" spans="1:7" ht="12.75" hidden="1">
      <c r="A270" s="3">
        <f t="shared" si="26"/>
        <v>250</v>
      </c>
      <c r="B270" s="17">
        <f t="shared" si="27"/>
        <v>0</v>
      </c>
      <c r="C270" s="17">
        <f t="shared" si="21"/>
        <v>0</v>
      </c>
      <c r="D270" s="17">
        <f t="shared" si="22"/>
        <v>0</v>
      </c>
      <c r="E270" s="20">
        <f t="shared" si="23"/>
        <v>0</v>
      </c>
      <c r="F270" s="17">
        <f t="shared" si="24"/>
        <v>0</v>
      </c>
      <c r="G270" s="18">
        <f t="shared" si="25"/>
        <v>0</v>
      </c>
    </row>
    <row r="271" spans="1:7" ht="12.75" hidden="1">
      <c r="A271" s="3">
        <f t="shared" si="26"/>
        <v>251</v>
      </c>
      <c r="B271" s="17">
        <f t="shared" si="27"/>
        <v>0</v>
      </c>
      <c r="C271" s="17">
        <f t="shared" si="21"/>
        <v>0</v>
      </c>
      <c r="D271" s="17">
        <f t="shared" si="22"/>
        <v>0</v>
      </c>
      <c r="E271" s="20">
        <f t="shared" si="23"/>
        <v>0</v>
      </c>
      <c r="F271" s="17">
        <f t="shared" si="24"/>
        <v>0</v>
      </c>
      <c r="G271" s="18">
        <f t="shared" si="25"/>
        <v>0</v>
      </c>
    </row>
    <row r="272" spans="1:7" ht="12.75" hidden="1">
      <c r="A272" s="3">
        <f t="shared" si="26"/>
        <v>252</v>
      </c>
      <c r="B272" s="17">
        <f t="shared" si="27"/>
        <v>0</v>
      </c>
      <c r="C272" s="17">
        <f t="shared" si="21"/>
        <v>0</v>
      </c>
      <c r="D272" s="17">
        <f t="shared" si="22"/>
        <v>0</v>
      </c>
      <c r="E272" s="20">
        <f t="shared" si="23"/>
        <v>0</v>
      </c>
      <c r="F272" s="17">
        <f t="shared" si="24"/>
        <v>0</v>
      </c>
      <c r="G272" s="18">
        <f t="shared" si="25"/>
        <v>0</v>
      </c>
    </row>
    <row r="273" spans="1:7" ht="12.75" hidden="1">
      <c r="A273" s="3">
        <f t="shared" si="26"/>
        <v>253</v>
      </c>
      <c r="B273" s="17">
        <f t="shared" si="27"/>
        <v>0</v>
      </c>
      <c r="C273" s="17">
        <f t="shared" si="21"/>
        <v>0</v>
      </c>
      <c r="D273" s="17">
        <f t="shared" si="22"/>
        <v>0</v>
      </c>
      <c r="E273" s="20">
        <f t="shared" si="23"/>
        <v>0</v>
      </c>
      <c r="F273" s="17">
        <f t="shared" si="24"/>
        <v>0</v>
      </c>
      <c r="G273" s="18">
        <f t="shared" si="25"/>
        <v>0</v>
      </c>
    </row>
    <row r="274" spans="1:7" ht="12.75" hidden="1">
      <c r="A274" s="3">
        <f t="shared" si="26"/>
        <v>254</v>
      </c>
      <c r="B274" s="17">
        <f t="shared" si="27"/>
        <v>0</v>
      </c>
      <c r="C274" s="17">
        <f t="shared" si="21"/>
        <v>0</v>
      </c>
      <c r="D274" s="17">
        <f t="shared" si="22"/>
        <v>0</v>
      </c>
      <c r="E274" s="20">
        <f t="shared" si="23"/>
        <v>0</v>
      </c>
      <c r="F274" s="17">
        <f t="shared" si="24"/>
        <v>0</v>
      </c>
      <c r="G274" s="18">
        <f t="shared" si="25"/>
        <v>0</v>
      </c>
    </row>
    <row r="275" spans="1:7" ht="12.75" hidden="1">
      <c r="A275" s="3">
        <f t="shared" si="26"/>
        <v>255</v>
      </c>
      <c r="B275" s="17">
        <f t="shared" si="27"/>
        <v>0</v>
      </c>
      <c r="C275" s="17">
        <f t="shared" si="21"/>
        <v>0</v>
      </c>
      <c r="D275" s="17">
        <f t="shared" si="22"/>
        <v>0</v>
      </c>
      <c r="E275" s="20">
        <f t="shared" si="23"/>
        <v>0</v>
      </c>
      <c r="F275" s="17">
        <f t="shared" si="24"/>
        <v>0</v>
      </c>
      <c r="G275" s="18">
        <f t="shared" si="25"/>
        <v>0</v>
      </c>
    </row>
    <row r="276" spans="1:7" ht="12.75" hidden="1">
      <c r="A276" s="3">
        <f t="shared" si="26"/>
        <v>256</v>
      </c>
      <c r="B276" s="17">
        <f t="shared" si="27"/>
        <v>0</v>
      </c>
      <c r="C276" s="17">
        <f t="shared" si="21"/>
        <v>0</v>
      </c>
      <c r="D276" s="17">
        <f t="shared" si="22"/>
        <v>0</v>
      </c>
      <c r="E276" s="20">
        <f t="shared" si="23"/>
        <v>0</v>
      </c>
      <c r="F276" s="17">
        <f t="shared" si="24"/>
        <v>0</v>
      </c>
      <c r="G276" s="18">
        <f t="shared" si="25"/>
        <v>0</v>
      </c>
    </row>
    <row r="277" spans="1:7" ht="12.75" hidden="1">
      <c r="A277" s="3">
        <f t="shared" si="26"/>
        <v>257</v>
      </c>
      <c r="B277" s="17">
        <f t="shared" si="27"/>
        <v>0</v>
      </c>
      <c r="C277" s="17">
        <f aca="true" t="shared" si="28" ref="C277:C340">IF(A277&lt;=$D$9,$D$14*-1,0)</f>
        <v>0</v>
      </c>
      <c r="D277" s="17">
        <f aca="true" t="shared" si="29" ref="D277:D340">IF(A277&gt;$D$9,0,$D$11*-1)</f>
        <v>0</v>
      </c>
      <c r="E277" s="20">
        <f aca="true" t="shared" si="30" ref="E277:E340">B277*$D$10</f>
        <v>0</v>
      </c>
      <c r="F277" s="17">
        <f aca="true" t="shared" si="31" ref="F277:F340">D277-E277</f>
        <v>0</v>
      </c>
      <c r="G277" s="18">
        <f aca="true" t="shared" si="32" ref="G277:G340">B277-F277</f>
        <v>0</v>
      </c>
    </row>
    <row r="278" spans="1:7" ht="12.75" hidden="1">
      <c r="A278" s="3">
        <f aca="true" t="shared" si="33" ref="A278:A341">A277+1</f>
        <v>258</v>
      </c>
      <c r="B278" s="17">
        <f aca="true" t="shared" si="34" ref="B278:B341">IF(A278&lt;=$D$9,G277,0)</f>
        <v>0</v>
      </c>
      <c r="C278" s="17">
        <f t="shared" si="28"/>
        <v>0</v>
      </c>
      <c r="D278" s="17">
        <f t="shared" si="29"/>
        <v>0</v>
      </c>
      <c r="E278" s="20">
        <f t="shared" si="30"/>
        <v>0</v>
      </c>
      <c r="F278" s="17">
        <f t="shared" si="31"/>
        <v>0</v>
      </c>
      <c r="G278" s="18">
        <f t="shared" si="32"/>
        <v>0</v>
      </c>
    </row>
    <row r="279" spans="1:7" ht="12.75" hidden="1">
      <c r="A279" s="3">
        <f t="shared" si="33"/>
        <v>259</v>
      </c>
      <c r="B279" s="17">
        <f t="shared" si="34"/>
        <v>0</v>
      </c>
      <c r="C279" s="17">
        <f t="shared" si="28"/>
        <v>0</v>
      </c>
      <c r="D279" s="17">
        <f t="shared" si="29"/>
        <v>0</v>
      </c>
      <c r="E279" s="20">
        <f t="shared" si="30"/>
        <v>0</v>
      </c>
      <c r="F279" s="17">
        <f t="shared" si="31"/>
        <v>0</v>
      </c>
      <c r="G279" s="18">
        <f t="shared" si="32"/>
        <v>0</v>
      </c>
    </row>
    <row r="280" spans="1:7" ht="12.75" hidden="1">
      <c r="A280" s="3">
        <f t="shared" si="33"/>
        <v>260</v>
      </c>
      <c r="B280" s="17">
        <f t="shared" si="34"/>
        <v>0</v>
      </c>
      <c r="C280" s="17">
        <f t="shared" si="28"/>
        <v>0</v>
      </c>
      <c r="D280" s="17">
        <f t="shared" si="29"/>
        <v>0</v>
      </c>
      <c r="E280" s="20">
        <f t="shared" si="30"/>
        <v>0</v>
      </c>
      <c r="F280" s="17">
        <f t="shared" si="31"/>
        <v>0</v>
      </c>
      <c r="G280" s="18">
        <f t="shared" si="32"/>
        <v>0</v>
      </c>
    </row>
    <row r="281" spans="1:7" ht="12.75" hidden="1">
      <c r="A281" s="3">
        <f t="shared" si="33"/>
        <v>261</v>
      </c>
      <c r="B281" s="17">
        <f t="shared" si="34"/>
        <v>0</v>
      </c>
      <c r="C281" s="17">
        <f t="shared" si="28"/>
        <v>0</v>
      </c>
      <c r="D281" s="17">
        <f t="shared" si="29"/>
        <v>0</v>
      </c>
      <c r="E281" s="20">
        <f t="shared" si="30"/>
        <v>0</v>
      </c>
      <c r="F281" s="17">
        <f t="shared" si="31"/>
        <v>0</v>
      </c>
      <c r="G281" s="18">
        <f t="shared" si="32"/>
        <v>0</v>
      </c>
    </row>
    <row r="282" spans="1:7" ht="12.75" hidden="1">
      <c r="A282" s="3">
        <f t="shared" si="33"/>
        <v>262</v>
      </c>
      <c r="B282" s="17">
        <f t="shared" si="34"/>
        <v>0</v>
      </c>
      <c r="C282" s="17">
        <f t="shared" si="28"/>
        <v>0</v>
      </c>
      <c r="D282" s="17">
        <f t="shared" si="29"/>
        <v>0</v>
      </c>
      <c r="E282" s="20">
        <f t="shared" si="30"/>
        <v>0</v>
      </c>
      <c r="F282" s="17">
        <f t="shared" si="31"/>
        <v>0</v>
      </c>
      <c r="G282" s="18">
        <f t="shared" si="32"/>
        <v>0</v>
      </c>
    </row>
    <row r="283" spans="1:7" ht="12.75" hidden="1">
      <c r="A283" s="3">
        <f t="shared" si="33"/>
        <v>263</v>
      </c>
      <c r="B283" s="17">
        <f t="shared" si="34"/>
        <v>0</v>
      </c>
      <c r="C283" s="17">
        <f t="shared" si="28"/>
        <v>0</v>
      </c>
      <c r="D283" s="17">
        <f t="shared" si="29"/>
        <v>0</v>
      </c>
      <c r="E283" s="20">
        <f t="shared" si="30"/>
        <v>0</v>
      </c>
      <c r="F283" s="17">
        <f t="shared" si="31"/>
        <v>0</v>
      </c>
      <c r="G283" s="18">
        <f t="shared" si="32"/>
        <v>0</v>
      </c>
    </row>
    <row r="284" spans="1:7" ht="12.75" hidden="1">
      <c r="A284" s="3">
        <f t="shared" si="33"/>
        <v>264</v>
      </c>
      <c r="B284" s="17">
        <f t="shared" si="34"/>
        <v>0</v>
      </c>
      <c r="C284" s="17">
        <f t="shared" si="28"/>
        <v>0</v>
      </c>
      <c r="D284" s="17">
        <f t="shared" si="29"/>
        <v>0</v>
      </c>
      <c r="E284" s="20">
        <f t="shared" si="30"/>
        <v>0</v>
      </c>
      <c r="F284" s="17">
        <f t="shared" si="31"/>
        <v>0</v>
      </c>
      <c r="G284" s="18">
        <f t="shared" si="32"/>
        <v>0</v>
      </c>
    </row>
    <row r="285" spans="1:7" ht="12.75" hidden="1">
      <c r="A285" s="3">
        <f t="shared" si="33"/>
        <v>265</v>
      </c>
      <c r="B285" s="17">
        <f t="shared" si="34"/>
        <v>0</v>
      </c>
      <c r="C285" s="17">
        <f t="shared" si="28"/>
        <v>0</v>
      </c>
      <c r="D285" s="17">
        <f t="shared" si="29"/>
        <v>0</v>
      </c>
      <c r="E285" s="20">
        <f t="shared" si="30"/>
        <v>0</v>
      </c>
      <c r="F285" s="17">
        <f t="shared" si="31"/>
        <v>0</v>
      </c>
      <c r="G285" s="18">
        <f t="shared" si="32"/>
        <v>0</v>
      </c>
    </row>
    <row r="286" spans="1:7" ht="12.75" hidden="1">
      <c r="A286" s="3">
        <f t="shared" si="33"/>
        <v>266</v>
      </c>
      <c r="B286" s="17">
        <f t="shared" si="34"/>
        <v>0</v>
      </c>
      <c r="C286" s="17">
        <f t="shared" si="28"/>
        <v>0</v>
      </c>
      <c r="D286" s="17">
        <f t="shared" si="29"/>
        <v>0</v>
      </c>
      <c r="E286" s="20">
        <f t="shared" si="30"/>
        <v>0</v>
      </c>
      <c r="F286" s="17">
        <f t="shared" si="31"/>
        <v>0</v>
      </c>
      <c r="G286" s="18">
        <f t="shared" si="32"/>
        <v>0</v>
      </c>
    </row>
    <row r="287" spans="1:7" ht="12.75" hidden="1">
      <c r="A287" s="3">
        <f t="shared" si="33"/>
        <v>267</v>
      </c>
      <c r="B287" s="17">
        <f t="shared" si="34"/>
        <v>0</v>
      </c>
      <c r="C287" s="17">
        <f t="shared" si="28"/>
        <v>0</v>
      </c>
      <c r="D287" s="17">
        <f t="shared" si="29"/>
        <v>0</v>
      </c>
      <c r="E287" s="20">
        <f t="shared" si="30"/>
        <v>0</v>
      </c>
      <c r="F287" s="17">
        <f t="shared" si="31"/>
        <v>0</v>
      </c>
      <c r="G287" s="18">
        <f t="shared" si="32"/>
        <v>0</v>
      </c>
    </row>
    <row r="288" spans="1:7" ht="12.75" hidden="1">
      <c r="A288" s="3">
        <f t="shared" si="33"/>
        <v>268</v>
      </c>
      <c r="B288" s="17">
        <f t="shared" si="34"/>
        <v>0</v>
      </c>
      <c r="C288" s="17">
        <f t="shared" si="28"/>
        <v>0</v>
      </c>
      <c r="D288" s="17">
        <f t="shared" si="29"/>
        <v>0</v>
      </c>
      <c r="E288" s="20">
        <f t="shared" si="30"/>
        <v>0</v>
      </c>
      <c r="F288" s="17">
        <f t="shared" si="31"/>
        <v>0</v>
      </c>
      <c r="G288" s="18">
        <f t="shared" si="32"/>
        <v>0</v>
      </c>
    </row>
    <row r="289" spans="1:7" ht="12.75" hidden="1">
      <c r="A289" s="3">
        <f t="shared" si="33"/>
        <v>269</v>
      </c>
      <c r="B289" s="17">
        <f t="shared" si="34"/>
        <v>0</v>
      </c>
      <c r="C289" s="17">
        <f t="shared" si="28"/>
        <v>0</v>
      </c>
      <c r="D289" s="17">
        <f t="shared" si="29"/>
        <v>0</v>
      </c>
      <c r="E289" s="20">
        <f t="shared" si="30"/>
        <v>0</v>
      </c>
      <c r="F289" s="17">
        <f t="shared" si="31"/>
        <v>0</v>
      </c>
      <c r="G289" s="18">
        <f t="shared" si="32"/>
        <v>0</v>
      </c>
    </row>
    <row r="290" spans="1:7" ht="12.75" hidden="1">
      <c r="A290" s="3">
        <f t="shared" si="33"/>
        <v>270</v>
      </c>
      <c r="B290" s="17">
        <f t="shared" si="34"/>
        <v>0</v>
      </c>
      <c r="C290" s="17">
        <f t="shared" si="28"/>
        <v>0</v>
      </c>
      <c r="D290" s="17">
        <f t="shared" si="29"/>
        <v>0</v>
      </c>
      <c r="E290" s="20">
        <f t="shared" si="30"/>
        <v>0</v>
      </c>
      <c r="F290" s="17">
        <f t="shared" si="31"/>
        <v>0</v>
      </c>
      <c r="G290" s="18">
        <f t="shared" si="32"/>
        <v>0</v>
      </c>
    </row>
    <row r="291" spans="1:7" ht="12.75" hidden="1">
      <c r="A291" s="3">
        <f t="shared" si="33"/>
        <v>271</v>
      </c>
      <c r="B291" s="17">
        <f t="shared" si="34"/>
        <v>0</v>
      </c>
      <c r="C291" s="17">
        <f t="shared" si="28"/>
        <v>0</v>
      </c>
      <c r="D291" s="17">
        <f t="shared" si="29"/>
        <v>0</v>
      </c>
      <c r="E291" s="20">
        <f t="shared" si="30"/>
        <v>0</v>
      </c>
      <c r="F291" s="17">
        <f t="shared" si="31"/>
        <v>0</v>
      </c>
      <c r="G291" s="18">
        <f t="shared" si="32"/>
        <v>0</v>
      </c>
    </row>
    <row r="292" spans="1:7" ht="12.75" hidden="1">
      <c r="A292" s="3">
        <f t="shared" si="33"/>
        <v>272</v>
      </c>
      <c r="B292" s="17">
        <f t="shared" si="34"/>
        <v>0</v>
      </c>
      <c r="C292" s="17">
        <f t="shared" si="28"/>
        <v>0</v>
      </c>
      <c r="D292" s="17">
        <f t="shared" si="29"/>
        <v>0</v>
      </c>
      <c r="E292" s="20">
        <f t="shared" si="30"/>
        <v>0</v>
      </c>
      <c r="F292" s="17">
        <f t="shared" si="31"/>
        <v>0</v>
      </c>
      <c r="G292" s="18">
        <f t="shared" si="32"/>
        <v>0</v>
      </c>
    </row>
    <row r="293" spans="1:7" ht="12.75" hidden="1">
      <c r="A293" s="3">
        <f t="shared" si="33"/>
        <v>273</v>
      </c>
      <c r="B293" s="17">
        <f t="shared" si="34"/>
        <v>0</v>
      </c>
      <c r="C293" s="17">
        <f t="shared" si="28"/>
        <v>0</v>
      </c>
      <c r="D293" s="17">
        <f t="shared" si="29"/>
        <v>0</v>
      </c>
      <c r="E293" s="20">
        <f t="shared" si="30"/>
        <v>0</v>
      </c>
      <c r="F293" s="17">
        <f t="shared" si="31"/>
        <v>0</v>
      </c>
      <c r="G293" s="18">
        <f t="shared" si="32"/>
        <v>0</v>
      </c>
    </row>
    <row r="294" spans="1:7" ht="12.75" hidden="1">
      <c r="A294" s="3">
        <f t="shared" si="33"/>
        <v>274</v>
      </c>
      <c r="B294" s="17">
        <f t="shared" si="34"/>
        <v>0</v>
      </c>
      <c r="C294" s="17">
        <f t="shared" si="28"/>
        <v>0</v>
      </c>
      <c r="D294" s="17">
        <f t="shared" si="29"/>
        <v>0</v>
      </c>
      <c r="E294" s="20">
        <f t="shared" si="30"/>
        <v>0</v>
      </c>
      <c r="F294" s="17">
        <f t="shared" si="31"/>
        <v>0</v>
      </c>
      <c r="G294" s="18">
        <f t="shared" si="32"/>
        <v>0</v>
      </c>
    </row>
    <row r="295" spans="1:7" ht="12.75" hidden="1">
      <c r="A295" s="3">
        <f t="shared" si="33"/>
        <v>275</v>
      </c>
      <c r="B295" s="17">
        <f t="shared" si="34"/>
        <v>0</v>
      </c>
      <c r="C295" s="17">
        <f t="shared" si="28"/>
        <v>0</v>
      </c>
      <c r="D295" s="17">
        <f t="shared" si="29"/>
        <v>0</v>
      </c>
      <c r="E295" s="20">
        <f t="shared" si="30"/>
        <v>0</v>
      </c>
      <c r="F295" s="17">
        <f t="shared" si="31"/>
        <v>0</v>
      </c>
      <c r="G295" s="18">
        <f t="shared" si="32"/>
        <v>0</v>
      </c>
    </row>
    <row r="296" spans="1:7" ht="12.75" hidden="1">
      <c r="A296" s="3">
        <f t="shared" si="33"/>
        <v>276</v>
      </c>
      <c r="B296" s="17">
        <f t="shared" si="34"/>
        <v>0</v>
      </c>
      <c r="C296" s="17">
        <f t="shared" si="28"/>
        <v>0</v>
      </c>
      <c r="D296" s="17">
        <f t="shared" si="29"/>
        <v>0</v>
      </c>
      <c r="E296" s="20">
        <f t="shared" si="30"/>
        <v>0</v>
      </c>
      <c r="F296" s="17">
        <f t="shared" si="31"/>
        <v>0</v>
      </c>
      <c r="G296" s="18">
        <f t="shared" si="32"/>
        <v>0</v>
      </c>
    </row>
    <row r="297" spans="1:7" ht="12.75" hidden="1">
      <c r="A297" s="3">
        <f t="shared" si="33"/>
        <v>277</v>
      </c>
      <c r="B297" s="17">
        <f t="shared" si="34"/>
        <v>0</v>
      </c>
      <c r="C297" s="17">
        <f t="shared" si="28"/>
        <v>0</v>
      </c>
      <c r="D297" s="17">
        <f t="shared" si="29"/>
        <v>0</v>
      </c>
      <c r="E297" s="20">
        <f t="shared" si="30"/>
        <v>0</v>
      </c>
      <c r="F297" s="17">
        <f t="shared" si="31"/>
        <v>0</v>
      </c>
      <c r="G297" s="18">
        <f t="shared" si="32"/>
        <v>0</v>
      </c>
    </row>
    <row r="298" spans="1:7" ht="12.75" hidden="1">
      <c r="A298" s="3">
        <f t="shared" si="33"/>
        <v>278</v>
      </c>
      <c r="B298" s="17">
        <f t="shared" si="34"/>
        <v>0</v>
      </c>
      <c r="C298" s="17">
        <f t="shared" si="28"/>
        <v>0</v>
      </c>
      <c r="D298" s="17">
        <f t="shared" si="29"/>
        <v>0</v>
      </c>
      <c r="E298" s="20">
        <f t="shared" si="30"/>
        <v>0</v>
      </c>
      <c r="F298" s="17">
        <f t="shared" si="31"/>
        <v>0</v>
      </c>
      <c r="G298" s="18">
        <f t="shared" si="32"/>
        <v>0</v>
      </c>
    </row>
    <row r="299" spans="1:7" ht="12.75" hidden="1">
      <c r="A299" s="3">
        <f t="shared" si="33"/>
        <v>279</v>
      </c>
      <c r="B299" s="17">
        <f t="shared" si="34"/>
        <v>0</v>
      </c>
      <c r="C299" s="17">
        <f t="shared" si="28"/>
        <v>0</v>
      </c>
      <c r="D299" s="17">
        <f t="shared" si="29"/>
        <v>0</v>
      </c>
      <c r="E299" s="20">
        <f t="shared" si="30"/>
        <v>0</v>
      </c>
      <c r="F299" s="17">
        <f t="shared" si="31"/>
        <v>0</v>
      </c>
      <c r="G299" s="18">
        <f t="shared" si="32"/>
        <v>0</v>
      </c>
    </row>
    <row r="300" spans="1:7" ht="12.75" hidden="1">
      <c r="A300" s="3">
        <f t="shared" si="33"/>
        <v>280</v>
      </c>
      <c r="B300" s="17">
        <f t="shared" si="34"/>
        <v>0</v>
      </c>
      <c r="C300" s="17">
        <f t="shared" si="28"/>
        <v>0</v>
      </c>
      <c r="D300" s="17">
        <f t="shared" si="29"/>
        <v>0</v>
      </c>
      <c r="E300" s="20">
        <f t="shared" si="30"/>
        <v>0</v>
      </c>
      <c r="F300" s="17">
        <f t="shared" si="31"/>
        <v>0</v>
      </c>
      <c r="G300" s="18">
        <f t="shared" si="32"/>
        <v>0</v>
      </c>
    </row>
    <row r="301" spans="1:7" ht="12.75" hidden="1">
      <c r="A301" s="3">
        <f t="shared" si="33"/>
        <v>281</v>
      </c>
      <c r="B301" s="17">
        <f t="shared" si="34"/>
        <v>0</v>
      </c>
      <c r="C301" s="17">
        <f t="shared" si="28"/>
        <v>0</v>
      </c>
      <c r="D301" s="17">
        <f t="shared" si="29"/>
        <v>0</v>
      </c>
      <c r="E301" s="20">
        <f t="shared" si="30"/>
        <v>0</v>
      </c>
      <c r="F301" s="17">
        <f t="shared" si="31"/>
        <v>0</v>
      </c>
      <c r="G301" s="18">
        <f t="shared" si="32"/>
        <v>0</v>
      </c>
    </row>
    <row r="302" spans="1:7" ht="12.75" hidden="1">
      <c r="A302" s="3">
        <f t="shared" si="33"/>
        <v>282</v>
      </c>
      <c r="B302" s="17">
        <f t="shared" si="34"/>
        <v>0</v>
      </c>
      <c r="C302" s="17">
        <f t="shared" si="28"/>
        <v>0</v>
      </c>
      <c r="D302" s="17">
        <f t="shared" si="29"/>
        <v>0</v>
      </c>
      <c r="E302" s="20">
        <f t="shared" si="30"/>
        <v>0</v>
      </c>
      <c r="F302" s="17">
        <f t="shared" si="31"/>
        <v>0</v>
      </c>
      <c r="G302" s="18">
        <f t="shared" si="32"/>
        <v>0</v>
      </c>
    </row>
    <row r="303" spans="1:7" ht="12.75" hidden="1">
      <c r="A303" s="3">
        <f t="shared" si="33"/>
        <v>283</v>
      </c>
      <c r="B303" s="17">
        <f t="shared" si="34"/>
        <v>0</v>
      </c>
      <c r="C303" s="17">
        <f t="shared" si="28"/>
        <v>0</v>
      </c>
      <c r="D303" s="17">
        <f t="shared" si="29"/>
        <v>0</v>
      </c>
      <c r="E303" s="20">
        <f t="shared" si="30"/>
        <v>0</v>
      </c>
      <c r="F303" s="17">
        <f t="shared" si="31"/>
        <v>0</v>
      </c>
      <c r="G303" s="18">
        <f t="shared" si="32"/>
        <v>0</v>
      </c>
    </row>
    <row r="304" spans="1:7" ht="12.75" hidden="1">
      <c r="A304" s="3">
        <f t="shared" si="33"/>
        <v>284</v>
      </c>
      <c r="B304" s="17">
        <f t="shared" si="34"/>
        <v>0</v>
      </c>
      <c r="C304" s="17">
        <f t="shared" si="28"/>
        <v>0</v>
      </c>
      <c r="D304" s="17">
        <f t="shared" si="29"/>
        <v>0</v>
      </c>
      <c r="E304" s="20">
        <f t="shared" si="30"/>
        <v>0</v>
      </c>
      <c r="F304" s="17">
        <f t="shared" si="31"/>
        <v>0</v>
      </c>
      <c r="G304" s="18">
        <f t="shared" si="32"/>
        <v>0</v>
      </c>
    </row>
    <row r="305" spans="1:7" ht="12.75" hidden="1">
      <c r="A305" s="3">
        <f t="shared" si="33"/>
        <v>285</v>
      </c>
      <c r="B305" s="17">
        <f t="shared" si="34"/>
        <v>0</v>
      </c>
      <c r="C305" s="17">
        <f t="shared" si="28"/>
        <v>0</v>
      </c>
      <c r="D305" s="17">
        <f t="shared" si="29"/>
        <v>0</v>
      </c>
      <c r="E305" s="20">
        <f t="shared" si="30"/>
        <v>0</v>
      </c>
      <c r="F305" s="17">
        <f t="shared" si="31"/>
        <v>0</v>
      </c>
      <c r="G305" s="18">
        <f t="shared" si="32"/>
        <v>0</v>
      </c>
    </row>
    <row r="306" spans="1:7" ht="12.75" hidden="1">
      <c r="A306" s="3">
        <f t="shared" si="33"/>
        <v>286</v>
      </c>
      <c r="B306" s="17">
        <f t="shared" si="34"/>
        <v>0</v>
      </c>
      <c r="C306" s="17">
        <f t="shared" si="28"/>
        <v>0</v>
      </c>
      <c r="D306" s="17">
        <f t="shared" si="29"/>
        <v>0</v>
      </c>
      <c r="E306" s="20">
        <f t="shared" si="30"/>
        <v>0</v>
      </c>
      <c r="F306" s="17">
        <f t="shared" si="31"/>
        <v>0</v>
      </c>
      <c r="G306" s="18">
        <f t="shared" si="32"/>
        <v>0</v>
      </c>
    </row>
    <row r="307" spans="1:7" ht="12.75" hidden="1">
      <c r="A307" s="3">
        <f t="shared" si="33"/>
        <v>287</v>
      </c>
      <c r="B307" s="17">
        <f t="shared" si="34"/>
        <v>0</v>
      </c>
      <c r="C307" s="17">
        <f t="shared" si="28"/>
        <v>0</v>
      </c>
      <c r="D307" s="17">
        <f t="shared" si="29"/>
        <v>0</v>
      </c>
      <c r="E307" s="20">
        <f t="shared" si="30"/>
        <v>0</v>
      </c>
      <c r="F307" s="17">
        <f t="shared" si="31"/>
        <v>0</v>
      </c>
      <c r="G307" s="18">
        <f t="shared" si="32"/>
        <v>0</v>
      </c>
    </row>
    <row r="308" spans="1:7" ht="12.75" hidden="1">
      <c r="A308" s="3">
        <f t="shared" si="33"/>
        <v>288</v>
      </c>
      <c r="B308" s="17">
        <f t="shared" si="34"/>
        <v>0</v>
      </c>
      <c r="C308" s="17">
        <f t="shared" si="28"/>
        <v>0</v>
      </c>
      <c r="D308" s="17">
        <f t="shared" si="29"/>
        <v>0</v>
      </c>
      <c r="E308" s="20">
        <f t="shared" si="30"/>
        <v>0</v>
      </c>
      <c r="F308" s="17">
        <f t="shared" si="31"/>
        <v>0</v>
      </c>
      <c r="G308" s="18">
        <f t="shared" si="32"/>
        <v>0</v>
      </c>
    </row>
    <row r="309" spans="1:7" ht="12.75" hidden="1">
      <c r="A309" s="3">
        <f t="shared" si="33"/>
        <v>289</v>
      </c>
      <c r="B309" s="17">
        <f t="shared" si="34"/>
        <v>0</v>
      </c>
      <c r="C309" s="17">
        <f t="shared" si="28"/>
        <v>0</v>
      </c>
      <c r="D309" s="17">
        <f t="shared" si="29"/>
        <v>0</v>
      </c>
      <c r="E309" s="20">
        <f t="shared" si="30"/>
        <v>0</v>
      </c>
      <c r="F309" s="17">
        <f t="shared" si="31"/>
        <v>0</v>
      </c>
      <c r="G309" s="18">
        <f t="shared" si="32"/>
        <v>0</v>
      </c>
    </row>
    <row r="310" spans="1:7" ht="12.75" hidden="1">
      <c r="A310" s="3">
        <f t="shared" si="33"/>
        <v>290</v>
      </c>
      <c r="B310" s="17">
        <f t="shared" si="34"/>
        <v>0</v>
      </c>
      <c r="C310" s="17">
        <f t="shared" si="28"/>
        <v>0</v>
      </c>
      <c r="D310" s="17">
        <f t="shared" si="29"/>
        <v>0</v>
      </c>
      <c r="E310" s="20">
        <f t="shared" si="30"/>
        <v>0</v>
      </c>
      <c r="F310" s="17">
        <f t="shared" si="31"/>
        <v>0</v>
      </c>
      <c r="G310" s="18">
        <f t="shared" si="32"/>
        <v>0</v>
      </c>
    </row>
    <row r="311" spans="1:7" ht="12.75" hidden="1">
      <c r="A311" s="3">
        <f t="shared" si="33"/>
        <v>291</v>
      </c>
      <c r="B311" s="17">
        <f t="shared" si="34"/>
        <v>0</v>
      </c>
      <c r="C311" s="17">
        <f t="shared" si="28"/>
        <v>0</v>
      </c>
      <c r="D311" s="17">
        <f t="shared" si="29"/>
        <v>0</v>
      </c>
      <c r="E311" s="20">
        <f t="shared" si="30"/>
        <v>0</v>
      </c>
      <c r="F311" s="17">
        <f t="shared" si="31"/>
        <v>0</v>
      </c>
      <c r="G311" s="18">
        <f t="shared" si="32"/>
        <v>0</v>
      </c>
    </row>
    <row r="312" spans="1:7" ht="12.75" hidden="1">
      <c r="A312" s="3">
        <f t="shared" si="33"/>
        <v>292</v>
      </c>
      <c r="B312" s="17">
        <f t="shared" si="34"/>
        <v>0</v>
      </c>
      <c r="C312" s="17">
        <f t="shared" si="28"/>
        <v>0</v>
      </c>
      <c r="D312" s="17">
        <f t="shared" si="29"/>
        <v>0</v>
      </c>
      <c r="E312" s="20">
        <f t="shared" si="30"/>
        <v>0</v>
      </c>
      <c r="F312" s="17">
        <f t="shared" si="31"/>
        <v>0</v>
      </c>
      <c r="G312" s="18">
        <f t="shared" si="32"/>
        <v>0</v>
      </c>
    </row>
    <row r="313" spans="1:7" ht="12.75" hidden="1">
      <c r="A313" s="3">
        <f t="shared" si="33"/>
        <v>293</v>
      </c>
      <c r="B313" s="17">
        <f t="shared" si="34"/>
        <v>0</v>
      </c>
      <c r="C313" s="17">
        <f t="shared" si="28"/>
        <v>0</v>
      </c>
      <c r="D313" s="17">
        <f t="shared" si="29"/>
        <v>0</v>
      </c>
      <c r="E313" s="20">
        <f t="shared" si="30"/>
        <v>0</v>
      </c>
      <c r="F313" s="17">
        <f t="shared" si="31"/>
        <v>0</v>
      </c>
      <c r="G313" s="18">
        <f t="shared" si="32"/>
        <v>0</v>
      </c>
    </row>
    <row r="314" spans="1:7" ht="12.75" hidden="1">
      <c r="A314" s="3">
        <f t="shared" si="33"/>
        <v>294</v>
      </c>
      <c r="B314" s="17">
        <f t="shared" si="34"/>
        <v>0</v>
      </c>
      <c r="C314" s="17">
        <f t="shared" si="28"/>
        <v>0</v>
      </c>
      <c r="D314" s="17">
        <f t="shared" si="29"/>
        <v>0</v>
      </c>
      <c r="E314" s="20">
        <f t="shared" si="30"/>
        <v>0</v>
      </c>
      <c r="F314" s="17">
        <f t="shared" si="31"/>
        <v>0</v>
      </c>
      <c r="G314" s="18">
        <f t="shared" si="32"/>
        <v>0</v>
      </c>
    </row>
    <row r="315" spans="1:7" ht="12.75" hidden="1">
      <c r="A315" s="3">
        <f t="shared" si="33"/>
        <v>295</v>
      </c>
      <c r="B315" s="17">
        <f t="shared" si="34"/>
        <v>0</v>
      </c>
      <c r="C315" s="17">
        <f t="shared" si="28"/>
        <v>0</v>
      </c>
      <c r="D315" s="17">
        <f t="shared" si="29"/>
        <v>0</v>
      </c>
      <c r="E315" s="20">
        <f t="shared" si="30"/>
        <v>0</v>
      </c>
      <c r="F315" s="17">
        <f t="shared" si="31"/>
        <v>0</v>
      </c>
      <c r="G315" s="18">
        <f t="shared" si="32"/>
        <v>0</v>
      </c>
    </row>
    <row r="316" spans="1:7" ht="12.75" hidden="1">
      <c r="A316" s="3">
        <f t="shared" si="33"/>
        <v>296</v>
      </c>
      <c r="B316" s="17">
        <f t="shared" si="34"/>
        <v>0</v>
      </c>
      <c r="C316" s="17">
        <f t="shared" si="28"/>
        <v>0</v>
      </c>
      <c r="D316" s="17">
        <f t="shared" si="29"/>
        <v>0</v>
      </c>
      <c r="E316" s="20">
        <f t="shared" si="30"/>
        <v>0</v>
      </c>
      <c r="F316" s="17">
        <f t="shared" si="31"/>
        <v>0</v>
      </c>
      <c r="G316" s="18">
        <f t="shared" si="32"/>
        <v>0</v>
      </c>
    </row>
    <row r="317" spans="1:7" ht="12.75" hidden="1">
      <c r="A317" s="3">
        <f t="shared" si="33"/>
        <v>297</v>
      </c>
      <c r="B317" s="17">
        <f t="shared" si="34"/>
        <v>0</v>
      </c>
      <c r="C317" s="17">
        <f t="shared" si="28"/>
        <v>0</v>
      </c>
      <c r="D317" s="17">
        <f t="shared" si="29"/>
        <v>0</v>
      </c>
      <c r="E317" s="20">
        <f t="shared" si="30"/>
        <v>0</v>
      </c>
      <c r="F317" s="17">
        <f t="shared" si="31"/>
        <v>0</v>
      </c>
      <c r="G317" s="18">
        <f t="shared" si="32"/>
        <v>0</v>
      </c>
    </row>
    <row r="318" spans="1:7" ht="12.75" hidden="1">
      <c r="A318" s="3">
        <f t="shared" si="33"/>
        <v>298</v>
      </c>
      <c r="B318" s="17">
        <f t="shared" si="34"/>
        <v>0</v>
      </c>
      <c r="C318" s="17">
        <f t="shared" si="28"/>
        <v>0</v>
      </c>
      <c r="D318" s="17">
        <f t="shared" si="29"/>
        <v>0</v>
      </c>
      <c r="E318" s="20">
        <f t="shared" si="30"/>
        <v>0</v>
      </c>
      <c r="F318" s="17">
        <f t="shared" si="31"/>
        <v>0</v>
      </c>
      <c r="G318" s="18">
        <f t="shared" si="32"/>
        <v>0</v>
      </c>
    </row>
    <row r="319" spans="1:7" ht="12.75" hidden="1">
      <c r="A319" s="3">
        <f t="shared" si="33"/>
        <v>299</v>
      </c>
      <c r="B319" s="17">
        <f t="shared" si="34"/>
        <v>0</v>
      </c>
      <c r="C319" s="17">
        <f t="shared" si="28"/>
        <v>0</v>
      </c>
      <c r="D319" s="17">
        <f t="shared" si="29"/>
        <v>0</v>
      </c>
      <c r="E319" s="20">
        <f t="shared" si="30"/>
        <v>0</v>
      </c>
      <c r="F319" s="17">
        <f t="shared" si="31"/>
        <v>0</v>
      </c>
      <c r="G319" s="18">
        <f t="shared" si="32"/>
        <v>0</v>
      </c>
    </row>
    <row r="320" spans="1:7" ht="12.75" hidden="1">
      <c r="A320" s="3">
        <f t="shared" si="33"/>
        <v>300</v>
      </c>
      <c r="B320" s="17">
        <f t="shared" si="34"/>
        <v>0</v>
      </c>
      <c r="C320" s="17">
        <f t="shared" si="28"/>
        <v>0</v>
      </c>
      <c r="D320" s="17">
        <f t="shared" si="29"/>
        <v>0</v>
      </c>
      <c r="E320" s="20">
        <f t="shared" si="30"/>
        <v>0</v>
      </c>
      <c r="F320" s="17">
        <f t="shared" si="31"/>
        <v>0</v>
      </c>
      <c r="G320" s="18">
        <f t="shared" si="32"/>
        <v>0</v>
      </c>
    </row>
    <row r="321" spans="1:7" ht="12.75" hidden="1">
      <c r="A321" s="3">
        <f t="shared" si="33"/>
        <v>301</v>
      </c>
      <c r="B321" s="17">
        <f t="shared" si="34"/>
        <v>0</v>
      </c>
      <c r="C321" s="17">
        <f t="shared" si="28"/>
        <v>0</v>
      </c>
      <c r="D321" s="17">
        <f t="shared" si="29"/>
        <v>0</v>
      </c>
      <c r="E321" s="20">
        <f t="shared" si="30"/>
        <v>0</v>
      </c>
      <c r="F321" s="17">
        <f t="shared" si="31"/>
        <v>0</v>
      </c>
      <c r="G321" s="18">
        <f t="shared" si="32"/>
        <v>0</v>
      </c>
    </row>
    <row r="322" spans="1:7" ht="12.75" hidden="1">
      <c r="A322" s="3">
        <f t="shared" si="33"/>
        <v>302</v>
      </c>
      <c r="B322" s="17">
        <f t="shared" si="34"/>
        <v>0</v>
      </c>
      <c r="C322" s="17">
        <f t="shared" si="28"/>
        <v>0</v>
      </c>
      <c r="D322" s="17">
        <f t="shared" si="29"/>
        <v>0</v>
      </c>
      <c r="E322" s="20">
        <f t="shared" si="30"/>
        <v>0</v>
      </c>
      <c r="F322" s="17">
        <f t="shared" si="31"/>
        <v>0</v>
      </c>
      <c r="G322" s="18">
        <f t="shared" si="32"/>
        <v>0</v>
      </c>
    </row>
    <row r="323" spans="1:7" ht="12.75" hidden="1">
      <c r="A323" s="3">
        <f t="shared" si="33"/>
        <v>303</v>
      </c>
      <c r="B323" s="17">
        <f t="shared" si="34"/>
        <v>0</v>
      </c>
      <c r="C323" s="17">
        <f t="shared" si="28"/>
        <v>0</v>
      </c>
      <c r="D323" s="17">
        <f t="shared" si="29"/>
        <v>0</v>
      </c>
      <c r="E323" s="20">
        <f t="shared" si="30"/>
        <v>0</v>
      </c>
      <c r="F323" s="17">
        <f t="shared" si="31"/>
        <v>0</v>
      </c>
      <c r="G323" s="18">
        <f t="shared" si="32"/>
        <v>0</v>
      </c>
    </row>
    <row r="324" spans="1:7" ht="12.75" hidden="1">
      <c r="A324" s="3">
        <f t="shared" si="33"/>
        <v>304</v>
      </c>
      <c r="B324" s="17">
        <f t="shared" si="34"/>
        <v>0</v>
      </c>
      <c r="C324" s="17">
        <f t="shared" si="28"/>
        <v>0</v>
      </c>
      <c r="D324" s="17">
        <f t="shared" si="29"/>
        <v>0</v>
      </c>
      <c r="E324" s="20">
        <f t="shared" si="30"/>
        <v>0</v>
      </c>
      <c r="F324" s="17">
        <f t="shared" si="31"/>
        <v>0</v>
      </c>
      <c r="G324" s="18">
        <f t="shared" si="32"/>
        <v>0</v>
      </c>
    </row>
    <row r="325" spans="1:7" ht="12.75" hidden="1">
      <c r="A325" s="3">
        <f t="shared" si="33"/>
        <v>305</v>
      </c>
      <c r="B325" s="17">
        <f t="shared" si="34"/>
        <v>0</v>
      </c>
      <c r="C325" s="17">
        <f t="shared" si="28"/>
        <v>0</v>
      </c>
      <c r="D325" s="17">
        <f t="shared" si="29"/>
        <v>0</v>
      </c>
      <c r="E325" s="20">
        <f t="shared" si="30"/>
        <v>0</v>
      </c>
      <c r="F325" s="17">
        <f t="shared" si="31"/>
        <v>0</v>
      </c>
      <c r="G325" s="18">
        <f t="shared" si="32"/>
        <v>0</v>
      </c>
    </row>
    <row r="326" spans="1:7" ht="12.75" hidden="1">
      <c r="A326" s="3">
        <f t="shared" si="33"/>
        <v>306</v>
      </c>
      <c r="B326" s="17">
        <f t="shared" si="34"/>
        <v>0</v>
      </c>
      <c r="C326" s="17">
        <f t="shared" si="28"/>
        <v>0</v>
      </c>
      <c r="D326" s="17">
        <f t="shared" si="29"/>
        <v>0</v>
      </c>
      <c r="E326" s="20">
        <f t="shared" si="30"/>
        <v>0</v>
      </c>
      <c r="F326" s="17">
        <f t="shared" si="31"/>
        <v>0</v>
      </c>
      <c r="G326" s="18">
        <f t="shared" si="32"/>
        <v>0</v>
      </c>
    </row>
    <row r="327" spans="1:7" ht="12.75" hidden="1">
      <c r="A327" s="3">
        <f t="shared" si="33"/>
        <v>307</v>
      </c>
      <c r="B327" s="17">
        <f t="shared" si="34"/>
        <v>0</v>
      </c>
      <c r="C327" s="17">
        <f t="shared" si="28"/>
        <v>0</v>
      </c>
      <c r="D327" s="17">
        <f t="shared" si="29"/>
        <v>0</v>
      </c>
      <c r="E327" s="20">
        <f t="shared" si="30"/>
        <v>0</v>
      </c>
      <c r="F327" s="17">
        <f t="shared" si="31"/>
        <v>0</v>
      </c>
      <c r="G327" s="18">
        <f t="shared" si="32"/>
        <v>0</v>
      </c>
    </row>
    <row r="328" spans="1:7" ht="12.75" hidden="1">
      <c r="A328" s="3">
        <f t="shared" si="33"/>
        <v>308</v>
      </c>
      <c r="B328" s="17">
        <f t="shared" si="34"/>
        <v>0</v>
      </c>
      <c r="C328" s="17">
        <f t="shared" si="28"/>
        <v>0</v>
      </c>
      <c r="D328" s="17">
        <f t="shared" si="29"/>
        <v>0</v>
      </c>
      <c r="E328" s="20">
        <f t="shared" si="30"/>
        <v>0</v>
      </c>
      <c r="F328" s="17">
        <f t="shared" si="31"/>
        <v>0</v>
      </c>
      <c r="G328" s="18">
        <f t="shared" si="32"/>
        <v>0</v>
      </c>
    </row>
    <row r="329" spans="1:7" ht="12.75" hidden="1">
      <c r="A329" s="3">
        <f t="shared" si="33"/>
        <v>309</v>
      </c>
      <c r="B329" s="17">
        <f t="shared" si="34"/>
        <v>0</v>
      </c>
      <c r="C329" s="17">
        <f t="shared" si="28"/>
        <v>0</v>
      </c>
      <c r="D329" s="17">
        <f t="shared" si="29"/>
        <v>0</v>
      </c>
      <c r="E329" s="20">
        <f t="shared" si="30"/>
        <v>0</v>
      </c>
      <c r="F329" s="17">
        <f t="shared" si="31"/>
        <v>0</v>
      </c>
      <c r="G329" s="18">
        <f t="shared" si="32"/>
        <v>0</v>
      </c>
    </row>
    <row r="330" spans="1:7" ht="12.75" hidden="1">
      <c r="A330" s="3">
        <f t="shared" si="33"/>
        <v>310</v>
      </c>
      <c r="B330" s="17">
        <f t="shared" si="34"/>
        <v>0</v>
      </c>
      <c r="C330" s="17">
        <f t="shared" si="28"/>
        <v>0</v>
      </c>
      <c r="D330" s="17">
        <f t="shared" si="29"/>
        <v>0</v>
      </c>
      <c r="E330" s="20">
        <f t="shared" si="30"/>
        <v>0</v>
      </c>
      <c r="F330" s="17">
        <f t="shared" si="31"/>
        <v>0</v>
      </c>
      <c r="G330" s="18">
        <f t="shared" si="32"/>
        <v>0</v>
      </c>
    </row>
    <row r="331" spans="1:7" ht="12.75" hidden="1">
      <c r="A331" s="3">
        <f t="shared" si="33"/>
        <v>311</v>
      </c>
      <c r="B331" s="17">
        <f t="shared" si="34"/>
        <v>0</v>
      </c>
      <c r="C331" s="17">
        <f t="shared" si="28"/>
        <v>0</v>
      </c>
      <c r="D331" s="17">
        <f t="shared" si="29"/>
        <v>0</v>
      </c>
      <c r="E331" s="20">
        <f t="shared" si="30"/>
        <v>0</v>
      </c>
      <c r="F331" s="17">
        <f t="shared" si="31"/>
        <v>0</v>
      </c>
      <c r="G331" s="18">
        <f t="shared" si="32"/>
        <v>0</v>
      </c>
    </row>
    <row r="332" spans="1:7" ht="12.75" hidden="1">
      <c r="A332" s="3">
        <f t="shared" si="33"/>
        <v>312</v>
      </c>
      <c r="B332" s="17">
        <f t="shared" si="34"/>
        <v>0</v>
      </c>
      <c r="C332" s="17">
        <f t="shared" si="28"/>
        <v>0</v>
      </c>
      <c r="D332" s="17">
        <f t="shared" si="29"/>
        <v>0</v>
      </c>
      <c r="E332" s="20">
        <f t="shared" si="30"/>
        <v>0</v>
      </c>
      <c r="F332" s="17">
        <f t="shared" si="31"/>
        <v>0</v>
      </c>
      <c r="G332" s="18">
        <f t="shared" si="32"/>
        <v>0</v>
      </c>
    </row>
    <row r="333" spans="1:7" ht="12.75" hidden="1">
      <c r="A333" s="3">
        <f t="shared" si="33"/>
        <v>313</v>
      </c>
      <c r="B333" s="17">
        <f t="shared" si="34"/>
        <v>0</v>
      </c>
      <c r="C333" s="17">
        <f t="shared" si="28"/>
        <v>0</v>
      </c>
      <c r="D333" s="17">
        <f t="shared" si="29"/>
        <v>0</v>
      </c>
      <c r="E333" s="20">
        <f t="shared" si="30"/>
        <v>0</v>
      </c>
      <c r="F333" s="17">
        <f t="shared" si="31"/>
        <v>0</v>
      </c>
      <c r="G333" s="18">
        <f t="shared" si="32"/>
        <v>0</v>
      </c>
    </row>
    <row r="334" spans="1:7" ht="12.75" hidden="1">
      <c r="A334" s="3">
        <f t="shared" si="33"/>
        <v>314</v>
      </c>
      <c r="B334" s="17">
        <f t="shared" si="34"/>
        <v>0</v>
      </c>
      <c r="C334" s="17">
        <f t="shared" si="28"/>
        <v>0</v>
      </c>
      <c r="D334" s="17">
        <f t="shared" si="29"/>
        <v>0</v>
      </c>
      <c r="E334" s="20">
        <f t="shared" si="30"/>
        <v>0</v>
      </c>
      <c r="F334" s="17">
        <f t="shared" si="31"/>
        <v>0</v>
      </c>
      <c r="G334" s="18">
        <f t="shared" si="32"/>
        <v>0</v>
      </c>
    </row>
    <row r="335" spans="1:7" ht="12.75" hidden="1">
      <c r="A335" s="3">
        <f t="shared" si="33"/>
        <v>315</v>
      </c>
      <c r="B335" s="17">
        <f t="shared" si="34"/>
        <v>0</v>
      </c>
      <c r="C335" s="17">
        <f t="shared" si="28"/>
        <v>0</v>
      </c>
      <c r="D335" s="17">
        <f t="shared" si="29"/>
        <v>0</v>
      </c>
      <c r="E335" s="20">
        <f t="shared" si="30"/>
        <v>0</v>
      </c>
      <c r="F335" s="17">
        <f t="shared" si="31"/>
        <v>0</v>
      </c>
      <c r="G335" s="18">
        <f t="shared" si="32"/>
        <v>0</v>
      </c>
    </row>
    <row r="336" spans="1:7" ht="12.75" hidden="1">
      <c r="A336" s="3">
        <f t="shared" si="33"/>
        <v>316</v>
      </c>
      <c r="B336" s="17">
        <f t="shared" si="34"/>
        <v>0</v>
      </c>
      <c r="C336" s="17">
        <f t="shared" si="28"/>
        <v>0</v>
      </c>
      <c r="D336" s="17">
        <f t="shared" si="29"/>
        <v>0</v>
      </c>
      <c r="E336" s="20">
        <f t="shared" si="30"/>
        <v>0</v>
      </c>
      <c r="F336" s="17">
        <f t="shared" si="31"/>
        <v>0</v>
      </c>
      <c r="G336" s="18">
        <f t="shared" si="32"/>
        <v>0</v>
      </c>
    </row>
    <row r="337" spans="1:7" ht="12.75" hidden="1">
      <c r="A337" s="3">
        <f t="shared" si="33"/>
        <v>317</v>
      </c>
      <c r="B337" s="17">
        <f t="shared" si="34"/>
        <v>0</v>
      </c>
      <c r="C337" s="17">
        <f t="shared" si="28"/>
        <v>0</v>
      </c>
      <c r="D337" s="17">
        <f t="shared" si="29"/>
        <v>0</v>
      </c>
      <c r="E337" s="20">
        <f t="shared" si="30"/>
        <v>0</v>
      </c>
      <c r="F337" s="17">
        <f t="shared" si="31"/>
        <v>0</v>
      </c>
      <c r="G337" s="18">
        <f t="shared" si="32"/>
        <v>0</v>
      </c>
    </row>
    <row r="338" spans="1:7" ht="12.75" hidden="1">
      <c r="A338" s="3">
        <f t="shared" si="33"/>
        <v>318</v>
      </c>
      <c r="B338" s="17">
        <f t="shared" si="34"/>
        <v>0</v>
      </c>
      <c r="C338" s="17">
        <f t="shared" si="28"/>
        <v>0</v>
      </c>
      <c r="D338" s="17">
        <f t="shared" si="29"/>
        <v>0</v>
      </c>
      <c r="E338" s="20">
        <f t="shared" si="30"/>
        <v>0</v>
      </c>
      <c r="F338" s="17">
        <f t="shared" si="31"/>
        <v>0</v>
      </c>
      <c r="G338" s="18">
        <f t="shared" si="32"/>
        <v>0</v>
      </c>
    </row>
    <row r="339" spans="1:7" ht="12.75" hidden="1">
      <c r="A339" s="3">
        <f t="shared" si="33"/>
        <v>319</v>
      </c>
      <c r="B339" s="17">
        <f t="shared" si="34"/>
        <v>0</v>
      </c>
      <c r="C339" s="17">
        <f t="shared" si="28"/>
        <v>0</v>
      </c>
      <c r="D339" s="17">
        <f t="shared" si="29"/>
        <v>0</v>
      </c>
      <c r="E339" s="20">
        <f t="shared" si="30"/>
        <v>0</v>
      </c>
      <c r="F339" s="17">
        <f t="shared" si="31"/>
        <v>0</v>
      </c>
      <c r="G339" s="18">
        <f t="shared" si="32"/>
        <v>0</v>
      </c>
    </row>
    <row r="340" spans="1:7" ht="12.75" hidden="1">
      <c r="A340" s="3">
        <f t="shared" si="33"/>
        <v>320</v>
      </c>
      <c r="B340" s="17">
        <f t="shared" si="34"/>
        <v>0</v>
      </c>
      <c r="C340" s="17">
        <f t="shared" si="28"/>
        <v>0</v>
      </c>
      <c r="D340" s="17">
        <f t="shared" si="29"/>
        <v>0</v>
      </c>
      <c r="E340" s="20">
        <f t="shared" si="30"/>
        <v>0</v>
      </c>
      <c r="F340" s="17">
        <f t="shared" si="31"/>
        <v>0</v>
      </c>
      <c r="G340" s="18">
        <f t="shared" si="32"/>
        <v>0</v>
      </c>
    </row>
    <row r="341" spans="1:7" ht="12.75" hidden="1">
      <c r="A341" s="3">
        <f t="shared" si="33"/>
        <v>321</v>
      </c>
      <c r="B341" s="17">
        <f t="shared" si="34"/>
        <v>0</v>
      </c>
      <c r="C341" s="17">
        <f aca="true" t="shared" si="35" ref="C341:C380">IF(A341&lt;=$D$9,$D$14*-1,0)</f>
        <v>0</v>
      </c>
      <c r="D341" s="17">
        <f aca="true" t="shared" si="36" ref="D341:D380">IF(A341&gt;$D$9,0,$D$11*-1)</f>
        <v>0</v>
      </c>
      <c r="E341" s="20">
        <f aca="true" t="shared" si="37" ref="E341:E380">B341*$D$10</f>
        <v>0</v>
      </c>
      <c r="F341" s="17">
        <f aca="true" t="shared" si="38" ref="F341:F380">D341-E341</f>
        <v>0</v>
      </c>
      <c r="G341" s="18">
        <f aca="true" t="shared" si="39" ref="G341:G380">B341-F341</f>
        <v>0</v>
      </c>
    </row>
    <row r="342" spans="1:7" ht="12.75" hidden="1">
      <c r="A342" s="3">
        <f aca="true" t="shared" si="40" ref="A342:A380">A341+1</f>
        <v>322</v>
      </c>
      <c r="B342" s="17">
        <f aca="true" t="shared" si="41" ref="B342:B380">IF(A342&lt;=$D$9,G341,0)</f>
        <v>0</v>
      </c>
      <c r="C342" s="17">
        <f t="shared" si="35"/>
        <v>0</v>
      </c>
      <c r="D342" s="17">
        <f t="shared" si="36"/>
        <v>0</v>
      </c>
      <c r="E342" s="20">
        <f t="shared" si="37"/>
        <v>0</v>
      </c>
      <c r="F342" s="17">
        <f t="shared" si="38"/>
        <v>0</v>
      </c>
      <c r="G342" s="18">
        <f t="shared" si="39"/>
        <v>0</v>
      </c>
    </row>
    <row r="343" spans="1:7" ht="12.75" hidden="1">
      <c r="A343" s="3">
        <f t="shared" si="40"/>
        <v>323</v>
      </c>
      <c r="B343" s="17">
        <f t="shared" si="41"/>
        <v>0</v>
      </c>
      <c r="C343" s="17">
        <f t="shared" si="35"/>
        <v>0</v>
      </c>
      <c r="D343" s="17">
        <f t="shared" si="36"/>
        <v>0</v>
      </c>
      <c r="E343" s="20">
        <f t="shared" si="37"/>
        <v>0</v>
      </c>
      <c r="F343" s="17">
        <f t="shared" si="38"/>
        <v>0</v>
      </c>
      <c r="G343" s="18">
        <f t="shared" si="39"/>
        <v>0</v>
      </c>
    </row>
    <row r="344" spans="1:7" ht="12.75" hidden="1">
      <c r="A344" s="3">
        <f t="shared" si="40"/>
        <v>324</v>
      </c>
      <c r="B344" s="17">
        <f t="shared" si="41"/>
        <v>0</v>
      </c>
      <c r="C344" s="17">
        <f t="shared" si="35"/>
        <v>0</v>
      </c>
      <c r="D344" s="17">
        <f t="shared" si="36"/>
        <v>0</v>
      </c>
      <c r="E344" s="20">
        <f t="shared" si="37"/>
        <v>0</v>
      </c>
      <c r="F344" s="17">
        <f t="shared" si="38"/>
        <v>0</v>
      </c>
      <c r="G344" s="18">
        <f t="shared" si="39"/>
        <v>0</v>
      </c>
    </row>
    <row r="345" spans="1:7" ht="12.75" hidden="1">
      <c r="A345" s="3">
        <f t="shared" si="40"/>
        <v>325</v>
      </c>
      <c r="B345" s="17">
        <f t="shared" si="41"/>
        <v>0</v>
      </c>
      <c r="C345" s="17">
        <f t="shared" si="35"/>
        <v>0</v>
      </c>
      <c r="D345" s="17">
        <f t="shared" si="36"/>
        <v>0</v>
      </c>
      <c r="E345" s="20">
        <f t="shared" si="37"/>
        <v>0</v>
      </c>
      <c r="F345" s="17">
        <f t="shared" si="38"/>
        <v>0</v>
      </c>
      <c r="G345" s="18">
        <f t="shared" si="39"/>
        <v>0</v>
      </c>
    </row>
    <row r="346" spans="1:7" ht="12.75" hidden="1">
      <c r="A346" s="3">
        <f t="shared" si="40"/>
        <v>326</v>
      </c>
      <c r="B346" s="17">
        <f t="shared" si="41"/>
        <v>0</v>
      </c>
      <c r="C346" s="17">
        <f t="shared" si="35"/>
        <v>0</v>
      </c>
      <c r="D346" s="17">
        <f t="shared" si="36"/>
        <v>0</v>
      </c>
      <c r="E346" s="20">
        <f t="shared" si="37"/>
        <v>0</v>
      </c>
      <c r="F346" s="17">
        <f t="shared" si="38"/>
        <v>0</v>
      </c>
      <c r="G346" s="18">
        <f t="shared" si="39"/>
        <v>0</v>
      </c>
    </row>
    <row r="347" spans="1:7" ht="12.75" hidden="1">
      <c r="A347" s="3">
        <f t="shared" si="40"/>
        <v>327</v>
      </c>
      <c r="B347" s="17">
        <f t="shared" si="41"/>
        <v>0</v>
      </c>
      <c r="C347" s="17">
        <f t="shared" si="35"/>
        <v>0</v>
      </c>
      <c r="D347" s="17">
        <f t="shared" si="36"/>
        <v>0</v>
      </c>
      <c r="E347" s="20">
        <f t="shared" si="37"/>
        <v>0</v>
      </c>
      <c r="F347" s="17">
        <f t="shared" si="38"/>
        <v>0</v>
      </c>
      <c r="G347" s="18">
        <f t="shared" si="39"/>
        <v>0</v>
      </c>
    </row>
    <row r="348" spans="1:7" ht="12.75" hidden="1">
      <c r="A348" s="3">
        <f t="shared" si="40"/>
        <v>328</v>
      </c>
      <c r="B348" s="17">
        <f t="shared" si="41"/>
        <v>0</v>
      </c>
      <c r="C348" s="17">
        <f t="shared" si="35"/>
        <v>0</v>
      </c>
      <c r="D348" s="17">
        <f t="shared" si="36"/>
        <v>0</v>
      </c>
      <c r="E348" s="20">
        <f t="shared" si="37"/>
        <v>0</v>
      </c>
      <c r="F348" s="17">
        <f t="shared" si="38"/>
        <v>0</v>
      </c>
      <c r="G348" s="18">
        <f t="shared" si="39"/>
        <v>0</v>
      </c>
    </row>
    <row r="349" spans="1:7" ht="12.75" hidden="1">
      <c r="A349" s="3">
        <f t="shared" si="40"/>
        <v>329</v>
      </c>
      <c r="B349" s="17">
        <f t="shared" si="41"/>
        <v>0</v>
      </c>
      <c r="C349" s="17">
        <f t="shared" si="35"/>
        <v>0</v>
      </c>
      <c r="D349" s="17">
        <f t="shared" si="36"/>
        <v>0</v>
      </c>
      <c r="E349" s="20">
        <f t="shared" si="37"/>
        <v>0</v>
      </c>
      <c r="F349" s="17">
        <f t="shared" si="38"/>
        <v>0</v>
      </c>
      <c r="G349" s="18">
        <f t="shared" si="39"/>
        <v>0</v>
      </c>
    </row>
    <row r="350" spans="1:7" ht="12.75" hidden="1">
      <c r="A350" s="3">
        <f t="shared" si="40"/>
        <v>330</v>
      </c>
      <c r="B350" s="17">
        <f t="shared" si="41"/>
        <v>0</v>
      </c>
      <c r="C350" s="17">
        <f t="shared" si="35"/>
        <v>0</v>
      </c>
      <c r="D350" s="17">
        <f t="shared" si="36"/>
        <v>0</v>
      </c>
      <c r="E350" s="20">
        <f t="shared" si="37"/>
        <v>0</v>
      </c>
      <c r="F350" s="17">
        <f t="shared" si="38"/>
        <v>0</v>
      </c>
      <c r="G350" s="18">
        <f t="shared" si="39"/>
        <v>0</v>
      </c>
    </row>
    <row r="351" spans="1:7" ht="12.75" hidden="1">
      <c r="A351" s="3">
        <f t="shared" si="40"/>
        <v>331</v>
      </c>
      <c r="B351" s="17">
        <f t="shared" si="41"/>
        <v>0</v>
      </c>
      <c r="C351" s="17">
        <f t="shared" si="35"/>
        <v>0</v>
      </c>
      <c r="D351" s="17">
        <f t="shared" si="36"/>
        <v>0</v>
      </c>
      <c r="E351" s="20">
        <f t="shared" si="37"/>
        <v>0</v>
      </c>
      <c r="F351" s="17">
        <f t="shared" si="38"/>
        <v>0</v>
      </c>
      <c r="G351" s="18">
        <f t="shared" si="39"/>
        <v>0</v>
      </c>
    </row>
    <row r="352" spans="1:7" ht="12.75" hidden="1">
      <c r="A352" s="3">
        <f t="shared" si="40"/>
        <v>332</v>
      </c>
      <c r="B352" s="17">
        <f t="shared" si="41"/>
        <v>0</v>
      </c>
      <c r="C352" s="17">
        <f t="shared" si="35"/>
        <v>0</v>
      </c>
      <c r="D352" s="17">
        <f t="shared" si="36"/>
        <v>0</v>
      </c>
      <c r="E352" s="20">
        <f t="shared" si="37"/>
        <v>0</v>
      </c>
      <c r="F352" s="17">
        <f t="shared" si="38"/>
        <v>0</v>
      </c>
      <c r="G352" s="18">
        <f t="shared" si="39"/>
        <v>0</v>
      </c>
    </row>
    <row r="353" spans="1:7" ht="12.75" hidden="1">
      <c r="A353" s="3">
        <f t="shared" si="40"/>
        <v>333</v>
      </c>
      <c r="B353" s="17">
        <f t="shared" si="41"/>
        <v>0</v>
      </c>
      <c r="C353" s="17">
        <f t="shared" si="35"/>
        <v>0</v>
      </c>
      <c r="D353" s="17">
        <f t="shared" si="36"/>
        <v>0</v>
      </c>
      <c r="E353" s="20">
        <f t="shared" si="37"/>
        <v>0</v>
      </c>
      <c r="F353" s="17">
        <f t="shared" si="38"/>
        <v>0</v>
      </c>
      <c r="G353" s="18">
        <f t="shared" si="39"/>
        <v>0</v>
      </c>
    </row>
    <row r="354" spans="1:7" ht="12.75" hidden="1">
      <c r="A354" s="3">
        <f t="shared" si="40"/>
        <v>334</v>
      </c>
      <c r="B354" s="17">
        <f t="shared" si="41"/>
        <v>0</v>
      </c>
      <c r="C354" s="17">
        <f t="shared" si="35"/>
        <v>0</v>
      </c>
      <c r="D354" s="17">
        <f t="shared" si="36"/>
        <v>0</v>
      </c>
      <c r="E354" s="20">
        <f t="shared" si="37"/>
        <v>0</v>
      </c>
      <c r="F354" s="17">
        <f t="shared" si="38"/>
        <v>0</v>
      </c>
      <c r="G354" s="18">
        <f t="shared" si="39"/>
        <v>0</v>
      </c>
    </row>
    <row r="355" spans="1:7" ht="12.75" hidden="1">
      <c r="A355" s="3">
        <f t="shared" si="40"/>
        <v>335</v>
      </c>
      <c r="B355" s="17">
        <f t="shared" si="41"/>
        <v>0</v>
      </c>
      <c r="C355" s="17">
        <f t="shared" si="35"/>
        <v>0</v>
      </c>
      <c r="D355" s="17">
        <f t="shared" si="36"/>
        <v>0</v>
      </c>
      <c r="E355" s="20">
        <f t="shared" si="37"/>
        <v>0</v>
      </c>
      <c r="F355" s="17">
        <f t="shared" si="38"/>
        <v>0</v>
      </c>
      <c r="G355" s="18">
        <f t="shared" si="39"/>
        <v>0</v>
      </c>
    </row>
    <row r="356" spans="1:7" ht="12.75" hidden="1">
      <c r="A356" s="3">
        <f t="shared" si="40"/>
        <v>336</v>
      </c>
      <c r="B356" s="17">
        <f t="shared" si="41"/>
        <v>0</v>
      </c>
      <c r="C356" s="17">
        <f t="shared" si="35"/>
        <v>0</v>
      </c>
      <c r="D356" s="17">
        <f t="shared" si="36"/>
        <v>0</v>
      </c>
      <c r="E356" s="20">
        <f t="shared" si="37"/>
        <v>0</v>
      </c>
      <c r="F356" s="17">
        <f t="shared" si="38"/>
        <v>0</v>
      </c>
      <c r="G356" s="18">
        <f t="shared" si="39"/>
        <v>0</v>
      </c>
    </row>
    <row r="357" spans="1:7" ht="12.75" hidden="1">
      <c r="A357" s="3">
        <f t="shared" si="40"/>
        <v>337</v>
      </c>
      <c r="B357" s="17">
        <f t="shared" si="41"/>
        <v>0</v>
      </c>
      <c r="C357" s="17">
        <f t="shared" si="35"/>
        <v>0</v>
      </c>
      <c r="D357" s="17">
        <f t="shared" si="36"/>
        <v>0</v>
      </c>
      <c r="E357" s="20">
        <f t="shared" si="37"/>
        <v>0</v>
      </c>
      <c r="F357" s="17">
        <f t="shared" si="38"/>
        <v>0</v>
      </c>
      <c r="G357" s="18">
        <f t="shared" si="39"/>
        <v>0</v>
      </c>
    </row>
    <row r="358" spans="1:7" ht="12.75" hidden="1">
      <c r="A358" s="3">
        <f t="shared" si="40"/>
        <v>338</v>
      </c>
      <c r="B358" s="17">
        <f t="shared" si="41"/>
        <v>0</v>
      </c>
      <c r="C358" s="17">
        <f t="shared" si="35"/>
        <v>0</v>
      </c>
      <c r="D358" s="17">
        <f t="shared" si="36"/>
        <v>0</v>
      </c>
      <c r="E358" s="20">
        <f t="shared" si="37"/>
        <v>0</v>
      </c>
      <c r="F358" s="17">
        <f t="shared" si="38"/>
        <v>0</v>
      </c>
      <c r="G358" s="18">
        <f t="shared" si="39"/>
        <v>0</v>
      </c>
    </row>
    <row r="359" spans="1:7" ht="12.75" hidden="1">
      <c r="A359" s="3">
        <f t="shared" si="40"/>
        <v>339</v>
      </c>
      <c r="B359" s="17">
        <f t="shared" si="41"/>
        <v>0</v>
      </c>
      <c r="C359" s="17">
        <f t="shared" si="35"/>
        <v>0</v>
      </c>
      <c r="D359" s="17">
        <f t="shared" si="36"/>
        <v>0</v>
      </c>
      <c r="E359" s="20">
        <f t="shared" si="37"/>
        <v>0</v>
      </c>
      <c r="F359" s="17">
        <f t="shared" si="38"/>
        <v>0</v>
      </c>
      <c r="G359" s="18">
        <f t="shared" si="39"/>
        <v>0</v>
      </c>
    </row>
    <row r="360" spans="1:7" ht="12.75" hidden="1">
      <c r="A360" s="3">
        <f t="shared" si="40"/>
        <v>340</v>
      </c>
      <c r="B360" s="17">
        <f t="shared" si="41"/>
        <v>0</v>
      </c>
      <c r="C360" s="17">
        <f t="shared" si="35"/>
        <v>0</v>
      </c>
      <c r="D360" s="17">
        <f t="shared" si="36"/>
        <v>0</v>
      </c>
      <c r="E360" s="20">
        <f t="shared" si="37"/>
        <v>0</v>
      </c>
      <c r="F360" s="17">
        <f t="shared" si="38"/>
        <v>0</v>
      </c>
      <c r="G360" s="18">
        <f t="shared" si="39"/>
        <v>0</v>
      </c>
    </row>
    <row r="361" spans="1:7" ht="12.75" hidden="1">
      <c r="A361" s="3">
        <f t="shared" si="40"/>
        <v>341</v>
      </c>
      <c r="B361" s="17">
        <f t="shared" si="41"/>
        <v>0</v>
      </c>
      <c r="C361" s="17">
        <f t="shared" si="35"/>
        <v>0</v>
      </c>
      <c r="D361" s="17">
        <f t="shared" si="36"/>
        <v>0</v>
      </c>
      <c r="E361" s="20">
        <f t="shared" si="37"/>
        <v>0</v>
      </c>
      <c r="F361" s="17">
        <f t="shared" si="38"/>
        <v>0</v>
      </c>
      <c r="G361" s="18">
        <f t="shared" si="39"/>
        <v>0</v>
      </c>
    </row>
    <row r="362" spans="1:7" ht="12.75" hidden="1">
      <c r="A362" s="3">
        <f t="shared" si="40"/>
        <v>342</v>
      </c>
      <c r="B362" s="17">
        <f t="shared" si="41"/>
        <v>0</v>
      </c>
      <c r="C362" s="17">
        <f t="shared" si="35"/>
        <v>0</v>
      </c>
      <c r="D362" s="17">
        <f t="shared" si="36"/>
        <v>0</v>
      </c>
      <c r="E362" s="20">
        <f t="shared" si="37"/>
        <v>0</v>
      </c>
      <c r="F362" s="17">
        <f t="shared" si="38"/>
        <v>0</v>
      </c>
      <c r="G362" s="18">
        <f t="shared" si="39"/>
        <v>0</v>
      </c>
    </row>
    <row r="363" spans="1:7" ht="12.75" hidden="1">
      <c r="A363" s="3">
        <f t="shared" si="40"/>
        <v>343</v>
      </c>
      <c r="B363" s="17">
        <f t="shared" si="41"/>
        <v>0</v>
      </c>
      <c r="C363" s="17">
        <f t="shared" si="35"/>
        <v>0</v>
      </c>
      <c r="D363" s="17">
        <f t="shared" si="36"/>
        <v>0</v>
      </c>
      <c r="E363" s="20">
        <f t="shared" si="37"/>
        <v>0</v>
      </c>
      <c r="F363" s="17">
        <f t="shared" si="38"/>
        <v>0</v>
      </c>
      <c r="G363" s="18">
        <f t="shared" si="39"/>
        <v>0</v>
      </c>
    </row>
    <row r="364" spans="1:7" ht="12.75" hidden="1">
      <c r="A364" s="3">
        <f t="shared" si="40"/>
        <v>344</v>
      </c>
      <c r="B364" s="17">
        <f t="shared" si="41"/>
        <v>0</v>
      </c>
      <c r="C364" s="17">
        <f t="shared" si="35"/>
        <v>0</v>
      </c>
      <c r="D364" s="17">
        <f t="shared" si="36"/>
        <v>0</v>
      </c>
      <c r="E364" s="20">
        <f t="shared" si="37"/>
        <v>0</v>
      </c>
      <c r="F364" s="17">
        <f t="shared" si="38"/>
        <v>0</v>
      </c>
      <c r="G364" s="18">
        <f t="shared" si="39"/>
        <v>0</v>
      </c>
    </row>
    <row r="365" spans="1:7" ht="12.75" hidden="1">
      <c r="A365" s="3">
        <f t="shared" si="40"/>
        <v>345</v>
      </c>
      <c r="B365" s="17">
        <f t="shared" si="41"/>
        <v>0</v>
      </c>
      <c r="C365" s="17">
        <f t="shared" si="35"/>
        <v>0</v>
      </c>
      <c r="D365" s="17">
        <f t="shared" si="36"/>
        <v>0</v>
      </c>
      <c r="E365" s="20">
        <f t="shared" si="37"/>
        <v>0</v>
      </c>
      <c r="F365" s="17">
        <f t="shared" si="38"/>
        <v>0</v>
      </c>
      <c r="G365" s="18">
        <f t="shared" si="39"/>
        <v>0</v>
      </c>
    </row>
    <row r="366" spans="1:7" ht="12.75" hidden="1">
      <c r="A366" s="3">
        <f t="shared" si="40"/>
        <v>346</v>
      </c>
      <c r="B366" s="17">
        <f t="shared" si="41"/>
        <v>0</v>
      </c>
      <c r="C366" s="17">
        <f t="shared" si="35"/>
        <v>0</v>
      </c>
      <c r="D366" s="17">
        <f t="shared" si="36"/>
        <v>0</v>
      </c>
      <c r="E366" s="20">
        <f t="shared" si="37"/>
        <v>0</v>
      </c>
      <c r="F366" s="17">
        <f t="shared" si="38"/>
        <v>0</v>
      </c>
      <c r="G366" s="18">
        <f t="shared" si="39"/>
        <v>0</v>
      </c>
    </row>
    <row r="367" spans="1:7" ht="12.75" hidden="1">
      <c r="A367" s="3">
        <f t="shared" si="40"/>
        <v>347</v>
      </c>
      <c r="B367" s="17">
        <f t="shared" si="41"/>
        <v>0</v>
      </c>
      <c r="C367" s="17">
        <f t="shared" si="35"/>
        <v>0</v>
      </c>
      <c r="D367" s="17">
        <f t="shared" si="36"/>
        <v>0</v>
      </c>
      <c r="E367" s="20">
        <f t="shared" si="37"/>
        <v>0</v>
      </c>
      <c r="F367" s="17">
        <f t="shared" si="38"/>
        <v>0</v>
      </c>
      <c r="G367" s="18">
        <f t="shared" si="39"/>
        <v>0</v>
      </c>
    </row>
    <row r="368" spans="1:7" ht="12.75" hidden="1">
      <c r="A368" s="3">
        <f t="shared" si="40"/>
        <v>348</v>
      </c>
      <c r="B368" s="17">
        <f t="shared" si="41"/>
        <v>0</v>
      </c>
      <c r="C368" s="17">
        <f t="shared" si="35"/>
        <v>0</v>
      </c>
      <c r="D368" s="17">
        <f t="shared" si="36"/>
        <v>0</v>
      </c>
      <c r="E368" s="20">
        <f t="shared" si="37"/>
        <v>0</v>
      </c>
      <c r="F368" s="17">
        <f t="shared" si="38"/>
        <v>0</v>
      </c>
      <c r="G368" s="18">
        <f t="shared" si="39"/>
        <v>0</v>
      </c>
    </row>
    <row r="369" spans="1:7" ht="12.75" hidden="1">
      <c r="A369" s="3">
        <f t="shared" si="40"/>
        <v>349</v>
      </c>
      <c r="B369" s="17">
        <f t="shared" si="41"/>
        <v>0</v>
      </c>
      <c r="C369" s="17">
        <f t="shared" si="35"/>
        <v>0</v>
      </c>
      <c r="D369" s="17">
        <f t="shared" si="36"/>
        <v>0</v>
      </c>
      <c r="E369" s="20">
        <f t="shared" si="37"/>
        <v>0</v>
      </c>
      <c r="F369" s="17">
        <f t="shared" si="38"/>
        <v>0</v>
      </c>
      <c r="G369" s="18">
        <f t="shared" si="39"/>
        <v>0</v>
      </c>
    </row>
    <row r="370" spans="1:7" ht="12.75" hidden="1">
      <c r="A370" s="3">
        <f t="shared" si="40"/>
        <v>350</v>
      </c>
      <c r="B370" s="17">
        <f t="shared" si="41"/>
        <v>0</v>
      </c>
      <c r="C370" s="17">
        <f t="shared" si="35"/>
        <v>0</v>
      </c>
      <c r="D370" s="17">
        <f t="shared" si="36"/>
        <v>0</v>
      </c>
      <c r="E370" s="20">
        <f t="shared" si="37"/>
        <v>0</v>
      </c>
      <c r="F370" s="17">
        <f t="shared" si="38"/>
        <v>0</v>
      </c>
      <c r="G370" s="18">
        <f t="shared" si="39"/>
        <v>0</v>
      </c>
    </row>
    <row r="371" spans="1:7" ht="12.75" hidden="1">
      <c r="A371" s="3">
        <f t="shared" si="40"/>
        <v>351</v>
      </c>
      <c r="B371" s="17">
        <f t="shared" si="41"/>
        <v>0</v>
      </c>
      <c r="C371" s="17">
        <f t="shared" si="35"/>
        <v>0</v>
      </c>
      <c r="D371" s="17">
        <f t="shared" si="36"/>
        <v>0</v>
      </c>
      <c r="E371" s="20">
        <f t="shared" si="37"/>
        <v>0</v>
      </c>
      <c r="F371" s="17">
        <f t="shared" si="38"/>
        <v>0</v>
      </c>
      <c r="G371" s="18">
        <f t="shared" si="39"/>
        <v>0</v>
      </c>
    </row>
    <row r="372" spans="1:7" ht="12.75" hidden="1">
      <c r="A372" s="3">
        <f t="shared" si="40"/>
        <v>352</v>
      </c>
      <c r="B372" s="17">
        <f t="shared" si="41"/>
        <v>0</v>
      </c>
      <c r="C372" s="17">
        <f t="shared" si="35"/>
        <v>0</v>
      </c>
      <c r="D372" s="17">
        <f t="shared" si="36"/>
        <v>0</v>
      </c>
      <c r="E372" s="20">
        <f t="shared" si="37"/>
        <v>0</v>
      </c>
      <c r="F372" s="17">
        <f t="shared" si="38"/>
        <v>0</v>
      </c>
      <c r="G372" s="18">
        <f t="shared" si="39"/>
        <v>0</v>
      </c>
    </row>
    <row r="373" spans="1:7" ht="12.75" hidden="1">
      <c r="A373" s="3">
        <f t="shared" si="40"/>
        <v>353</v>
      </c>
      <c r="B373" s="17">
        <f t="shared" si="41"/>
        <v>0</v>
      </c>
      <c r="C373" s="17">
        <f t="shared" si="35"/>
        <v>0</v>
      </c>
      <c r="D373" s="17">
        <f t="shared" si="36"/>
        <v>0</v>
      </c>
      <c r="E373" s="20">
        <f t="shared" si="37"/>
        <v>0</v>
      </c>
      <c r="F373" s="17">
        <f t="shared" si="38"/>
        <v>0</v>
      </c>
      <c r="G373" s="18">
        <f t="shared" si="39"/>
        <v>0</v>
      </c>
    </row>
    <row r="374" spans="1:7" ht="12.75" hidden="1">
      <c r="A374" s="3">
        <f t="shared" si="40"/>
        <v>354</v>
      </c>
      <c r="B374" s="17">
        <f t="shared" si="41"/>
        <v>0</v>
      </c>
      <c r="C374" s="17">
        <f t="shared" si="35"/>
        <v>0</v>
      </c>
      <c r="D374" s="17">
        <f t="shared" si="36"/>
        <v>0</v>
      </c>
      <c r="E374" s="20">
        <f t="shared" si="37"/>
        <v>0</v>
      </c>
      <c r="F374" s="17">
        <f t="shared" si="38"/>
        <v>0</v>
      </c>
      <c r="G374" s="18">
        <f t="shared" si="39"/>
        <v>0</v>
      </c>
    </row>
    <row r="375" spans="1:7" ht="12.75" hidden="1">
      <c r="A375" s="3">
        <f t="shared" si="40"/>
        <v>355</v>
      </c>
      <c r="B375" s="17">
        <f t="shared" si="41"/>
        <v>0</v>
      </c>
      <c r="C375" s="17">
        <f t="shared" si="35"/>
        <v>0</v>
      </c>
      <c r="D375" s="17">
        <f t="shared" si="36"/>
        <v>0</v>
      </c>
      <c r="E375" s="20">
        <f t="shared" si="37"/>
        <v>0</v>
      </c>
      <c r="F375" s="17">
        <f t="shared" si="38"/>
        <v>0</v>
      </c>
      <c r="G375" s="18">
        <f t="shared" si="39"/>
        <v>0</v>
      </c>
    </row>
    <row r="376" spans="1:7" ht="12.75" hidden="1">
      <c r="A376" s="3">
        <f t="shared" si="40"/>
        <v>356</v>
      </c>
      <c r="B376" s="17">
        <f t="shared" si="41"/>
        <v>0</v>
      </c>
      <c r="C376" s="17">
        <f t="shared" si="35"/>
        <v>0</v>
      </c>
      <c r="D376" s="17">
        <f t="shared" si="36"/>
        <v>0</v>
      </c>
      <c r="E376" s="20">
        <f t="shared" si="37"/>
        <v>0</v>
      </c>
      <c r="F376" s="17">
        <f t="shared" si="38"/>
        <v>0</v>
      </c>
      <c r="G376" s="18">
        <f t="shared" si="39"/>
        <v>0</v>
      </c>
    </row>
    <row r="377" spans="1:7" ht="12.75" hidden="1">
      <c r="A377" s="3">
        <f t="shared" si="40"/>
        <v>357</v>
      </c>
      <c r="B377" s="17">
        <f t="shared" si="41"/>
        <v>0</v>
      </c>
      <c r="C377" s="17">
        <f t="shared" si="35"/>
        <v>0</v>
      </c>
      <c r="D377" s="17">
        <f t="shared" si="36"/>
        <v>0</v>
      </c>
      <c r="E377" s="20">
        <f t="shared" si="37"/>
        <v>0</v>
      </c>
      <c r="F377" s="17">
        <f t="shared" si="38"/>
        <v>0</v>
      </c>
      <c r="G377" s="18">
        <f t="shared" si="39"/>
        <v>0</v>
      </c>
    </row>
    <row r="378" spans="1:7" ht="12.75" hidden="1">
      <c r="A378" s="3">
        <f t="shared" si="40"/>
        <v>358</v>
      </c>
      <c r="B378" s="17">
        <f t="shared" si="41"/>
        <v>0</v>
      </c>
      <c r="C378" s="17">
        <f t="shared" si="35"/>
        <v>0</v>
      </c>
      <c r="D378" s="17">
        <f t="shared" si="36"/>
        <v>0</v>
      </c>
      <c r="E378" s="20">
        <f t="shared" si="37"/>
        <v>0</v>
      </c>
      <c r="F378" s="17">
        <f t="shared" si="38"/>
        <v>0</v>
      </c>
      <c r="G378" s="18">
        <f t="shared" si="39"/>
        <v>0</v>
      </c>
    </row>
    <row r="379" spans="1:7" ht="12.75" hidden="1">
      <c r="A379" s="3">
        <f t="shared" si="40"/>
        <v>359</v>
      </c>
      <c r="B379" s="17">
        <f t="shared" si="41"/>
        <v>0</v>
      </c>
      <c r="C379" s="17">
        <f t="shared" si="35"/>
        <v>0</v>
      </c>
      <c r="D379" s="17">
        <f t="shared" si="36"/>
        <v>0</v>
      </c>
      <c r="E379" s="20">
        <f t="shared" si="37"/>
        <v>0</v>
      </c>
      <c r="F379" s="17">
        <f t="shared" si="38"/>
        <v>0</v>
      </c>
      <c r="G379" s="18">
        <f t="shared" si="39"/>
        <v>0</v>
      </c>
    </row>
    <row r="380" spans="1:7" ht="13.5" hidden="1" thickBot="1">
      <c r="A380" s="3">
        <f t="shared" si="40"/>
        <v>360</v>
      </c>
      <c r="B380" s="17">
        <f t="shared" si="41"/>
        <v>0</v>
      </c>
      <c r="C380" s="17">
        <f t="shared" si="35"/>
        <v>0</v>
      </c>
      <c r="D380" s="17">
        <f t="shared" si="36"/>
        <v>0</v>
      </c>
      <c r="E380" s="20">
        <f t="shared" si="37"/>
        <v>0</v>
      </c>
      <c r="F380" s="17">
        <f t="shared" si="38"/>
        <v>0</v>
      </c>
      <c r="G380" s="18">
        <f t="shared" si="39"/>
        <v>0</v>
      </c>
    </row>
    <row r="381" spans="1:7" ht="13.5" thickBot="1">
      <c r="A381" s="24" t="s">
        <v>12</v>
      </c>
      <c r="B381" s="25"/>
      <c r="C381" s="25">
        <f>SUM(C21:C380)</f>
        <v>12800475.084395077</v>
      </c>
      <c r="D381" s="25">
        <f>SUM(D21:D380)</f>
        <v>12800475.084395077</v>
      </c>
      <c r="E381" s="25">
        <f>SUM(E21:E380)</f>
        <v>1800475.0843950678</v>
      </c>
      <c r="F381" s="25">
        <f>SUM(F21:F380)</f>
        <v>11000000</v>
      </c>
      <c r="G381" s="26"/>
    </row>
    <row r="382" spans="1:7" ht="12.75">
      <c r="A382" s="4"/>
      <c r="B382" s="17"/>
      <c r="C382" s="17"/>
      <c r="D382" s="17"/>
      <c r="E382" s="20"/>
      <c r="F382" s="17"/>
      <c r="G382" s="17"/>
    </row>
    <row r="383" ht="12.75">
      <c r="A383" s="4"/>
    </row>
    <row r="384" ht="12.75">
      <c r="A384" s="4"/>
    </row>
    <row r="385" ht="12.75">
      <c r="A385" s="4"/>
    </row>
    <row r="386" ht="12.75">
      <c r="A386" s="4"/>
    </row>
    <row r="387" ht="12.75">
      <c r="A387" s="4"/>
    </row>
  </sheetData>
  <sheetProtection/>
  <mergeCells count="16">
    <mergeCell ref="E16:G16"/>
    <mergeCell ref="A16:C16"/>
    <mergeCell ref="A13:D13"/>
    <mergeCell ref="A17:D17"/>
    <mergeCell ref="A9:C9"/>
    <mergeCell ref="A10:C10"/>
    <mergeCell ref="A11:C11"/>
    <mergeCell ref="A12:C12"/>
    <mergeCell ref="A5:C5"/>
    <mergeCell ref="A6:C6"/>
    <mergeCell ref="A7:C7"/>
    <mergeCell ref="A8:C8"/>
    <mergeCell ref="A1:G1"/>
    <mergeCell ref="A2:C2"/>
    <mergeCell ref="A3:C3"/>
    <mergeCell ref="A4:C4"/>
  </mergeCells>
  <printOptions/>
  <pageMargins left="0.5905511811023623" right="0.3937007874015748" top="0.3937007874015748" bottom="0.3937007874015748" header="0.5118110236220472" footer="0.5118110236220472"/>
  <pageSetup horizontalDpi="360" verticalDpi="360" orientation="portrait" paperSize="9"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H29"/>
  <sheetViews>
    <sheetView zoomScale="140" zoomScaleNormal="140" zoomScalePageLayoutView="0" workbookViewId="0" topLeftCell="A13">
      <selection activeCell="A2" sqref="A2:G2"/>
    </sheetView>
  </sheetViews>
  <sheetFormatPr defaultColWidth="9.140625" defaultRowHeight="12.75"/>
  <cols>
    <col min="1" max="1" width="21.7109375" style="0" customWidth="1"/>
    <col min="2" max="2" width="5.28125" style="0" customWidth="1"/>
    <col min="3" max="3" width="3.28125" style="0" customWidth="1"/>
    <col min="4" max="4" width="19.7109375" style="0" customWidth="1"/>
    <col min="5" max="5" width="9.7109375" style="0" customWidth="1"/>
    <col min="6" max="6" width="4.28125" style="0" customWidth="1"/>
    <col min="7" max="7" width="22.00390625" style="0" customWidth="1"/>
  </cols>
  <sheetData>
    <row r="1" spans="1:7" ht="96.75" customHeight="1">
      <c r="A1" s="403" t="s">
        <v>54</v>
      </c>
      <c r="B1" s="404"/>
      <c r="C1" s="404"/>
      <c r="D1" s="404"/>
      <c r="E1" s="404"/>
      <c r="F1" s="404"/>
      <c r="G1" s="404"/>
    </row>
    <row r="2" spans="1:7" ht="20.25" customHeight="1">
      <c r="A2" s="403" t="s">
        <v>44</v>
      </c>
      <c r="B2" s="403"/>
      <c r="C2" s="403"/>
      <c r="D2" s="403"/>
      <c r="E2" s="403"/>
      <c r="F2" s="403"/>
      <c r="G2" s="403"/>
    </row>
    <row r="3" spans="1:7" ht="42" customHeight="1" thickBot="1">
      <c r="A3" s="409" t="s">
        <v>46</v>
      </c>
      <c r="B3" s="385" t="s">
        <v>24</v>
      </c>
      <c r="C3" s="70"/>
      <c r="D3" s="38" t="s">
        <v>19</v>
      </c>
      <c r="E3" s="39" t="s">
        <v>20</v>
      </c>
      <c r="F3" s="387" t="s">
        <v>21</v>
      </c>
      <c r="G3" s="401" t="s">
        <v>22</v>
      </c>
    </row>
    <row r="4" spans="1:7" ht="27.75" customHeight="1">
      <c r="A4" s="410"/>
      <c r="B4" s="385"/>
      <c r="C4" s="70"/>
      <c r="D4" s="386" t="s">
        <v>23</v>
      </c>
      <c r="E4" s="386"/>
      <c r="F4" s="387"/>
      <c r="G4" s="401"/>
    </row>
    <row r="5" spans="1:7" ht="39" customHeight="1" thickBot="1">
      <c r="A5" s="406">
        <f>'Effektiv rente annuitetslån 2.2'!D2</f>
        <v>11000000</v>
      </c>
      <c r="B5" s="385" t="s">
        <v>24</v>
      </c>
      <c r="C5" s="70"/>
      <c r="D5" s="38" t="str">
        <f>CONCATENATE("1-(1+",D6,")")</f>
        <v>1-(1+0,0125)</v>
      </c>
      <c r="E5" s="79">
        <f>-'Effektiv rente annuitetslån 2.2'!D9</f>
        <v>-24</v>
      </c>
      <c r="F5" s="387" t="s">
        <v>21</v>
      </c>
      <c r="G5" s="401" t="s">
        <v>22</v>
      </c>
    </row>
    <row r="6" spans="1:7" ht="20.25" customHeight="1">
      <c r="A6" s="399"/>
      <c r="B6" s="385"/>
      <c r="C6" s="70"/>
      <c r="D6" s="407">
        <f>'Effektiv rente annuitetslån 2.2'!D10</f>
        <v>0.0125</v>
      </c>
      <c r="E6" s="407"/>
      <c r="F6" s="387"/>
      <c r="G6" s="401"/>
    </row>
    <row r="7" spans="1:7" ht="30" customHeight="1">
      <c r="A7" s="89">
        <f>A5</f>
        <v>11000000</v>
      </c>
      <c r="B7" s="70" t="s">
        <v>24</v>
      </c>
      <c r="C7" s="70"/>
      <c r="D7" s="402">
        <f>ROUNDUP(A5/'Effektiv rente annuitetslån 2.2'!D11*-1,6)</f>
        <v>20.624235000000002</v>
      </c>
      <c r="E7" s="402"/>
      <c r="F7" s="84" t="s">
        <v>21</v>
      </c>
      <c r="G7" s="85" t="s">
        <v>22</v>
      </c>
    </row>
    <row r="8" spans="1:7" ht="33.75" customHeight="1">
      <c r="A8" s="80" t="s">
        <v>22</v>
      </c>
      <c r="B8" s="70" t="s">
        <v>24</v>
      </c>
      <c r="C8" s="70"/>
      <c r="D8" s="81">
        <f>'Effektiv rente annuitetslån 2.2'!D11*-1</f>
        <v>533353.1285164612</v>
      </c>
      <c r="E8" s="81"/>
      <c r="F8" s="81"/>
      <c r="G8" s="81"/>
    </row>
    <row r="9" spans="1:7" ht="23.25" customHeight="1">
      <c r="A9" s="408" t="s">
        <v>45</v>
      </c>
      <c r="B9" s="408"/>
      <c r="C9" s="408"/>
      <c r="D9" s="408"/>
      <c r="E9" s="408"/>
      <c r="F9" s="408"/>
      <c r="G9" s="408"/>
    </row>
    <row r="10" spans="1:8" ht="42" customHeight="1" thickBot="1">
      <c r="A10" s="398" t="s">
        <v>29</v>
      </c>
      <c r="B10" s="385" t="s">
        <v>24</v>
      </c>
      <c r="C10" s="70"/>
      <c r="D10" s="38" t="s">
        <v>19</v>
      </c>
      <c r="E10" s="39" t="s">
        <v>20</v>
      </c>
      <c r="F10" s="387" t="s">
        <v>21</v>
      </c>
      <c r="G10" s="401" t="str">
        <f>IF('Effektiv rente annuitetslån 2.2'!D12=0,"b","b+gebyr")</f>
        <v>b</v>
      </c>
      <c r="H10" s="40"/>
    </row>
    <row r="11" spans="1:8" ht="21" customHeight="1">
      <c r="A11" s="399"/>
      <c r="B11" s="385"/>
      <c r="C11" s="70"/>
      <c r="D11" s="386" t="s">
        <v>23</v>
      </c>
      <c r="E11" s="386"/>
      <c r="F11" s="387"/>
      <c r="G11" s="401"/>
      <c r="H11" s="40"/>
    </row>
    <row r="12" spans="1:7" ht="21" customHeight="1">
      <c r="A12" s="405" t="s">
        <v>25</v>
      </c>
      <c r="B12" s="405"/>
      <c r="C12" s="405"/>
      <c r="D12" s="405"/>
      <c r="E12" s="405"/>
      <c r="F12" s="405"/>
      <c r="G12" s="405"/>
    </row>
    <row r="13" spans="1:7" ht="27.75" thickBot="1">
      <c r="A13" s="400">
        <f>'Effektiv rente annuitetslån 2.2'!D5</f>
        <v>10600000</v>
      </c>
      <c r="B13" s="385" t="s">
        <v>24</v>
      </c>
      <c r="C13" s="70"/>
      <c r="D13" s="38" t="str">
        <f>D10</f>
        <v>1-(1+ r)</v>
      </c>
      <c r="E13" s="41">
        <f>-'Effektiv rente annuitetslån 2.2'!D9</f>
        <v>-24</v>
      </c>
      <c r="F13" s="411" t="str">
        <f>F10</f>
        <v>*</v>
      </c>
      <c r="G13" s="392">
        <f>('Effektiv rente annuitetslån 2.2'!D11-'Effektiv rente annuitetslån 2.2'!D12)*-1</f>
        <v>533353.1285164612</v>
      </c>
    </row>
    <row r="14" spans="1:7" ht="27">
      <c r="A14" s="400"/>
      <c r="B14" s="385"/>
      <c r="C14" s="70"/>
      <c r="D14" s="386" t="str">
        <f>D11</f>
        <v>r</v>
      </c>
      <c r="E14" s="386"/>
      <c r="F14" s="412"/>
      <c r="G14" s="392"/>
    </row>
    <row r="15" spans="1:7" ht="15.75">
      <c r="A15" s="391" t="s">
        <v>26</v>
      </c>
      <c r="B15" s="391"/>
      <c r="C15" s="391"/>
      <c r="D15" s="391"/>
      <c r="E15" s="391"/>
      <c r="F15" s="391"/>
      <c r="G15" s="391"/>
    </row>
    <row r="16" spans="1:5" ht="38.25" customHeight="1" thickBot="1">
      <c r="A16" s="390">
        <f>A13/G13</f>
        <v>19.874262347507436</v>
      </c>
      <c r="B16" s="393" t="str">
        <f>B13</f>
        <v>=</v>
      </c>
      <c r="C16" s="88"/>
      <c r="D16" s="38" t="str">
        <f>D13</f>
        <v>1-(1+ r)</v>
      </c>
      <c r="E16" s="41">
        <f>E13</f>
        <v>-24</v>
      </c>
    </row>
    <row r="17" spans="1:5" ht="31.5" customHeight="1">
      <c r="A17" s="390"/>
      <c r="B17" s="393"/>
      <c r="C17" s="88"/>
      <c r="D17" s="388" t="str">
        <f>D14</f>
        <v>r</v>
      </c>
      <c r="E17" s="388"/>
    </row>
    <row r="18" spans="1:7" ht="15.75">
      <c r="A18" s="391" t="s">
        <v>27</v>
      </c>
      <c r="B18" s="391"/>
      <c r="C18" s="391"/>
      <c r="D18" s="391"/>
      <c r="E18" s="391"/>
      <c r="F18" s="391"/>
      <c r="G18" s="391"/>
    </row>
    <row r="19" spans="1:4" ht="27">
      <c r="A19" s="42" t="str">
        <f>D17</f>
        <v>r</v>
      </c>
      <c r="B19" s="43" t="str">
        <f>B16</f>
        <v>=</v>
      </c>
      <c r="C19" s="43"/>
      <c r="D19" s="60">
        <f>RATE('Effektiv rente annuitetslån 2.2'!D9,'Effektiv rente annuitetslån 2.2'!D14,'Effektiv rente annuitetslån 2.2'!D5)</f>
        <v>0.01567496439283572</v>
      </c>
    </row>
    <row r="20" spans="1:7" ht="15.75">
      <c r="A20" s="391" t="s">
        <v>28</v>
      </c>
      <c r="B20" s="391"/>
      <c r="C20" s="391"/>
      <c r="D20" s="391"/>
      <c r="E20" s="391"/>
      <c r="F20" s="391"/>
      <c r="G20" s="391"/>
    </row>
    <row r="21" spans="1:7" ht="28.5" thickBot="1">
      <c r="A21" s="57" t="str">
        <f>A19</f>
        <v>r</v>
      </c>
      <c r="B21" s="58" t="str">
        <f>B19</f>
        <v>=</v>
      </c>
      <c r="C21" s="58"/>
      <c r="D21" s="59">
        <f>D19</f>
        <v>0.01567496439283572</v>
      </c>
      <c r="E21" s="396" t="str">
        <f>IF('Effektiv rente annuitetslån 2.2'!D8=1,"Årlig rente"," ")</f>
        <v> </v>
      </c>
      <c r="F21" s="396"/>
      <c r="G21" s="396"/>
    </row>
    <row r="22" ht="13.5" thickTop="1"/>
    <row r="23" spans="1:7" ht="18" customHeight="1">
      <c r="A23" s="391" t="str">
        <f>IF('Effektiv rente annuitetslån 2.2'!D8=1," ",CONCATENATE("Da terminerne på lånet er ",'Effektiv rente annuitetslån 2.2'!D8," gange pr. år skal følgende beregning foretages:"))</f>
        <v>Da terminerne på lånet er 4 gange pr. år skal følgende beregning foretages:</v>
      </c>
      <c r="B23" s="391"/>
      <c r="C23" s="391"/>
      <c r="D23" s="391"/>
      <c r="E23" s="391"/>
      <c r="F23" s="391"/>
      <c r="G23" s="391"/>
    </row>
    <row r="24" spans="1:7" ht="21">
      <c r="A24" s="46" t="str">
        <f>IF('Effektiv rente annuitetslån 2.2'!$D$8=1,"","(1+r)")</f>
        <v>(1+r)</v>
      </c>
      <c r="B24" s="53">
        <f>IF('Effektiv rente annuitetslån 2.2'!D8=1,"",'Effektiv rente annuitetslån 2.2'!D8)</f>
        <v>4</v>
      </c>
      <c r="C24" s="46" t="str">
        <f>IF('Effektiv rente annuitetslån 2.2'!$D$8=1,"","-1")</f>
        <v>-1</v>
      </c>
      <c r="D24" s="45" t="str">
        <f>IF('Effektiv rente annuitetslån 2.2'!$D$8=1,"",CONCATENATE("="," Årlig rente"))</f>
        <v>= Årlig rente</v>
      </c>
      <c r="E24" s="45"/>
      <c r="F24" s="45"/>
      <c r="G24" s="45"/>
    </row>
    <row r="25" spans="1:7" ht="21.75" customHeight="1">
      <c r="A25" s="395" t="str">
        <f>IF('Effektiv rente annuitetslån 2.2'!$D$8=1,"","Ved at indsætte fås:")</f>
        <v>Ved at indsætte fås:</v>
      </c>
      <c r="B25" s="395"/>
      <c r="C25" s="395"/>
      <c r="D25" s="395"/>
      <c r="E25" s="395"/>
      <c r="F25" s="395"/>
      <c r="G25" s="395"/>
    </row>
    <row r="26" spans="1:7" ht="33" customHeight="1">
      <c r="A26" s="47" t="str">
        <f>IF('Effektiv rente annuitetslån 2.2'!D8=1,"",CONCATENATE("(1+",ROUND(D19,4),")"))</f>
        <v>(1+0,0157)</v>
      </c>
      <c r="B26" s="54">
        <f>B24</f>
        <v>4</v>
      </c>
      <c r="C26" s="46" t="str">
        <f>IF('Effektiv rente annuitetslån 2.2'!$D$8=1,"","-1")</f>
        <v>-1</v>
      </c>
      <c r="D26" s="45" t="str">
        <f>D24</f>
        <v>= Årlig rente</v>
      </c>
      <c r="E26" s="45"/>
      <c r="F26" s="45"/>
      <c r="G26" s="45"/>
    </row>
    <row r="27" spans="1:7" ht="33" customHeight="1">
      <c r="A27" s="389">
        <f>IF('Effektiv rente annuitetslån 2.2'!D8=1,"",'Effektiv rente annuitetslån 2.2'!D16)</f>
        <v>0.06418955063205001</v>
      </c>
      <c r="B27" s="389"/>
      <c r="C27" s="389"/>
      <c r="D27" s="45" t="str">
        <f>D26</f>
        <v>= Årlig rente</v>
      </c>
      <c r="E27" s="56"/>
      <c r="G27" s="55"/>
    </row>
    <row r="28" spans="1:7" ht="15.75">
      <c r="A28" s="397" t="str">
        <f>IF('Effektiv rente annuitetslån 2.2'!D8=1,"","Eller udtrykt i procent:")</f>
        <v>Eller udtrykt i procent:</v>
      </c>
      <c r="B28" s="397"/>
      <c r="C28" s="397"/>
      <c r="D28" s="397"/>
      <c r="E28" s="397"/>
      <c r="F28" s="397"/>
      <c r="G28" s="397"/>
    </row>
    <row r="29" spans="1:4" ht="21" customHeight="1">
      <c r="A29" s="394" t="str">
        <f>IF('Effektiv rente annuitetslån 2.2'!$D$8=1,"",CONCATENATE("Årlig rente = ",ROUND('Effektiv rente annuitetslån 2.2'!D16*100,2),"%"))</f>
        <v>Årlig rente = 6,42%</v>
      </c>
      <c r="B29" s="394"/>
      <c r="C29" s="394"/>
      <c r="D29" s="394"/>
    </row>
  </sheetData>
  <sheetProtection/>
  <mergeCells count="37">
    <mergeCell ref="A1:G1"/>
    <mergeCell ref="A12:G12"/>
    <mergeCell ref="A15:G15"/>
    <mergeCell ref="A5:A6"/>
    <mergeCell ref="D6:E6"/>
    <mergeCell ref="G3:G4"/>
    <mergeCell ref="A2:G2"/>
    <mergeCell ref="A9:G9"/>
    <mergeCell ref="A3:A4"/>
    <mergeCell ref="F13:F14"/>
    <mergeCell ref="A20:G20"/>
    <mergeCell ref="A10:A11"/>
    <mergeCell ref="B13:B14"/>
    <mergeCell ref="A13:A14"/>
    <mergeCell ref="G5:G6"/>
    <mergeCell ref="G10:G11"/>
    <mergeCell ref="B10:B11"/>
    <mergeCell ref="D11:E11"/>
    <mergeCell ref="F10:F11"/>
    <mergeCell ref="D7:E7"/>
    <mergeCell ref="A27:C27"/>
    <mergeCell ref="A16:A17"/>
    <mergeCell ref="A18:G18"/>
    <mergeCell ref="G13:G14"/>
    <mergeCell ref="B16:B17"/>
    <mergeCell ref="A29:D29"/>
    <mergeCell ref="A25:G25"/>
    <mergeCell ref="A23:G23"/>
    <mergeCell ref="E21:G21"/>
    <mergeCell ref="A28:G28"/>
    <mergeCell ref="B3:B4"/>
    <mergeCell ref="D4:E4"/>
    <mergeCell ref="F3:F4"/>
    <mergeCell ref="B5:B6"/>
    <mergeCell ref="F5:F6"/>
    <mergeCell ref="D17:E17"/>
    <mergeCell ref="D14:E14"/>
  </mergeCells>
  <printOptions/>
  <pageMargins left="0.75" right="0.75" top="1" bottom="1" header="0" footer="0"/>
  <pageSetup fitToHeight="1" fitToWidth="1" horizontalDpi="300" verticalDpi="300" orientation="portrait" paperSize="9" scale="91" r:id="rId1"/>
  <ignoredErrors>
    <ignoredError sqref="E13 C26" formula="1"/>
  </ignoredErrors>
</worksheet>
</file>

<file path=xl/worksheets/sheet6.xml><?xml version="1.0" encoding="utf-8"?>
<worksheet xmlns="http://schemas.openxmlformats.org/spreadsheetml/2006/main" xmlns:r="http://schemas.openxmlformats.org/officeDocument/2006/relationships">
  <dimension ref="A1:K381"/>
  <sheetViews>
    <sheetView zoomScale="150" zoomScaleNormal="150" zoomScalePageLayoutView="0" workbookViewId="0" topLeftCell="A1">
      <selection activeCell="C20" sqref="C20:C23"/>
    </sheetView>
  </sheetViews>
  <sheetFormatPr defaultColWidth="9.140625" defaultRowHeight="12.75"/>
  <cols>
    <col min="1" max="1" width="6.140625" style="0" customWidth="1"/>
    <col min="2" max="2" width="14.421875" style="0" customWidth="1"/>
    <col min="3" max="3" width="15.00390625" style="0" customWidth="1"/>
    <col min="4" max="4" width="16.7109375" style="0" customWidth="1"/>
    <col min="5" max="5" width="11.7109375" style="0" customWidth="1"/>
    <col min="6" max="6" width="12.8515625" style="0" customWidth="1"/>
    <col min="7" max="7" width="14.421875" style="0" customWidth="1"/>
  </cols>
  <sheetData>
    <row r="1" spans="1:7" ht="27" thickBot="1">
      <c r="A1" s="371" t="s">
        <v>10</v>
      </c>
      <c r="B1" s="372"/>
      <c r="C1" s="372"/>
      <c r="D1" s="372"/>
      <c r="E1" s="372"/>
      <c r="F1" s="372"/>
      <c r="G1" s="373"/>
    </row>
    <row r="2" spans="1:7" ht="12.75">
      <c r="A2" s="374" t="s">
        <v>51</v>
      </c>
      <c r="B2" s="375"/>
      <c r="C2" s="375"/>
      <c r="D2" s="66">
        <v>11118557</v>
      </c>
      <c r="E2" s="91"/>
      <c r="F2" s="172">
        <f>(D5+10600000)/0.97</f>
        <v>11118556.701030929</v>
      </c>
      <c r="G2" s="5"/>
    </row>
    <row r="3" spans="1:7" ht="12.75" hidden="1">
      <c r="A3" s="3" t="s">
        <v>9</v>
      </c>
      <c r="B3" s="4"/>
      <c r="C3" s="4"/>
      <c r="D3" s="28">
        <f>D2*-1</f>
        <v>-11118557</v>
      </c>
      <c r="E3" s="4"/>
      <c r="F3" s="4"/>
      <c r="G3" s="5"/>
    </row>
    <row r="4" spans="1:7" ht="12.75">
      <c r="A4" s="369" t="s">
        <v>0</v>
      </c>
      <c r="B4" s="370"/>
      <c r="C4" s="370"/>
      <c r="D4" s="36">
        <v>97</v>
      </c>
      <c r="E4" s="4"/>
      <c r="F4" s="4"/>
      <c r="G4" s="5"/>
    </row>
    <row r="5" spans="1:7" ht="12.75">
      <c r="A5" s="413" t="s">
        <v>11</v>
      </c>
      <c r="B5" s="414"/>
      <c r="C5" s="414"/>
      <c r="D5" s="27">
        <v>185000</v>
      </c>
      <c r="E5" s="4"/>
      <c r="F5" s="4"/>
      <c r="G5" s="5"/>
    </row>
    <row r="6" spans="1:7" ht="13.5" thickBot="1">
      <c r="A6" s="413" t="s">
        <v>18</v>
      </c>
      <c r="B6" s="414"/>
      <c r="C6" s="414"/>
      <c r="D6" s="61">
        <f>(D2*(D4/100))-D5</f>
        <v>10600000.29</v>
      </c>
      <c r="E6" s="4"/>
      <c r="F6" s="4"/>
      <c r="G6" s="5"/>
    </row>
    <row r="7" spans="1:7" ht="13.5" thickTop="1">
      <c r="A7" s="413" t="s">
        <v>39</v>
      </c>
      <c r="B7" s="414"/>
      <c r="C7" s="414"/>
      <c r="D7" s="33">
        <v>0.05</v>
      </c>
      <c r="E7" s="4"/>
      <c r="F7" s="4"/>
      <c r="G7" s="5"/>
    </row>
    <row r="8" spans="1:7" ht="12.75">
      <c r="A8" s="413" t="s">
        <v>35</v>
      </c>
      <c r="B8" s="414"/>
      <c r="C8" s="414"/>
      <c r="D8" s="69">
        <v>6</v>
      </c>
      <c r="E8" s="4"/>
      <c r="F8" s="4"/>
      <c r="G8" s="5"/>
    </row>
    <row r="9" spans="1:7" ht="12.75">
      <c r="A9" s="413" t="s">
        <v>36</v>
      </c>
      <c r="B9" s="414"/>
      <c r="C9" s="414"/>
      <c r="D9" s="69">
        <v>4</v>
      </c>
      <c r="E9" s="4"/>
      <c r="F9" s="4"/>
      <c r="G9" s="5"/>
    </row>
    <row r="10" spans="1:7" ht="12.75">
      <c r="A10" s="413" t="s">
        <v>37</v>
      </c>
      <c r="B10" s="414"/>
      <c r="C10" s="414"/>
      <c r="D10" s="48">
        <f>D8*D9</f>
        <v>24</v>
      </c>
      <c r="E10" s="4"/>
      <c r="F10" s="4"/>
      <c r="G10" s="5"/>
    </row>
    <row r="11" spans="1:7" ht="12.75">
      <c r="A11" s="413" t="s">
        <v>43</v>
      </c>
      <c r="B11" s="414"/>
      <c r="C11" s="414"/>
      <c r="D11" s="50">
        <f>D7/D9</f>
        <v>0.0125</v>
      </c>
      <c r="E11" s="4"/>
      <c r="F11" s="4"/>
      <c r="G11" s="5"/>
    </row>
    <row r="12" spans="1:7" ht="12.75">
      <c r="A12" s="413" t="s">
        <v>1</v>
      </c>
      <c r="B12" s="414"/>
      <c r="C12" s="414"/>
      <c r="D12" s="18">
        <f>D2*D11*-1</f>
        <v>-138981.9625</v>
      </c>
      <c r="E12" s="376" t="s">
        <v>52</v>
      </c>
      <c r="F12" s="377"/>
      <c r="G12" s="378"/>
    </row>
    <row r="13" spans="1:7" ht="12.75" hidden="1">
      <c r="A13" s="369" t="s">
        <v>13</v>
      </c>
      <c r="B13" s="370"/>
      <c r="C13" s="370"/>
      <c r="D13" s="29">
        <v>0</v>
      </c>
      <c r="E13" s="4"/>
      <c r="F13" s="4"/>
      <c r="G13" s="5"/>
    </row>
    <row r="14" spans="1:11" ht="12.75">
      <c r="A14" s="415"/>
      <c r="B14" s="416"/>
      <c r="C14" s="416"/>
      <c r="D14" s="417"/>
      <c r="E14" s="8"/>
      <c r="F14" s="8"/>
      <c r="G14" s="7"/>
      <c r="H14" s="1"/>
      <c r="I14" s="1"/>
      <c r="J14" s="1"/>
      <c r="K14" s="1"/>
    </row>
    <row r="15" spans="1:11" ht="18">
      <c r="A15" s="376" t="s">
        <v>42</v>
      </c>
      <c r="B15" s="377"/>
      <c r="C15" s="377"/>
      <c r="D15" s="74">
        <f>(POWER((RATE(D10,D12-D13,D6,D3)+1),D9))-1</f>
        <v>0.06062606401482107</v>
      </c>
      <c r="E15" s="376" t="str">
        <f>E12</f>
        <v>(Beregning: se note til stående lån)</v>
      </c>
      <c r="F15" s="377"/>
      <c r="G15" s="378"/>
      <c r="H15" s="1"/>
      <c r="I15" s="1"/>
      <c r="J15" s="1"/>
      <c r="K15" s="1"/>
    </row>
    <row r="16" spans="1:11" ht="13.5" thickBot="1">
      <c r="A16" s="382"/>
      <c r="B16" s="383"/>
      <c r="C16" s="383"/>
      <c r="D16" s="384"/>
      <c r="E16" s="8"/>
      <c r="F16" s="30"/>
      <c r="G16" s="7"/>
      <c r="H16" s="1"/>
      <c r="I16" s="1"/>
      <c r="J16" s="1"/>
      <c r="K16" s="1"/>
    </row>
    <row r="17" spans="1:11" ht="13.5" thickBot="1">
      <c r="A17" s="9"/>
      <c r="B17" s="16"/>
      <c r="C17" s="16"/>
      <c r="D17" s="16"/>
      <c r="E17" s="16"/>
      <c r="F17" s="16"/>
      <c r="G17" s="11"/>
      <c r="H17" s="1"/>
      <c r="I17" s="1"/>
      <c r="J17" s="1"/>
      <c r="K17" s="1"/>
    </row>
    <row r="18" spans="1:11" ht="12.75">
      <c r="A18" s="21" t="str">
        <f>CONCATENATE("Amortisationstabel for stående lån (",D10," terminer)")</f>
        <v>Amortisationstabel for stående lån (24 terminer)</v>
      </c>
      <c r="B18" s="8"/>
      <c r="C18" s="8"/>
      <c r="D18" s="8"/>
      <c r="E18" s="8"/>
      <c r="F18" s="8"/>
      <c r="G18" s="7"/>
      <c r="H18" s="1"/>
      <c r="I18" s="1"/>
      <c r="J18" s="1"/>
      <c r="K18" s="1"/>
    </row>
    <row r="19" spans="1:11" ht="12.75">
      <c r="A19" s="6" t="s">
        <v>2</v>
      </c>
      <c r="B19" s="8" t="s">
        <v>3</v>
      </c>
      <c r="C19" s="8" t="s">
        <v>15</v>
      </c>
      <c r="D19" s="34" t="s">
        <v>1</v>
      </c>
      <c r="E19" s="8" t="s">
        <v>4</v>
      </c>
      <c r="F19" s="8" t="s">
        <v>5</v>
      </c>
      <c r="G19" s="7" t="s">
        <v>6</v>
      </c>
      <c r="H19" s="1"/>
      <c r="I19" s="1"/>
      <c r="J19" s="1"/>
      <c r="K19" s="1"/>
    </row>
    <row r="20" spans="1:11" ht="12.75">
      <c r="A20" s="6">
        <v>1</v>
      </c>
      <c r="B20" s="22">
        <f>D2</f>
        <v>11118557</v>
      </c>
      <c r="C20" s="22">
        <f>IF(D20=0,0,D20+$D$13)</f>
        <v>138981.9625</v>
      </c>
      <c r="D20" s="22">
        <f>E20+F20</f>
        <v>138981.9625</v>
      </c>
      <c r="E20" s="22">
        <f>D12*-1</f>
        <v>138981.9625</v>
      </c>
      <c r="F20" s="17">
        <f aca="true" t="shared" si="0" ref="F20:F83">IF(A20=$D$10,$D$2,0)</f>
        <v>0</v>
      </c>
      <c r="G20" s="23">
        <f aca="true" t="shared" si="1" ref="G20:G83">B20-F20</f>
        <v>11118557</v>
      </c>
      <c r="H20" s="1"/>
      <c r="I20" s="1"/>
      <c r="J20" s="1"/>
      <c r="K20" s="1"/>
    </row>
    <row r="21" spans="1:7" ht="12.75">
      <c r="A21" s="3">
        <f aca="true" t="shared" si="2" ref="A21:A84">A20+1</f>
        <v>2</v>
      </c>
      <c r="B21" s="17">
        <f aca="true" t="shared" si="3" ref="B21:B84">B20-F20</f>
        <v>11118557</v>
      </c>
      <c r="C21" s="22">
        <f aca="true" t="shared" si="4" ref="C21:C84">IF(D21=0,0,D21+$D$13)</f>
        <v>138981.9625</v>
      </c>
      <c r="D21" s="22">
        <f aca="true" t="shared" si="5" ref="D21:D84">E21+F21</f>
        <v>138981.9625</v>
      </c>
      <c r="E21" s="17">
        <f aca="true" t="shared" si="6" ref="E21:E84">IF(B21&gt;0,E20,0)</f>
        <v>138981.9625</v>
      </c>
      <c r="F21" s="17">
        <f t="shared" si="0"/>
        <v>0</v>
      </c>
      <c r="G21" s="23">
        <f t="shared" si="1"/>
        <v>11118557</v>
      </c>
    </row>
    <row r="22" spans="1:7" ht="12.75">
      <c r="A22" s="3">
        <f t="shared" si="2"/>
        <v>3</v>
      </c>
      <c r="B22" s="17">
        <f t="shared" si="3"/>
        <v>11118557</v>
      </c>
      <c r="C22" s="22">
        <f t="shared" si="4"/>
        <v>138981.9625</v>
      </c>
      <c r="D22" s="22">
        <f t="shared" si="5"/>
        <v>138981.9625</v>
      </c>
      <c r="E22" s="17">
        <f t="shared" si="6"/>
        <v>138981.9625</v>
      </c>
      <c r="F22" s="17">
        <f t="shared" si="0"/>
        <v>0</v>
      </c>
      <c r="G22" s="23">
        <f t="shared" si="1"/>
        <v>11118557</v>
      </c>
    </row>
    <row r="23" spans="1:7" ht="12.75">
      <c r="A23" s="3">
        <f t="shared" si="2"/>
        <v>4</v>
      </c>
      <c r="B23" s="17">
        <f t="shared" si="3"/>
        <v>11118557</v>
      </c>
      <c r="C23" s="22">
        <f t="shared" si="4"/>
        <v>138981.9625</v>
      </c>
      <c r="D23" s="22">
        <f t="shared" si="5"/>
        <v>138981.9625</v>
      </c>
      <c r="E23" s="17">
        <f t="shared" si="6"/>
        <v>138981.9625</v>
      </c>
      <c r="F23" s="17">
        <f t="shared" si="0"/>
        <v>0</v>
      </c>
      <c r="G23" s="23">
        <f t="shared" si="1"/>
        <v>11118557</v>
      </c>
    </row>
    <row r="24" spans="1:7" ht="12.75">
      <c r="A24" s="3">
        <f t="shared" si="2"/>
        <v>5</v>
      </c>
      <c r="B24" s="17">
        <f t="shared" si="3"/>
        <v>11118557</v>
      </c>
      <c r="C24" s="22">
        <f t="shared" si="4"/>
        <v>138981.9625</v>
      </c>
      <c r="D24" s="22">
        <f t="shared" si="5"/>
        <v>138981.9625</v>
      </c>
      <c r="E24" s="17">
        <f t="shared" si="6"/>
        <v>138981.9625</v>
      </c>
      <c r="F24" s="17">
        <f t="shared" si="0"/>
        <v>0</v>
      </c>
      <c r="G24" s="23">
        <f t="shared" si="1"/>
        <v>11118557</v>
      </c>
    </row>
    <row r="25" spans="1:7" ht="12.75">
      <c r="A25" s="3">
        <f t="shared" si="2"/>
        <v>6</v>
      </c>
      <c r="B25" s="17">
        <f t="shared" si="3"/>
        <v>11118557</v>
      </c>
      <c r="C25" s="22">
        <f t="shared" si="4"/>
        <v>138981.9625</v>
      </c>
      <c r="D25" s="22">
        <f t="shared" si="5"/>
        <v>138981.9625</v>
      </c>
      <c r="E25" s="17">
        <f t="shared" si="6"/>
        <v>138981.9625</v>
      </c>
      <c r="F25" s="17">
        <f t="shared" si="0"/>
        <v>0</v>
      </c>
      <c r="G25" s="23">
        <f t="shared" si="1"/>
        <v>11118557</v>
      </c>
    </row>
    <row r="26" spans="1:7" ht="12.75">
      <c r="A26" s="3">
        <f t="shared" si="2"/>
        <v>7</v>
      </c>
      <c r="B26" s="17">
        <f t="shared" si="3"/>
        <v>11118557</v>
      </c>
      <c r="C26" s="22">
        <f t="shared" si="4"/>
        <v>138981.9625</v>
      </c>
      <c r="D26" s="22">
        <f t="shared" si="5"/>
        <v>138981.9625</v>
      </c>
      <c r="E26" s="17">
        <f t="shared" si="6"/>
        <v>138981.9625</v>
      </c>
      <c r="F26" s="17">
        <f t="shared" si="0"/>
        <v>0</v>
      </c>
      <c r="G26" s="23">
        <f t="shared" si="1"/>
        <v>11118557</v>
      </c>
    </row>
    <row r="27" spans="1:7" ht="12.75">
      <c r="A27" s="3">
        <f t="shared" si="2"/>
        <v>8</v>
      </c>
      <c r="B27" s="17">
        <f t="shared" si="3"/>
        <v>11118557</v>
      </c>
      <c r="C27" s="22">
        <f t="shared" si="4"/>
        <v>138981.9625</v>
      </c>
      <c r="D27" s="22">
        <f t="shared" si="5"/>
        <v>138981.9625</v>
      </c>
      <c r="E27" s="17">
        <f t="shared" si="6"/>
        <v>138981.9625</v>
      </c>
      <c r="F27" s="17">
        <f t="shared" si="0"/>
        <v>0</v>
      </c>
      <c r="G27" s="23">
        <f t="shared" si="1"/>
        <v>11118557</v>
      </c>
    </row>
    <row r="28" spans="1:7" ht="12.75">
      <c r="A28" s="3">
        <f t="shared" si="2"/>
        <v>9</v>
      </c>
      <c r="B28" s="17">
        <f t="shared" si="3"/>
        <v>11118557</v>
      </c>
      <c r="C28" s="22">
        <f t="shared" si="4"/>
        <v>138981.9625</v>
      </c>
      <c r="D28" s="22">
        <f t="shared" si="5"/>
        <v>138981.9625</v>
      </c>
      <c r="E28" s="17">
        <f t="shared" si="6"/>
        <v>138981.9625</v>
      </c>
      <c r="F28" s="17">
        <f t="shared" si="0"/>
        <v>0</v>
      </c>
      <c r="G28" s="23">
        <f t="shared" si="1"/>
        <v>11118557</v>
      </c>
    </row>
    <row r="29" spans="1:7" ht="12.75">
      <c r="A29" s="3">
        <f t="shared" si="2"/>
        <v>10</v>
      </c>
      <c r="B29" s="17">
        <f t="shared" si="3"/>
        <v>11118557</v>
      </c>
      <c r="C29" s="22">
        <f t="shared" si="4"/>
        <v>138981.9625</v>
      </c>
      <c r="D29" s="22">
        <f t="shared" si="5"/>
        <v>138981.9625</v>
      </c>
      <c r="E29" s="17">
        <f t="shared" si="6"/>
        <v>138981.9625</v>
      </c>
      <c r="F29" s="17">
        <f t="shared" si="0"/>
        <v>0</v>
      </c>
      <c r="G29" s="23">
        <f t="shared" si="1"/>
        <v>11118557</v>
      </c>
    </row>
    <row r="30" spans="1:7" ht="12.75">
      <c r="A30" s="3">
        <f t="shared" si="2"/>
        <v>11</v>
      </c>
      <c r="B30" s="17">
        <f t="shared" si="3"/>
        <v>11118557</v>
      </c>
      <c r="C30" s="22">
        <f t="shared" si="4"/>
        <v>138981.9625</v>
      </c>
      <c r="D30" s="22">
        <f t="shared" si="5"/>
        <v>138981.9625</v>
      </c>
      <c r="E30" s="17">
        <f t="shared" si="6"/>
        <v>138981.9625</v>
      </c>
      <c r="F30" s="17">
        <f t="shared" si="0"/>
        <v>0</v>
      </c>
      <c r="G30" s="23">
        <f t="shared" si="1"/>
        <v>11118557</v>
      </c>
    </row>
    <row r="31" spans="1:7" ht="12.75">
      <c r="A31" s="3">
        <f t="shared" si="2"/>
        <v>12</v>
      </c>
      <c r="B31" s="17">
        <f t="shared" si="3"/>
        <v>11118557</v>
      </c>
      <c r="C31" s="22">
        <f t="shared" si="4"/>
        <v>138981.9625</v>
      </c>
      <c r="D31" s="22">
        <f t="shared" si="5"/>
        <v>138981.9625</v>
      </c>
      <c r="E31" s="17">
        <f t="shared" si="6"/>
        <v>138981.9625</v>
      </c>
      <c r="F31" s="17">
        <f t="shared" si="0"/>
        <v>0</v>
      </c>
      <c r="G31" s="23">
        <f t="shared" si="1"/>
        <v>11118557</v>
      </c>
    </row>
    <row r="32" spans="1:7" ht="12.75">
      <c r="A32" s="3">
        <f t="shared" si="2"/>
        <v>13</v>
      </c>
      <c r="B32" s="17">
        <f t="shared" si="3"/>
        <v>11118557</v>
      </c>
      <c r="C32" s="22">
        <f t="shared" si="4"/>
        <v>138981.9625</v>
      </c>
      <c r="D32" s="22">
        <f t="shared" si="5"/>
        <v>138981.9625</v>
      </c>
      <c r="E32" s="17">
        <f t="shared" si="6"/>
        <v>138981.9625</v>
      </c>
      <c r="F32" s="17">
        <f t="shared" si="0"/>
        <v>0</v>
      </c>
      <c r="G32" s="23">
        <f t="shared" si="1"/>
        <v>11118557</v>
      </c>
    </row>
    <row r="33" spans="1:7" ht="12.75">
      <c r="A33" s="3">
        <f t="shared" si="2"/>
        <v>14</v>
      </c>
      <c r="B33" s="17">
        <f t="shared" si="3"/>
        <v>11118557</v>
      </c>
      <c r="C33" s="22">
        <f t="shared" si="4"/>
        <v>138981.9625</v>
      </c>
      <c r="D33" s="22">
        <f t="shared" si="5"/>
        <v>138981.9625</v>
      </c>
      <c r="E33" s="17">
        <f t="shared" si="6"/>
        <v>138981.9625</v>
      </c>
      <c r="F33" s="17">
        <f t="shared" si="0"/>
        <v>0</v>
      </c>
      <c r="G33" s="23">
        <f t="shared" si="1"/>
        <v>11118557</v>
      </c>
    </row>
    <row r="34" spans="1:7" ht="12.75">
      <c r="A34" s="3">
        <f t="shared" si="2"/>
        <v>15</v>
      </c>
      <c r="B34" s="17">
        <f t="shared" si="3"/>
        <v>11118557</v>
      </c>
      <c r="C34" s="22">
        <f t="shared" si="4"/>
        <v>138981.9625</v>
      </c>
      <c r="D34" s="22">
        <f t="shared" si="5"/>
        <v>138981.9625</v>
      </c>
      <c r="E34" s="17">
        <f t="shared" si="6"/>
        <v>138981.9625</v>
      </c>
      <c r="F34" s="17">
        <f t="shared" si="0"/>
        <v>0</v>
      </c>
      <c r="G34" s="23">
        <f t="shared" si="1"/>
        <v>11118557</v>
      </c>
    </row>
    <row r="35" spans="1:7" ht="12.75">
      <c r="A35" s="3">
        <f t="shared" si="2"/>
        <v>16</v>
      </c>
      <c r="B35" s="17">
        <f t="shared" si="3"/>
        <v>11118557</v>
      </c>
      <c r="C35" s="22">
        <f t="shared" si="4"/>
        <v>138981.9625</v>
      </c>
      <c r="D35" s="22">
        <f t="shared" si="5"/>
        <v>138981.9625</v>
      </c>
      <c r="E35" s="17">
        <f t="shared" si="6"/>
        <v>138981.9625</v>
      </c>
      <c r="F35" s="17">
        <f t="shared" si="0"/>
        <v>0</v>
      </c>
      <c r="G35" s="23">
        <f t="shared" si="1"/>
        <v>11118557</v>
      </c>
    </row>
    <row r="36" spans="1:7" ht="12.75">
      <c r="A36" s="3">
        <f t="shared" si="2"/>
        <v>17</v>
      </c>
      <c r="B36" s="17">
        <f t="shared" si="3"/>
        <v>11118557</v>
      </c>
      <c r="C36" s="22">
        <f t="shared" si="4"/>
        <v>138981.9625</v>
      </c>
      <c r="D36" s="22">
        <f t="shared" si="5"/>
        <v>138981.9625</v>
      </c>
      <c r="E36" s="17">
        <f t="shared" si="6"/>
        <v>138981.9625</v>
      </c>
      <c r="F36" s="17">
        <f t="shared" si="0"/>
        <v>0</v>
      </c>
      <c r="G36" s="23">
        <f t="shared" si="1"/>
        <v>11118557</v>
      </c>
    </row>
    <row r="37" spans="1:7" ht="12.75">
      <c r="A37" s="3">
        <f t="shared" si="2"/>
        <v>18</v>
      </c>
      <c r="B37" s="17">
        <f t="shared" si="3"/>
        <v>11118557</v>
      </c>
      <c r="C37" s="22">
        <f t="shared" si="4"/>
        <v>138981.9625</v>
      </c>
      <c r="D37" s="22">
        <f t="shared" si="5"/>
        <v>138981.9625</v>
      </c>
      <c r="E37" s="17">
        <f t="shared" si="6"/>
        <v>138981.9625</v>
      </c>
      <c r="F37" s="17">
        <f t="shared" si="0"/>
        <v>0</v>
      </c>
      <c r="G37" s="23">
        <f t="shared" si="1"/>
        <v>11118557</v>
      </c>
    </row>
    <row r="38" spans="1:7" ht="12.75">
      <c r="A38" s="3">
        <f t="shared" si="2"/>
        <v>19</v>
      </c>
      <c r="B38" s="17">
        <f t="shared" si="3"/>
        <v>11118557</v>
      </c>
      <c r="C38" s="22">
        <f t="shared" si="4"/>
        <v>138981.9625</v>
      </c>
      <c r="D38" s="22">
        <f t="shared" si="5"/>
        <v>138981.9625</v>
      </c>
      <c r="E38" s="17">
        <f t="shared" si="6"/>
        <v>138981.9625</v>
      </c>
      <c r="F38" s="17">
        <f t="shared" si="0"/>
        <v>0</v>
      </c>
      <c r="G38" s="23">
        <f t="shared" si="1"/>
        <v>11118557</v>
      </c>
    </row>
    <row r="39" spans="1:7" ht="12.75">
      <c r="A39" s="3">
        <f t="shared" si="2"/>
        <v>20</v>
      </c>
      <c r="B39" s="17">
        <f t="shared" si="3"/>
        <v>11118557</v>
      </c>
      <c r="C39" s="22">
        <f t="shared" si="4"/>
        <v>138981.9625</v>
      </c>
      <c r="D39" s="22">
        <f t="shared" si="5"/>
        <v>138981.9625</v>
      </c>
      <c r="E39" s="17">
        <f t="shared" si="6"/>
        <v>138981.9625</v>
      </c>
      <c r="F39" s="17">
        <f t="shared" si="0"/>
        <v>0</v>
      </c>
      <c r="G39" s="23">
        <f t="shared" si="1"/>
        <v>11118557</v>
      </c>
    </row>
    <row r="40" spans="1:7" ht="12.75">
      <c r="A40" s="3">
        <f t="shared" si="2"/>
        <v>21</v>
      </c>
      <c r="B40" s="17">
        <f t="shared" si="3"/>
        <v>11118557</v>
      </c>
      <c r="C40" s="22">
        <f t="shared" si="4"/>
        <v>138981.9625</v>
      </c>
      <c r="D40" s="22">
        <f t="shared" si="5"/>
        <v>138981.9625</v>
      </c>
      <c r="E40" s="17">
        <f t="shared" si="6"/>
        <v>138981.9625</v>
      </c>
      <c r="F40" s="17">
        <f t="shared" si="0"/>
        <v>0</v>
      </c>
      <c r="G40" s="23">
        <f t="shared" si="1"/>
        <v>11118557</v>
      </c>
    </row>
    <row r="41" spans="1:7" ht="12.75">
      <c r="A41" s="3">
        <f t="shared" si="2"/>
        <v>22</v>
      </c>
      <c r="B41" s="17">
        <f t="shared" si="3"/>
        <v>11118557</v>
      </c>
      <c r="C41" s="22">
        <f t="shared" si="4"/>
        <v>138981.9625</v>
      </c>
      <c r="D41" s="22">
        <f t="shared" si="5"/>
        <v>138981.9625</v>
      </c>
      <c r="E41" s="17">
        <f t="shared" si="6"/>
        <v>138981.9625</v>
      </c>
      <c r="F41" s="17">
        <f t="shared" si="0"/>
        <v>0</v>
      </c>
      <c r="G41" s="23">
        <f t="shared" si="1"/>
        <v>11118557</v>
      </c>
    </row>
    <row r="42" spans="1:7" ht="12.75">
      <c r="A42" s="3">
        <f t="shared" si="2"/>
        <v>23</v>
      </c>
      <c r="B42" s="17">
        <f t="shared" si="3"/>
        <v>11118557</v>
      </c>
      <c r="C42" s="22">
        <f t="shared" si="4"/>
        <v>138981.9625</v>
      </c>
      <c r="D42" s="22">
        <f t="shared" si="5"/>
        <v>138981.9625</v>
      </c>
      <c r="E42" s="17">
        <f t="shared" si="6"/>
        <v>138981.9625</v>
      </c>
      <c r="F42" s="17">
        <f t="shared" si="0"/>
        <v>0</v>
      </c>
      <c r="G42" s="23">
        <f t="shared" si="1"/>
        <v>11118557</v>
      </c>
    </row>
    <row r="43" spans="1:7" ht="12.75">
      <c r="A43" s="3">
        <f t="shared" si="2"/>
        <v>24</v>
      </c>
      <c r="B43" s="17">
        <f t="shared" si="3"/>
        <v>11118557</v>
      </c>
      <c r="C43" s="22">
        <f t="shared" si="4"/>
        <v>11257538.9625</v>
      </c>
      <c r="D43" s="22">
        <f t="shared" si="5"/>
        <v>11257538.9625</v>
      </c>
      <c r="E43" s="17">
        <f t="shared" si="6"/>
        <v>138981.9625</v>
      </c>
      <c r="F43" s="17">
        <f t="shared" si="0"/>
        <v>11118557</v>
      </c>
      <c r="G43" s="23">
        <f t="shared" si="1"/>
        <v>0</v>
      </c>
    </row>
    <row r="44" spans="1:7" ht="12.75">
      <c r="A44" s="3">
        <f t="shared" si="2"/>
        <v>25</v>
      </c>
      <c r="B44" s="17">
        <f t="shared" si="3"/>
        <v>0</v>
      </c>
      <c r="C44" s="22">
        <f t="shared" si="4"/>
        <v>0</v>
      </c>
      <c r="D44" s="22">
        <f t="shared" si="5"/>
        <v>0</v>
      </c>
      <c r="E44" s="17">
        <f t="shared" si="6"/>
        <v>0</v>
      </c>
      <c r="F44" s="17">
        <f t="shared" si="0"/>
        <v>0</v>
      </c>
      <c r="G44" s="23">
        <f t="shared" si="1"/>
        <v>0</v>
      </c>
    </row>
    <row r="45" spans="1:7" ht="12.75">
      <c r="A45" s="3">
        <f t="shared" si="2"/>
        <v>26</v>
      </c>
      <c r="B45" s="17">
        <f t="shared" si="3"/>
        <v>0</v>
      </c>
      <c r="C45" s="22">
        <f t="shared" si="4"/>
        <v>0</v>
      </c>
      <c r="D45" s="22">
        <f t="shared" si="5"/>
        <v>0</v>
      </c>
      <c r="E45" s="17">
        <f t="shared" si="6"/>
        <v>0</v>
      </c>
      <c r="F45" s="17">
        <f t="shared" si="0"/>
        <v>0</v>
      </c>
      <c r="G45" s="23">
        <f t="shared" si="1"/>
        <v>0</v>
      </c>
    </row>
    <row r="46" spans="1:7" ht="12.75">
      <c r="A46" s="3">
        <f t="shared" si="2"/>
        <v>27</v>
      </c>
      <c r="B46" s="17">
        <f t="shared" si="3"/>
        <v>0</v>
      </c>
      <c r="C46" s="22">
        <f t="shared" si="4"/>
        <v>0</v>
      </c>
      <c r="D46" s="22">
        <f t="shared" si="5"/>
        <v>0</v>
      </c>
      <c r="E46" s="17">
        <f t="shared" si="6"/>
        <v>0</v>
      </c>
      <c r="F46" s="17">
        <f t="shared" si="0"/>
        <v>0</v>
      </c>
      <c r="G46" s="23">
        <f t="shared" si="1"/>
        <v>0</v>
      </c>
    </row>
    <row r="47" spans="1:7" ht="12.75">
      <c r="A47" s="3">
        <f t="shared" si="2"/>
        <v>28</v>
      </c>
      <c r="B47" s="17">
        <f t="shared" si="3"/>
        <v>0</v>
      </c>
      <c r="C47" s="22">
        <f t="shared" si="4"/>
        <v>0</v>
      </c>
      <c r="D47" s="22">
        <f t="shared" si="5"/>
        <v>0</v>
      </c>
      <c r="E47" s="17">
        <f t="shared" si="6"/>
        <v>0</v>
      </c>
      <c r="F47" s="17">
        <f t="shared" si="0"/>
        <v>0</v>
      </c>
      <c r="G47" s="23">
        <f t="shared" si="1"/>
        <v>0</v>
      </c>
    </row>
    <row r="48" spans="1:7" ht="12.75">
      <c r="A48" s="3">
        <f t="shared" si="2"/>
        <v>29</v>
      </c>
      <c r="B48" s="17">
        <f t="shared" si="3"/>
        <v>0</v>
      </c>
      <c r="C48" s="22">
        <f t="shared" si="4"/>
        <v>0</v>
      </c>
      <c r="D48" s="22">
        <f t="shared" si="5"/>
        <v>0</v>
      </c>
      <c r="E48" s="17">
        <f t="shared" si="6"/>
        <v>0</v>
      </c>
      <c r="F48" s="17">
        <f t="shared" si="0"/>
        <v>0</v>
      </c>
      <c r="G48" s="23">
        <f t="shared" si="1"/>
        <v>0</v>
      </c>
    </row>
    <row r="49" spans="1:7" ht="12.75">
      <c r="A49" s="3">
        <f t="shared" si="2"/>
        <v>30</v>
      </c>
      <c r="B49" s="17">
        <f t="shared" si="3"/>
        <v>0</v>
      </c>
      <c r="C49" s="22">
        <f t="shared" si="4"/>
        <v>0</v>
      </c>
      <c r="D49" s="22">
        <f t="shared" si="5"/>
        <v>0</v>
      </c>
      <c r="E49" s="17">
        <f t="shared" si="6"/>
        <v>0</v>
      </c>
      <c r="F49" s="17">
        <f t="shared" si="0"/>
        <v>0</v>
      </c>
      <c r="G49" s="23">
        <f t="shared" si="1"/>
        <v>0</v>
      </c>
    </row>
    <row r="50" spans="1:7" ht="12.75">
      <c r="A50" s="3">
        <f t="shared" si="2"/>
        <v>31</v>
      </c>
      <c r="B50" s="17">
        <f t="shared" si="3"/>
        <v>0</v>
      </c>
      <c r="C50" s="22">
        <f t="shared" si="4"/>
        <v>0</v>
      </c>
      <c r="D50" s="22">
        <f t="shared" si="5"/>
        <v>0</v>
      </c>
      <c r="E50" s="17">
        <f t="shared" si="6"/>
        <v>0</v>
      </c>
      <c r="F50" s="17">
        <f t="shared" si="0"/>
        <v>0</v>
      </c>
      <c r="G50" s="23">
        <f t="shared" si="1"/>
        <v>0</v>
      </c>
    </row>
    <row r="51" spans="1:7" ht="12.75">
      <c r="A51" s="3">
        <f t="shared" si="2"/>
        <v>32</v>
      </c>
      <c r="B51" s="17">
        <f t="shared" si="3"/>
        <v>0</v>
      </c>
      <c r="C51" s="22">
        <f t="shared" si="4"/>
        <v>0</v>
      </c>
      <c r="D51" s="22">
        <f t="shared" si="5"/>
        <v>0</v>
      </c>
      <c r="E51" s="17">
        <f t="shared" si="6"/>
        <v>0</v>
      </c>
      <c r="F51" s="17">
        <f t="shared" si="0"/>
        <v>0</v>
      </c>
      <c r="G51" s="23">
        <f t="shared" si="1"/>
        <v>0</v>
      </c>
    </row>
    <row r="52" spans="1:7" ht="12.75">
      <c r="A52" s="3">
        <f t="shared" si="2"/>
        <v>33</v>
      </c>
      <c r="B52" s="17">
        <f t="shared" si="3"/>
        <v>0</v>
      </c>
      <c r="C52" s="22">
        <f t="shared" si="4"/>
        <v>0</v>
      </c>
      <c r="D52" s="22">
        <f t="shared" si="5"/>
        <v>0</v>
      </c>
      <c r="E52" s="17">
        <f t="shared" si="6"/>
        <v>0</v>
      </c>
      <c r="F52" s="17">
        <f t="shared" si="0"/>
        <v>0</v>
      </c>
      <c r="G52" s="23">
        <f t="shared" si="1"/>
        <v>0</v>
      </c>
    </row>
    <row r="53" spans="1:7" ht="12.75">
      <c r="A53" s="3">
        <f t="shared" si="2"/>
        <v>34</v>
      </c>
      <c r="B53" s="17">
        <f t="shared" si="3"/>
        <v>0</v>
      </c>
      <c r="C53" s="22">
        <f t="shared" si="4"/>
        <v>0</v>
      </c>
      <c r="D53" s="22">
        <f t="shared" si="5"/>
        <v>0</v>
      </c>
      <c r="E53" s="17">
        <f t="shared" si="6"/>
        <v>0</v>
      </c>
      <c r="F53" s="17">
        <f t="shared" si="0"/>
        <v>0</v>
      </c>
      <c r="G53" s="23">
        <f t="shared" si="1"/>
        <v>0</v>
      </c>
    </row>
    <row r="54" spans="1:7" ht="12.75">
      <c r="A54" s="3">
        <f t="shared" si="2"/>
        <v>35</v>
      </c>
      <c r="B54" s="17">
        <f t="shared" si="3"/>
        <v>0</v>
      </c>
      <c r="C54" s="22">
        <f t="shared" si="4"/>
        <v>0</v>
      </c>
      <c r="D54" s="22">
        <f t="shared" si="5"/>
        <v>0</v>
      </c>
      <c r="E54" s="17">
        <f t="shared" si="6"/>
        <v>0</v>
      </c>
      <c r="F54" s="17">
        <f t="shared" si="0"/>
        <v>0</v>
      </c>
      <c r="G54" s="23">
        <f t="shared" si="1"/>
        <v>0</v>
      </c>
    </row>
    <row r="55" spans="1:7" ht="12.75">
      <c r="A55" s="3">
        <f t="shared" si="2"/>
        <v>36</v>
      </c>
      <c r="B55" s="17">
        <f t="shared" si="3"/>
        <v>0</v>
      </c>
      <c r="C55" s="22">
        <f t="shared" si="4"/>
        <v>0</v>
      </c>
      <c r="D55" s="22">
        <f t="shared" si="5"/>
        <v>0</v>
      </c>
      <c r="E55" s="17">
        <f t="shared" si="6"/>
        <v>0</v>
      </c>
      <c r="F55" s="17">
        <f t="shared" si="0"/>
        <v>0</v>
      </c>
      <c r="G55" s="23">
        <f t="shared" si="1"/>
        <v>0</v>
      </c>
    </row>
    <row r="56" spans="1:7" ht="12.75">
      <c r="A56" s="3">
        <f t="shared" si="2"/>
        <v>37</v>
      </c>
      <c r="B56" s="17">
        <f t="shared" si="3"/>
        <v>0</v>
      </c>
      <c r="C56" s="22">
        <f t="shared" si="4"/>
        <v>0</v>
      </c>
      <c r="D56" s="22">
        <f t="shared" si="5"/>
        <v>0</v>
      </c>
      <c r="E56" s="17">
        <f t="shared" si="6"/>
        <v>0</v>
      </c>
      <c r="F56" s="17">
        <f t="shared" si="0"/>
        <v>0</v>
      </c>
      <c r="G56" s="23">
        <f t="shared" si="1"/>
        <v>0</v>
      </c>
    </row>
    <row r="57" spans="1:7" ht="12.75">
      <c r="A57" s="3">
        <f t="shared" si="2"/>
        <v>38</v>
      </c>
      <c r="B57" s="17">
        <f t="shared" si="3"/>
        <v>0</v>
      </c>
      <c r="C57" s="22">
        <f t="shared" si="4"/>
        <v>0</v>
      </c>
      <c r="D57" s="22">
        <f t="shared" si="5"/>
        <v>0</v>
      </c>
      <c r="E57" s="17">
        <f t="shared" si="6"/>
        <v>0</v>
      </c>
      <c r="F57" s="17">
        <f t="shared" si="0"/>
        <v>0</v>
      </c>
      <c r="G57" s="23">
        <f t="shared" si="1"/>
        <v>0</v>
      </c>
    </row>
    <row r="58" spans="1:7" ht="12.75">
      <c r="A58" s="3">
        <f t="shared" si="2"/>
        <v>39</v>
      </c>
      <c r="B58" s="17">
        <f t="shared" si="3"/>
        <v>0</v>
      </c>
      <c r="C58" s="22">
        <f t="shared" si="4"/>
        <v>0</v>
      </c>
      <c r="D58" s="22">
        <f t="shared" si="5"/>
        <v>0</v>
      </c>
      <c r="E58" s="17">
        <f t="shared" si="6"/>
        <v>0</v>
      </c>
      <c r="F58" s="17">
        <f t="shared" si="0"/>
        <v>0</v>
      </c>
      <c r="G58" s="23">
        <f t="shared" si="1"/>
        <v>0</v>
      </c>
    </row>
    <row r="59" spans="1:7" ht="13.5" thickBot="1">
      <c r="A59" s="3">
        <f t="shared" si="2"/>
        <v>40</v>
      </c>
      <c r="B59" s="17">
        <f t="shared" si="3"/>
        <v>0</v>
      </c>
      <c r="C59" s="22">
        <f t="shared" si="4"/>
        <v>0</v>
      </c>
      <c r="D59" s="22">
        <f t="shared" si="5"/>
        <v>0</v>
      </c>
      <c r="E59" s="17">
        <f t="shared" si="6"/>
        <v>0</v>
      </c>
      <c r="F59" s="17">
        <f t="shared" si="0"/>
        <v>0</v>
      </c>
      <c r="G59" s="23">
        <f t="shared" si="1"/>
        <v>0</v>
      </c>
    </row>
    <row r="60" spans="1:7" ht="12.75" hidden="1">
      <c r="A60" s="3">
        <f t="shared" si="2"/>
        <v>41</v>
      </c>
      <c r="B60" s="17">
        <f t="shared" si="3"/>
        <v>0</v>
      </c>
      <c r="C60" s="22">
        <f t="shared" si="4"/>
        <v>0</v>
      </c>
      <c r="D60" s="22">
        <f t="shared" si="5"/>
        <v>0</v>
      </c>
      <c r="E60" s="17">
        <f t="shared" si="6"/>
        <v>0</v>
      </c>
      <c r="F60" s="17">
        <f t="shared" si="0"/>
        <v>0</v>
      </c>
      <c r="G60" s="23">
        <f t="shared" si="1"/>
        <v>0</v>
      </c>
    </row>
    <row r="61" spans="1:7" ht="12.75" hidden="1">
      <c r="A61" s="3">
        <f t="shared" si="2"/>
        <v>42</v>
      </c>
      <c r="B61" s="17">
        <f t="shared" si="3"/>
        <v>0</v>
      </c>
      <c r="C61" s="22">
        <f t="shared" si="4"/>
        <v>0</v>
      </c>
      <c r="D61" s="22">
        <f t="shared" si="5"/>
        <v>0</v>
      </c>
      <c r="E61" s="17">
        <f t="shared" si="6"/>
        <v>0</v>
      </c>
      <c r="F61" s="17">
        <f t="shared" si="0"/>
        <v>0</v>
      </c>
      <c r="G61" s="23">
        <f t="shared" si="1"/>
        <v>0</v>
      </c>
    </row>
    <row r="62" spans="1:7" ht="12.75" hidden="1">
      <c r="A62" s="3">
        <f t="shared" si="2"/>
        <v>43</v>
      </c>
      <c r="B62" s="17">
        <f t="shared" si="3"/>
        <v>0</v>
      </c>
      <c r="C62" s="22">
        <f t="shared" si="4"/>
        <v>0</v>
      </c>
      <c r="D62" s="22">
        <f t="shared" si="5"/>
        <v>0</v>
      </c>
      <c r="E62" s="17">
        <f t="shared" si="6"/>
        <v>0</v>
      </c>
      <c r="F62" s="17">
        <f t="shared" si="0"/>
        <v>0</v>
      </c>
      <c r="G62" s="23">
        <f t="shared" si="1"/>
        <v>0</v>
      </c>
    </row>
    <row r="63" spans="1:7" ht="12.75" hidden="1">
      <c r="A63" s="3">
        <f t="shared" si="2"/>
        <v>44</v>
      </c>
      <c r="B63" s="17">
        <f t="shared" si="3"/>
        <v>0</v>
      </c>
      <c r="C63" s="22">
        <f t="shared" si="4"/>
        <v>0</v>
      </c>
      <c r="D63" s="22">
        <f t="shared" si="5"/>
        <v>0</v>
      </c>
      <c r="E63" s="17">
        <f t="shared" si="6"/>
        <v>0</v>
      </c>
      <c r="F63" s="17">
        <f t="shared" si="0"/>
        <v>0</v>
      </c>
      <c r="G63" s="23">
        <f t="shared" si="1"/>
        <v>0</v>
      </c>
    </row>
    <row r="64" spans="1:7" ht="12.75" hidden="1">
      <c r="A64" s="3">
        <f t="shared" si="2"/>
        <v>45</v>
      </c>
      <c r="B64" s="17">
        <f t="shared" si="3"/>
        <v>0</v>
      </c>
      <c r="C64" s="22">
        <f t="shared" si="4"/>
        <v>0</v>
      </c>
      <c r="D64" s="22">
        <f t="shared" si="5"/>
        <v>0</v>
      </c>
      <c r="E64" s="17">
        <f t="shared" si="6"/>
        <v>0</v>
      </c>
      <c r="F64" s="17">
        <f t="shared" si="0"/>
        <v>0</v>
      </c>
      <c r="G64" s="23">
        <f t="shared" si="1"/>
        <v>0</v>
      </c>
    </row>
    <row r="65" spans="1:7" ht="12.75" hidden="1">
      <c r="A65" s="3">
        <f t="shared" si="2"/>
        <v>46</v>
      </c>
      <c r="B65" s="17">
        <f t="shared" si="3"/>
        <v>0</v>
      </c>
      <c r="C65" s="22">
        <f t="shared" si="4"/>
        <v>0</v>
      </c>
      <c r="D65" s="22">
        <f t="shared" si="5"/>
        <v>0</v>
      </c>
      <c r="E65" s="17">
        <f t="shared" si="6"/>
        <v>0</v>
      </c>
      <c r="F65" s="17">
        <f t="shared" si="0"/>
        <v>0</v>
      </c>
      <c r="G65" s="23">
        <f t="shared" si="1"/>
        <v>0</v>
      </c>
    </row>
    <row r="66" spans="1:7" ht="12.75" hidden="1">
      <c r="A66" s="3">
        <f t="shared" si="2"/>
        <v>47</v>
      </c>
      <c r="B66" s="17">
        <f t="shared" si="3"/>
        <v>0</v>
      </c>
      <c r="C66" s="22">
        <f t="shared" si="4"/>
        <v>0</v>
      </c>
      <c r="D66" s="22">
        <f t="shared" si="5"/>
        <v>0</v>
      </c>
      <c r="E66" s="17">
        <f t="shared" si="6"/>
        <v>0</v>
      </c>
      <c r="F66" s="17">
        <f t="shared" si="0"/>
        <v>0</v>
      </c>
      <c r="G66" s="23">
        <f t="shared" si="1"/>
        <v>0</v>
      </c>
    </row>
    <row r="67" spans="1:7" ht="12.75" hidden="1">
      <c r="A67" s="3">
        <f t="shared" si="2"/>
        <v>48</v>
      </c>
      <c r="B67" s="17">
        <f t="shared" si="3"/>
        <v>0</v>
      </c>
      <c r="C67" s="22">
        <f t="shared" si="4"/>
        <v>0</v>
      </c>
      <c r="D67" s="22">
        <f t="shared" si="5"/>
        <v>0</v>
      </c>
      <c r="E67" s="17">
        <f t="shared" si="6"/>
        <v>0</v>
      </c>
      <c r="F67" s="17">
        <f t="shared" si="0"/>
        <v>0</v>
      </c>
      <c r="G67" s="23">
        <f t="shared" si="1"/>
        <v>0</v>
      </c>
    </row>
    <row r="68" spans="1:7" ht="12.75" hidden="1">
      <c r="A68" s="3">
        <f t="shared" si="2"/>
        <v>49</v>
      </c>
      <c r="B68" s="17">
        <f t="shared" si="3"/>
        <v>0</v>
      </c>
      <c r="C68" s="22">
        <f t="shared" si="4"/>
        <v>0</v>
      </c>
      <c r="D68" s="22">
        <f t="shared" si="5"/>
        <v>0</v>
      </c>
      <c r="E68" s="17">
        <f t="shared" si="6"/>
        <v>0</v>
      </c>
      <c r="F68" s="17">
        <f t="shared" si="0"/>
        <v>0</v>
      </c>
      <c r="G68" s="23">
        <f t="shared" si="1"/>
        <v>0</v>
      </c>
    </row>
    <row r="69" spans="1:7" ht="12.75" hidden="1">
      <c r="A69" s="3">
        <f t="shared" si="2"/>
        <v>50</v>
      </c>
      <c r="B69" s="17">
        <f t="shared" si="3"/>
        <v>0</v>
      </c>
      <c r="C69" s="22">
        <f t="shared" si="4"/>
        <v>0</v>
      </c>
      <c r="D69" s="22">
        <f t="shared" si="5"/>
        <v>0</v>
      </c>
      <c r="E69" s="17">
        <f t="shared" si="6"/>
        <v>0</v>
      </c>
      <c r="F69" s="17">
        <f t="shared" si="0"/>
        <v>0</v>
      </c>
      <c r="G69" s="23">
        <f t="shared" si="1"/>
        <v>0</v>
      </c>
    </row>
    <row r="70" spans="1:7" ht="12.75" hidden="1">
      <c r="A70" s="3">
        <f t="shared" si="2"/>
        <v>51</v>
      </c>
      <c r="B70" s="17">
        <f t="shared" si="3"/>
        <v>0</v>
      </c>
      <c r="C70" s="22">
        <f t="shared" si="4"/>
        <v>0</v>
      </c>
      <c r="D70" s="22">
        <f t="shared" si="5"/>
        <v>0</v>
      </c>
      <c r="E70" s="17">
        <f t="shared" si="6"/>
        <v>0</v>
      </c>
      <c r="F70" s="17">
        <f t="shared" si="0"/>
        <v>0</v>
      </c>
      <c r="G70" s="23">
        <f t="shared" si="1"/>
        <v>0</v>
      </c>
    </row>
    <row r="71" spans="1:7" ht="12.75" hidden="1">
      <c r="A71" s="3">
        <f t="shared" si="2"/>
        <v>52</v>
      </c>
      <c r="B71" s="17">
        <f t="shared" si="3"/>
        <v>0</v>
      </c>
      <c r="C71" s="22">
        <f t="shared" si="4"/>
        <v>0</v>
      </c>
      <c r="D71" s="22">
        <f t="shared" si="5"/>
        <v>0</v>
      </c>
      <c r="E71" s="17">
        <f t="shared" si="6"/>
        <v>0</v>
      </c>
      <c r="F71" s="17">
        <f t="shared" si="0"/>
        <v>0</v>
      </c>
      <c r="G71" s="23">
        <f t="shared" si="1"/>
        <v>0</v>
      </c>
    </row>
    <row r="72" spans="1:7" ht="12.75" hidden="1">
      <c r="A72" s="3">
        <f t="shared" si="2"/>
        <v>53</v>
      </c>
      <c r="B72" s="17">
        <f t="shared" si="3"/>
        <v>0</v>
      </c>
      <c r="C72" s="22">
        <f t="shared" si="4"/>
        <v>0</v>
      </c>
      <c r="D72" s="22">
        <f t="shared" si="5"/>
        <v>0</v>
      </c>
      <c r="E72" s="17">
        <f t="shared" si="6"/>
        <v>0</v>
      </c>
      <c r="F72" s="17">
        <f t="shared" si="0"/>
        <v>0</v>
      </c>
      <c r="G72" s="23">
        <f t="shared" si="1"/>
        <v>0</v>
      </c>
    </row>
    <row r="73" spans="1:7" ht="12.75" hidden="1">
      <c r="A73" s="3">
        <f t="shared" si="2"/>
        <v>54</v>
      </c>
      <c r="B73" s="17">
        <f t="shared" si="3"/>
        <v>0</v>
      </c>
      <c r="C73" s="22">
        <f t="shared" si="4"/>
        <v>0</v>
      </c>
      <c r="D73" s="22">
        <f t="shared" si="5"/>
        <v>0</v>
      </c>
      <c r="E73" s="17">
        <f t="shared" si="6"/>
        <v>0</v>
      </c>
      <c r="F73" s="17">
        <f t="shared" si="0"/>
        <v>0</v>
      </c>
      <c r="G73" s="23">
        <f t="shared" si="1"/>
        <v>0</v>
      </c>
    </row>
    <row r="74" spans="1:7" ht="12.75" hidden="1">
      <c r="A74" s="3">
        <f t="shared" si="2"/>
        <v>55</v>
      </c>
      <c r="B74" s="17">
        <f t="shared" si="3"/>
        <v>0</v>
      </c>
      <c r="C74" s="22">
        <f t="shared" si="4"/>
        <v>0</v>
      </c>
      <c r="D74" s="22">
        <f t="shared" si="5"/>
        <v>0</v>
      </c>
      <c r="E74" s="17">
        <f t="shared" si="6"/>
        <v>0</v>
      </c>
      <c r="F74" s="17">
        <f t="shared" si="0"/>
        <v>0</v>
      </c>
      <c r="G74" s="23">
        <f t="shared" si="1"/>
        <v>0</v>
      </c>
    </row>
    <row r="75" spans="1:7" ht="12.75" hidden="1">
      <c r="A75" s="3">
        <f t="shared" si="2"/>
        <v>56</v>
      </c>
      <c r="B75" s="17">
        <f t="shared" si="3"/>
        <v>0</v>
      </c>
      <c r="C75" s="22">
        <f t="shared" si="4"/>
        <v>0</v>
      </c>
      <c r="D75" s="22">
        <f t="shared" si="5"/>
        <v>0</v>
      </c>
      <c r="E75" s="17">
        <f t="shared" si="6"/>
        <v>0</v>
      </c>
      <c r="F75" s="17">
        <f t="shared" si="0"/>
        <v>0</v>
      </c>
      <c r="G75" s="23">
        <f t="shared" si="1"/>
        <v>0</v>
      </c>
    </row>
    <row r="76" spans="1:7" ht="12.75" hidden="1">
      <c r="A76" s="3">
        <f t="shared" si="2"/>
        <v>57</v>
      </c>
      <c r="B76" s="17">
        <f t="shared" si="3"/>
        <v>0</v>
      </c>
      <c r="C76" s="22">
        <f t="shared" si="4"/>
        <v>0</v>
      </c>
      <c r="D76" s="22">
        <f t="shared" si="5"/>
        <v>0</v>
      </c>
      <c r="E76" s="17">
        <f t="shared" si="6"/>
        <v>0</v>
      </c>
      <c r="F76" s="17">
        <f t="shared" si="0"/>
        <v>0</v>
      </c>
      <c r="G76" s="23">
        <f t="shared" si="1"/>
        <v>0</v>
      </c>
    </row>
    <row r="77" spans="1:7" ht="12.75" hidden="1">
      <c r="A77" s="3">
        <f t="shared" si="2"/>
        <v>58</v>
      </c>
      <c r="B77" s="17">
        <f t="shared" si="3"/>
        <v>0</v>
      </c>
      <c r="C77" s="22">
        <f t="shared" si="4"/>
        <v>0</v>
      </c>
      <c r="D77" s="22">
        <f t="shared" si="5"/>
        <v>0</v>
      </c>
      <c r="E77" s="17">
        <f t="shared" si="6"/>
        <v>0</v>
      </c>
      <c r="F77" s="17">
        <f t="shared" si="0"/>
        <v>0</v>
      </c>
      <c r="G77" s="23">
        <f t="shared" si="1"/>
        <v>0</v>
      </c>
    </row>
    <row r="78" spans="1:7" ht="12.75" hidden="1">
      <c r="A78" s="3">
        <f t="shared" si="2"/>
        <v>59</v>
      </c>
      <c r="B78" s="17">
        <f t="shared" si="3"/>
        <v>0</v>
      </c>
      <c r="C78" s="22">
        <f t="shared" si="4"/>
        <v>0</v>
      </c>
      <c r="D78" s="22">
        <f t="shared" si="5"/>
        <v>0</v>
      </c>
      <c r="E78" s="17">
        <f t="shared" si="6"/>
        <v>0</v>
      </c>
      <c r="F78" s="17">
        <f t="shared" si="0"/>
        <v>0</v>
      </c>
      <c r="G78" s="23">
        <f t="shared" si="1"/>
        <v>0</v>
      </c>
    </row>
    <row r="79" spans="1:7" ht="12.75" hidden="1">
      <c r="A79" s="3">
        <f t="shared" si="2"/>
        <v>60</v>
      </c>
      <c r="B79" s="17">
        <f t="shared" si="3"/>
        <v>0</v>
      </c>
      <c r="C79" s="22">
        <f t="shared" si="4"/>
        <v>0</v>
      </c>
      <c r="D79" s="22">
        <f t="shared" si="5"/>
        <v>0</v>
      </c>
      <c r="E79" s="17">
        <f t="shared" si="6"/>
        <v>0</v>
      </c>
      <c r="F79" s="17">
        <f t="shared" si="0"/>
        <v>0</v>
      </c>
      <c r="G79" s="23">
        <f t="shared" si="1"/>
        <v>0</v>
      </c>
    </row>
    <row r="80" spans="1:7" ht="12.75" hidden="1">
      <c r="A80" s="3">
        <f t="shared" si="2"/>
        <v>61</v>
      </c>
      <c r="B80" s="17">
        <f t="shared" si="3"/>
        <v>0</v>
      </c>
      <c r="C80" s="22">
        <f t="shared" si="4"/>
        <v>0</v>
      </c>
      <c r="D80" s="22">
        <f t="shared" si="5"/>
        <v>0</v>
      </c>
      <c r="E80" s="17">
        <f t="shared" si="6"/>
        <v>0</v>
      </c>
      <c r="F80" s="17">
        <f t="shared" si="0"/>
        <v>0</v>
      </c>
      <c r="G80" s="23">
        <f t="shared" si="1"/>
        <v>0</v>
      </c>
    </row>
    <row r="81" spans="1:7" ht="12.75" hidden="1">
      <c r="A81" s="3">
        <f t="shared" si="2"/>
        <v>62</v>
      </c>
      <c r="B81" s="17">
        <f t="shared" si="3"/>
        <v>0</v>
      </c>
      <c r="C81" s="22">
        <f t="shared" si="4"/>
        <v>0</v>
      </c>
      <c r="D81" s="22">
        <f t="shared" si="5"/>
        <v>0</v>
      </c>
      <c r="E81" s="17">
        <f t="shared" si="6"/>
        <v>0</v>
      </c>
      <c r="F81" s="17">
        <f t="shared" si="0"/>
        <v>0</v>
      </c>
      <c r="G81" s="23">
        <f t="shared" si="1"/>
        <v>0</v>
      </c>
    </row>
    <row r="82" spans="1:7" ht="12.75" hidden="1">
      <c r="A82" s="3">
        <f t="shared" si="2"/>
        <v>63</v>
      </c>
      <c r="B82" s="17">
        <f t="shared" si="3"/>
        <v>0</v>
      </c>
      <c r="C82" s="22">
        <f t="shared" si="4"/>
        <v>0</v>
      </c>
      <c r="D82" s="22">
        <f t="shared" si="5"/>
        <v>0</v>
      </c>
      <c r="E82" s="17">
        <f t="shared" si="6"/>
        <v>0</v>
      </c>
      <c r="F82" s="17">
        <f t="shared" si="0"/>
        <v>0</v>
      </c>
      <c r="G82" s="23">
        <f t="shared" si="1"/>
        <v>0</v>
      </c>
    </row>
    <row r="83" spans="1:7" ht="12.75" hidden="1">
      <c r="A83" s="3">
        <f t="shared" si="2"/>
        <v>64</v>
      </c>
      <c r="B83" s="17">
        <f t="shared" si="3"/>
        <v>0</v>
      </c>
      <c r="C83" s="22">
        <f t="shared" si="4"/>
        <v>0</v>
      </c>
      <c r="D83" s="22">
        <f t="shared" si="5"/>
        <v>0</v>
      </c>
      <c r="E83" s="17">
        <f t="shared" si="6"/>
        <v>0</v>
      </c>
      <c r="F83" s="17">
        <f t="shared" si="0"/>
        <v>0</v>
      </c>
      <c r="G83" s="23">
        <f t="shared" si="1"/>
        <v>0</v>
      </c>
    </row>
    <row r="84" spans="1:7" ht="12.75" hidden="1">
      <c r="A84" s="3">
        <f t="shared" si="2"/>
        <v>65</v>
      </c>
      <c r="B84" s="17">
        <f t="shared" si="3"/>
        <v>0</v>
      </c>
      <c r="C84" s="22">
        <f t="shared" si="4"/>
        <v>0</v>
      </c>
      <c r="D84" s="22">
        <f t="shared" si="5"/>
        <v>0</v>
      </c>
      <c r="E84" s="17">
        <f t="shared" si="6"/>
        <v>0</v>
      </c>
      <c r="F84" s="17">
        <f aca="true" t="shared" si="7" ref="F84:F147">IF(A84=$D$10,$D$2,0)</f>
        <v>0</v>
      </c>
      <c r="G84" s="23">
        <f aca="true" t="shared" si="8" ref="G84:G147">B84-F84</f>
        <v>0</v>
      </c>
    </row>
    <row r="85" spans="1:7" ht="12.75" hidden="1">
      <c r="A85" s="3">
        <f aca="true" t="shared" si="9" ref="A85:A148">A84+1</f>
        <v>66</v>
      </c>
      <c r="B85" s="17">
        <f aca="true" t="shared" si="10" ref="B85:B148">B84-F84</f>
        <v>0</v>
      </c>
      <c r="C85" s="22">
        <f aca="true" t="shared" si="11" ref="C85:C148">IF(D85=0,0,D85+$D$13)</f>
        <v>0</v>
      </c>
      <c r="D85" s="22">
        <f aca="true" t="shared" si="12" ref="D85:D148">E85+F85</f>
        <v>0</v>
      </c>
      <c r="E85" s="17">
        <f aca="true" t="shared" si="13" ref="E85:E148">IF(B85&gt;0,E84,0)</f>
        <v>0</v>
      </c>
      <c r="F85" s="17">
        <f t="shared" si="7"/>
        <v>0</v>
      </c>
      <c r="G85" s="23">
        <f t="shared" si="8"/>
        <v>0</v>
      </c>
    </row>
    <row r="86" spans="1:7" ht="12.75" hidden="1">
      <c r="A86" s="3">
        <f t="shared" si="9"/>
        <v>67</v>
      </c>
      <c r="B86" s="17">
        <f t="shared" si="10"/>
        <v>0</v>
      </c>
      <c r="C86" s="22">
        <f t="shared" si="11"/>
        <v>0</v>
      </c>
      <c r="D86" s="22">
        <f t="shared" si="12"/>
        <v>0</v>
      </c>
      <c r="E86" s="17">
        <f t="shared" si="13"/>
        <v>0</v>
      </c>
      <c r="F86" s="17">
        <f t="shared" si="7"/>
        <v>0</v>
      </c>
      <c r="G86" s="23">
        <f t="shared" si="8"/>
        <v>0</v>
      </c>
    </row>
    <row r="87" spans="1:7" ht="12.75" hidden="1">
      <c r="A87" s="3">
        <f t="shared" si="9"/>
        <v>68</v>
      </c>
      <c r="B87" s="17">
        <f t="shared" si="10"/>
        <v>0</v>
      </c>
      <c r="C87" s="22">
        <f t="shared" si="11"/>
        <v>0</v>
      </c>
      <c r="D87" s="22">
        <f t="shared" si="12"/>
        <v>0</v>
      </c>
      <c r="E87" s="17">
        <f t="shared" si="13"/>
        <v>0</v>
      </c>
      <c r="F87" s="17">
        <f t="shared" si="7"/>
        <v>0</v>
      </c>
      <c r="G87" s="23">
        <f t="shared" si="8"/>
        <v>0</v>
      </c>
    </row>
    <row r="88" spans="1:7" ht="12.75" hidden="1">
      <c r="A88" s="3">
        <f t="shared" si="9"/>
        <v>69</v>
      </c>
      <c r="B88" s="17">
        <f t="shared" si="10"/>
        <v>0</v>
      </c>
      <c r="C88" s="22">
        <f t="shared" si="11"/>
        <v>0</v>
      </c>
      <c r="D88" s="22">
        <f t="shared" si="12"/>
        <v>0</v>
      </c>
      <c r="E88" s="17">
        <f t="shared" si="13"/>
        <v>0</v>
      </c>
      <c r="F88" s="17">
        <f t="shared" si="7"/>
        <v>0</v>
      </c>
      <c r="G88" s="23">
        <f t="shared" si="8"/>
        <v>0</v>
      </c>
    </row>
    <row r="89" spans="1:7" ht="12.75" hidden="1">
      <c r="A89" s="3">
        <f t="shared" si="9"/>
        <v>70</v>
      </c>
      <c r="B89" s="17">
        <f t="shared" si="10"/>
        <v>0</v>
      </c>
      <c r="C89" s="22">
        <f t="shared" si="11"/>
        <v>0</v>
      </c>
      <c r="D89" s="22">
        <f t="shared" si="12"/>
        <v>0</v>
      </c>
      <c r="E89" s="17">
        <f t="shared" si="13"/>
        <v>0</v>
      </c>
      <c r="F89" s="17">
        <f t="shared" si="7"/>
        <v>0</v>
      </c>
      <c r="G89" s="23">
        <f t="shared" si="8"/>
        <v>0</v>
      </c>
    </row>
    <row r="90" spans="1:7" ht="12.75" hidden="1">
      <c r="A90" s="3">
        <f t="shared" si="9"/>
        <v>71</v>
      </c>
      <c r="B90" s="17">
        <f t="shared" si="10"/>
        <v>0</v>
      </c>
      <c r="C90" s="22">
        <f t="shared" si="11"/>
        <v>0</v>
      </c>
      <c r="D90" s="22">
        <f t="shared" si="12"/>
        <v>0</v>
      </c>
      <c r="E90" s="17">
        <f t="shared" si="13"/>
        <v>0</v>
      </c>
      <c r="F90" s="17">
        <f t="shared" si="7"/>
        <v>0</v>
      </c>
      <c r="G90" s="23">
        <f t="shared" si="8"/>
        <v>0</v>
      </c>
    </row>
    <row r="91" spans="1:7" ht="12.75" hidden="1">
      <c r="A91" s="3">
        <f t="shared" si="9"/>
        <v>72</v>
      </c>
      <c r="B91" s="17">
        <f t="shared" si="10"/>
        <v>0</v>
      </c>
      <c r="C91" s="22">
        <f t="shared" si="11"/>
        <v>0</v>
      </c>
      <c r="D91" s="22">
        <f t="shared" si="12"/>
        <v>0</v>
      </c>
      <c r="E91" s="17">
        <f t="shared" si="13"/>
        <v>0</v>
      </c>
      <c r="F91" s="17">
        <f t="shared" si="7"/>
        <v>0</v>
      </c>
      <c r="G91" s="23">
        <f t="shared" si="8"/>
        <v>0</v>
      </c>
    </row>
    <row r="92" spans="1:7" ht="12.75" hidden="1">
      <c r="A92" s="3">
        <f t="shared" si="9"/>
        <v>73</v>
      </c>
      <c r="B92" s="17">
        <f t="shared" si="10"/>
        <v>0</v>
      </c>
      <c r="C92" s="22">
        <f t="shared" si="11"/>
        <v>0</v>
      </c>
      <c r="D92" s="22">
        <f t="shared" si="12"/>
        <v>0</v>
      </c>
      <c r="E92" s="17">
        <f t="shared" si="13"/>
        <v>0</v>
      </c>
      <c r="F92" s="17">
        <f t="shared" si="7"/>
        <v>0</v>
      </c>
      <c r="G92" s="23">
        <f t="shared" si="8"/>
        <v>0</v>
      </c>
    </row>
    <row r="93" spans="1:7" ht="12.75" hidden="1">
      <c r="A93" s="3">
        <f t="shared" si="9"/>
        <v>74</v>
      </c>
      <c r="B93" s="17">
        <f t="shared" si="10"/>
        <v>0</v>
      </c>
      <c r="C93" s="22">
        <f t="shared" si="11"/>
        <v>0</v>
      </c>
      <c r="D93" s="22">
        <f t="shared" si="12"/>
        <v>0</v>
      </c>
      <c r="E93" s="17">
        <f t="shared" si="13"/>
        <v>0</v>
      </c>
      <c r="F93" s="17">
        <f t="shared" si="7"/>
        <v>0</v>
      </c>
      <c r="G93" s="23">
        <f t="shared" si="8"/>
        <v>0</v>
      </c>
    </row>
    <row r="94" spans="1:7" ht="12.75" hidden="1">
      <c r="A94" s="3">
        <f t="shared" si="9"/>
        <v>75</v>
      </c>
      <c r="B94" s="17">
        <f t="shared" si="10"/>
        <v>0</v>
      </c>
      <c r="C94" s="22">
        <f t="shared" si="11"/>
        <v>0</v>
      </c>
      <c r="D94" s="22">
        <f t="shared" si="12"/>
        <v>0</v>
      </c>
      <c r="E94" s="17">
        <f t="shared" si="13"/>
        <v>0</v>
      </c>
      <c r="F94" s="17">
        <f t="shared" si="7"/>
        <v>0</v>
      </c>
      <c r="G94" s="23">
        <f t="shared" si="8"/>
        <v>0</v>
      </c>
    </row>
    <row r="95" spans="1:7" ht="12.75" hidden="1">
      <c r="A95" s="3">
        <f t="shared" si="9"/>
        <v>76</v>
      </c>
      <c r="B95" s="17">
        <f t="shared" si="10"/>
        <v>0</v>
      </c>
      <c r="C95" s="22">
        <f t="shared" si="11"/>
        <v>0</v>
      </c>
      <c r="D95" s="22">
        <f t="shared" si="12"/>
        <v>0</v>
      </c>
      <c r="E95" s="17">
        <f t="shared" si="13"/>
        <v>0</v>
      </c>
      <c r="F95" s="17">
        <f t="shared" si="7"/>
        <v>0</v>
      </c>
      <c r="G95" s="23">
        <f t="shared" si="8"/>
        <v>0</v>
      </c>
    </row>
    <row r="96" spans="1:7" ht="12.75" hidden="1">
      <c r="A96" s="3">
        <f t="shared" si="9"/>
        <v>77</v>
      </c>
      <c r="B96" s="17">
        <f t="shared" si="10"/>
        <v>0</v>
      </c>
      <c r="C96" s="22">
        <f t="shared" si="11"/>
        <v>0</v>
      </c>
      <c r="D96" s="22">
        <f t="shared" si="12"/>
        <v>0</v>
      </c>
      <c r="E96" s="17">
        <f t="shared" si="13"/>
        <v>0</v>
      </c>
      <c r="F96" s="17">
        <f t="shared" si="7"/>
        <v>0</v>
      </c>
      <c r="G96" s="23">
        <f t="shared" si="8"/>
        <v>0</v>
      </c>
    </row>
    <row r="97" spans="1:7" ht="12.75" hidden="1">
      <c r="A97" s="3">
        <f t="shared" si="9"/>
        <v>78</v>
      </c>
      <c r="B97" s="17">
        <f t="shared" si="10"/>
        <v>0</v>
      </c>
      <c r="C97" s="22">
        <f t="shared" si="11"/>
        <v>0</v>
      </c>
      <c r="D97" s="22">
        <f t="shared" si="12"/>
        <v>0</v>
      </c>
      <c r="E97" s="17">
        <f t="shared" si="13"/>
        <v>0</v>
      </c>
      <c r="F97" s="17">
        <f t="shared" si="7"/>
        <v>0</v>
      </c>
      <c r="G97" s="23">
        <f t="shared" si="8"/>
        <v>0</v>
      </c>
    </row>
    <row r="98" spans="1:7" ht="12.75" hidden="1">
      <c r="A98" s="3">
        <f t="shared" si="9"/>
        <v>79</v>
      </c>
      <c r="B98" s="17">
        <f t="shared" si="10"/>
        <v>0</v>
      </c>
      <c r="C98" s="22">
        <f t="shared" si="11"/>
        <v>0</v>
      </c>
      <c r="D98" s="22">
        <f t="shared" si="12"/>
        <v>0</v>
      </c>
      <c r="E98" s="17">
        <f t="shared" si="13"/>
        <v>0</v>
      </c>
      <c r="F98" s="17">
        <f t="shared" si="7"/>
        <v>0</v>
      </c>
      <c r="G98" s="23">
        <f t="shared" si="8"/>
        <v>0</v>
      </c>
    </row>
    <row r="99" spans="1:7" ht="12.75" hidden="1">
      <c r="A99" s="3">
        <f t="shared" si="9"/>
        <v>80</v>
      </c>
      <c r="B99" s="17">
        <f t="shared" si="10"/>
        <v>0</v>
      </c>
      <c r="C99" s="22">
        <f t="shared" si="11"/>
        <v>0</v>
      </c>
      <c r="D99" s="22">
        <f t="shared" si="12"/>
        <v>0</v>
      </c>
      <c r="E99" s="17">
        <f t="shared" si="13"/>
        <v>0</v>
      </c>
      <c r="F99" s="17">
        <f t="shared" si="7"/>
        <v>0</v>
      </c>
      <c r="G99" s="23">
        <f t="shared" si="8"/>
        <v>0</v>
      </c>
    </row>
    <row r="100" spans="1:7" ht="12.75" hidden="1">
      <c r="A100" s="3">
        <f t="shared" si="9"/>
        <v>81</v>
      </c>
      <c r="B100" s="17">
        <f t="shared" si="10"/>
        <v>0</v>
      </c>
      <c r="C100" s="22">
        <f t="shared" si="11"/>
        <v>0</v>
      </c>
      <c r="D100" s="22">
        <f t="shared" si="12"/>
        <v>0</v>
      </c>
      <c r="E100" s="17">
        <f t="shared" si="13"/>
        <v>0</v>
      </c>
      <c r="F100" s="17">
        <f t="shared" si="7"/>
        <v>0</v>
      </c>
      <c r="G100" s="23">
        <f t="shared" si="8"/>
        <v>0</v>
      </c>
    </row>
    <row r="101" spans="1:7" ht="12.75" hidden="1">
      <c r="A101" s="3">
        <f t="shared" si="9"/>
        <v>82</v>
      </c>
      <c r="B101" s="17">
        <f t="shared" si="10"/>
        <v>0</v>
      </c>
      <c r="C101" s="22">
        <f t="shared" si="11"/>
        <v>0</v>
      </c>
      <c r="D101" s="22">
        <f t="shared" si="12"/>
        <v>0</v>
      </c>
      <c r="E101" s="17">
        <f t="shared" si="13"/>
        <v>0</v>
      </c>
      <c r="F101" s="17">
        <f t="shared" si="7"/>
        <v>0</v>
      </c>
      <c r="G101" s="23">
        <f t="shared" si="8"/>
        <v>0</v>
      </c>
    </row>
    <row r="102" spans="1:7" ht="12.75" hidden="1">
      <c r="A102" s="3">
        <f t="shared" si="9"/>
        <v>83</v>
      </c>
      <c r="B102" s="17">
        <f t="shared" si="10"/>
        <v>0</v>
      </c>
      <c r="C102" s="22">
        <f t="shared" si="11"/>
        <v>0</v>
      </c>
      <c r="D102" s="22">
        <f t="shared" si="12"/>
        <v>0</v>
      </c>
      <c r="E102" s="17">
        <f t="shared" si="13"/>
        <v>0</v>
      </c>
      <c r="F102" s="17">
        <f t="shared" si="7"/>
        <v>0</v>
      </c>
      <c r="G102" s="23">
        <f t="shared" si="8"/>
        <v>0</v>
      </c>
    </row>
    <row r="103" spans="1:7" ht="12.75" hidden="1">
      <c r="A103" s="3">
        <f t="shared" si="9"/>
        <v>84</v>
      </c>
      <c r="B103" s="17">
        <f t="shared" si="10"/>
        <v>0</v>
      </c>
      <c r="C103" s="22">
        <f t="shared" si="11"/>
        <v>0</v>
      </c>
      <c r="D103" s="22">
        <f t="shared" si="12"/>
        <v>0</v>
      </c>
      <c r="E103" s="17">
        <f t="shared" si="13"/>
        <v>0</v>
      </c>
      <c r="F103" s="17">
        <f t="shared" si="7"/>
        <v>0</v>
      </c>
      <c r="G103" s="23">
        <f t="shared" si="8"/>
        <v>0</v>
      </c>
    </row>
    <row r="104" spans="1:7" ht="12.75" hidden="1">
      <c r="A104" s="3">
        <f t="shared" si="9"/>
        <v>85</v>
      </c>
      <c r="B104" s="17">
        <f t="shared" si="10"/>
        <v>0</v>
      </c>
      <c r="C104" s="22">
        <f t="shared" si="11"/>
        <v>0</v>
      </c>
      <c r="D104" s="22">
        <f t="shared" si="12"/>
        <v>0</v>
      </c>
      <c r="E104" s="17">
        <f t="shared" si="13"/>
        <v>0</v>
      </c>
      <c r="F104" s="17">
        <f t="shared" si="7"/>
        <v>0</v>
      </c>
      <c r="G104" s="23">
        <f t="shared" si="8"/>
        <v>0</v>
      </c>
    </row>
    <row r="105" spans="1:7" ht="12.75" hidden="1">
      <c r="A105" s="3">
        <f t="shared" si="9"/>
        <v>86</v>
      </c>
      <c r="B105" s="17">
        <f t="shared" si="10"/>
        <v>0</v>
      </c>
      <c r="C105" s="22">
        <f t="shared" si="11"/>
        <v>0</v>
      </c>
      <c r="D105" s="22">
        <f t="shared" si="12"/>
        <v>0</v>
      </c>
      <c r="E105" s="17">
        <f t="shared" si="13"/>
        <v>0</v>
      </c>
      <c r="F105" s="17">
        <f t="shared" si="7"/>
        <v>0</v>
      </c>
      <c r="G105" s="23">
        <f t="shared" si="8"/>
        <v>0</v>
      </c>
    </row>
    <row r="106" spans="1:7" ht="12.75" hidden="1">
      <c r="A106" s="3">
        <f t="shared" si="9"/>
        <v>87</v>
      </c>
      <c r="B106" s="17">
        <f t="shared" si="10"/>
        <v>0</v>
      </c>
      <c r="C106" s="22">
        <f t="shared" si="11"/>
        <v>0</v>
      </c>
      <c r="D106" s="22">
        <f t="shared" si="12"/>
        <v>0</v>
      </c>
      <c r="E106" s="17">
        <f t="shared" si="13"/>
        <v>0</v>
      </c>
      <c r="F106" s="17">
        <f t="shared" si="7"/>
        <v>0</v>
      </c>
      <c r="G106" s="23">
        <f t="shared" si="8"/>
        <v>0</v>
      </c>
    </row>
    <row r="107" spans="1:7" ht="12.75" hidden="1">
      <c r="A107" s="3">
        <f t="shared" si="9"/>
        <v>88</v>
      </c>
      <c r="B107" s="17">
        <f t="shared" si="10"/>
        <v>0</v>
      </c>
      <c r="C107" s="22">
        <f t="shared" si="11"/>
        <v>0</v>
      </c>
      <c r="D107" s="22">
        <f t="shared" si="12"/>
        <v>0</v>
      </c>
      <c r="E107" s="17">
        <f t="shared" si="13"/>
        <v>0</v>
      </c>
      <c r="F107" s="17">
        <f t="shared" si="7"/>
        <v>0</v>
      </c>
      <c r="G107" s="23">
        <f t="shared" si="8"/>
        <v>0</v>
      </c>
    </row>
    <row r="108" spans="1:7" ht="12.75" hidden="1">
      <c r="A108" s="3">
        <f t="shared" si="9"/>
        <v>89</v>
      </c>
      <c r="B108" s="17">
        <f t="shared" si="10"/>
        <v>0</v>
      </c>
      <c r="C108" s="22">
        <f t="shared" si="11"/>
        <v>0</v>
      </c>
      <c r="D108" s="22">
        <f t="shared" si="12"/>
        <v>0</v>
      </c>
      <c r="E108" s="17">
        <f t="shared" si="13"/>
        <v>0</v>
      </c>
      <c r="F108" s="17">
        <f t="shared" si="7"/>
        <v>0</v>
      </c>
      <c r="G108" s="23">
        <f t="shared" si="8"/>
        <v>0</v>
      </c>
    </row>
    <row r="109" spans="1:7" ht="12.75" hidden="1">
      <c r="A109" s="3">
        <f t="shared" si="9"/>
        <v>90</v>
      </c>
      <c r="B109" s="17">
        <f t="shared" si="10"/>
        <v>0</v>
      </c>
      <c r="C109" s="22">
        <f t="shared" si="11"/>
        <v>0</v>
      </c>
      <c r="D109" s="22">
        <f t="shared" si="12"/>
        <v>0</v>
      </c>
      <c r="E109" s="17">
        <f t="shared" si="13"/>
        <v>0</v>
      </c>
      <c r="F109" s="17">
        <f t="shared" si="7"/>
        <v>0</v>
      </c>
      <c r="G109" s="23">
        <f t="shared" si="8"/>
        <v>0</v>
      </c>
    </row>
    <row r="110" spans="1:7" ht="12.75" hidden="1">
      <c r="A110" s="3">
        <f t="shared" si="9"/>
        <v>91</v>
      </c>
      <c r="B110" s="17">
        <f t="shared" si="10"/>
        <v>0</v>
      </c>
      <c r="C110" s="22">
        <f t="shared" si="11"/>
        <v>0</v>
      </c>
      <c r="D110" s="22">
        <f t="shared" si="12"/>
        <v>0</v>
      </c>
      <c r="E110" s="17">
        <f t="shared" si="13"/>
        <v>0</v>
      </c>
      <c r="F110" s="17">
        <f t="shared" si="7"/>
        <v>0</v>
      </c>
      <c r="G110" s="23">
        <f t="shared" si="8"/>
        <v>0</v>
      </c>
    </row>
    <row r="111" spans="1:7" ht="12.75" hidden="1">
      <c r="A111" s="3">
        <f t="shared" si="9"/>
        <v>92</v>
      </c>
      <c r="B111" s="17">
        <f t="shared" si="10"/>
        <v>0</v>
      </c>
      <c r="C111" s="22">
        <f t="shared" si="11"/>
        <v>0</v>
      </c>
      <c r="D111" s="22">
        <f t="shared" si="12"/>
        <v>0</v>
      </c>
      <c r="E111" s="17">
        <f t="shared" si="13"/>
        <v>0</v>
      </c>
      <c r="F111" s="17">
        <f t="shared" si="7"/>
        <v>0</v>
      </c>
      <c r="G111" s="23">
        <f t="shared" si="8"/>
        <v>0</v>
      </c>
    </row>
    <row r="112" spans="1:7" ht="12.75" hidden="1">
      <c r="A112" s="3">
        <f t="shared" si="9"/>
        <v>93</v>
      </c>
      <c r="B112" s="17">
        <f t="shared" si="10"/>
        <v>0</v>
      </c>
      <c r="C112" s="22">
        <f t="shared" si="11"/>
        <v>0</v>
      </c>
      <c r="D112" s="22">
        <f t="shared" si="12"/>
        <v>0</v>
      </c>
      <c r="E112" s="17">
        <f t="shared" si="13"/>
        <v>0</v>
      </c>
      <c r="F112" s="17">
        <f t="shared" si="7"/>
        <v>0</v>
      </c>
      <c r="G112" s="23">
        <f t="shared" si="8"/>
        <v>0</v>
      </c>
    </row>
    <row r="113" spans="1:7" ht="12.75" hidden="1">
      <c r="A113" s="3">
        <f t="shared" si="9"/>
        <v>94</v>
      </c>
      <c r="B113" s="17">
        <f t="shared" si="10"/>
        <v>0</v>
      </c>
      <c r="C113" s="22">
        <f t="shared" si="11"/>
        <v>0</v>
      </c>
      <c r="D113" s="22">
        <f t="shared" si="12"/>
        <v>0</v>
      </c>
      <c r="E113" s="17">
        <f t="shared" si="13"/>
        <v>0</v>
      </c>
      <c r="F113" s="17">
        <f t="shared" si="7"/>
        <v>0</v>
      </c>
      <c r="G113" s="23">
        <f t="shared" si="8"/>
        <v>0</v>
      </c>
    </row>
    <row r="114" spans="1:7" ht="12.75" hidden="1">
      <c r="A114" s="3">
        <f t="shared" si="9"/>
        <v>95</v>
      </c>
      <c r="B114" s="17">
        <f t="shared" si="10"/>
        <v>0</v>
      </c>
      <c r="C114" s="22">
        <f t="shared" si="11"/>
        <v>0</v>
      </c>
      <c r="D114" s="22">
        <f t="shared" si="12"/>
        <v>0</v>
      </c>
      <c r="E114" s="17">
        <f t="shared" si="13"/>
        <v>0</v>
      </c>
      <c r="F114" s="17">
        <f t="shared" si="7"/>
        <v>0</v>
      </c>
      <c r="G114" s="23">
        <f t="shared" si="8"/>
        <v>0</v>
      </c>
    </row>
    <row r="115" spans="1:7" ht="12.75" hidden="1">
      <c r="A115" s="3">
        <f t="shared" si="9"/>
        <v>96</v>
      </c>
      <c r="B115" s="17">
        <f t="shared" si="10"/>
        <v>0</v>
      </c>
      <c r="C115" s="22">
        <f t="shared" si="11"/>
        <v>0</v>
      </c>
      <c r="D115" s="22">
        <f t="shared" si="12"/>
        <v>0</v>
      </c>
      <c r="E115" s="17">
        <f t="shared" si="13"/>
        <v>0</v>
      </c>
      <c r="F115" s="17">
        <f t="shared" si="7"/>
        <v>0</v>
      </c>
      <c r="G115" s="23">
        <f t="shared" si="8"/>
        <v>0</v>
      </c>
    </row>
    <row r="116" spans="1:7" ht="12.75" hidden="1">
      <c r="A116" s="3">
        <f t="shared" si="9"/>
        <v>97</v>
      </c>
      <c r="B116" s="17">
        <f t="shared" si="10"/>
        <v>0</v>
      </c>
      <c r="C116" s="22">
        <f t="shared" si="11"/>
        <v>0</v>
      </c>
      <c r="D116" s="22">
        <f t="shared" si="12"/>
        <v>0</v>
      </c>
      <c r="E116" s="17">
        <f t="shared" si="13"/>
        <v>0</v>
      </c>
      <c r="F116" s="17">
        <f t="shared" si="7"/>
        <v>0</v>
      </c>
      <c r="G116" s="23">
        <f t="shared" si="8"/>
        <v>0</v>
      </c>
    </row>
    <row r="117" spans="1:7" ht="12.75" hidden="1">
      <c r="A117" s="3">
        <f t="shared" si="9"/>
        <v>98</v>
      </c>
      <c r="B117" s="17">
        <f t="shared" si="10"/>
        <v>0</v>
      </c>
      <c r="C117" s="22">
        <f t="shared" si="11"/>
        <v>0</v>
      </c>
      <c r="D117" s="22">
        <f t="shared" si="12"/>
        <v>0</v>
      </c>
      <c r="E117" s="17">
        <f t="shared" si="13"/>
        <v>0</v>
      </c>
      <c r="F117" s="17">
        <f t="shared" si="7"/>
        <v>0</v>
      </c>
      <c r="G117" s="23">
        <f t="shared" si="8"/>
        <v>0</v>
      </c>
    </row>
    <row r="118" spans="1:7" ht="12.75" hidden="1">
      <c r="A118" s="3">
        <f t="shared" si="9"/>
        <v>99</v>
      </c>
      <c r="B118" s="17">
        <f t="shared" si="10"/>
        <v>0</v>
      </c>
      <c r="C118" s="22">
        <f t="shared" si="11"/>
        <v>0</v>
      </c>
      <c r="D118" s="22">
        <f t="shared" si="12"/>
        <v>0</v>
      </c>
      <c r="E118" s="17">
        <f t="shared" si="13"/>
        <v>0</v>
      </c>
      <c r="F118" s="17">
        <f t="shared" si="7"/>
        <v>0</v>
      </c>
      <c r="G118" s="23">
        <f t="shared" si="8"/>
        <v>0</v>
      </c>
    </row>
    <row r="119" spans="1:7" ht="12.75" hidden="1">
      <c r="A119" s="3">
        <f t="shared" si="9"/>
        <v>100</v>
      </c>
      <c r="B119" s="17">
        <f t="shared" si="10"/>
        <v>0</v>
      </c>
      <c r="C119" s="22">
        <f t="shared" si="11"/>
        <v>0</v>
      </c>
      <c r="D119" s="22">
        <f t="shared" si="12"/>
        <v>0</v>
      </c>
      <c r="E119" s="17">
        <f t="shared" si="13"/>
        <v>0</v>
      </c>
      <c r="F119" s="17">
        <f t="shared" si="7"/>
        <v>0</v>
      </c>
      <c r="G119" s="23">
        <f t="shared" si="8"/>
        <v>0</v>
      </c>
    </row>
    <row r="120" spans="1:7" ht="12.75" hidden="1">
      <c r="A120" s="3">
        <f t="shared" si="9"/>
        <v>101</v>
      </c>
      <c r="B120" s="17">
        <f t="shared" si="10"/>
        <v>0</v>
      </c>
      <c r="C120" s="22">
        <f t="shared" si="11"/>
        <v>0</v>
      </c>
      <c r="D120" s="22">
        <f t="shared" si="12"/>
        <v>0</v>
      </c>
      <c r="E120" s="17">
        <f t="shared" si="13"/>
        <v>0</v>
      </c>
      <c r="F120" s="17">
        <f t="shared" si="7"/>
        <v>0</v>
      </c>
      <c r="G120" s="23">
        <f t="shared" si="8"/>
        <v>0</v>
      </c>
    </row>
    <row r="121" spans="1:7" ht="12.75" hidden="1">
      <c r="A121" s="3">
        <f t="shared" si="9"/>
        <v>102</v>
      </c>
      <c r="B121" s="17">
        <f t="shared" si="10"/>
        <v>0</v>
      </c>
      <c r="C121" s="22">
        <f t="shared" si="11"/>
        <v>0</v>
      </c>
      <c r="D121" s="22">
        <f t="shared" si="12"/>
        <v>0</v>
      </c>
      <c r="E121" s="17">
        <f t="shared" si="13"/>
        <v>0</v>
      </c>
      <c r="F121" s="17">
        <f t="shared" si="7"/>
        <v>0</v>
      </c>
      <c r="G121" s="23">
        <f t="shared" si="8"/>
        <v>0</v>
      </c>
    </row>
    <row r="122" spans="1:7" ht="12.75" hidden="1">
      <c r="A122" s="3">
        <f t="shared" si="9"/>
        <v>103</v>
      </c>
      <c r="B122" s="17">
        <f t="shared" si="10"/>
        <v>0</v>
      </c>
      <c r="C122" s="22">
        <f t="shared" si="11"/>
        <v>0</v>
      </c>
      <c r="D122" s="22">
        <f t="shared" si="12"/>
        <v>0</v>
      </c>
      <c r="E122" s="17">
        <f t="shared" si="13"/>
        <v>0</v>
      </c>
      <c r="F122" s="17">
        <f t="shared" si="7"/>
        <v>0</v>
      </c>
      <c r="G122" s="23">
        <f t="shared" si="8"/>
        <v>0</v>
      </c>
    </row>
    <row r="123" spans="1:7" ht="12.75" hidden="1">
      <c r="A123" s="3">
        <f t="shared" si="9"/>
        <v>104</v>
      </c>
      <c r="B123" s="17">
        <f t="shared" si="10"/>
        <v>0</v>
      </c>
      <c r="C123" s="22">
        <f t="shared" si="11"/>
        <v>0</v>
      </c>
      <c r="D123" s="22">
        <f t="shared" si="12"/>
        <v>0</v>
      </c>
      <c r="E123" s="17">
        <f t="shared" si="13"/>
        <v>0</v>
      </c>
      <c r="F123" s="17">
        <f t="shared" si="7"/>
        <v>0</v>
      </c>
      <c r="G123" s="23">
        <f t="shared" si="8"/>
        <v>0</v>
      </c>
    </row>
    <row r="124" spans="1:7" ht="12.75" hidden="1">
      <c r="A124" s="3">
        <f t="shared" si="9"/>
        <v>105</v>
      </c>
      <c r="B124" s="17">
        <f t="shared" si="10"/>
        <v>0</v>
      </c>
      <c r="C124" s="22">
        <f t="shared" si="11"/>
        <v>0</v>
      </c>
      <c r="D124" s="22">
        <f t="shared" si="12"/>
        <v>0</v>
      </c>
      <c r="E124" s="17">
        <f t="shared" si="13"/>
        <v>0</v>
      </c>
      <c r="F124" s="17">
        <f t="shared" si="7"/>
        <v>0</v>
      </c>
      <c r="G124" s="23">
        <f t="shared" si="8"/>
        <v>0</v>
      </c>
    </row>
    <row r="125" spans="1:7" ht="12.75" hidden="1">
      <c r="A125" s="3">
        <f t="shared" si="9"/>
        <v>106</v>
      </c>
      <c r="B125" s="17">
        <f t="shared" si="10"/>
        <v>0</v>
      </c>
      <c r="C125" s="22">
        <f t="shared" si="11"/>
        <v>0</v>
      </c>
      <c r="D125" s="22">
        <f t="shared" si="12"/>
        <v>0</v>
      </c>
      <c r="E125" s="17">
        <f t="shared" si="13"/>
        <v>0</v>
      </c>
      <c r="F125" s="17">
        <f t="shared" si="7"/>
        <v>0</v>
      </c>
      <c r="G125" s="23">
        <f t="shared" si="8"/>
        <v>0</v>
      </c>
    </row>
    <row r="126" spans="1:7" ht="12.75" hidden="1">
      <c r="A126" s="3">
        <f t="shared" si="9"/>
        <v>107</v>
      </c>
      <c r="B126" s="17">
        <f t="shared" si="10"/>
        <v>0</v>
      </c>
      <c r="C126" s="22">
        <f t="shared" si="11"/>
        <v>0</v>
      </c>
      <c r="D126" s="22">
        <f t="shared" si="12"/>
        <v>0</v>
      </c>
      <c r="E126" s="17">
        <f t="shared" si="13"/>
        <v>0</v>
      </c>
      <c r="F126" s="17">
        <f t="shared" si="7"/>
        <v>0</v>
      </c>
      <c r="G126" s="23">
        <f t="shared" si="8"/>
        <v>0</v>
      </c>
    </row>
    <row r="127" spans="1:7" ht="12.75" hidden="1">
      <c r="A127" s="3">
        <f t="shared" si="9"/>
        <v>108</v>
      </c>
      <c r="B127" s="17">
        <f t="shared" si="10"/>
        <v>0</v>
      </c>
      <c r="C127" s="22">
        <f t="shared" si="11"/>
        <v>0</v>
      </c>
      <c r="D127" s="22">
        <f t="shared" si="12"/>
        <v>0</v>
      </c>
      <c r="E127" s="17">
        <f t="shared" si="13"/>
        <v>0</v>
      </c>
      <c r="F127" s="17">
        <f t="shared" si="7"/>
        <v>0</v>
      </c>
      <c r="G127" s="23">
        <f t="shared" si="8"/>
        <v>0</v>
      </c>
    </row>
    <row r="128" spans="1:7" ht="12.75" hidden="1">
      <c r="A128" s="3">
        <f t="shared" si="9"/>
        <v>109</v>
      </c>
      <c r="B128" s="17">
        <f t="shared" si="10"/>
        <v>0</v>
      </c>
      <c r="C128" s="22">
        <f t="shared" si="11"/>
        <v>0</v>
      </c>
      <c r="D128" s="22">
        <f t="shared" si="12"/>
        <v>0</v>
      </c>
      <c r="E128" s="17">
        <f t="shared" si="13"/>
        <v>0</v>
      </c>
      <c r="F128" s="17">
        <f t="shared" si="7"/>
        <v>0</v>
      </c>
      <c r="G128" s="23">
        <f t="shared" si="8"/>
        <v>0</v>
      </c>
    </row>
    <row r="129" spans="1:7" ht="12.75" hidden="1">
      <c r="A129" s="3">
        <f t="shared" si="9"/>
        <v>110</v>
      </c>
      <c r="B129" s="17">
        <f t="shared" si="10"/>
        <v>0</v>
      </c>
      <c r="C129" s="22">
        <f t="shared" si="11"/>
        <v>0</v>
      </c>
      <c r="D129" s="22">
        <f t="shared" si="12"/>
        <v>0</v>
      </c>
      <c r="E129" s="17">
        <f t="shared" si="13"/>
        <v>0</v>
      </c>
      <c r="F129" s="17">
        <f t="shared" si="7"/>
        <v>0</v>
      </c>
      <c r="G129" s="23">
        <f t="shared" si="8"/>
        <v>0</v>
      </c>
    </row>
    <row r="130" spans="1:7" ht="12.75" hidden="1">
      <c r="A130" s="3">
        <f t="shared" si="9"/>
        <v>111</v>
      </c>
      <c r="B130" s="17">
        <f t="shared" si="10"/>
        <v>0</v>
      </c>
      <c r="C130" s="22">
        <f t="shared" si="11"/>
        <v>0</v>
      </c>
      <c r="D130" s="22">
        <f t="shared" si="12"/>
        <v>0</v>
      </c>
      <c r="E130" s="17">
        <f t="shared" si="13"/>
        <v>0</v>
      </c>
      <c r="F130" s="17">
        <f t="shared" si="7"/>
        <v>0</v>
      </c>
      <c r="G130" s="23">
        <f t="shared" si="8"/>
        <v>0</v>
      </c>
    </row>
    <row r="131" spans="1:7" ht="12.75" hidden="1">
      <c r="A131" s="3">
        <f t="shared" si="9"/>
        <v>112</v>
      </c>
      <c r="B131" s="17">
        <f t="shared" si="10"/>
        <v>0</v>
      </c>
      <c r="C131" s="22">
        <f t="shared" si="11"/>
        <v>0</v>
      </c>
      <c r="D131" s="22">
        <f t="shared" si="12"/>
        <v>0</v>
      </c>
      <c r="E131" s="17">
        <f t="shared" si="13"/>
        <v>0</v>
      </c>
      <c r="F131" s="17">
        <f t="shared" si="7"/>
        <v>0</v>
      </c>
      <c r="G131" s="23">
        <f t="shared" si="8"/>
        <v>0</v>
      </c>
    </row>
    <row r="132" spans="1:7" ht="12.75" hidden="1">
      <c r="A132" s="3">
        <f t="shared" si="9"/>
        <v>113</v>
      </c>
      <c r="B132" s="17">
        <f t="shared" si="10"/>
        <v>0</v>
      </c>
      <c r="C132" s="22">
        <f t="shared" si="11"/>
        <v>0</v>
      </c>
      <c r="D132" s="22">
        <f t="shared" si="12"/>
        <v>0</v>
      </c>
      <c r="E132" s="17">
        <f t="shared" si="13"/>
        <v>0</v>
      </c>
      <c r="F132" s="17">
        <f t="shared" si="7"/>
        <v>0</v>
      </c>
      <c r="G132" s="23">
        <f t="shared" si="8"/>
        <v>0</v>
      </c>
    </row>
    <row r="133" spans="1:7" ht="12.75" hidden="1">
      <c r="A133" s="3">
        <f t="shared" si="9"/>
        <v>114</v>
      </c>
      <c r="B133" s="17">
        <f t="shared" si="10"/>
        <v>0</v>
      </c>
      <c r="C133" s="22">
        <f t="shared" si="11"/>
        <v>0</v>
      </c>
      <c r="D133" s="22">
        <f t="shared" si="12"/>
        <v>0</v>
      </c>
      <c r="E133" s="17">
        <f t="shared" si="13"/>
        <v>0</v>
      </c>
      <c r="F133" s="17">
        <f t="shared" si="7"/>
        <v>0</v>
      </c>
      <c r="G133" s="23">
        <f t="shared" si="8"/>
        <v>0</v>
      </c>
    </row>
    <row r="134" spans="1:7" ht="12.75" hidden="1">
      <c r="A134" s="3">
        <f t="shared" si="9"/>
        <v>115</v>
      </c>
      <c r="B134" s="17">
        <f t="shared" si="10"/>
        <v>0</v>
      </c>
      <c r="C134" s="22">
        <f t="shared" si="11"/>
        <v>0</v>
      </c>
      <c r="D134" s="22">
        <f t="shared" si="12"/>
        <v>0</v>
      </c>
      <c r="E134" s="17">
        <f t="shared" si="13"/>
        <v>0</v>
      </c>
      <c r="F134" s="17">
        <f t="shared" si="7"/>
        <v>0</v>
      </c>
      <c r="G134" s="23">
        <f t="shared" si="8"/>
        <v>0</v>
      </c>
    </row>
    <row r="135" spans="1:7" ht="12.75" hidden="1">
      <c r="A135" s="3">
        <f t="shared" si="9"/>
        <v>116</v>
      </c>
      <c r="B135" s="17">
        <f t="shared" si="10"/>
        <v>0</v>
      </c>
      <c r="C135" s="22">
        <f t="shared" si="11"/>
        <v>0</v>
      </c>
      <c r="D135" s="22">
        <f t="shared" si="12"/>
        <v>0</v>
      </c>
      <c r="E135" s="17">
        <f t="shared" si="13"/>
        <v>0</v>
      </c>
      <c r="F135" s="17">
        <f t="shared" si="7"/>
        <v>0</v>
      </c>
      <c r="G135" s="23">
        <f t="shared" si="8"/>
        <v>0</v>
      </c>
    </row>
    <row r="136" spans="1:7" ht="12.75" hidden="1">
      <c r="A136" s="3">
        <f t="shared" si="9"/>
        <v>117</v>
      </c>
      <c r="B136" s="17">
        <f t="shared" si="10"/>
        <v>0</v>
      </c>
      <c r="C136" s="22">
        <f t="shared" si="11"/>
        <v>0</v>
      </c>
      <c r="D136" s="22">
        <f t="shared" si="12"/>
        <v>0</v>
      </c>
      <c r="E136" s="17">
        <f t="shared" si="13"/>
        <v>0</v>
      </c>
      <c r="F136" s="17">
        <f t="shared" si="7"/>
        <v>0</v>
      </c>
      <c r="G136" s="23">
        <f t="shared" si="8"/>
        <v>0</v>
      </c>
    </row>
    <row r="137" spans="1:7" ht="12.75" hidden="1">
      <c r="A137" s="3">
        <f t="shared" si="9"/>
        <v>118</v>
      </c>
      <c r="B137" s="17">
        <f t="shared" si="10"/>
        <v>0</v>
      </c>
      <c r="C137" s="22">
        <f t="shared" si="11"/>
        <v>0</v>
      </c>
      <c r="D137" s="22">
        <f t="shared" si="12"/>
        <v>0</v>
      </c>
      <c r="E137" s="17">
        <f t="shared" si="13"/>
        <v>0</v>
      </c>
      <c r="F137" s="17">
        <f t="shared" si="7"/>
        <v>0</v>
      </c>
      <c r="G137" s="23">
        <f t="shared" si="8"/>
        <v>0</v>
      </c>
    </row>
    <row r="138" spans="1:7" ht="12.75" hidden="1">
      <c r="A138" s="3">
        <f t="shared" si="9"/>
        <v>119</v>
      </c>
      <c r="B138" s="17">
        <f t="shared" si="10"/>
        <v>0</v>
      </c>
      <c r="C138" s="22">
        <f t="shared" si="11"/>
        <v>0</v>
      </c>
      <c r="D138" s="22">
        <f t="shared" si="12"/>
        <v>0</v>
      </c>
      <c r="E138" s="17">
        <f t="shared" si="13"/>
        <v>0</v>
      </c>
      <c r="F138" s="17">
        <f t="shared" si="7"/>
        <v>0</v>
      </c>
      <c r="G138" s="23">
        <f t="shared" si="8"/>
        <v>0</v>
      </c>
    </row>
    <row r="139" spans="1:7" ht="12.75" hidden="1">
      <c r="A139" s="3">
        <f t="shared" si="9"/>
        <v>120</v>
      </c>
      <c r="B139" s="17">
        <f t="shared" si="10"/>
        <v>0</v>
      </c>
      <c r="C139" s="22">
        <f t="shared" si="11"/>
        <v>0</v>
      </c>
      <c r="D139" s="22">
        <f t="shared" si="12"/>
        <v>0</v>
      </c>
      <c r="E139" s="17">
        <f t="shared" si="13"/>
        <v>0</v>
      </c>
      <c r="F139" s="17">
        <f t="shared" si="7"/>
        <v>0</v>
      </c>
      <c r="G139" s="23">
        <f t="shared" si="8"/>
        <v>0</v>
      </c>
    </row>
    <row r="140" spans="1:7" ht="12.75" hidden="1">
      <c r="A140" s="3">
        <f t="shared" si="9"/>
        <v>121</v>
      </c>
      <c r="B140" s="17">
        <f t="shared" si="10"/>
        <v>0</v>
      </c>
      <c r="C140" s="22">
        <f t="shared" si="11"/>
        <v>0</v>
      </c>
      <c r="D140" s="22">
        <f t="shared" si="12"/>
        <v>0</v>
      </c>
      <c r="E140" s="17">
        <f t="shared" si="13"/>
        <v>0</v>
      </c>
      <c r="F140" s="17">
        <f t="shared" si="7"/>
        <v>0</v>
      </c>
      <c r="G140" s="23">
        <f t="shared" si="8"/>
        <v>0</v>
      </c>
    </row>
    <row r="141" spans="1:7" ht="12.75" hidden="1">
      <c r="A141" s="3">
        <f t="shared" si="9"/>
        <v>122</v>
      </c>
      <c r="B141" s="17">
        <f t="shared" si="10"/>
        <v>0</v>
      </c>
      <c r="C141" s="22">
        <f t="shared" si="11"/>
        <v>0</v>
      </c>
      <c r="D141" s="22">
        <f t="shared" si="12"/>
        <v>0</v>
      </c>
      <c r="E141" s="17">
        <f t="shared" si="13"/>
        <v>0</v>
      </c>
      <c r="F141" s="17">
        <f t="shared" si="7"/>
        <v>0</v>
      </c>
      <c r="G141" s="23">
        <f t="shared" si="8"/>
        <v>0</v>
      </c>
    </row>
    <row r="142" spans="1:7" ht="12.75" hidden="1">
      <c r="A142" s="3">
        <f t="shared" si="9"/>
        <v>123</v>
      </c>
      <c r="B142" s="17">
        <f t="shared" si="10"/>
        <v>0</v>
      </c>
      <c r="C142" s="22">
        <f t="shared" si="11"/>
        <v>0</v>
      </c>
      <c r="D142" s="22">
        <f t="shared" si="12"/>
        <v>0</v>
      </c>
      <c r="E142" s="17">
        <f t="shared" si="13"/>
        <v>0</v>
      </c>
      <c r="F142" s="17">
        <f t="shared" si="7"/>
        <v>0</v>
      </c>
      <c r="G142" s="23">
        <f t="shared" si="8"/>
        <v>0</v>
      </c>
    </row>
    <row r="143" spans="1:7" ht="12.75" hidden="1">
      <c r="A143" s="3">
        <f t="shared" si="9"/>
        <v>124</v>
      </c>
      <c r="B143" s="17">
        <f t="shared" si="10"/>
        <v>0</v>
      </c>
      <c r="C143" s="22">
        <f t="shared" si="11"/>
        <v>0</v>
      </c>
      <c r="D143" s="22">
        <f t="shared" si="12"/>
        <v>0</v>
      </c>
      <c r="E143" s="17">
        <f t="shared" si="13"/>
        <v>0</v>
      </c>
      <c r="F143" s="17">
        <f t="shared" si="7"/>
        <v>0</v>
      </c>
      <c r="G143" s="23">
        <f t="shared" si="8"/>
        <v>0</v>
      </c>
    </row>
    <row r="144" spans="1:7" ht="12.75" hidden="1">
      <c r="A144" s="3">
        <f t="shared" si="9"/>
        <v>125</v>
      </c>
      <c r="B144" s="17">
        <f t="shared" si="10"/>
        <v>0</v>
      </c>
      <c r="C144" s="22">
        <f t="shared" si="11"/>
        <v>0</v>
      </c>
      <c r="D144" s="22">
        <f t="shared" si="12"/>
        <v>0</v>
      </c>
      <c r="E144" s="17">
        <f t="shared" si="13"/>
        <v>0</v>
      </c>
      <c r="F144" s="17">
        <f t="shared" si="7"/>
        <v>0</v>
      </c>
      <c r="G144" s="23">
        <f t="shared" si="8"/>
        <v>0</v>
      </c>
    </row>
    <row r="145" spans="1:7" ht="12.75" hidden="1">
      <c r="A145" s="3">
        <f t="shared" si="9"/>
        <v>126</v>
      </c>
      <c r="B145" s="17">
        <f t="shared" si="10"/>
        <v>0</v>
      </c>
      <c r="C145" s="22">
        <f t="shared" si="11"/>
        <v>0</v>
      </c>
      <c r="D145" s="22">
        <f t="shared" si="12"/>
        <v>0</v>
      </c>
      <c r="E145" s="17">
        <f t="shared" si="13"/>
        <v>0</v>
      </c>
      <c r="F145" s="17">
        <f t="shared" si="7"/>
        <v>0</v>
      </c>
      <c r="G145" s="23">
        <f t="shared" si="8"/>
        <v>0</v>
      </c>
    </row>
    <row r="146" spans="1:7" ht="12.75" hidden="1">
      <c r="A146" s="3">
        <f t="shared" si="9"/>
        <v>127</v>
      </c>
      <c r="B146" s="17">
        <f t="shared" si="10"/>
        <v>0</v>
      </c>
      <c r="C146" s="22">
        <f t="shared" si="11"/>
        <v>0</v>
      </c>
      <c r="D146" s="22">
        <f t="shared" si="12"/>
        <v>0</v>
      </c>
      <c r="E146" s="17">
        <f t="shared" si="13"/>
        <v>0</v>
      </c>
      <c r="F146" s="17">
        <f t="shared" si="7"/>
        <v>0</v>
      </c>
      <c r="G146" s="23">
        <f t="shared" si="8"/>
        <v>0</v>
      </c>
    </row>
    <row r="147" spans="1:7" ht="12.75" hidden="1">
      <c r="A147" s="3">
        <f t="shared" si="9"/>
        <v>128</v>
      </c>
      <c r="B147" s="17">
        <f t="shared" si="10"/>
        <v>0</v>
      </c>
      <c r="C147" s="22">
        <f t="shared" si="11"/>
        <v>0</v>
      </c>
      <c r="D147" s="22">
        <f t="shared" si="12"/>
        <v>0</v>
      </c>
      <c r="E147" s="17">
        <f t="shared" si="13"/>
        <v>0</v>
      </c>
      <c r="F147" s="17">
        <f t="shared" si="7"/>
        <v>0</v>
      </c>
      <c r="G147" s="23">
        <f t="shared" si="8"/>
        <v>0</v>
      </c>
    </row>
    <row r="148" spans="1:7" ht="12.75" hidden="1">
      <c r="A148" s="3">
        <f t="shared" si="9"/>
        <v>129</v>
      </c>
      <c r="B148" s="17">
        <f t="shared" si="10"/>
        <v>0</v>
      </c>
      <c r="C148" s="22">
        <f t="shared" si="11"/>
        <v>0</v>
      </c>
      <c r="D148" s="22">
        <f t="shared" si="12"/>
        <v>0</v>
      </c>
      <c r="E148" s="17">
        <f t="shared" si="13"/>
        <v>0</v>
      </c>
      <c r="F148" s="17">
        <f aca="true" t="shared" si="14" ref="F148:F211">IF(A148=$D$10,$D$2,0)</f>
        <v>0</v>
      </c>
      <c r="G148" s="23">
        <f aca="true" t="shared" si="15" ref="G148:G211">B148-F148</f>
        <v>0</v>
      </c>
    </row>
    <row r="149" spans="1:7" ht="12.75" hidden="1">
      <c r="A149" s="3">
        <f aca="true" t="shared" si="16" ref="A149:A212">A148+1</f>
        <v>130</v>
      </c>
      <c r="B149" s="17">
        <f aca="true" t="shared" si="17" ref="B149:B212">B148-F148</f>
        <v>0</v>
      </c>
      <c r="C149" s="22">
        <f aca="true" t="shared" si="18" ref="C149:C212">IF(D149=0,0,D149+$D$13)</f>
        <v>0</v>
      </c>
      <c r="D149" s="22">
        <f aca="true" t="shared" si="19" ref="D149:D212">E149+F149</f>
        <v>0</v>
      </c>
      <c r="E149" s="17">
        <f aca="true" t="shared" si="20" ref="E149:E212">IF(B149&gt;0,E148,0)</f>
        <v>0</v>
      </c>
      <c r="F149" s="17">
        <f t="shared" si="14"/>
        <v>0</v>
      </c>
      <c r="G149" s="23">
        <f t="shared" si="15"/>
        <v>0</v>
      </c>
    </row>
    <row r="150" spans="1:7" ht="12.75" hidden="1">
      <c r="A150" s="3">
        <f t="shared" si="16"/>
        <v>131</v>
      </c>
      <c r="B150" s="17">
        <f t="shared" si="17"/>
        <v>0</v>
      </c>
      <c r="C150" s="22">
        <f t="shared" si="18"/>
        <v>0</v>
      </c>
      <c r="D150" s="22">
        <f t="shared" si="19"/>
        <v>0</v>
      </c>
      <c r="E150" s="17">
        <f t="shared" si="20"/>
        <v>0</v>
      </c>
      <c r="F150" s="17">
        <f t="shared" si="14"/>
        <v>0</v>
      </c>
      <c r="G150" s="23">
        <f t="shared" si="15"/>
        <v>0</v>
      </c>
    </row>
    <row r="151" spans="1:7" ht="12.75" hidden="1">
      <c r="A151" s="3">
        <f t="shared" si="16"/>
        <v>132</v>
      </c>
      <c r="B151" s="17">
        <f t="shared" si="17"/>
        <v>0</v>
      </c>
      <c r="C151" s="22">
        <f t="shared" si="18"/>
        <v>0</v>
      </c>
      <c r="D151" s="22">
        <f t="shared" si="19"/>
        <v>0</v>
      </c>
      <c r="E151" s="17">
        <f t="shared" si="20"/>
        <v>0</v>
      </c>
      <c r="F151" s="17">
        <f t="shared" si="14"/>
        <v>0</v>
      </c>
      <c r="G151" s="23">
        <f t="shared" si="15"/>
        <v>0</v>
      </c>
    </row>
    <row r="152" spans="1:7" ht="12.75" hidden="1">
      <c r="A152" s="3">
        <f t="shared" si="16"/>
        <v>133</v>
      </c>
      <c r="B152" s="17">
        <f t="shared" si="17"/>
        <v>0</v>
      </c>
      <c r="C152" s="22">
        <f t="shared" si="18"/>
        <v>0</v>
      </c>
      <c r="D152" s="22">
        <f t="shared" si="19"/>
        <v>0</v>
      </c>
      <c r="E152" s="17">
        <f t="shared" si="20"/>
        <v>0</v>
      </c>
      <c r="F152" s="17">
        <f t="shared" si="14"/>
        <v>0</v>
      </c>
      <c r="G152" s="23">
        <f t="shared" si="15"/>
        <v>0</v>
      </c>
    </row>
    <row r="153" spans="1:7" ht="12.75" hidden="1">
      <c r="A153" s="3">
        <f t="shared" si="16"/>
        <v>134</v>
      </c>
      <c r="B153" s="17">
        <f t="shared" si="17"/>
        <v>0</v>
      </c>
      <c r="C153" s="22">
        <f t="shared" si="18"/>
        <v>0</v>
      </c>
      <c r="D153" s="22">
        <f t="shared" si="19"/>
        <v>0</v>
      </c>
      <c r="E153" s="17">
        <f t="shared" si="20"/>
        <v>0</v>
      </c>
      <c r="F153" s="17">
        <f t="shared" si="14"/>
        <v>0</v>
      </c>
      <c r="G153" s="23">
        <f t="shared" si="15"/>
        <v>0</v>
      </c>
    </row>
    <row r="154" spans="1:7" ht="12.75" hidden="1">
      <c r="A154" s="3">
        <f t="shared" si="16"/>
        <v>135</v>
      </c>
      <c r="B154" s="17">
        <f t="shared" si="17"/>
        <v>0</v>
      </c>
      <c r="C154" s="22">
        <f t="shared" si="18"/>
        <v>0</v>
      </c>
      <c r="D154" s="22">
        <f t="shared" si="19"/>
        <v>0</v>
      </c>
      <c r="E154" s="17">
        <f t="shared" si="20"/>
        <v>0</v>
      </c>
      <c r="F154" s="17">
        <f t="shared" si="14"/>
        <v>0</v>
      </c>
      <c r="G154" s="23">
        <f t="shared" si="15"/>
        <v>0</v>
      </c>
    </row>
    <row r="155" spans="1:7" ht="12.75" hidden="1">
      <c r="A155" s="3">
        <f t="shared" si="16"/>
        <v>136</v>
      </c>
      <c r="B155" s="17">
        <f t="shared" si="17"/>
        <v>0</v>
      </c>
      <c r="C155" s="22">
        <f t="shared" si="18"/>
        <v>0</v>
      </c>
      <c r="D155" s="22">
        <f t="shared" si="19"/>
        <v>0</v>
      </c>
      <c r="E155" s="17">
        <f t="shared" si="20"/>
        <v>0</v>
      </c>
      <c r="F155" s="17">
        <f t="shared" si="14"/>
        <v>0</v>
      </c>
      <c r="G155" s="23">
        <f t="shared" si="15"/>
        <v>0</v>
      </c>
    </row>
    <row r="156" spans="1:7" ht="12.75" hidden="1">
      <c r="A156" s="3">
        <f t="shared" si="16"/>
        <v>137</v>
      </c>
      <c r="B156" s="17">
        <f t="shared" si="17"/>
        <v>0</v>
      </c>
      <c r="C156" s="22">
        <f t="shared" si="18"/>
        <v>0</v>
      </c>
      <c r="D156" s="22">
        <f t="shared" si="19"/>
        <v>0</v>
      </c>
      <c r="E156" s="17">
        <f t="shared" si="20"/>
        <v>0</v>
      </c>
      <c r="F156" s="17">
        <f t="shared" si="14"/>
        <v>0</v>
      </c>
      <c r="G156" s="23">
        <f t="shared" si="15"/>
        <v>0</v>
      </c>
    </row>
    <row r="157" spans="1:7" ht="12.75" hidden="1">
      <c r="A157" s="3">
        <f t="shared" si="16"/>
        <v>138</v>
      </c>
      <c r="B157" s="17">
        <f t="shared" si="17"/>
        <v>0</v>
      </c>
      <c r="C157" s="22">
        <f t="shared" si="18"/>
        <v>0</v>
      </c>
      <c r="D157" s="22">
        <f t="shared" si="19"/>
        <v>0</v>
      </c>
      <c r="E157" s="17">
        <f t="shared" si="20"/>
        <v>0</v>
      </c>
      <c r="F157" s="17">
        <f t="shared" si="14"/>
        <v>0</v>
      </c>
      <c r="G157" s="23">
        <f t="shared" si="15"/>
        <v>0</v>
      </c>
    </row>
    <row r="158" spans="1:7" ht="12.75" hidden="1">
      <c r="A158" s="3">
        <f t="shared" si="16"/>
        <v>139</v>
      </c>
      <c r="B158" s="17">
        <f t="shared" si="17"/>
        <v>0</v>
      </c>
      <c r="C158" s="22">
        <f t="shared" si="18"/>
        <v>0</v>
      </c>
      <c r="D158" s="22">
        <f t="shared" si="19"/>
        <v>0</v>
      </c>
      <c r="E158" s="17">
        <f t="shared" si="20"/>
        <v>0</v>
      </c>
      <c r="F158" s="17">
        <f t="shared" si="14"/>
        <v>0</v>
      </c>
      <c r="G158" s="23">
        <f t="shared" si="15"/>
        <v>0</v>
      </c>
    </row>
    <row r="159" spans="1:7" ht="12.75" hidden="1">
      <c r="A159" s="3">
        <f t="shared" si="16"/>
        <v>140</v>
      </c>
      <c r="B159" s="17">
        <f t="shared" si="17"/>
        <v>0</v>
      </c>
      <c r="C159" s="22">
        <f t="shared" si="18"/>
        <v>0</v>
      </c>
      <c r="D159" s="22">
        <f t="shared" si="19"/>
        <v>0</v>
      </c>
      <c r="E159" s="17">
        <f t="shared" si="20"/>
        <v>0</v>
      </c>
      <c r="F159" s="17">
        <f t="shared" si="14"/>
        <v>0</v>
      </c>
      <c r="G159" s="23">
        <f t="shared" si="15"/>
        <v>0</v>
      </c>
    </row>
    <row r="160" spans="1:7" ht="12.75" hidden="1">
      <c r="A160" s="3">
        <f t="shared" si="16"/>
        <v>141</v>
      </c>
      <c r="B160" s="17">
        <f t="shared" si="17"/>
        <v>0</v>
      </c>
      <c r="C160" s="22">
        <f t="shared" si="18"/>
        <v>0</v>
      </c>
      <c r="D160" s="22">
        <f t="shared" si="19"/>
        <v>0</v>
      </c>
      <c r="E160" s="17">
        <f t="shared" si="20"/>
        <v>0</v>
      </c>
      <c r="F160" s="17">
        <f t="shared" si="14"/>
        <v>0</v>
      </c>
      <c r="G160" s="23">
        <f t="shared" si="15"/>
        <v>0</v>
      </c>
    </row>
    <row r="161" spans="1:7" ht="12.75" hidden="1">
      <c r="A161" s="3">
        <f t="shared" si="16"/>
        <v>142</v>
      </c>
      <c r="B161" s="17">
        <f t="shared" si="17"/>
        <v>0</v>
      </c>
      <c r="C161" s="22">
        <f t="shared" si="18"/>
        <v>0</v>
      </c>
      <c r="D161" s="22">
        <f t="shared" si="19"/>
        <v>0</v>
      </c>
      <c r="E161" s="17">
        <f t="shared" si="20"/>
        <v>0</v>
      </c>
      <c r="F161" s="17">
        <f t="shared" si="14"/>
        <v>0</v>
      </c>
      <c r="G161" s="23">
        <f t="shared" si="15"/>
        <v>0</v>
      </c>
    </row>
    <row r="162" spans="1:7" ht="12.75" hidden="1">
      <c r="A162" s="3">
        <f t="shared" si="16"/>
        <v>143</v>
      </c>
      <c r="B162" s="17">
        <f t="shared" si="17"/>
        <v>0</v>
      </c>
      <c r="C162" s="22">
        <f t="shared" si="18"/>
        <v>0</v>
      </c>
      <c r="D162" s="22">
        <f t="shared" si="19"/>
        <v>0</v>
      </c>
      <c r="E162" s="17">
        <f t="shared" si="20"/>
        <v>0</v>
      </c>
      <c r="F162" s="17">
        <f t="shared" si="14"/>
        <v>0</v>
      </c>
      <c r="G162" s="23">
        <f t="shared" si="15"/>
        <v>0</v>
      </c>
    </row>
    <row r="163" spans="1:7" ht="12.75" hidden="1">
      <c r="A163" s="3">
        <f t="shared" si="16"/>
        <v>144</v>
      </c>
      <c r="B163" s="17">
        <f t="shared" si="17"/>
        <v>0</v>
      </c>
      <c r="C163" s="22">
        <f t="shared" si="18"/>
        <v>0</v>
      </c>
      <c r="D163" s="22">
        <f t="shared" si="19"/>
        <v>0</v>
      </c>
      <c r="E163" s="17">
        <f t="shared" si="20"/>
        <v>0</v>
      </c>
      <c r="F163" s="17">
        <f t="shared" si="14"/>
        <v>0</v>
      </c>
      <c r="G163" s="23">
        <f t="shared" si="15"/>
        <v>0</v>
      </c>
    </row>
    <row r="164" spans="1:7" ht="12.75" hidden="1">
      <c r="A164" s="3">
        <f t="shared" si="16"/>
        <v>145</v>
      </c>
      <c r="B164" s="17">
        <f t="shared" si="17"/>
        <v>0</v>
      </c>
      <c r="C164" s="22">
        <f t="shared" si="18"/>
        <v>0</v>
      </c>
      <c r="D164" s="22">
        <f t="shared" si="19"/>
        <v>0</v>
      </c>
      <c r="E164" s="17">
        <f t="shared" si="20"/>
        <v>0</v>
      </c>
      <c r="F164" s="17">
        <f t="shared" si="14"/>
        <v>0</v>
      </c>
      <c r="G164" s="23">
        <f t="shared" si="15"/>
        <v>0</v>
      </c>
    </row>
    <row r="165" spans="1:7" ht="12.75" hidden="1">
      <c r="A165" s="3">
        <f t="shared" si="16"/>
        <v>146</v>
      </c>
      <c r="B165" s="17">
        <f t="shared" si="17"/>
        <v>0</v>
      </c>
      <c r="C165" s="22">
        <f t="shared" si="18"/>
        <v>0</v>
      </c>
      <c r="D165" s="22">
        <f t="shared" si="19"/>
        <v>0</v>
      </c>
      <c r="E165" s="17">
        <f t="shared" si="20"/>
        <v>0</v>
      </c>
      <c r="F165" s="17">
        <f t="shared" si="14"/>
        <v>0</v>
      </c>
      <c r="G165" s="23">
        <f t="shared" si="15"/>
        <v>0</v>
      </c>
    </row>
    <row r="166" spans="1:7" ht="12.75" hidden="1">
      <c r="A166" s="3">
        <f t="shared" si="16"/>
        <v>147</v>
      </c>
      <c r="B166" s="17">
        <f t="shared" si="17"/>
        <v>0</v>
      </c>
      <c r="C166" s="22">
        <f t="shared" si="18"/>
        <v>0</v>
      </c>
      <c r="D166" s="22">
        <f t="shared" si="19"/>
        <v>0</v>
      </c>
      <c r="E166" s="17">
        <f t="shared" si="20"/>
        <v>0</v>
      </c>
      <c r="F166" s="17">
        <f t="shared" si="14"/>
        <v>0</v>
      </c>
      <c r="G166" s="23">
        <f t="shared" si="15"/>
        <v>0</v>
      </c>
    </row>
    <row r="167" spans="1:7" ht="12.75" hidden="1">
      <c r="A167" s="3">
        <f t="shared" si="16"/>
        <v>148</v>
      </c>
      <c r="B167" s="17">
        <f t="shared" si="17"/>
        <v>0</v>
      </c>
      <c r="C167" s="22">
        <f t="shared" si="18"/>
        <v>0</v>
      </c>
      <c r="D167" s="22">
        <f t="shared" si="19"/>
        <v>0</v>
      </c>
      <c r="E167" s="17">
        <f t="shared" si="20"/>
        <v>0</v>
      </c>
      <c r="F167" s="17">
        <f t="shared" si="14"/>
        <v>0</v>
      </c>
      <c r="G167" s="23">
        <f t="shared" si="15"/>
        <v>0</v>
      </c>
    </row>
    <row r="168" spans="1:7" ht="12.75" hidden="1">
      <c r="A168" s="3">
        <f t="shared" si="16"/>
        <v>149</v>
      </c>
      <c r="B168" s="17">
        <f t="shared" si="17"/>
        <v>0</v>
      </c>
      <c r="C168" s="22">
        <f t="shared" si="18"/>
        <v>0</v>
      </c>
      <c r="D168" s="22">
        <f t="shared" si="19"/>
        <v>0</v>
      </c>
      <c r="E168" s="17">
        <f t="shared" si="20"/>
        <v>0</v>
      </c>
      <c r="F168" s="17">
        <f t="shared" si="14"/>
        <v>0</v>
      </c>
      <c r="G168" s="23">
        <f t="shared" si="15"/>
        <v>0</v>
      </c>
    </row>
    <row r="169" spans="1:7" ht="12.75" hidden="1">
      <c r="A169" s="3">
        <f t="shared" si="16"/>
        <v>150</v>
      </c>
      <c r="B169" s="17">
        <f t="shared" si="17"/>
        <v>0</v>
      </c>
      <c r="C169" s="22">
        <f t="shared" si="18"/>
        <v>0</v>
      </c>
      <c r="D169" s="22">
        <f t="shared" si="19"/>
        <v>0</v>
      </c>
      <c r="E169" s="17">
        <f t="shared" si="20"/>
        <v>0</v>
      </c>
      <c r="F169" s="17">
        <f t="shared" si="14"/>
        <v>0</v>
      </c>
      <c r="G169" s="23">
        <f t="shared" si="15"/>
        <v>0</v>
      </c>
    </row>
    <row r="170" spans="1:7" ht="12.75" hidden="1">
      <c r="A170" s="3">
        <f t="shared" si="16"/>
        <v>151</v>
      </c>
      <c r="B170" s="17">
        <f t="shared" si="17"/>
        <v>0</v>
      </c>
      <c r="C170" s="22">
        <f t="shared" si="18"/>
        <v>0</v>
      </c>
      <c r="D170" s="22">
        <f t="shared" si="19"/>
        <v>0</v>
      </c>
      <c r="E170" s="17">
        <f t="shared" si="20"/>
        <v>0</v>
      </c>
      <c r="F170" s="17">
        <f t="shared" si="14"/>
        <v>0</v>
      </c>
      <c r="G170" s="23">
        <f t="shared" si="15"/>
        <v>0</v>
      </c>
    </row>
    <row r="171" spans="1:7" ht="12.75" hidden="1">
      <c r="A171" s="3">
        <f t="shared" si="16"/>
        <v>152</v>
      </c>
      <c r="B171" s="17">
        <f t="shared" si="17"/>
        <v>0</v>
      </c>
      <c r="C171" s="22">
        <f t="shared" si="18"/>
        <v>0</v>
      </c>
      <c r="D171" s="22">
        <f t="shared" si="19"/>
        <v>0</v>
      </c>
      <c r="E171" s="17">
        <f t="shared" si="20"/>
        <v>0</v>
      </c>
      <c r="F171" s="17">
        <f t="shared" si="14"/>
        <v>0</v>
      </c>
      <c r="G171" s="23">
        <f t="shared" si="15"/>
        <v>0</v>
      </c>
    </row>
    <row r="172" spans="1:7" ht="12.75" hidden="1">
      <c r="A172" s="3">
        <f t="shared" si="16"/>
        <v>153</v>
      </c>
      <c r="B172" s="17">
        <f t="shared" si="17"/>
        <v>0</v>
      </c>
      <c r="C172" s="22">
        <f t="shared" si="18"/>
        <v>0</v>
      </c>
      <c r="D172" s="22">
        <f t="shared" si="19"/>
        <v>0</v>
      </c>
      <c r="E172" s="17">
        <f t="shared" si="20"/>
        <v>0</v>
      </c>
      <c r="F172" s="17">
        <f t="shared" si="14"/>
        <v>0</v>
      </c>
      <c r="G172" s="23">
        <f t="shared" si="15"/>
        <v>0</v>
      </c>
    </row>
    <row r="173" spans="1:7" ht="12.75" hidden="1">
      <c r="A173" s="3">
        <f t="shared" si="16"/>
        <v>154</v>
      </c>
      <c r="B173" s="17">
        <f t="shared" si="17"/>
        <v>0</v>
      </c>
      <c r="C173" s="22">
        <f t="shared" si="18"/>
        <v>0</v>
      </c>
      <c r="D173" s="22">
        <f t="shared" si="19"/>
        <v>0</v>
      </c>
      <c r="E173" s="17">
        <f t="shared" si="20"/>
        <v>0</v>
      </c>
      <c r="F173" s="17">
        <f t="shared" si="14"/>
        <v>0</v>
      </c>
      <c r="G173" s="23">
        <f t="shared" si="15"/>
        <v>0</v>
      </c>
    </row>
    <row r="174" spans="1:7" ht="12.75" hidden="1">
      <c r="A174" s="3">
        <f t="shared" si="16"/>
        <v>155</v>
      </c>
      <c r="B174" s="17">
        <f t="shared" si="17"/>
        <v>0</v>
      </c>
      <c r="C174" s="22">
        <f t="shared" si="18"/>
        <v>0</v>
      </c>
      <c r="D174" s="22">
        <f t="shared" si="19"/>
        <v>0</v>
      </c>
      <c r="E174" s="17">
        <f t="shared" si="20"/>
        <v>0</v>
      </c>
      <c r="F174" s="17">
        <f t="shared" si="14"/>
        <v>0</v>
      </c>
      <c r="G174" s="23">
        <f t="shared" si="15"/>
        <v>0</v>
      </c>
    </row>
    <row r="175" spans="1:7" ht="12.75" hidden="1">
      <c r="A175" s="3">
        <f t="shared" si="16"/>
        <v>156</v>
      </c>
      <c r="B175" s="17">
        <f t="shared" si="17"/>
        <v>0</v>
      </c>
      <c r="C175" s="22">
        <f t="shared" si="18"/>
        <v>0</v>
      </c>
      <c r="D175" s="22">
        <f t="shared" si="19"/>
        <v>0</v>
      </c>
      <c r="E175" s="17">
        <f t="shared" si="20"/>
        <v>0</v>
      </c>
      <c r="F175" s="17">
        <f t="shared" si="14"/>
        <v>0</v>
      </c>
      <c r="G175" s="23">
        <f t="shared" si="15"/>
        <v>0</v>
      </c>
    </row>
    <row r="176" spans="1:7" ht="12.75" hidden="1">
      <c r="A176" s="3">
        <f t="shared" si="16"/>
        <v>157</v>
      </c>
      <c r="B176" s="17">
        <f t="shared" si="17"/>
        <v>0</v>
      </c>
      <c r="C176" s="22">
        <f t="shared" si="18"/>
        <v>0</v>
      </c>
      <c r="D176" s="22">
        <f t="shared" si="19"/>
        <v>0</v>
      </c>
      <c r="E176" s="17">
        <f t="shared" si="20"/>
        <v>0</v>
      </c>
      <c r="F176" s="17">
        <f t="shared" si="14"/>
        <v>0</v>
      </c>
      <c r="G176" s="23">
        <f t="shared" si="15"/>
        <v>0</v>
      </c>
    </row>
    <row r="177" spans="1:7" ht="12.75" hidden="1">
      <c r="A177" s="3">
        <f t="shared" si="16"/>
        <v>158</v>
      </c>
      <c r="B177" s="17">
        <f t="shared" si="17"/>
        <v>0</v>
      </c>
      <c r="C177" s="22">
        <f t="shared" si="18"/>
        <v>0</v>
      </c>
      <c r="D177" s="22">
        <f t="shared" si="19"/>
        <v>0</v>
      </c>
      <c r="E177" s="17">
        <f t="shared" si="20"/>
        <v>0</v>
      </c>
      <c r="F177" s="17">
        <f t="shared" si="14"/>
        <v>0</v>
      </c>
      <c r="G177" s="23">
        <f t="shared" si="15"/>
        <v>0</v>
      </c>
    </row>
    <row r="178" spans="1:7" ht="12.75" hidden="1">
      <c r="A178" s="3">
        <f t="shared" si="16"/>
        <v>159</v>
      </c>
      <c r="B178" s="17">
        <f t="shared" si="17"/>
        <v>0</v>
      </c>
      <c r="C178" s="22">
        <f t="shared" si="18"/>
        <v>0</v>
      </c>
      <c r="D178" s="22">
        <f t="shared" si="19"/>
        <v>0</v>
      </c>
      <c r="E178" s="17">
        <f t="shared" si="20"/>
        <v>0</v>
      </c>
      <c r="F178" s="17">
        <f t="shared" si="14"/>
        <v>0</v>
      </c>
      <c r="G178" s="23">
        <f t="shared" si="15"/>
        <v>0</v>
      </c>
    </row>
    <row r="179" spans="1:7" ht="12.75" hidden="1">
      <c r="A179" s="3">
        <f t="shared" si="16"/>
        <v>160</v>
      </c>
      <c r="B179" s="17">
        <f t="shared" si="17"/>
        <v>0</v>
      </c>
      <c r="C179" s="22">
        <f t="shared" si="18"/>
        <v>0</v>
      </c>
      <c r="D179" s="22">
        <f t="shared" si="19"/>
        <v>0</v>
      </c>
      <c r="E179" s="17">
        <f t="shared" si="20"/>
        <v>0</v>
      </c>
      <c r="F179" s="17">
        <f t="shared" si="14"/>
        <v>0</v>
      </c>
      <c r="G179" s="23">
        <f t="shared" si="15"/>
        <v>0</v>
      </c>
    </row>
    <row r="180" spans="1:7" ht="12.75" hidden="1">
      <c r="A180" s="3">
        <f t="shared" si="16"/>
        <v>161</v>
      </c>
      <c r="B180" s="17">
        <f t="shared" si="17"/>
        <v>0</v>
      </c>
      <c r="C180" s="22">
        <f t="shared" si="18"/>
        <v>0</v>
      </c>
      <c r="D180" s="22">
        <f t="shared" si="19"/>
        <v>0</v>
      </c>
      <c r="E180" s="17">
        <f t="shared" si="20"/>
        <v>0</v>
      </c>
      <c r="F180" s="17">
        <f t="shared" si="14"/>
        <v>0</v>
      </c>
      <c r="G180" s="23">
        <f t="shared" si="15"/>
        <v>0</v>
      </c>
    </row>
    <row r="181" spans="1:7" ht="12.75" hidden="1">
      <c r="A181" s="3">
        <f t="shared" si="16"/>
        <v>162</v>
      </c>
      <c r="B181" s="17">
        <f t="shared" si="17"/>
        <v>0</v>
      </c>
      <c r="C181" s="22">
        <f t="shared" si="18"/>
        <v>0</v>
      </c>
      <c r="D181" s="22">
        <f t="shared" si="19"/>
        <v>0</v>
      </c>
      <c r="E181" s="17">
        <f t="shared" si="20"/>
        <v>0</v>
      </c>
      <c r="F181" s="17">
        <f t="shared" si="14"/>
        <v>0</v>
      </c>
      <c r="G181" s="23">
        <f t="shared" si="15"/>
        <v>0</v>
      </c>
    </row>
    <row r="182" spans="1:7" ht="12.75" hidden="1">
      <c r="A182" s="3">
        <f t="shared" si="16"/>
        <v>163</v>
      </c>
      <c r="B182" s="17">
        <f t="shared" si="17"/>
        <v>0</v>
      </c>
      <c r="C182" s="22">
        <f t="shared" si="18"/>
        <v>0</v>
      </c>
      <c r="D182" s="22">
        <f t="shared" si="19"/>
        <v>0</v>
      </c>
      <c r="E182" s="17">
        <f t="shared" si="20"/>
        <v>0</v>
      </c>
      <c r="F182" s="17">
        <f t="shared" si="14"/>
        <v>0</v>
      </c>
      <c r="G182" s="23">
        <f t="shared" si="15"/>
        <v>0</v>
      </c>
    </row>
    <row r="183" spans="1:7" ht="12.75" hidden="1">
      <c r="A183" s="3">
        <f t="shared" si="16"/>
        <v>164</v>
      </c>
      <c r="B183" s="17">
        <f t="shared" si="17"/>
        <v>0</v>
      </c>
      <c r="C183" s="22">
        <f t="shared" si="18"/>
        <v>0</v>
      </c>
      <c r="D183" s="22">
        <f t="shared" si="19"/>
        <v>0</v>
      </c>
      <c r="E183" s="17">
        <f t="shared" si="20"/>
        <v>0</v>
      </c>
      <c r="F183" s="17">
        <f t="shared" si="14"/>
        <v>0</v>
      </c>
      <c r="G183" s="23">
        <f t="shared" si="15"/>
        <v>0</v>
      </c>
    </row>
    <row r="184" spans="1:7" ht="12.75" hidden="1">
      <c r="A184" s="3">
        <f t="shared" si="16"/>
        <v>165</v>
      </c>
      <c r="B184" s="17">
        <f t="shared" si="17"/>
        <v>0</v>
      </c>
      <c r="C184" s="22">
        <f t="shared" si="18"/>
        <v>0</v>
      </c>
      <c r="D184" s="22">
        <f t="shared" si="19"/>
        <v>0</v>
      </c>
      <c r="E184" s="17">
        <f t="shared" si="20"/>
        <v>0</v>
      </c>
      <c r="F184" s="17">
        <f t="shared" si="14"/>
        <v>0</v>
      </c>
      <c r="G184" s="23">
        <f t="shared" si="15"/>
        <v>0</v>
      </c>
    </row>
    <row r="185" spans="1:7" ht="12.75" hidden="1">
      <c r="A185" s="3">
        <f t="shared" si="16"/>
        <v>166</v>
      </c>
      <c r="B185" s="17">
        <f t="shared" si="17"/>
        <v>0</v>
      </c>
      <c r="C185" s="22">
        <f t="shared" si="18"/>
        <v>0</v>
      </c>
      <c r="D185" s="22">
        <f t="shared" si="19"/>
        <v>0</v>
      </c>
      <c r="E185" s="17">
        <f t="shared" si="20"/>
        <v>0</v>
      </c>
      <c r="F185" s="17">
        <f t="shared" si="14"/>
        <v>0</v>
      </c>
      <c r="G185" s="23">
        <f t="shared" si="15"/>
        <v>0</v>
      </c>
    </row>
    <row r="186" spans="1:7" ht="12.75" hidden="1">
      <c r="A186" s="3">
        <f t="shared" si="16"/>
        <v>167</v>
      </c>
      <c r="B186" s="17">
        <f t="shared" si="17"/>
        <v>0</v>
      </c>
      <c r="C186" s="22">
        <f t="shared" si="18"/>
        <v>0</v>
      </c>
      <c r="D186" s="22">
        <f t="shared" si="19"/>
        <v>0</v>
      </c>
      <c r="E186" s="17">
        <f t="shared" si="20"/>
        <v>0</v>
      </c>
      <c r="F186" s="17">
        <f t="shared" si="14"/>
        <v>0</v>
      </c>
      <c r="G186" s="23">
        <f t="shared" si="15"/>
        <v>0</v>
      </c>
    </row>
    <row r="187" spans="1:7" ht="12.75" hidden="1">
      <c r="A187" s="3">
        <f t="shared" si="16"/>
        <v>168</v>
      </c>
      <c r="B187" s="17">
        <f t="shared" si="17"/>
        <v>0</v>
      </c>
      <c r="C187" s="22">
        <f t="shared" si="18"/>
        <v>0</v>
      </c>
      <c r="D187" s="22">
        <f t="shared" si="19"/>
        <v>0</v>
      </c>
      <c r="E187" s="17">
        <f t="shared" si="20"/>
        <v>0</v>
      </c>
      <c r="F187" s="17">
        <f t="shared" si="14"/>
        <v>0</v>
      </c>
      <c r="G187" s="23">
        <f t="shared" si="15"/>
        <v>0</v>
      </c>
    </row>
    <row r="188" spans="1:7" ht="12.75" hidden="1">
      <c r="A188" s="3">
        <f t="shared" si="16"/>
        <v>169</v>
      </c>
      <c r="B188" s="17">
        <f t="shared" si="17"/>
        <v>0</v>
      </c>
      <c r="C188" s="22">
        <f t="shared" si="18"/>
        <v>0</v>
      </c>
      <c r="D188" s="22">
        <f t="shared" si="19"/>
        <v>0</v>
      </c>
      <c r="E188" s="17">
        <f t="shared" si="20"/>
        <v>0</v>
      </c>
      <c r="F188" s="17">
        <f t="shared" si="14"/>
        <v>0</v>
      </c>
      <c r="G188" s="23">
        <f t="shared" si="15"/>
        <v>0</v>
      </c>
    </row>
    <row r="189" spans="1:7" ht="12.75" hidden="1">
      <c r="A189" s="3">
        <f t="shared" si="16"/>
        <v>170</v>
      </c>
      <c r="B189" s="17">
        <f t="shared" si="17"/>
        <v>0</v>
      </c>
      <c r="C189" s="22">
        <f t="shared" si="18"/>
        <v>0</v>
      </c>
      <c r="D189" s="22">
        <f t="shared" si="19"/>
        <v>0</v>
      </c>
      <c r="E189" s="17">
        <f t="shared" si="20"/>
        <v>0</v>
      </c>
      <c r="F189" s="17">
        <f t="shared" si="14"/>
        <v>0</v>
      </c>
      <c r="G189" s="23">
        <f t="shared" si="15"/>
        <v>0</v>
      </c>
    </row>
    <row r="190" spans="1:7" ht="12.75" hidden="1">
      <c r="A190" s="3">
        <f t="shared" si="16"/>
        <v>171</v>
      </c>
      <c r="B190" s="17">
        <f t="shared" si="17"/>
        <v>0</v>
      </c>
      <c r="C190" s="22">
        <f t="shared" si="18"/>
        <v>0</v>
      </c>
      <c r="D190" s="22">
        <f t="shared" si="19"/>
        <v>0</v>
      </c>
      <c r="E190" s="17">
        <f t="shared" si="20"/>
        <v>0</v>
      </c>
      <c r="F190" s="17">
        <f t="shared" si="14"/>
        <v>0</v>
      </c>
      <c r="G190" s="23">
        <f t="shared" si="15"/>
        <v>0</v>
      </c>
    </row>
    <row r="191" spans="1:7" ht="12.75" hidden="1">
      <c r="A191" s="3">
        <f t="shared" si="16"/>
        <v>172</v>
      </c>
      <c r="B191" s="17">
        <f t="shared" si="17"/>
        <v>0</v>
      </c>
      <c r="C191" s="22">
        <f t="shared" si="18"/>
        <v>0</v>
      </c>
      <c r="D191" s="22">
        <f t="shared" si="19"/>
        <v>0</v>
      </c>
      <c r="E191" s="17">
        <f t="shared" si="20"/>
        <v>0</v>
      </c>
      <c r="F191" s="17">
        <f t="shared" si="14"/>
        <v>0</v>
      </c>
      <c r="G191" s="23">
        <f t="shared" si="15"/>
        <v>0</v>
      </c>
    </row>
    <row r="192" spans="1:7" ht="12.75" hidden="1">
      <c r="A192" s="3">
        <f t="shared" si="16"/>
        <v>173</v>
      </c>
      <c r="B192" s="17">
        <f t="shared" si="17"/>
        <v>0</v>
      </c>
      <c r="C192" s="22">
        <f t="shared" si="18"/>
        <v>0</v>
      </c>
      <c r="D192" s="22">
        <f t="shared" si="19"/>
        <v>0</v>
      </c>
      <c r="E192" s="17">
        <f t="shared" si="20"/>
        <v>0</v>
      </c>
      <c r="F192" s="17">
        <f t="shared" si="14"/>
        <v>0</v>
      </c>
      <c r="G192" s="23">
        <f t="shared" si="15"/>
        <v>0</v>
      </c>
    </row>
    <row r="193" spans="1:7" ht="12.75" hidden="1">
      <c r="A193" s="3">
        <f t="shared" si="16"/>
        <v>174</v>
      </c>
      <c r="B193" s="17">
        <f t="shared" si="17"/>
        <v>0</v>
      </c>
      <c r="C193" s="22">
        <f t="shared" si="18"/>
        <v>0</v>
      </c>
      <c r="D193" s="22">
        <f t="shared" si="19"/>
        <v>0</v>
      </c>
      <c r="E193" s="17">
        <f t="shared" si="20"/>
        <v>0</v>
      </c>
      <c r="F193" s="17">
        <f t="shared" si="14"/>
        <v>0</v>
      </c>
      <c r="G193" s="23">
        <f t="shared" si="15"/>
        <v>0</v>
      </c>
    </row>
    <row r="194" spans="1:7" ht="12.75" hidden="1">
      <c r="A194" s="3">
        <f t="shared" si="16"/>
        <v>175</v>
      </c>
      <c r="B194" s="17">
        <f t="shared" si="17"/>
        <v>0</v>
      </c>
      <c r="C194" s="22">
        <f t="shared" si="18"/>
        <v>0</v>
      </c>
      <c r="D194" s="22">
        <f t="shared" si="19"/>
        <v>0</v>
      </c>
      <c r="E194" s="17">
        <f t="shared" si="20"/>
        <v>0</v>
      </c>
      <c r="F194" s="17">
        <f t="shared" si="14"/>
        <v>0</v>
      </c>
      <c r="G194" s="23">
        <f t="shared" si="15"/>
        <v>0</v>
      </c>
    </row>
    <row r="195" spans="1:7" ht="12.75" hidden="1">
      <c r="A195" s="3">
        <f t="shared" si="16"/>
        <v>176</v>
      </c>
      <c r="B195" s="17">
        <f t="shared" si="17"/>
        <v>0</v>
      </c>
      <c r="C195" s="22">
        <f t="shared" si="18"/>
        <v>0</v>
      </c>
      <c r="D195" s="22">
        <f t="shared" si="19"/>
        <v>0</v>
      </c>
      <c r="E195" s="17">
        <f t="shared" si="20"/>
        <v>0</v>
      </c>
      <c r="F195" s="17">
        <f t="shared" si="14"/>
        <v>0</v>
      </c>
      <c r="G195" s="23">
        <f t="shared" si="15"/>
        <v>0</v>
      </c>
    </row>
    <row r="196" spans="1:7" ht="12.75" hidden="1">
      <c r="A196" s="3">
        <f t="shared" si="16"/>
        <v>177</v>
      </c>
      <c r="B196" s="17">
        <f t="shared" si="17"/>
        <v>0</v>
      </c>
      <c r="C196" s="22">
        <f t="shared" si="18"/>
        <v>0</v>
      </c>
      <c r="D196" s="22">
        <f t="shared" si="19"/>
        <v>0</v>
      </c>
      <c r="E196" s="17">
        <f t="shared" si="20"/>
        <v>0</v>
      </c>
      <c r="F196" s="17">
        <f t="shared" si="14"/>
        <v>0</v>
      </c>
      <c r="G196" s="23">
        <f t="shared" si="15"/>
        <v>0</v>
      </c>
    </row>
    <row r="197" spans="1:7" ht="12.75" hidden="1">
      <c r="A197" s="3">
        <f t="shared" si="16"/>
        <v>178</v>
      </c>
      <c r="B197" s="17">
        <f t="shared" si="17"/>
        <v>0</v>
      </c>
      <c r="C197" s="22">
        <f t="shared" si="18"/>
        <v>0</v>
      </c>
      <c r="D197" s="22">
        <f t="shared" si="19"/>
        <v>0</v>
      </c>
      <c r="E197" s="17">
        <f t="shared" si="20"/>
        <v>0</v>
      </c>
      <c r="F197" s="17">
        <f t="shared" si="14"/>
        <v>0</v>
      </c>
      <c r="G197" s="23">
        <f t="shared" si="15"/>
        <v>0</v>
      </c>
    </row>
    <row r="198" spans="1:7" ht="12.75" hidden="1">
      <c r="A198" s="3">
        <f t="shared" si="16"/>
        <v>179</v>
      </c>
      <c r="B198" s="17">
        <f t="shared" si="17"/>
        <v>0</v>
      </c>
      <c r="C198" s="22">
        <f t="shared" si="18"/>
        <v>0</v>
      </c>
      <c r="D198" s="22">
        <f t="shared" si="19"/>
        <v>0</v>
      </c>
      <c r="E198" s="17">
        <f t="shared" si="20"/>
        <v>0</v>
      </c>
      <c r="F198" s="17">
        <f t="shared" si="14"/>
        <v>0</v>
      </c>
      <c r="G198" s="23">
        <f t="shared" si="15"/>
        <v>0</v>
      </c>
    </row>
    <row r="199" spans="1:7" ht="12.75" hidden="1">
      <c r="A199" s="3">
        <f t="shared" si="16"/>
        <v>180</v>
      </c>
      <c r="B199" s="17">
        <f t="shared" si="17"/>
        <v>0</v>
      </c>
      <c r="C199" s="22">
        <f t="shared" si="18"/>
        <v>0</v>
      </c>
      <c r="D199" s="22">
        <f t="shared" si="19"/>
        <v>0</v>
      </c>
      <c r="E199" s="17">
        <f t="shared" si="20"/>
        <v>0</v>
      </c>
      <c r="F199" s="17">
        <f t="shared" si="14"/>
        <v>0</v>
      </c>
      <c r="G199" s="23">
        <f t="shared" si="15"/>
        <v>0</v>
      </c>
    </row>
    <row r="200" spans="1:7" ht="12.75" hidden="1">
      <c r="A200" s="3">
        <f t="shared" si="16"/>
        <v>181</v>
      </c>
      <c r="B200" s="17">
        <f t="shared" si="17"/>
        <v>0</v>
      </c>
      <c r="C200" s="22">
        <f t="shared" si="18"/>
        <v>0</v>
      </c>
      <c r="D200" s="22">
        <f t="shared" si="19"/>
        <v>0</v>
      </c>
      <c r="E200" s="17">
        <f t="shared" si="20"/>
        <v>0</v>
      </c>
      <c r="F200" s="17">
        <f t="shared" si="14"/>
        <v>0</v>
      </c>
      <c r="G200" s="23">
        <f t="shared" si="15"/>
        <v>0</v>
      </c>
    </row>
    <row r="201" spans="1:7" ht="12.75" hidden="1">
      <c r="A201" s="3">
        <f t="shared" si="16"/>
        <v>182</v>
      </c>
      <c r="B201" s="17">
        <f t="shared" si="17"/>
        <v>0</v>
      </c>
      <c r="C201" s="22">
        <f t="shared" si="18"/>
        <v>0</v>
      </c>
      <c r="D201" s="22">
        <f t="shared" si="19"/>
        <v>0</v>
      </c>
      <c r="E201" s="17">
        <f t="shared" si="20"/>
        <v>0</v>
      </c>
      <c r="F201" s="17">
        <f t="shared" si="14"/>
        <v>0</v>
      </c>
      <c r="G201" s="23">
        <f t="shared" si="15"/>
        <v>0</v>
      </c>
    </row>
    <row r="202" spans="1:7" ht="12.75" hidden="1">
      <c r="A202" s="3">
        <f t="shared" si="16"/>
        <v>183</v>
      </c>
      <c r="B202" s="17">
        <f t="shared" si="17"/>
        <v>0</v>
      </c>
      <c r="C202" s="22">
        <f t="shared" si="18"/>
        <v>0</v>
      </c>
      <c r="D202" s="22">
        <f t="shared" si="19"/>
        <v>0</v>
      </c>
      <c r="E202" s="17">
        <f t="shared" si="20"/>
        <v>0</v>
      </c>
      <c r="F202" s="17">
        <f t="shared" si="14"/>
        <v>0</v>
      </c>
      <c r="G202" s="23">
        <f t="shared" si="15"/>
        <v>0</v>
      </c>
    </row>
    <row r="203" spans="1:7" ht="12.75" hidden="1">
      <c r="A203" s="3">
        <f t="shared" si="16"/>
        <v>184</v>
      </c>
      <c r="B203" s="17">
        <f t="shared" si="17"/>
        <v>0</v>
      </c>
      <c r="C203" s="22">
        <f t="shared" si="18"/>
        <v>0</v>
      </c>
      <c r="D203" s="22">
        <f t="shared" si="19"/>
        <v>0</v>
      </c>
      <c r="E203" s="17">
        <f t="shared" si="20"/>
        <v>0</v>
      </c>
      <c r="F203" s="17">
        <f t="shared" si="14"/>
        <v>0</v>
      </c>
      <c r="G203" s="23">
        <f t="shared" si="15"/>
        <v>0</v>
      </c>
    </row>
    <row r="204" spans="1:7" ht="12.75" hidden="1">
      <c r="A204" s="3">
        <f t="shared" si="16"/>
        <v>185</v>
      </c>
      <c r="B204" s="17">
        <f t="shared" si="17"/>
        <v>0</v>
      </c>
      <c r="C204" s="22">
        <f t="shared" si="18"/>
        <v>0</v>
      </c>
      <c r="D204" s="22">
        <f t="shared" si="19"/>
        <v>0</v>
      </c>
      <c r="E204" s="17">
        <f t="shared" si="20"/>
        <v>0</v>
      </c>
      <c r="F204" s="17">
        <f t="shared" si="14"/>
        <v>0</v>
      </c>
      <c r="G204" s="23">
        <f t="shared" si="15"/>
        <v>0</v>
      </c>
    </row>
    <row r="205" spans="1:7" ht="12.75" hidden="1">
      <c r="A205" s="3">
        <f t="shared" si="16"/>
        <v>186</v>
      </c>
      <c r="B205" s="17">
        <f t="shared" si="17"/>
        <v>0</v>
      </c>
      <c r="C205" s="22">
        <f t="shared" si="18"/>
        <v>0</v>
      </c>
      <c r="D205" s="22">
        <f t="shared" si="19"/>
        <v>0</v>
      </c>
      <c r="E205" s="17">
        <f t="shared" si="20"/>
        <v>0</v>
      </c>
      <c r="F205" s="17">
        <f t="shared" si="14"/>
        <v>0</v>
      </c>
      <c r="G205" s="23">
        <f t="shared" si="15"/>
        <v>0</v>
      </c>
    </row>
    <row r="206" spans="1:7" ht="12.75" hidden="1">
      <c r="A206" s="3">
        <f t="shared" si="16"/>
        <v>187</v>
      </c>
      <c r="B206" s="17">
        <f t="shared" si="17"/>
        <v>0</v>
      </c>
      <c r="C206" s="22">
        <f t="shared" si="18"/>
        <v>0</v>
      </c>
      <c r="D206" s="22">
        <f t="shared" si="19"/>
        <v>0</v>
      </c>
      <c r="E206" s="17">
        <f t="shared" si="20"/>
        <v>0</v>
      </c>
      <c r="F206" s="17">
        <f t="shared" si="14"/>
        <v>0</v>
      </c>
      <c r="G206" s="23">
        <f t="shared" si="15"/>
        <v>0</v>
      </c>
    </row>
    <row r="207" spans="1:7" ht="12.75" hidden="1">
      <c r="A207" s="3">
        <f t="shared" si="16"/>
        <v>188</v>
      </c>
      <c r="B207" s="17">
        <f t="shared" si="17"/>
        <v>0</v>
      </c>
      <c r="C207" s="22">
        <f t="shared" si="18"/>
        <v>0</v>
      </c>
      <c r="D207" s="22">
        <f t="shared" si="19"/>
        <v>0</v>
      </c>
      <c r="E207" s="17">
        <f t="shared" si="20"/>
        <v>0</v>
      </c>
      <c r="F207" s="17">
        <f t="shared" si="14"/>
        <v>0</v>
      </c>
      <c r="G207" s="23">
        <f t="shared" si="15"/>
        <v>0</v>
      </c>
    </row>
    <row r="208" spans="1:7" ht="12.75" hidden="1">
      <c r="A208" s="3">
        <f t="shared" si="16"/>
        <v>189</v>
      </c>
      <c r="B208" s="17">
        <f t="shared" si="17"/>
        <v>0</v>
      </c>
      <c r="C208" s="22">
        <f t="shared" si="18"/>
        <v>0</v>
      </c>
      <c r="D208" s="22">
        <f t="shared" si="19"/>
        <v>0</v>
      </c>
      <c r="E208" s="17">
        <f t="shared" si="20"/>
        <v>0</v>
      </c>
      <c r="F208" s="17">
        <f t="shared" si="14"/>
        <v>0</v>
      </c>
      <c r="G208" s="23">
        <f t="shared" si="15"/>
        <v>0</v>
      </c>
    </row>
    <row r="209" spans="1:7" ht="12.75" hidden="1">
      <c r="A209" s="3">
        <f t="shared" si="16"/>
        <v>190</v>
      </c>
      <c r="B209" s="17">
        <f t="shared" si="17"/>
        <v>0</v>
      </c>
      <c r="C209" s="22">
        <f t="shared" si="18"/>
        <v>0</v>
      </c>
      <c r="D209" s="22">
        <f t="shared" si="19"/>
        <v>0</v>
      </c>
      <c r="E209" s="17">
        <f t="shared" si="20"/>
        <v>0</v>
      </c>
      <c r="F209" s="17">
        <f t="shared" si="14"/>
        <v>0</v>
      </c>
      <c r="G209" s="23">
        <f t="shared" si="15"/>
        <v>0</v>
      </c>
    </row>
    <row r="210" spans="1:7" ht="12.75" hidden="1">
      <c r="A210" s="3">
        <f t="shared" si="16"/>
        <v>191</v>
      </c>
      <c r="B210" s="17">
        <f t="shared" si="17"/>
        <v>0</v>
      </c>
      <c r="C210" s="22">
        <f t="shared" si="18"/>
        <v>0</v>
      </c>
      <c r="D210" s="22">
        <f t="shared" si="19"/>
        <v>0</v>
      </c>
      <c r="E210" s="17">
        <f t="shared" si="20"/>
        <v>0</v>
      </c>
      <c r="F210" s="17">
        <f t="shared" si="14"/>
        <v>0</v>
      </c>
      <c r="G210" s="23">
        <f t="shared" si="15"/>
        <v>0</v>
      </c>
    </row>
    <row r="211" spans="1:7" ht="12.75" hidden="1">
      <c r="A211" s="3">
        <f t="shared" si="16"/>
        <v>192</v>
      </c>
      <c r="B211" s="17">
        <f t="shared" si="17"/>
        <v>0</v>
      </c>
      <c r="C211" s="22">
        <f t="shared" si="18"/>
        <v>0</v>
      </c>
      <c r="D211" s="22">
        <f t="shared" si="19"/>
        <v>0</v>
      </c>
      <c r="E211" s="17">
        <f t="shared" si="20"/>
        <v>0</v>
      </c>
      <c r="F211" s="17">
        <f t="shared" si="14"/>
        <v>0</v>
      </c>
      <c r="G211" s="23">
        <f t="shared" si="15"/>
        <v>0</v>
      </c>
    </row>
    <row r="212" spans="1:7" ht="12.75" hidden="1">
      <c r="A212" s="3">
        <f t="shared" si="16"/>
        <v>193</v>
      </c>
      <c r="B212" s="17">
        <f t="shared" si="17"/>
        <v>0</v>
      </c>
      <c r="C212" s="22">
        <f t="shared" si="18"/>
        <v>0</v>
      </c>
      <c r="D212" s="22">
        <f t="shared" si="19"/>
        <v>0</v>
      </c>
      <c r="E212" s="17">
        <f t="shared" si="20"/>
        <v>0</v>
      </c>
      <c r="F212" s="17">
        <f aca="true" t="shared" si="21" ref="F212:F275">IF(A212=$D$10,$D$2,0)</f>
        <v>0</v>
      </c>
      <c r="G212" s="23">
        <f aca="true" t="shared" si="22" ref="G212:G275">B212-F212</f>
        <v>0</v>
      </c>
    </row>
    <row r="213" spans="1:7" ht="12.75" hidden="1">
      <c r="A213" s="3">
        <f aca="true" t="shared" si="23" ref="A213:A276">A212+1</f>
        <v>194</v>
      </c>
      <c r="B213" s="17">
        <f aca="true" t="shared" si="24" ref="B213:B276">B212-F212</f>
        <v>0</v>
      </c>
      <c r="C213" s="22">
        <f aca="true" t="shared" si="25" ref="C213:C276">IF(D213=0,0,D213+$D$13)</f>
        <v>0</v>
      </c>
      <c r="D213" s="22">
        <f aca="true" t="shared" si="26" ref="D213:D276">E213+F213</f>
        <v>0</v>
      </c>
      <c r="E213" s="17">
        <f aca="true" t="shared" si="27" ref="E213:E276">IF(B213&gt;0,E212,0)</f>
        <v>0</v>
      </c>
      <c r="F213" s="17">
        <f t="shared" si="21"/>
        <v>0</v>
      </c>
      <c r="G213" s="23">
        <f t="shared" si="22"/>
        <v>0</v>
      </c>
    </row>
    <row r="214" spans="1:7" ht="12.75" hidden="1">
      <c r="A214" s="3">
        <f t="shared" si="23"/>
        <v>195</v>
      </c>
      <c r="B214" s="17">
        <f t="shared" si="24"/>
        <v>0</v>
      </c>
      <c r="C214" s="22">
        <f t="shared" si="25"/>
        <v>0</v>
      </c>
      <c r="D214" s="22">
        <f t="shared" si="26"/>
        <v>0</v>
      </c>
      <c r="E214" s="17">
        <f t="shared" si="27"/>
        <v>0</v>
      </c>
      <c r="F214" s="17">
        <f t="shared" si="21"/>
        <v>0</v>
      </c>
      <c r="G214" s="23">
        <f t="shared" si="22"/>
        <v>0</v>
      </c>
    </row>
    <row r="215" spans="1:7" ht="12.75" hidden="1">
      <c r="A215" s="3">
        <f t="shared" si="23"/>
        <v>196</v>
      </c>
      <c r="B215" s="17">
        <f t="shared" si="24"/>
        <v>0</v>
      </c>
      <c r="C215" s="22">
        <f t="shared" si="25"/>
        <v>0</v>
      </c>
      <c r="D215" s="22">
        <f t="shared" si="26"/>
        <v>0</v>
      </c>
      <c r="E215" s="17">
        <f t="shared" si="27"/>
        <v>0</v>
      </c>
      <c r="F215" s="17">
        <f t="shared" si="21"/>
        <v>0</v>
      </c>
      <c r="G215" s="23">
        <f t="shared" si="22"/>
        <v>0</v>
      </c>
    </row>
    <row r="216" spans="1:7" ht="12.75" hidden="1">
      <c r="A216" s="3">
        <f t="shared" si="23"/>
        <v>197</v>
      </c>
      <c r="B216" s="17">
        <f t="shared" si="24"/>
        <v>0</v>
      </c>
      <c r="C216" s="22">
        <f t="shared" si="25"/>
        <v>0</v>
      </c>
      <c r="D216" s="22">
        <f t="shared" si="26"/>
        <v>0</v>
      </c>
      <c r="E216" s="17">
        <f t="shared" si="27"/>
        <v>0</v>
      </c>
      <c r="F216" s="17">
        <f t="shared" si="21"/>
        <v>0</v>
      </c>
      <c r="G216" s="23">
        <f t="shared" si="22"/>
        <v>0</v>
      </c>
    </row>
    <row r="217" spans="1:7" ht="12.75" hidden="1">
      <c r="A217" s="3">
        <f t="shared" si="23"/>
        <v>198</v>
      </c>
      <c r="B217" s="17">
        <f t="shared" si="24"/>
        <v>0</v>
      </c>
      <c r="C217" s="22">
        <f t="shared" si="25"/>
        <v>0</v>
      </c>
      <c r="D217" s="22">
        <f t="shared" si="26"/>
        <v>0</v>
      </c>
      <c r="E217" s="17">
        <f t="shared" si="27"/>
        <v>0</v>
      </c>
      <c r="F217" s="17">
        <f t="shared" si="21"/>
        <v>0</v>
      </c>
      <c r="G217" s="23">
        <f t="shared" si="22"/>
        <v>0</v>
      </c>
    </row>
    <row r="218" spans="1:7" ht="12.75" hidden="1">
      <c r="A218" s="3">
        <f t="shared" si="23"/>
        <v>199</v>
      </c>
      <c r="B218" s="17">
        <f t="shared" si="24"/>
        <v>0</v>
      </c>
      <c r="C218" s="22">
        <f t="shared" si="25"/>
        <v>0</v>
      </c>
      <c r="D218" s="22">
        <f t="shared" si="26"/>
        <v>0</v>
      </c>
      <c r="E218" s="17">
        <f t="shared" si="27"/>
        <v>0</v>
      </c>
      <c r="F218" s="17">
        <f t="shared" si="21"/>
        <v>0</v>
      </c>
      <c r="G218" s="23">
        <f t="shared" si="22"/>
        <v>0</v>
      </c>
    </row>
    <row r="219" spans="1:7" ht="12.75" hidden="1">
      <c r="A219" s="3">
        <f t="shared" si="23"/>
        <v>200</v>
      </c>
      <c r="B219" s="17">
        <f t="shared" si="24"/>
        <v>0</v>
      </c>
      <c r="C219" s="22">
        <f t="shared" si="25"/>
        <v>0</v>
      </c>
      <c r="D219" s="22">
        <f t="shared" si="26"/>
        <v>0</v>
      </c>
      <c r="E219" s="17">
        <f t="shared" si="27"/>
        <v>0</v>
      </c>
      <c r="F219" s="17">
        <f t="shared" si="21"/>
        <v>0</v>
      </c>
      <c r="G219" s="23">
        <f t="shared" si="22"/>
        <v>0</v>
      </c>
    </row>
    <row r="220" spans="1:7" ht="12.75" hidden="1">
      <c r="A220" s="3">
        <f t="shared" si="23"/>
        <v>201</v>
      </c>
      <c r="B220" s="17">
        <f t="shared" si="24"/>
        <v>0</v>
      </c>
      <c r="C220" s="22">
        <f t="shared" si="25"/>
        <v>0</v>
      </c>
      <c r="D220" s="22">
        <f t="shared" si="26"/>
        <v>0</v>
      </c>
      <c r="E220" s="17">
        <f t="shared" si="27"/>
        <v>0</v>
      </c>
      <c r="F220" s="17">
        <f t="shared" si="21"/>
        <v>0</v>
      </c>
      <c r="G220" s="23">
        <f t="shared" si="22"/>
        <v>0</v>
      </c>
    </row>
    <row r="221" spans="1:7" ht="12.75" hidden="1">
      <c r="A221" s="3">
        <f t="shared" si="23"/>
        <v>202</v>
      </c>
      <c r="B221" s="17">
        <f t="shared" si="24"/>
        <v>0</v>
      </c>
      <c r="C221" s="22">
        <f t="shared" si="25"/>
        <v>0</v>
      </c>
      <c r="D221" s="22">
        <f t="shared" si="26"/>
        <v>0</v>
      </c>
      <c r="E221" s="17">
        <f t="shared" si="27"/>
        <v>0</v>
      </c>
      <c r="F221" s="17">
        <f t="shared" si="21"/>
        <v>0</v>
      </c>
      <c r="G221" s="23">
        <f t="shared" si="22"/>
        <v>0</v>
      </c>
    </row>
    <row r="222" spans="1:7" ht="12.75" hidden="1">
      <c r="A222" s="3">
        <f t="shared" si="23"/>
        <v>203</v>
      </c>
      <c r="B222" s="17">
        <f t="shared" si="24"/>
        <v>0</v>
      </c>
      <c r="C222" s="22">
        <f t="shared" si="25"/>
        <v>0</v>
      </c>
      <c r="D222" s="22">
        <f t="shared" si="26"/>
        <v>0</v>
      </c>
      <c r="E222" s="17">
        <f t="shared" si="27"/>
        <v>0</v>
      </c>
      <c r="F222" s="17">
        <f t="shared" si="21"/>
        <v>0</v>
      </c>
      <c r="G222" s="23">
        <f t="shared" si="22"/>
        <v>0</v>
      </c>
    </row>
    <row r="223" spans="1:7" ht="12.75" hidden="1">
      <c r="A223" s="3">
        <f t="shared" si="23"/>
        <v>204</v>
      </c>
      <c r="B223" s="17">
        <f t="shared" si="24"/>
        <v>0</v>
      </c>
      <c r="C223" s="22">
        <f t="shared" si="25"/>
        <v>0</v>
      </c>
      <c r="D223" s="22">
        <f t="shared" si="26"/>
        <v>0</v>
      </c>
      <c r="E223" s="17">
        <f t="shared" si="27"/>
        <v>0</v>
      </c>
      <c r="F223" s="17">
        <f t="shared" si="21"/>
        <v>0</v>
      </c>
      <c r="G223" s="23">
        <f t="shared" si="22"/>
        <v>0</v>
      </c>
    </row>
    <row r="224" spans="1:7" ht="12.75" hidden="1">
      <c r="A224" s="3">
        <f t="shared" si="23"/>
        <v>205</v>
      </c>
      <c r="B224" s="17">
        <f t="shared" si="24"/>
        <v>0</v>
      </c>
      <c r="C224" s="22">
        <f t="shared" si="25"/>
        <v>0</v>
      </c>
      <c r="D224" s="22">
        <f t="shared" si="26"/>
        <v>0</v>
      </c>
      <c r="E224" s="17">
        <f t="shared" si="27"/>
        <v>0</v>
      </c>
      <c r="F224" s="17">
        <f t="shared" si="21"/>
        <v>0</v>
      </c>
      <c r="G224" s="23">
        <f t="shared" si="22"/>
        <v>0</v>
      </c>
    </row>
    <row r="225" spans="1:7" ht="12.75" hidden="1">
      <c r="A225" s="3">
        <f t="shared" si="23"/>
        <v>206</v>
      </c>
      <c r="B225" s="17">
        <f t="shared" si="24"/>
        <v>0</v>
      </c>
      <c r="C225" s="22">
        <f t="shared" si="25"/>
        <v>0</v>
      </c>
      <c r="D225" s="22">
        <f t="shared" si="26"/>
        <v>0</v>
      </c>
      <c r="E225" s="17">
        <f t="shared" si="27"/>
        <v>0</v>
      </c>
      <c r="F225" s="17">
        <f t="shared" si="21"/>
        <v>0</v>
      </c>
      <c r="G225" s="23">
        <f t="shared" si="22"/>
        <v>0</v>
      </c>
    </row>
    <row r="226" spans="1:7" ht="12.75" hidden="1">
      <c r="A226" s="3">
        <f t="shared" si="23"/>
        <v>207</v>
      </c>
      <c r="B226" s="17">
        <f t="shared" si="24"/>
        <v>0</v>
      </c>
      <c r="C226" s="22">
        <f t="shared" si="25"/>
        <v>0</v>
      </c>
      <c r="D226" s="22">
        <f t="shared" si="26"/>
        <v>0</v>
      </c>
      <c r="E226" s="17">
        <f t="shared" si="27"/>
        <v>0</v>
      </c>
      <c r="F226" s="17">
        <f t="shared" si="21"/>
        <v>0</v>
      </c>
      <c r="G226" s="23">
        <f t="shared" si="22"/>
        <v>0</v>
      </c>
    </row>
    <row r="227" spans="1:7" ht="12.75" hidden="1">
      <c r="A227" s="3">
        <f t="shared" si="23"/>
        <v>208</v>
      </c>
      <c r="B227" s="17">
        <f t="shared" si="24"/>
        <v>0</v>
      </c>
      <c r="C227" s="22">
        <f t="shared" si="25"/>
        <v>0</v>
      </c>
      <c r="D227" s="22">
        <f t="shared" si="26"/>
        <v>0</v>
      </c>
      <c r="E227" s="17">
        <f t="shared" si="27"/>
        <v>0</v>
      </c>
      <c r="F227" s="17">
        <f t="shared" si="21"/>
        <v>0</v>
      </c>
      <c r="G227" s="23">
        <f t="shared" si="22"/>
        <v>0</v>
      </c>
    </row>
    <row r="228" spans="1:7" ht="12.75" hidden="1">
      <c r="A228" s="3">
        <f t="shared" si="23"/>
        <v>209</v>
      </c>
      <c r="B228" s="17">
        <f t="shared" si="24"/>
        <v>0</v>
      </c>
      <c r="C228" s="22">
        <f t="shared" si="25"/>
        <v>0</v>
      </c>
      <c r="D228" s="22">
        <f t="shared" si="26"/>
        <v>0</v>
      </c>
      <c r="E228" s="17">
        <f t="shared" si="27"/>
        <v>0</v>
      </c>
      <c r="F228" s="17">
        <f t="shared" si="21"/>
        <v>0</v>
      </c>
      <c r="G228" s="23">
        <f t="shared" si="22"/>
        <v>0</v>
      </c>
    </row>
    <row r="229" spans="1:7" ht="12.75" hidden="1">
      <c r="A229" s="3">
        <f t="shared" si="23"/>
        <v>210</v>
      </c>
      <c r="B229" s="17">
        <f t="shared" si="24"/>
        <v>0</v>
      </c>
      <c r="C229" s="22">
        <f t="shared" si="25"/>
        <v>0</v>
      </c>
      <c r="D229" s="22">
        <f t="shared" si="26"/>
        <v>0</v>
      </c>
      <c r="E229" s="17">
        <f t="shared" si="27"/>
        <v>0</v>
      </c>
      <c r="F229" s="17">
        <f t="shared" si="21"/>
        <v>0</v>
      </c>
      <c r="G229" s="23">
        <f t="shared" si="22"/>
        <v>0</v>
      </c>
    </row>
    <row r="230" spans="1:7" ht="12.75" hidden="1">
      <c r="A230" s="3">
        <f t="shared" si="23"/>
        <v>211</v>
      </c>
      <c r="B230" s="17">
        <f t="shared" si="24"/>
        <v>0</v>
      </c>
      <c r="C230" s="22">
        <f t="shared" si="25"/>
        <v>0</v>
      </c>
      <c r="D230" s="22">
        <f t="shared" si="26"/>
        <v>0</v>
      </c>
      <c r="E230" s="17">
        <f t="shared" si="27"/>
        <v>0</v>
      </c>
      <c r="F230" s="17">
        <f t="shared" si="21"/>
        <v>0</v>
      </c>
      <c r="G230" s="23">
        <f t="shared" si="22"/>
        <v>0</v>
      </c>
    </row>
    <row r="231" spans="1:7" ht="12.75" hidden="1">
      <c r="A231" s="3">
        <f t="shared" si="23"/>
        <v>212</v>
      </c>
      <c r="B231" s="17">
        <f t="shared" si="24"/>
        <v>0</v>
      </c>
      <c r="C231" s="22">
        <f t="shared" si="25"/>
        <v>0</v>
      </c>
      <c r="D231" s="22">
        <f t="shared" si="26"/>
        <v>0</v>
      </c>
      <c r="E231" s="17">
        <f t="shared" si="27"/>
        <v>0</v>
      </c>
      <c r="F231" s="17">
        <f t="shared" si="21"/>
        <v>0</v>
      </c>
      <c r="G231" s="23">
        <f t="shared" si="22"/>
        <v>0</v>
      </c>
    </row>
    <row r="232" spans="1:7" ht="12.75" hidden="1">
      <c r="A232" s="3">
        <f t="shared" si="23"/>
        <v>213</v>
      </c>
      <c r="B232" s="17">
        <f t="shared" si="24"/>
        <v>0</v>
      </c>
      <c r="C232" s="22">
        <f t="shared" si="25"/>
        <v>0</v>
      </c>
      <c r="D232" s="22">
        <f t="shared" si="26"/>
        <v>0</v>
      </c>
      <c r="E232" s="17">
        <f t="shared" si="27"/>
        <v>0</v>
      </c>
      <c r="F232" s="17">
        <f t="shared" si="21"/>
        <v>0</v>
      </c>
      <c r="G232" s="23">
        <f t="shared" si="22"/>
        <v>0</v>
      </c>
    </row>
    <row r="233" spans="1:7" ht="12.75" hidden="1">
      <c r="A233" s="3">
        <f t="shared" si="23"/>
        <v>214</v>
      </c>
      <c r="B233" s="17">
        <f t="shared" si="24"/>
        <v>0</v>
      </c>
      <c r="C233" s="22">
        <f t="shared" si="25"/>
        <v>0</v>
      </c>
      <c r="D233" s="22">
        <f t="shared" si="26"/>
        <v>0</v>
      </c>
      <c r="E233" s="17">
        <f t="shared" si="27"/>
        <v>0</v>
      </c>
      <c r="F233" s="17">
        <f t="shared" si="21"/>
        <v>0</v>
      </c>
      <c r="G233" s="23">
        <f t="shared" si="22"/>
        <v>0</v>
      </c>
    </row>
    <row r="234" spans="1:7" ht="12.75" hidden="1">
      <c r="A234" s="3">
        <f t="shared" si="23"/>
        <v>215</v>
      </c>
      <c r="B234" s="17">
        <f t="shared" si="24"/>
        <v>0</v>
      </c>
      <c r="C234" s="22">
        <f t="shared" si="25"/>
        <v>0</v>
      </c>
      <c r="D234" s="22">
        <f t="shared" si="26"/>
        <v>0</v>
      </c>
      <c r="E234" s="17">
        <f t="shared" si="27"/>
        <v>0</v>
      </c>
      <c r="F234" s="17">
        <f t="shared" si="21"/>
        <v>0</v>
      </c>
      <c r="G234" s="23">
        <f t="shared" si="22"/>
        <v>0</v>
      </c>
    </row>
    <row r="235" spans="1:7" ht="12.75" hidden="1">
      <c r="A235" s="3">
        <f t="shared" si="23"/>
        <v>216</v>
      </c>
      <c r="B235" s="17">
        <f t="shared" si="24"/>
        <v>0</v>
      </c>
      <c r="C235" s="22">
        <f t="shared" si="25"/>
        <v>0</v>
      </c>
      <c r="D235" s="22">
        <f t="shared" si="26"/>
        <v>0</v>
      </c>
      <c r="E235" s="17">
        <f t="shared" si="27"/>
        <v>0</v>
      </c>
      <c r="F235" s="17">
        <f t="shared" si="21"/>
        <v>0</v>
      </c>
      <c r="G235" s="23">
        <f t="shared" si="22"/>
        <v>0</v>
      </c>
    </row>
    <row r="236" spans="1:7" ht="12.75" hidden="1">
      <c r="A236" s="3">
        <f t="shared" si="23"/>
        <v>217</v>
      </c>
      <c r="B236" s="17">
        <f t="shared" si="24"/>
        <v>0</v>
      </c>
      <c r="C236" s="22">
        <f t="shared" si="25"/>
        <v>0</v>
      </c>
      <c r="D236" s="22">
        <f t="shared" si="26"/>
        <v>0</v>
      </c>
      <c r="E236" s="17">
        <f t="shared" si="27"/>
        <v>0</v>
      </c>
      <c r="F236" s="17">
        <f t="shared" si="21"/>
        <v>0</v>
      </c>
      <c r="G236" s="23">
        <f t="shared" si="22"/>
        <v>0</v>
      </c>
    </row>
    <row r="237" spans="1:7" ht="12.75" hidden="1">
      <c r="A237" s="3">
        <f t="shared" si="23"/>
        <v>218</v>
      </c>
      <c r="B237" s="17">
        <f t="shared" si="24"/>
        <v>0</v>
      </c>
      <c r="C237" s="22">
        <f t="shared" si="25"/>
        <v>0</v>
      </c>
      <c r="D237" s="22">
        <f t="shared" si="26"/>
        <v>0</v>
      </c>
      <c r="E237" s="17">
        <f t="shared" si="27"/>
        <v>0</v>
      </c>
      <c r="F237" s="17">
        <f t="shared" si="21"/>
        <v>0</v>
      </c>
      <c r="G237" s="23">
        <f t="shared" si="22"/>
        <v>0</v>
      </c>
    </row>
    <row r="238" spans="1:7" ht="12.75" hidden="1">
      <c r="A238" s="3">
        <f t="shared" si="23"/>
        <v>219</v>
      </c>
      <c r="B238" s="17">
        <f t="shared" si="24"/>
        <v>0</v>
      </c>
      <c r="C238" s="22">
        <f t="shared" si="25"/>
        <v>0</v>
      </c>
      <c r="D238" s="22">
        <f t="shared" si="26"/>
        <v>0</v>
      </c>
      <c r="E238" s="17">
        <f t="shared" si="27"/>
        <v>0</v>
      </c>
      <c r="F238" s="17">
        <f t="shared" si="21"/>
        <v>0</v>
      </c>
      <c r="G238" s="23">
        <f t="shared" si="22"/>
        <v>0</v>
      </c>
    </row>
    <row r="239" spans="1:7" ht="12.75" hidden="1">
      <c r="A239" s="3">
        <f t="shared" si="23"/>
        <v>220</v>
      </c>
      <c r="B239" s="17">
        <f t="shared" si="24"/>
        <v>0</v>
      </c>
      <c r="C239" s="22">
        <f t="shared" si="25"/>
        <v>0</v>
      </c>
      <c r="D239" s="22">
        <f t="shared" si="26"/>
        <v>0</v>
      </c>
      <c r="E239" s="17">
        <f t="shared" si="27"/>
        <v>0</v>
      </c>
      <c r="F239" s="17">
        <f t="shared" si="21"/>
        <v>0</v>
      </c>
      <c r="G239" s="23">
        <f t="shared" si="22"/>
        <v>0</v>
      </c>
    </row>
    <row r="240" spans="1:7" ht="12.75" hidden="1">
      <c r="A240" s="3">
        <f t="shared" si="23"/>
        <v>221</v>
      </c>
      <c r="B240" s="17">
        <f t="shared" si="24"/>
        <v>0</v>
      </c>
      <c r="C240" s="22">
        <f t="shared" si="25"/>
        <v>0</v>
      </c>
      <c r="D240" s="22">
        <f t="shared" si="26"/>
        <v>0</v>
      </c>
      <c r="E240" s="17">
        <f t="shared" si="27"/>
        <v>0</v>
      </c>
      <c r="F240" s="17">
        <f t="shared" si="21"/>
        <v>0</v>
      </c>
      <c r="G240" s="23">
        <f t="shared" si="22"/>
        <v>0</v>
      </c>
    </row>
    <row r="241" spans="1:7" ht="12.75" hidden="1">
      <c r="A241" s="3">
        <f t="shared" si="23"/>
        <v>222</v>
      </c>
      <c r="B241" s="17">
        <f t="shared" si="24"/>
        <v>0</v>
      </c>
      <c r="C241" s="22">
        <f t="shared" si="25"/>
        <v>0</v>
      </c>
      <c r="D241" s="22">
        <f t="shared" si="26"/>
        <v>0</v>
      </c>
      <c r="E241" s="17">
        <f t="shared" si="27"/>
        <v>0</v>
      </c>
      <c r="F241" s="17">
        <f t="shared" si="21"/>
        <v>0</v>
      </c>
      <c r="G241" s="23">
        <f t="shared" si="22"/>
        <v>0</v>
      </c>
    </row>
    <row r="242" spans="1:7" ht="12.75" hidden="1">
      <c r="A242" s="3">
        <f t="shared" si="23"/>
        <v>223</v>
      </c>
      <c r="B242" s="17">
        <f t="shared" si="24"/>
        <v>0</v>
      </c>
      <c r="C242" s="22">
        <f t="shared" si="25"/>
        <v>0</v>
      </c>
      <c r="D242" s="22">
        <f t="shared" si="26"/>
        <v>0</v>
      </c>
      <c r="E242" s="17">
        <f t="shared" si="27"/>
        <v>0</v>
      </c>
      <c r="F242" s="17">
        <f t="shared" si="21"/>
        <v>0</v>
      </c>
      <c r="G242" s="23">
        <f t="shared" si="22"/>
        <v>0</v>
      </c>
    </row>
    <row r="243" spans="1:7" ht="12.75" hidden="1">
      <c r="A243" s="3">
        <f t="shared" si="23"/>
        <v>224</v>
      </c>
      <c r="B243" s="17">
        <f t="shared" si="24"/>
        <v>0</v>
      </c>
      <c r="C243" s="22">
        <f t="shared" si="25"/>
        <v>0</v>
      </c>
      <c r="D243" s="22">
        <f t="shared" si="26"/>
        <v>0</v>
      </c>
      <c r="E243" s="17">
        <f t="shared" si="27"/>
        <v>0</v>
      </c>
      <c r="F243" s="17">
        <f t="shared" si="21"/>
        <v>0</v>
      </c>
      <c r="G243" s="23">
        <f t="shared" si="22"/>
        <v>0</v>
      </c>
    </row>
    <row r="244" spans="1:7" ht="12.75" hidden="1">
      <c r="A244" s="3">
        <f t="shared" si="23"/>
        <v>225</v>
      </c>
      <c r="B244" s="17">
        <f t="shared" si="24"/>
        <v>0</v>
      </c>
      <c r="C244" s="22">
        <f t="shared" si="25"/>
        <v>0</v>
      </c>
      <c r="D244" s="22">
        <f t="shared" si="26"/>
        <v>0</v>
      </c>
      <c r="E244" s="17">
        <f t="shared" si="27"/>
        <v>0</v>
      </c>
      <c r="F244" s="17">
        <f t="shared" si="21"/>
        <v>0</v>
      </c>
      <c r="G244" s="23">
        <f t="shared" si="22"/>
        <v>0</v>
      </c>
    </row>
    <row r="245" spans="1:7" ht="12.75" hidden="1">
      <c r="A245" s="3">
        <f t="shared" si="23"/>
        <v>226</v>
      </c>
      <c r="B245" s="17">
        <f t="shared" si="24"/>
        <v>0</v>
      </c>
      <c r="C245" s="22">
        <f t="shared" si="25"/>
        <v>0</v>
      </c>
      <c r="D245" s="22">
        <f t="shared" si="26"/>
        <v>0</v>
      </c>
      <c r="E245" s="17">
        <f t="shared" si="27"/>
        <v>0</v>
      </c>
      <c r="F245" s="17">
        <f t="shared" si="21"/>
        <v>0</v>
      </c>
      <c r="G245" s="23">
        <f t="shared" si="22"/>
        <v>0</v>
      </c>
    </row>
    <row r="246" spans="1:7" ht="12.75" hidden="1">
      <c r="A246" s="3">
        <f t="shared" si="23"/>
        <v>227</v>
      </c>
      <c r="B246" s="17">
        <f t="shared" si="24"/>
        <v>0</v>
      </c>
      <c r="C246" s="22">
        <f t="shared" si="25"/>
        <v>0</v>
      </c>
      <c r="D246" s="22">
        <f t="shared" si="26"/>
        <v>0</v>
      </c>
      <c r="E246" s="17">
        <f t="shared" si="27"/>
        <v>0</v>
      </c>
      <c r="F246" s="17">
        <f t="shared" si="21"/>
        <v>0</v>
      </c>
      <c r="G246" s="23">
        <f t="shared" si="22"/>
        <v>0</v>
      </c>
    </row>
    <row r="247" spans="1:7" ht="12.75" hidden="1">
      <c r="A247" s="3">
        <f t="shared" si="23"/>
        <v>228</v>
      </c>
      <c r="B247" s="17">
        <f t="shared" si="24"/>
        <v>0</v>
      </c>
      <c r="C247" s="22">
        <f t="shared" si="25"/>
        <v>0</v>
      </c>
      <c r="D247" s="22">
        <f t="shared" si="26"/>
        <v>0</v>
      </c>
      <c r="E247" s="17">
        <f t="shared" si="27"/>
        <v>0</v>
      </c>
      <c r="F247" s="17">
        <f t="shared" si="21"/>
        <v>0</v>
      </c>
      <c r="G247" s="23">
        <f t="shared" si="22"/>
        <v>0</v>
      </c>
    </row>
    <row r="248" spans="1:7" ht="12.75" hidden="1">
      <c r="A248" s="3">
        <f t="shared" si="23"/>
        <v>229</v>
      </c>
      <c r="B248" s="17">
        <f t="shared" si="24"/>
        <v>0</v>
      </c>
      <c r="C248" s="22">
        <f t="shared" si="25"/>
        <v>0</v>
      </c>
      <c r="D248" s="22">
        <f t="shared" si="26"/>
        <v>0</v>
      </c>
      <c r="E248" s="17">
        <f t="shared" si="27"/>
        <v>0</v>
      </c>
      <c r="F248" s="17">
        <f t="shared" si="21"/>
        <v>0</v>
      </c>
      <c r="G248" s="23">
        <f t="shared" si="22"/>
        <v>0</v>
      </c>
    </row>
    <row r="249" spans="1:7" ht="12.75" hidden="1">
      <c r="A249" s="3">
        <f t="shared" si="23"/>
        <v>230</v>
      </c>
      <c r="B249" s="17">
        <f t="shared" si="24"/>
        <v>0</v>
      </c>
      <c r="C249" s="22">
        <f t="shared" si="25"/>
        <v>0</v>
      </c>
      <c r="D249" s="22">
        <f t="shared" si="26"/>
        <v>0</v>
      </c>
      <c r="E249" s="17">
        <f t="shared" si="27"/>
        <v>0</v>
      </c>
      <c r="F249" s="17">
        <f t="shared" si="21"/>
        <v>0</v>
      </c>
      <c r="G249" s="23">
        <f t="shared" si="22"/>
        <v>0</v>
      </c>
    </row>
    <row r="250" spans="1:7" ht="12.75" hidden="1">
      <c r="A250" s="3">
        <f t="shared" si="23"/>
        <v>231</v>
      </c>
      <c r="B250" s="17">
        <f t="shared" si="24"/>
        <v>0</v>
      </c>
      <c r="C250" s="22">
        <f t="shared" si="25"/>
        <v>0</v>
      </c>
      <c r="D250" s="22">
        <f t="shared" si="26"/>
        <v>0</v>
      </c>
      <c r="E250" s="17">
        <f t="shared" si="27"/>
        <v>0</v>
      </c>
      <c r="F250" s="17">
        <f t="shared" si="21"/>
        <v>0</v>
      </c>
      <c r="G250" s="23">
        <f t="shared" si="22"/>
        <v>0</v>
      </c>
    </row>
    <row r="251" spans="1:7" ht="12.75" hidden="1">
      <c r="A251" s="3">
        <f t="shared" si="23"/>
        <v>232</v>
      </c>
      <c r="B251" s="17">
        <f t="shared" si="24"/>
        <v>0</v>
      </c>
      <c r="C251" s="22">
        <f t="shared" si="25"/>
        <v>0</v>
      </c>
      <c r="D251" s="22">
        <f t="shared" si="26"/>
        <v>0</v>
      </c>
      <c r="E251" s="17">
        <f t="shared" si="27"/>
        <v>0</v>
      </c>
      <c r="F251" s="17">
        <f t="shared" si="21"/>
        <v>0</v>
      </c>
      <c r="G251" s="23">
        <f t="shared" si="22"/>
        <v>0</v>
      </c>
    </row>
    <row r="252" spans="1:7" ht="12.75" hidden="1">
      <c r="A252" s="3">
        <f t="shared" si="23"/>
        <v>233</v>
      </c>
      <c r="B252" s="17">
        <f t="shared" si="24"/>
        <v>0</v>
      </c>
      <c r="C252" s="22">
        <f t="shared" si="25"/>
        <v>0</v>
      </c>
      <c r="D252" s="22">
        <f t="shared" si="26"/>
        <v>0</v>
      </c>
      <c r="E252" s="17">
        <f t="shared" si="27"/>
        <v>0</v>
      </c>
      <c r="F252" s="17">
        <f t="shared" si="21"/>
        <v>0</v>
      </c>
      <c r="G252" s="23">
        <f t="shared" si="22"/>
        <v>0</v>
      </c>
    </row>
    <row r="253" spans="1:7" ht="12.75" hidden="1">
      <c r="A253" s="3">
        <f t="shared" si="23"/>
        <v>234</v>
      </c>
      <c r="B253" s="17">
        <f t="shared" si="24"/>
        <v>0</v>
      </c>
      <c r="C253" s="22">
        <f t="shared" si="25"/>
        <v>0</v>
      </c>
      <c r="D253" s="22">
        <f t="shared" si="26"/>
        <v>0</v>
      </c>
      <c r="E253" s="17">
        <f t="shared" si="27"/>
        <v>0</v>
      </c>
      <c r="F253" s="17">
        <f t="shared" si="21"/>
        <v>0</v>
      </c>
      <c r="G253" s="23">
        <f t="shared" si="22"/>
        <v>0</v>
      </c>
    </row>
    <row r="254" spans="1:7" ht="12.75" hidden="1">
      <c r="A254" s="3">
        <f t="shared" si="23"/>
        <v>235</v>
      </c>
      <c r="B254" s="17">
        <f t="shared" si="24"/>
        <v>0</v>
      </c>
      <c r="C254" s="22">
        <f t="shared" si="25"/>
        <v>0</v>
      </c>
      <c r="D254" s="22">
        <f t="shared" si="26"/>
        <v>0</v>
      </c>
      <c r="E254" s="17">
        <f t="shared" si="27"/>
        <v>0</v>
      </c>
      <c r="F254" s="17">
        <f t="shared" si="21"/>
        <v>0</v>
      </c>
      <c r="G254" s="23">
        <f t="shared" si="22"/>
        <v>0</v>
      </c>
    </row>
    <row r="255" spans="1:7" ht="12.75" hidden="1">
      <c r="A255" s="3">
        <f t="shared" si="23"/>
        <v>236</v>
      </c>
      <c r="B255" s="17">
        <f t="shared" si="24"/>
        <v>0</v>
      </c>
      <c r="C255" s="22">
        <f t="shared" si="25"/>
        <v>0</v>
      </c>
      <c r="D255" s="22">
        <f t="shared" si="26"/>
        <v>0</v>
      </c>
      <c r="E255" s="17">
        <f t="shared" si="27"/>
        <v>0</v>
      </c>
      <c r="F255" s="17">
        <f t="shared" si="21"/>
        <v>0</v>
      </c>
      <c r="G255" s="23">
        <f t="shared" si="22"/>
        <v>0</v>
      </c>
    </row>
    <row r="256" spans="1:7" ht="12.75" hidden="1">
      <c r="A256" s="3">
        <f t="shared" si="23"/>
        <v>237</v>
      </c>
      <c r="B256" s="17">
        <f t="shared" si="24"/>
        <v>0</v>
      </c>
      <c r="C256" s="22">
        <f t="shared" si="25"/>
        <v>0</v>
      </c>
      <c r="D256" s="22">
        <f t="shared" si="26"/>
        <v>0</v>
      </c>
      <c r="E256" s="17">
        <f t="shared" si="27"/>
        <v>0</v>
      </c>
      <c r="F256" s="17">
        <f t="shared" si="21"/>
        <v>0</v>
      </c>
      <c r="G256" s="23">
        <f t="shared" si="22"/>
        <v>0</v>
      </c>
    </row>
    <row r="257" spans="1:7" ht="12.75" hidden="1">
      <c r="A257" s="3">
        <f t="shared" si="23"/>
        <v>238</v>
      </c>
      <c r="B257" s="17">
        <f t="shared" si="24"/>
        <v>0</v>
      </c>
      <c r="C257" s="22">
        <f t="shared" si="25"/>
        <v>0</v>
      </c>
      <c r="D257" s="22">
        <f t="shared" si="26"/>
        <v>0</v>
      </c>
      <c r="E257" s="17">
        <f t="shared" si="27"/>
        <v>0</v>
      </c>
      <c r="F257" s="17">
        <f t="shared" si="21"/>
        <v>0</v>
      </c>
      <c r="G257" s="23">
        <f t="shared" si="22"/>
        <v>0</v>
      </c>
    </row>
    <row r="258" spans="1:7" ht="12.75" hidden="1">
      <c r="A258" s="3">
        <f t="shared" si="23"/>
        <v>239</v>
      </c>
      <c r="B258" s="17">
        <f t="shared" si="24"/>
        <v>0</v>
      </c>
      <c r="C258" s="22">
        <f t="shared" si="25"/>
        <v>0</v>
      </c>
      <c r="D258" s="22">
        <f t="shared" si="26"/>
        <v>0</v>
      </c>
      <c r="E258" s="17">
        <f t="shared" si="27"/>
        <v>0</v>
      </c>
      <c r="F258" s="17">
        <f t="shared" si="21"/>
        <v>0</v>
      </c>
      <c r="G258" s="23">
        <f t="shared" si="22"/>
        <v>0</v>
      </c>
    </row>
    <row r="259" spans="1:7" ht="12.75" hidden="1">
      <c r="A259" s="3">
        <f t="shared" si="23"/>
        <v>240</v>
      </c>
      <c r="B259" s="17">
        <f t="shared" si="24"/>
        <v>0</v>
      </c>
      <c r="C259" s="22">
        <f t="shared" si="25"/>
        <v>0</v>
      </c>
      <c r="D259" s="22">
        <f t="shared" si="26"/>
        <v>0</v>
      </c>
      <c r="E259" s="17">
        <f t="shared" si="27"/>
        <v>0</v>
      </c>
      <c r="F259" s="17">
        <f t="shared" si="21"/>
        <v>0</v>
      </c>
      <c r="G259" s="23">
        <f t="shared" si="22"/>
        <v>0</v>
      </c>
    </row>
    <row r="260" spans="1:7" ht="12.75" hidden="1">
      <c r="A260" s="3">
        <f t="shared" si="23"/>
        <v>241</v>
      </c>
      <c r="B260" s="17">
        <f t="shared" si="24"/>
        <v>0</v>
      </c>
      <c r="C260" s="22">
        <f t="shared" si="25"/>
        <v>0</v>
      </c>
      <c r="D260" s="22">
        <f t="shared" si="26"/>
        <v>0</v>
      </c>
      <c r="E260" s="17">
        <f t="shared" si="27"/>
        <v>0</v>
      </c>
      <c r="F260" s="17">
        <f t="shared" si="21"/>
        <v>0</v>
      </c>
      <c r="G260" s="23">
        <f t="shared" si="22"/>
        <v>0</v>
      </c>
    </row>
    <row r="261" spans="1:7" ht="12.75" hidden="1">
      <c r="A261" s="3">
        <f t="shared" si="23"/>
        <v>242</v>
      </c>
      <c r="B261" s="17">
        <f t="shared" si="24"/>
        <v>0</v>
      </c>
      <c r="C261" s="22">
        <f t="shared" si="25"/>
        <v>0</v>
      </c>
      <c r="D261" s="22">
        <f t="shared" si="26"/>
        <v>0</v>
      </c>
      <c r="E261" s="17">
        <f t="shared" si="27"/>
        <v>0</v>
      </c>
      <c r="F261" s="17">
        <f t="shared" si="21"/>
        <v>0</v>
      </c>
      <c r="G261" s="23">
        <f t="shared" si="22"/>
        <v>0</v>
      </c>
    </row>
    <row r="262" spans="1:7" ht="12.75" hidden="1">
      <c r="A262" s="3">
        <f t="shared" si="23"/>
        <v>243</v>
      </c>
      <c r="B262" s="17">
        <f t="shared" si="24"/>
        <v>0</v>
      </c>
      <c r="C262" s="22">
        <f t="shared" si="25"/>
        <v>0</v>
      </c>
      <c r="D262" s="22">
        <f t="shared" si="26"/>
        <v>0</v>
      </c>
      <c r="E262" s="17">
        <f t="shared" si="27"/>
        <v>0</v>
      </c>
      <c r="F262" s="17">
        <f t="shared" si="21"/>
        <v>0</v>
      </c>
      <c r="G262" s="23">
        <f t="shared" si="22"/>
        <v>0</v>
      </c>
    </row>
    <row r="263" spans="1:7" ht="12.75" hidden="1">
      <c r="A263" s="3">
        <f t="shared" si="23"/>
        <v>244</v>
      </c>
      <c r="B263" s="17">
        <f t="shared" si="24"/>
        <v>0</v>
      </c>
      <c r="C263" s="22">
        <f t="shared" si="25"/>
        <v>0</v>
      </c>
      <c r="D263" s="22">
        <f t="shared" si="26"/>
        <v>0</v>
      </c>
      <c r="E263" s="17">
        <f t="shared" si="27"/>
        <v>0</v>
      </c>
      <c r="F263" s="17">
        <f t="shared" si="21"/>
        <v>0</v>
      </c>
      <c r="G263" s="23">
        <f t="shared" si="22"/>
        <v>0</v>
      </c>
    </row>
    <row r="264" spans="1:7" ht="12.75" hidden="1">
      <c r="A264" s="3">
        <f t="shared" si="23"/>
        <v>245</v>
      </c>
      <c r="B264" s="17">
        <f t="shared" si="24"/>
        <v>0</v>
      </c>
      <c r="C264" s="22">
        <f t="shared" si="25"/>
        <v>0</v>
      </c>
      <c r="D264" s="22">
        <f t="shared" si="26"/>
        <v>0</v>
      </c>
      <c r="E264" s="17">
        <f t="shared" si="27"/>
        <v>0</v>
      </c>
      <c r="F264" s="17">
        <f t="shared" si="21"/>
        <v>0</v>
      </c>
      <c r="G264" s="23">
        <f t="shared" si="22"/>
        <v>0</v>
      </c>
    </row>
    <row r="265" spans="1:7" ht="12.75" hidden="1">
      <c r="A265" s="3">
        <f t="shared" si="23"/>
        <v>246</v>
      </c>
      <c r="B265" s="17">
        <f t="shared" si="24"/>
        <v>0</v>
      </c>
      <c r="C265" s="22">
        <f t="shared" si="25"/>
        <v>0</v>
      </c>
      <c r="D265" s="22">
        <f t="shared" si="26"/>
        <v>0</v>
      </c>
      <c r="E265" s="17">
        <f t="shared" si="27"/>
        <v>0</v>
      </c>
      <c r="F265" s="17">
        <f t="shared" si="21"/>
        <v>0</v>
      </c>
      <c r="G265" s="23">
        <f t="shared" si="22"/>
        <v>0</v>
      </c>
    </row>
    <row r="266" spans="1:7" ht="12.75" hidden="1">
      <c r="A266" s="3">
        <f t="shared" si="23"/>
        <v>247</v>
      </c>
      <c r="B266" s="17">
        <f t="shared" si="24"/>
        <v>0</v>
      </c>
      <c r="C266" s="22">
        <f t="shared" si="25"/>
        <v>0</v>
      </c>
      <c r="D266" s="22">
        <f t="shared" si="26"/>
        <v>0</v>
      </c>
      <c r="E266" s="17">
        <f t="shared" si="27"/>
        <v>0</v>
      </c>
      <c r="F266" s="17">
        <f t="shared" si="21"/>
        <v>0</v>
      </c>
      <c r="G266" s="23">
        <f t="shared" si="22"/>
        <v>0</v>
      </c>
    </row>
    <row r="267" spans="1:7" ht="12.75" hidden="1">
      <c r="A267" s="3">
        <f t="shared" si="23"/>
        <v>248</v>
      </c>
      <c r="B267" s="17">
        <f t="shared" si="24"/>
        <v>0</v>
      </c>
      <c r="C267" s="22">
        <f t="shared" si="25"/>
        <v>0</v>
      </c>
      <c r="D267" s="22">
        <f t="shared" si="26"/>
        <v>0</v>
      </c>
      <c r="E267" s="17">
        <f t="shared" si="27"/>
        <v>0</v>
      </c>
      <c r="F267" s="17">
        <f t="shared" si="21"/>
        <v>0</v>
      </c>
      <c r="G267" s="23">
        <f t="shared" si="22"/>
        <v>0</v>
      </c>
    </row>
    <row r="268" spans="1:7" ht="12.75" hidden="1">
      <c r="A268" s="3">
        <f t="shared" si="23"/>
        <v>249</v>
      </c>
      <c r="B268" s="17">
        <f t="shared" si="24"/>
        <v>0</v>
      </c>
      <c r="C268" s="22">
        <f t="shared" si="25"/>
        <v>0</v>
      </c>
      <c r="D268" s="22">
        <f t="shared" si="26"/>
        <v>0</v>
      </c>
      <c r="E268" s="17">
        <f t="shared" si="27"/>
        <v>0</v>
      </c>
      <c r="F268" s="17">
        <f t="shared" si="21"/>
        <v>0</v>
      </c>
      <c r="G268" s="23">
        <f t="shared" si="22"/>
        <v>0</v>
      </c>
    </row>
    <row r="269" spans="1:7" ht="12.75" hidden="1">
      <c r="A269" s="3">
        <f t="shared" si="23"/>
        <v>250</v>
      </c>
      <c r="B269" s="17">
        <f t="shared" si="24"/>
        <v>0</v>
      </c>
      <c r="C269" s="22">
        <f t="shared" si="25"/>
        <v>0</v>
      </c>
      <c r="D269" s="22">
        <f t="shared" si="26"/>
        <v>0</v>
      </c>
      <c r="E269" s="17">
        <f t="shared" si="27"/>
        <v>0</v>
      </c>
      <c r="F269" s="17">
        <f t="shared" si="21"/>
        <v>0</v>
      </c>
      <c r="G269" s="23">
        <f t="shared" si="22"/>
        <v>0</v>
      </c>
    </row>
    <row r="270" spans="1:7" ht="12.75" hidden="1">
      <c r="A270" s="3">
        <f t="shared" si="23"/>
        <v>251</v>
      </c>
      <c r="B270" s="17">
        <f t="shared" si="24"/>
        <v>0</v>
      </c>
      <c r="C270" s="22">
        <f t="shared" si="25"/>
        <v>0</v>
      </c>
      <c r="D270" s="22">
        <f t="shared" si="26"/>
        <v>0</v>
      </c>
      <c r="E270" s="17">
        <f t="shared" si="27"/>
        <v>0</v>
      </c>
      <c r="F270" s="17">
        <f t="shared" si="21"/>
        <v>0</v>
      </c>
      <c r="G270" s="23">
        <f t="shared" si="22"/>
        <v>0</v>
      </c>
    </row>
    <row r="271" spans="1:7" ht="12.75" hidden="1">
      <c r="A271" s="3">
        <f t="shared" si="23"/>
        <v>252</v>
      </c>
      <c r="B271" s="17">
        <f t="shared" si="24"/>
        <v>0</v>
      </c>
      <c r="C271" s="22">
        <f t="shared" si="25"/>
        <v>0</v>
      </c>
      <c r="D271" s="22">
        <f t="shared" si="26"/>
        <v>0</v>
      </c>
      <c r="E271" s="17">
        <f t="shared" si="27"/>
        <v>0</v>
      </c>
      <c r="F271" s="17">
        <f t="shared" si="21"/>
        <v>0</v>
      </c>
      <c r="G271" s="23">
        <f t="shared" si="22"/>
        <v>0</v>
      </c>
    </row>
    <row r="272" spans="1:7" ht="12.75" hidden="1">
      <c r="A272" s="3">
        <f t="shared" si="23"/>
        <v>253</v>
      </c>
      <c r="B272" s="17">
        <f t="shared" si="24"/>
        <v>0</v>
      </c>
      <c r="C272" s="22">
        <f t="shared" si="25"/>
        <v>0</v>
      </c>
      <c r="D272" s="22">
        <f t="shared" si="26"/>
        <v>0</v>
      </c>
      <c r="E272" s="17">
        <f t="shared" si="27"/>
        <v>0</v>
      </c>
      <c r="F272" s="17">
        <f t="shared" si="21"/>
        <v>0</v>
      </c>
      <c r="G272" s="23">
        <f t="shared" si="22"/>
        <v>0</v>
      </c>
    </row>
    <row r="273" spans="1:7" ht="12.75" hidden="1">
      <c r="A273" s="3">
        <f t="shared" si="23"/>
        <v>254</v>
      </c>
      <c r="B273" s="17">
        <f t="shared" si="24"/>
        <v>0</v>
      </c>
      <c r="C273" s="22">
        <f t="shared" si="25"/>
        <v>0</v>
      </c>
      <c r="D273" s="22">
        <f t="shared" si="26"/>
        <v>0</v>
      </c>
      <c r="E273" s="17">
        <f t="shared" si="27"/>
        <v>0</v>
      </c>
      <c r="F273" s="17">
        <f t="shared" si="21"/>
        <v>0</v>
      </c>
      <c r="G273" s="23">
        <f t="shared" si="22"/>
        <v>0</v>
      </c>
    </row>
    <row r="274" spans="1:7" ht="12.75" hidden="1">
      <c r="A274" s="3">
        <f t="shared" si="23"/>
        <v>255</v>
      </c>
      <c r="B274" s="17">
        <f t="shared" si="24"/>
        <v>0</v>
      </c>
      <c r="C274" s="22">
        <f t="shared" si="25"/>
        <v>0</v>
      </c>
      <c r="D274" s="22">
        <f t="shared" si="26"/>
        <v>0</v>
      </c>
      <c r="E274" s="17">
        <f t="shared" si="27"/>
        <v>0</v>
      </c>
      <c r="F274" s="17">
        <f t="shared" si="21"/>
        <v>0</v>
      </c>
      <c r="G274" s="23">
        <f t="shared" si="22"/>
        <v>0</v>
      </c>
    </row>
    <row r="275" spans="1:7" ht="12.75" hidden="1">
      <c r="A275" s="3">
        <f t="shared" si="23"/>
        <v>256</v>
      </c>
      <c r="B275" s="17">
        <f t="shared" si="24"/>
        <v>0</v>
      </c>
      <c r="C275" s="22">
        <f t="shared" si="25"/>
        <v>0</v>
      </c>
      <c r="D275" s="22">
        <f t="shared" si="26"/>
        <v>0</v>
      </c>
      <c r="E275" s="17">
        <f t="shared" si="27"/>
        <v>0</v>
      </c>
      <c r="F275" s="17">
        <f t="shared" si="21"/>
        <v>0</v>
      </c>
      <c r="G275" s="23">
        <f t="shared" si="22"/>
        <v>0</v>
      </c>
    </row>
    <row r="276" spans="1:7" ht="12.75" hidden="1">
      <c r="A276" s="3">
        <f t="shared" si="23"/>
        <v>257</v>
      </c>
      <c r="B276" s="17">
        <f t="shared" si="24"/>
        <v>0</v>
      </c>
      <c r="C276" s="22">
        <f t="shared" si="25"/>
        <v>0</v>
      </c>
      <c r="D276" s="22">
        <f t="shared" si="26"/>
        <v>0</v>
      </c>
      <c r="E276" s="17">
        <f t="shared" si="27"/>
        <v>0</v>
      </c>
      <c r="F276" s="17">
        <f aca="true" t="shared" si="28" ref="F276:F339">IF(A276=$D$10,$D$2,0)</f>
        <v>0</v>
      </c>
      <c r="G276" s="23">
        <f aca="true" t="shared" si="29" ref="G276:G339">B276-F276</f>
        <v>0</v>
      </c>
    </row>
    <row r="277" spans="1:7" ht="12.75" hidden="1">
      <c r="A277" s="3">
        <f aca="true" t="shared" si="30" ref="A277:A340">A276+1</f>
        <v>258</v>
      </c>
      <c r="B277" s="17">
        <f aca="true" t="shared" si="31" ref="B277:B340">B276-F276</f>
        <v>0</v>
      </c>
      <c r="C277" s="22">
        <f aca="true" t="shared" si="32" ref="C277:C340">IF(D277=0,0,D277+$D$13)</f>
        <v>0</v>
      </c>
      <c r="D277" s="22">
        <f aca="true" t="shared" si="33" ref="D277:D340">E277+F277</f>
        <v>0</v>
      </c>
      <c r="E277" s="17">
        <f aca="true" t="shared" si="34" ref="E277:E340">IF(B277&gt;0,E276,0)</f>
        <v>0</v>
      </c>
      <c r="F277" s="17">
        <f t="shared" si="28"/>
        <v>0</v>
      </c>
      <c r="G277" s="23">
        <f t="shared" si="29"/>
        <v>0</v>
      </c>
    </row>
    <row r="278" spans="1:7" ht="12.75" hidden="1">
      <c r="A278" s="3">
        <f t="shared" si="30"/>
        <v>259</v>
      </c>
      <c r="B278" s="17">
        <f t="shared" si="31"/>
        <v>0</v>
      </c>
      <c r="C278" s="22">
        <f t="shared" si="32"/>
        <v>0</v>
      </c>
      <c r="D278" s="22">
        <f t="shared" si="33"/>
        <v>0</v>
      </c>
      <c r="E278" s="17">
        <f t="shared" si="34"/>
        <v>0</v>
      </c>
      <c r="F278" s="17">
        <f t="shared" si="28"/>
        <v>0</v>
      </c>
      <c r="G278" s="23">
        <f t="shared" si="29"/>
        <v>0</v>
      </c>
    </row>
    <row r="279" spans="1:7" ht="12.75" hidden="1">
      <c r="A279" s="3">
        <f t="shared" si="30"/>
        <v>260</v>
      </c>
      <c r="B279" s="17">
        <f t="shared" si="31"/>
        <v>0</v>
      </c>
      <c r="C279" s="22">
        <f t="shared" si="32"/>
        <v>0</v>
      </c>
      <c r="D279" s="22">
        <f t="shared" si="33"/>
        <v>0</v>
      </c>
      <c r="E279" s="17">
        <f t="shared" si="34"/>
        <v>0</v>
      </c>
      <c r="F279" s="17">
        <f t="shared" si="28"/>
        <v>0</v>
      </c>
      <c r="G279" s="23">
        <f t="shared" si="29"/>
        <v>0</v>
      </c>
    </row>
    <row r="280" spans="1:7" ht="12.75" hidden="1">
      <c r="A280" s="3">
        <f t="shared" si="30"/>
        <v>261</v>
      </c>
      <c r="B280" s="17">
        <f t="shared" si="31"/>
        <v>0</v>
      </c>
      <c r="C280" s="22">
        <f t="shared" si="32"/>
        <v>0</v>
      </c>
      <c r="D280" s="22">
        <f t="shared" si="33"/>
        <v>0</v>
      </c>
      <c r="E280" s="17">
        <f t="shared" si="34"/>
        <v>0</v>
      </c>
      <c r="F280" s="17">
        <f t="shared" si="28"/>
        <v>0</v>
      </c>
      <c r="G280" s="23">
        <f t="shared" si="29"/>
        <v>0</v>
      </c>
    </row>
    <row r="281" spans="1:7" ht="12.75" hidden="1">
      <c r="A281" s="3">
        <f t="shared" si="30"/>
        <v>262</v>
      </c>
      <c r="B281" s="17">
        <f t="shared" si="31"/>
        <v>0</v>
      </c>
      <c r="C281" s="22">
        <f t="shared" si="32"/>
        <v>0</v>
      </c>
      <c r="D281" s="22">
        <f t="shared" si="33"/>
        <v>0</v>
      </c>
      <c r="E281" s="17">
        <f t="shared" si="34"/>
        <v>0</v>
      </c>
      <c r="F281" s="17">
        <f t="shared" si="28"/>
        <v>0</v>
      </c>
      <c r="G281" s="23">
        <f t="shared" si="29"/>
        <v>0</v>
      </c>
    </row>
    <row r="282" spans="1:7" ht="12.75" hidden="1">
      <c r="A282" s="3">
        <f t="shared" si="30"/>
        <v>263</v>
      </c>
      <c r="B282" s="17">
        <f t="shared" si="31"/>
        <v>0</v>
      </c>
      <c r="C282" s="22">
        <f t="shared" si="32"/>
        <v>0</v>
      </c>
      <c r="D282" s="22">
        <f t="shared" si="33"/>
        <v>0</v>
      </c>
      <c r="E282" s="17">
        <f t="shared" si="34"/>
        <v>0</v>
      </c>
      <c r="F282" s="17">
        <f t="shared" si="28"/>
        <v>0</v>
      </c>
      <c r="G282" s="23">
        <f t="shared" si="29"/>
        <v>0</v>
      </c>
    </row>
    <row r="283" spans="1:7" ht="12.75" hidden="1">
      <c r="A283" s="3">
        <f t="shared" si="30"/>
        <v>264</v>
      </c>
      <c r="B283" s="17">
        <f t="shared" si="31"/>
        <v>0</v>
      </c>
      <c r="C283" s="22">
        <f t="shared" si="32"/>
        <v>0</v>
      </c>
      <c r="D283" s="22">
        <f t="shared" si="33"/>
        <v>0</v>
      </c>
      <c r="E283" s="17">
        <f t="shared" si="34"/>
        <v>0</v>
      </c>
      <c r="F283" s="17">
        <f t="shared" si="28"/>
        <v>0</v>
      </c>
      <c r="G283" s="23">
        <f t="shared" si="29"/>
        <v>0</v>
      </c>
    </row>
    <row r="284" spans="1:7" ht="12.75" hidden="1">
      <c r="A284" s="3">
        <f t="shared" si="30"/>
        <v>265</v>
      </c>
      <c r="B284" s="17">
        <f t="shared" si="31"/>
        <v>0</v>
      </c>
      <c r="C284" s="22">
        <f t="shared" si="32"/>
        <v>0</v>
      </c>
      <c r="D284" s="22">
        <f t="shared" si="33"/>
        <v>0</v>
      </c>
      <c r="E284" s="17">
        <f t="shared" si="34"/>
        <v>0</v>
      </c>
      <c r="F284" s="17">
        <f t="shared" si="28"/>
        <v>0</v>
      </c>
      <c r="G284" s="23">
        <f t="shared" si="29"/>
        <v>0</v>
      </c>
    </row>
    <row r="285" spans="1:7" ht="12.75" hidden="1">
      <c r="A285" s="3">
        <f t="shared" si="30"/>
        <v>266</v>
      </c>
      <c r="B285" s="17">
        <f t="shared" si="31"/>
        <v>0</v>
      </c>
      <c r="C285" s="22">
        <f t="shared" si="32"/>
        <v>0</v>
      </c>
      <c r="D285" s="22">
        <f t="shared" si="33"/>
        <v>0</v>
      </c>
      <c r="E285" s="17">
        <f t="shared" si="34"/>
        <v>0</v>
      </c>
      <c r="F285" s="17">
        <f t="shared" si="28"/>
        <v>0</v>
      </c>
      <c r="G285" s="23">
        <f t="shared" si="29"/>
        <v>0</v>
      </c>
    </row>
    <row r="286" spans="1:7" ht="12.75" hidden="1">
      <c r="A286" s="3">
        <f t="shared" si="30"/>
        <v>267</v>
      </c>
      <c r="B286" s="17">
        <f t="shared" si="31"/>
        <v>0</v>
      </c>
      <c r="C286" s="22">
        <f t="shared" si="32"/>
        <v>0</v>
      </c>
      <c r="D286" s="22">
        <f t="shared" si="33"/>
        <v>0</v>
      </c>
      <c r="E286" s="17">
        <f t="shared" si="34"/>
        <v>0</v>
      </c>
      <c r="F286" s="17">
        <f t="shared" si="28"/>
        <v>0</v>
      </c>
      <c r="G286" s="23">
        <f t="shared" si="29"/>
        <v>0</v>
      </c>
    </row>
    <row r="287" spans="1:7" ht="12.75" hidden="1">
      <c r="A287" s="3">
        <f t="shared" si="30"/>
        <v>268</v>
      </c>
      <c r="B287" s="17">
        <f t="shared" si="31"/>
        <v>0</v>
      </c>
      <c r="C287" s="22">
        <f t="shared" si="32"/>
        <v>0</v>
      </c>
      <c r="D287" s="22">
        <f t="shared" si="33"/>
        <v>0</v>
      </c>
      <c r="E287" s="17">
        <f t="shared" si="34"/>
        <v>0</v>
      </c>
      <c r="F287" s="17">
        <f t="shared" si="28"/>
        <v>0</v>
      </c>
      <c r="G287" s="23">
        <f t="shared" si="29"/>
        <v>0</v>
      </c>
    </row>
    <row r="288" spans="1:7" ht="12.75" hidden="1">
      <c r="A288" s="3">
        <f t="shared" si="30"/>
        <v>269</v>
      </c>
      <c r="B288" s="17">
        <f t="shared" si="31"/>
        <v>0</v>
      </c>
      <c r="C288" s="22">
        <f t="shared" si="32"/>
        <v>0</v>
      </c>
      <c r="D288" s="22">
        <f t="shared" si="33"/>
        <v>0</v>
      </c>
      <c r="E288" s="17">
        <f t="shared" si="34"/>
        <v>0</v>
      </c>
      <c r="F288" s="17">
        <f t="shared" si="28"/>
        <v>0</v>
      </c>
      <c r="G288" s="23">
        <f t="shared" si="29"/>
        <v>0</v>
      </c>
    </row>
    <row r="289" spans="1:7" ht="12.75" hidden="1">
      <c r="A289" s="3">
        <f t="shared" si="30"/>
        <v>270</v>
      </c>
      <c r="B289" s="17">
        <f t="shared" si="31"/>
        <v>0</v>
      </c>
      <c r="C289" s="22">
        <f t="shared" si="32"/>
        <v>0</v>
      </c>
      <c r="D289" s="22">
        <f t="shared" si="33"/>
        <v>0</v>
      </c>
      <c r="E289" s="17">
        <f t="shared" si="34"/>
        <v>0</v>
      </c>
      <c r="F289" s="17">
        <f t="shared" si="28"/>
        <v>0</v>
      </c>
      <c r="G289" s="23">
        <f t="shared" si="29"/>
        <v>0</v>
      </c>
    </row>
    <row r="290" spans="1:7" ht="12.75" hidden="1">
      <c r="A290" s="3">
        <f t="shared" si="30"/>
        <v>271</v>
      </c>
      <c r="B290" s="17">
        <f t="shared" si="31"/>
        <v>0</v>
      </c>
      <c r="C290" s="22">
        <f t="shared" si="32"/>
        <v>0</v>
      </c>
      <c r="D290" s="22">
        <f t="shared" si="33"/>
        <v>0</v>
      </c>
      <c r="E290" s="17">
        <f t="shared" si="34"/>
        <v>0</v>
      </c>
      <c r="F290" s="17">
        <f t="shared" si="28"/>
        <v>0</v>
      </c>
      <c r="G290" s="23">
        <f t="shared" si="29"/>
        <v>0</v>
      </c>
    </row>
    <row r="291" spans="1:7" ht="12.75" hidden="1">
      <c r="A291" s="3">
        <f t="shared" si="30"/>
        <v>272</v>
      </c>
      <c r="B291" s="17">
        <f t="shared" si="31"/>
        <v>0</v>
      </c>
      <c r="C291" s="22">
        <f t="shared" si="32"/>
        <v>0</v>
      </c>
      <c r="D291" s="22">
        <f t="shared" si="33"/>
        <v>0</v>
      </c>
      <c r="E291" s="17">
        <f t="shared" si="34"/>
        <v>0</v>
      </c>
      <c r="F291" s="17">
        <f t="shared" si="28"/>
        <v>0</v>
      </c>
      <c r="G291" s="23">
        <f t="shared" si="29"/>
        <v>0</v>
      </c>
    </row>
    <row r="292" spans="1:7" ht="12.75" hidden="1">
      <c r="A292" s="3">
        <f t="shared" si="30"/>
        <v>273</v>
      </c>
      <c r="B292" s="17">
        <f t="shared" si="31"/>
        <v>0</v>
      </c>
      <c r="C292" s="22">
        <f t="shared" si="32"/>
        <v>0</v>
      </c>
      <c r="D292" s="22">
        <f t="shared" si="33"/>
        <v>0</v>
      </c>
      <c r="E292" s="17">
        <f t="shared" si="34"/>
        <v>0</v>
      </c>
      <c r="F292" s="17">
        <f t="shared" si="28"/>
        <v>0</v>
      </c>
      <c r="G292" s="23">
        <f t="shared" si="29"/>
        <v>0</v>
      </c>
    </row>
    <row r="293" spans="1:7" ht="12.75" hidden="1">
      <c r="A293" s="3">
        <f t="shared" si="30"/>
        <v>274</v>
      </c>
      <c r="B293" s="17">
        <f t="shared" si="31"/>
        <v>0</v>
      </c>
      <c r="C293" s="22">
        <f t="shared" si="32"/>
        <v>0</v>
      </c>
      <c r="D293" s="22">
        <f t="shared" si="33"/>
        <v>0</v>
      </c>
      <c r="E293" s="17">
        <f t="shared" si="34"/>
        <v>0</v>
      </c>
      <c r="F293" s="17">
        <f t="shared" si="28"/>
        <v>0</v>
      </c>
      <c r="G293" s="23">
        <f t="shared" si="29"/>
        <v>0</v>
      </c>
    </row>
    <row r="294" spans="1:7" ht="12.75" hidden="1">
      <c r="A294" s="3">
        <f t="shared" si="30"/>
        <v>275</v>
      </c>
      <c r="B294" s="17">
        <f t="shared" si="31"/>
        <v>0</v>
      </c>
      <c r="C294" s="22">
        <f t="shared" si="32"/>
        <v>0</v>
      </c>
      <c r="D294" s="22">
        <f t="shared" si="33"/>
        <v>0</v>
      </c>
      <c r="E294" s="17">
        <f t="shared" si="34"/>
        <v>0</v>
      </c>
      <c r="F294" s="17">
        <f t="shared" si="28"/>
        <v>0</v>
      </c>
      <c r="G294" s="23">
        <f t="shared" si="29"/>
        <v>0</v>
      </c>
    </row>
    <row r="295" spans="1:7" ht="12.75" hidden="1">
      <c r="A295" s="3">
        <f t="shared" si="30"/>
        <v>276</v>
      </c>
      <c r="B295" s="17">
        <f t="shared" si="31"/>
        <v>0</v>
      </c>
      <c r="C295" s="22">
        <f t="shared" si="32"/>
        <v>0</v>
      </c>
      <c r="D295" s="22">
        <f t="shared" si="33"/>
        <v>0</v>
      </c>
      <c r="E295" s="17">
        <f t="shared" si="34"/>
        <v>0</v>
      </c>
      <c r="F295" s="17">
        <f t="shared" si="28"/>
        <v>0</v>
      </c>
      <c r="G295" s="23">
        <f t="shared" si="29"/>
        <v>0</v>
      </c>
    </row>
    <row r="296" spans="1:7" ht="12.75" hidden="1">
      <c r="A296" s="3">
        <f t="shared" si="30"/>
        <v>277</v>
      </c>
      <c r="B296" s="17">
        <f t="shared" si="31"/>
        <v>0</v>
      </c>
      <c r="C296" s="22">
        <f t="shared" si="32"/>
        <v>0</v>
      </c>
      <c r="D296" s="22">
        <f t="shared" si="33"/>
        <v>0</v>
      </c>
      <c r="E296" s="17">
        <f t="shared" si="34"/>
        <v>0</v>
      </c>
      <c r="F296" s="17">
        <f t="shared" si="28"/>
        <v>0</v>
      </c>
      <c r="G296" s="23">
        <f t="shared" si="29"/>
        <v>0</v>
      </c>
    </row>
    <row r="297" spans="1:7" ht="12.75" hidden="1">
      <c r="A297" s="3">
        <f t="shared" si="30"/>
        <v>278</v>
      </c>
      <c r="B297" s="17">
        <f t="shared" si="31"/>
        <v>0</v>
      </c>
      <c r="C297" s="22">
        <f t="shared" si="32"/>
        <v>0</v>
      </c>
      <c r="D297" s="22">
        <f t="shared" si="33"/>
        <v>0</v>
      </c>
      <c r="E297" s="17">
        <f t="shared" si="34"/>
        <v>0</v>
      </c>
      <c r="F297" s="17">
        <f t="shared" si="28"/>
        <v>0</v>
      </c>
      <c r="G297" s="23">
        <f t="shared" si="29"/>
        <v>0</v>
      </c>
    </row>
    <row r="298" spans="1:7" ht="12.75" hidden="1">
      <c r="A298" s="3">
        <f t="shared" si="30"/>
        <v>279</v>
      </c>
      <c r="B298" s="17">
        <f t="shared" si="31"/>
        <v>0</v>
      </c>
      <c r="C298" s="22">
        <f t="shared" si="32"/>
        <v>0</v>
      </c>
      <c r="D298" s="22">
        <f t="shared" si="33"/>
        <v>0</v>
      </c>
      <c r="E298" s="17">
        <f t="shared" si="34"/>
        <v>0</v>
      </c>
      <c r="F298" s="17">
        <f t="shared" si="28"/>
        <v>0</v>
      </c>
      <c r="G298" s="23">
        <f t="shared" si="29"/>
        <v>0</v>
      </c>
    </row>
    <row r="299" spans="1:7" ht="12.75" hidden="1">
      <c r="A299" s="3">
        <f t="shared" si="30"/>
        <v>280</v>
      </c>
      <c r="B299" s="17">
        <f t="shared" si="31"/>
        <v>0</v>
      </c>
      <c r="C299" s="22">
        <f t="shared" si="32"/>
        <v>0</v>
      </c>
      <c r="D299" s="22">
        <f t="shared" si="33"/>
        <v>0</v>
      </c>
      <c r="E299" s="17">
        <f t="shared" si="34"/>
        <v>0</v>
      </c>
      <c r="F299" s="17">
        <f t="shared" si="28"/>
        <v>0</v>
      </c>
      <c r="G299" s="23">
        <f t="shared" si="29"/>
        <v>0</v>
      </c>
    </row>
    <row r="300" spans="1:7" ht="12.75" hidden="1">
      <c r="A300" s="3">
        <f t="shared" si="30"/>
        <v>281</v>
      </c>
      <c r="B300" s="17">
        <f t="shared" si="31"/>
        <v>0</v>
      </c>
      <c r="C300" s="22">
        <f t="shared" si="32"/>
        <v>0</v>
      </c>
      <c r="D300" s="22">
        <f t="shared" si="33"/>
        <v>0</v>
      </c>
      <c r="E300" s="17">
        <f t="shared" si="34"/>
        <v>0</v>
      </c>
      <c r="F300" s="17">
        <f t="shared" si="28"/>
        <v>0</v>
      </c>
      <c r="G300" s="23">
        <f t="shared" si="29"/>
        <v>0</v>
      </c>
    </row>
    <row r="301" spans="1:7" ht="12.75" hidden="1">
      <c r="A301" s="3">
        <f t="shared" si="30"/>
        <v>282</v>
      </c>
      <c r="B301" s="17">
        <f t="shared" si="31"/>
        <v>0</v>
      </c>
      <c r="C301" s="22">
        <f t="shared" si="32"/>
        <v>0</v>
      </c>
      <c r="D301" s="22">
        <f t="shared" si="33"/>
        <v>0</v>
      </c>
      <c r="E301" s="17">
        <f t="shared" si="34"/>
        <v>0</v>
      </c>
      <c r="F301" s="17">
        <f t="shared" si="28"/>
        <v>0</v>
      </c>
      <c r="G301" s="23">
        <f t="shared" si="29"/>
        <v>0</v>
      </c>
    </row>
    <row r="302" spans="1:7" ht="12.75" hidden="1">
      <c r="A302" s="3">
        <f t="shared" si="30"/>
        <v>283</v>
      </c>
      <c r="B302" s="17">
        <f t="shared" si="31"/>
        <v>0</v>
      </c>
      <c r="C302" s="22">
        <f t="shared" si="32"/>
        <v>0</v>
      </c>
      <c r="D302" s="22">
        <f t="shared" si="33"/>
        <v>0</v>
      </c>
      <c r="E302" s="17">
        <f t="shared" si="34"/>
        <v>0</v>
      </c>
      <c r="F302" s="17">
        <f t="shared" si="28"/>
        <v>0</v>
      </c>
      <c r="G302" s="23">
        <f t="shared" si="29"/>
        <v>0</v>
      </c>
    </row>
    <row r="303" spans="1:7" ht="12.75" hidden="1">
      <c r="A303" s="3">
        <f t="shared" si="30"/>
        <v>284</v>
      </c>
      <c r="B303" s="17">
        <f t="shared" si="31"/>
        <v>0</v>
      </c>
      <c r="C303" s="22">
        <f t="shared" si="32"/>
        <v>0</v>
      </c>
      <c r="D303" s="22">
        <f t="shared" si="33"/>
        <v>0</v>
      </c>
      <c r="E303" s="17">
        <f t="shared" si="34"/>
        <v>0</v>
      </c>
      <c r="F303" s="17">
        <f t="shared" si="28"/>
        <v>0</v>
      </c>
      <c r="G303" s="23">
        <f t="shared" si="29"/>
        <v>0</v>
      </c>
    </row>
    <row r="304" spans="1:7" ht="12.75" hidden="1">
      <c r="A304" s="3">
        <f t="shared" si="30"/>
        <v>285</v>
      </c>
      <c r="B304" s="17">
        <f t="shared" si="31"/>
        <v>0</v>
      </c>
      <c r="C304" s="22">
        <f t="shared" si="32"/>
        <v>0</v>
      </c>
      <c r="D304" s="22">
        <f t="shared" si="33"/>
        <v>0</v>
      </c>
      <c r="E304" s="17">
        <f t="shared" si="34"/>
        <v>0</v>
      </c>
      <c r="F304" s="17">
        <f t="shared" si="28"/>
        <v>0</v>
      </c>
      <c r="G304" s="23">
        <f t="shared" si="29"/>
        <v>0</v>
      </c>
    </row>
    <row r="305" spans="1:7" ht="12.75" hidden="1">
      <c r="A305" s="3">
        <f t="shared" si="30"/>
        <v>286</v>
      </c>
      <c r="B305" s="17">
        <f t="shared" si="31"/>
        <v>0</v>
      </c>
      <c r="C305" s="22">
        <f t="shared" si="32"/>
        <v>0</v>
      </c>
      <c r="D305" s="22">
        <f t="shared" si="33"/>
        <v>0</v>
      </c>
      <c r="E305" s="17">
        <f t="shared" si="34"/>
        <v>0</v>
      </c>
      <c r="F305" s="17">
        <f t="shared" si="28"/>
        <v>0</v>
      </c>
      <c r="G305" s="23">
        <f t="shared" si="29"/>
        <v>0</v>
      </c>
    </row>
    <row r="306" spans="1:7" ht="12.75" hidden="1">
      <c r="A306" s="3">
        <f t="shared" si="30"/>
        <v>287</v>
      </c>
      <c r="B306" s="17">
        <f t="shared" si="31"/>
        <v>0</v>
      </c>
      <c r="C306" s="22">
        <f t="shared" si="32"/>
        <v>0</v>
      </c>
      <c r="D306" s="22">
        <f t="shared" si="33"/>
        <v>0</v>
      </c>
      <c r="E306" s="17">
        <f t="shared" si="34"/>
        <v>0</v>
      </c>
      <c r="F306" s="17">
        <f t="shared" si="28"/>
        <v>0</v>
      </c>
      <c r="G306" s="23">
        <f t="shared" si="29"/>
        <v>0</v>
      </c>
    </row>
    <row r="307" spans="1:7" ht="12.75" hidden="1">
      <c r="A307" s="3">
        <f t="shared" si="30"/>
        <v>288</v>
      </c>
      <c r="B307" s="17">
        <f t="shared" si="31"/>
        <v>0</v>
      </c>
      <c r="C307" s="22">
        <f t="shared" si="32"/>
        <v>0</v>
      </c>
      <c r="D307" s="22">
        <f t="shared" si="33"/>
        <v>0</v>
      </c>
      <c r="E307" s="17">
        <f t="shared" si="34"/>
        <v>0</v>
      </c>
      <c r="F307" s="17">
        <f t="shared" si="28"/>
        <v>0</v>
      </c>
      <c r="G307" s="23">
        <f t="shared" si="29"/>
        <v>0</v>
      </c>
    </row>
    <row r="308" spans="1:7" ht="12.75" hidden="1">
      <c r="A308" s="3">
        <f t="shared" si="30"/>
        <v>289</v>
      </c>
      <c r="B308" s="17">
        <f t="shared" si="31"/>
        <v>0</v>
      </c>
      <c r="C308" s="22">
        <f t="shared" si="32"/>
        <v>0</v>
      </c>
      <c r="D308" s="22">
        <f t="shared" si="33"/>
        <v>0</v>
      </c>
      <c r="E308" s="17">
        <f t="shared" si="34"/>
        <v>0</v>
      </c>
      <c r="F308" s="17">
        <f t="shared" si="28"/>
        <v>0</v>
      </c>
      <c r="G308" s="23">
        <f t="shared" si="29"/>
        <v>0</v>
      </c>
    </row>
    <row r="309" spans="1:7" ht="12.75" hidden="1">
      <c r="A309" s="3">
        <f t="shared" si="30"/>
        <v>290</v>
      </c>
      <c r="B309" s="17">
        <f t="shared" si="31"/>
        <v>0</v>
      </c>
      <c r="C309" s="22">
        <f t="shared" si="32"/>
        <v>0</v>
      </c>
      <c r="D309" s="22">
        <f t="shared" si="33"/>
        <v>0</v>
      </c>
      <c r="E309" s="17">
        <f t="shared" si="34"/>
        <v>0</v>
      </c>
      <c r="F309" s="17">
        <f t="shared" si="28"/>
        <v>0</v>
      </c>
      <c r="G309" s="23">
        <f t="shared" si="29"/>
        <v>0</v>
      </c>
    </row>
    <row r="310" spans="1:7" ht="12.75" hidden="1">
      <c r="A310" s="3">
        <f t="shared" si="30"/>
        <v>291</v>
      </c>
      <c r="B310" s="17">
        <f t="shared" si="31"/>
        <v>0</v>
      </c>
      <c r="C310" s="22">
        <f t="shared" si="32"/>
        <v>0</v>
      </c>
      <c r="D310" s="22">
        <f t="shared" si="33"/>
        <v>0</v>
      </c>
      <c r="E310" s="17">
        <f t="shared" si="34"/>
        <v>0</v>
      </c>
      <c r="F310" s="17">
        <f t="shared" si="28"/>
        <v>0</v>
      </c>
      <c r="G310" s="23">
        <f t="shared" si="29"/>
        <v>0</v>
      </c>
    </row>
    <row r="311" spans="1:7" ht="12.75" hidden="1">
      <c r="A311" s="3">
        <f t="shared" si="30"/>
        <v>292</v>
      </c>
      <c r="B311" s="17">
        <f t="shared" si="31"/>
        <v>0</v>
      </c>
      <c r="C311" s="22">
        <f t="shared" si="32"/>
        <v>0</v>
      </c>
      <c r="D311" s="22">
        <f t="shared" si="33"/>
        <v>0</v>
      </c>
      <c r="E311" s="17">
        <f t="shared" si="34"/>
        <v>0</v>
      </c>
      <c r="F311" s="17">
        <f t="shared" si="28"/>
        <v>0</v>
      </c>
      <c r="G311" s="23">
        <f t="shared" si="29"/>
        <v>0</v>
      </c>
    </row>
    <row r="312" spans="1:7" ht="12.75" hidden="1">
      <c r="A312" s="3">
        <f t="shared" si="30"/>
        <v>293</v>
      </c>
      <c r="B312" s="17">
        <f t="shared" si="31"/>
        <v>0</v>
      </c>
      <c r="C312" s="22">
        <f t="shared" si="32"/>
        <v>0</v>
      </c>
      <c r="D312" s="22">
        <f t="shared" si="33"/>
        <v>0</v>
      </c>
      <c r="E312" s="17">
        <f t="shared" si="34"/>
        <v>0</v>
      </c>
      <c r="F312" s="17">
        <f t="shared" si="28"/>
        <v>0</v>
      </c>
      <c r="G312" s="23">
        <f t="shared" si="29"/>
        <v>0</v>
      </c>
    </row>
    <row r="313" spans="1:7" ht="12.75" hidden="1">
      <c r="A313" s="3">
        <f t="shared" si="30"/>
        <v>294</v>
      </c>
      <c r="B313" s="17">
        <f t="shared" si="31"/>
        <v>0</v>
      </c>
      <c r="C313" s="22">
        <f t="shared" si="32"/>
        <v>0</v>
      </c>
      <c r="D313" s="22">
        <f t="shared" si="33"/>
        <v>0</v>
      </c>
      <c r="E313" s="17">
        <f t="shared" si="34"/>
        <v>0</v>
      </c>
      <c r="F313" s="17">
        <f t="shared" si="28"/>
        <v>0</v>
      </c>
      <c r="G313" s="23">
        <f t="shared" si="29"/>
        <v>0</v>
      </c>
    </row>
    <row r="314" spans="1:7" ht="12.75" hidden="1">
      <c r="A314" s="3">
        <f t="shared" si="30"/>
        <v>295</v>
      </c>
      <c r="B314" s="17">
        <f t="shared" si="31"/>
        <v>0</v>
      </c>
      <c r="C314" s="22">
        <f t="shared" si="32"/>
        <v>0</v>
      </c>
      <c r="D314" s="22">
        <f t="shared" si="33"/>
        <v>0</v>
      </c>
      <c r="E314" s="17">
        <f t="shared" si="34"/>
        <v>0</v>
      </c>
      <c r="F314" s="17">
        <f t="shared" si="28"/>
        <v>0</v>
      </c>
      <c r="G314" s="23">
        <f t="shared" si="29"/>
        <v>0</v>
      </c>
    </row>
    <row r="315" spans="1:7" ht="12.75" hidden="1">
      <c r="A315" s="3">
        <f t="shared" si="30"/>
        <v>296</v>
      </c>
      <c r="B315" s="17">
        <f t="shared" si="31"/>
        <v>0</v>
      </c>
      <c r="C315" s="22">
        <f t="shared" si="32"/>
        <v>0</v>
      </c>
      <c r="D315" s="22">
        <f t="shared" si="33"/>
        <v>0</v>
      </c>
      <c r="E315" s="17">
        <f t="shared" si="34"/>
        <v>0</v>
      </c>
      <c r="F315" s="17">
        <f t="shared" si="28"/>
        <v>0</v>
      </c>
      <c r="G315" s="23">
        <f t="shared" si="29"/>
        <v>0</v>
      </c>
    </row>
    <row r="316" spans="1:7" ht="12.75" hidden="1">
      <c r="A316" s="3">
        <f t="shared" si="30"/>
        <v>297</v>
      </c>
      <c r="B316" s="17">
        <f t="shared" si="31"/>
        <v>0</v>
      </c>
      <c r="C316" s="22">
        <f t="shared" si="32"/>
        <v>0</v>
      </c>
      <c r="D316" s="22">
        <f t="shared" si="33"/>
        <v>0</v>
      </c>
      <c r="E316" s="17">
        <f t="shared" si="34"/>
        <v>0</v>
      </c>
      <c r="F316" s="17">
        <f t="shared" si="28"/>
        <v>0</v>
      </c>
      <c r="G316" s="23">
        <f t="shared" si="29"/>
        <v>0</v>
      </c>
    </row>
    <row r="317" spans="1:7" ht="12.75" hidden="1">
      <c r="A317" s="3">
        <f t="shared" si="30"/>
        <v>298</v>
      </c>
      <c r="B317" s="17">
        <f t="shared" si="31"/>
        <v>0</v>
      </c>
      <c r="C317" s="22">
        <f t="shared" si="32"/>
        <v>0</v>
      </c>
      <c r="D317" s="22">
        <f t="shared" si="33"/>
        <v>0</v>
      </c>
      <c r="E317" s="17">
        <f t="shared" si="34"/>
        <v>0</v>
      </c>
      <c r="F317" s="17">
        <f t="shared" si="28"/>
        <v>0</v>
      </c>
      <c r="G317" s="23">
        <f t="shared" si="29"/>
        <v>0</v>
      </c>
    </row>
    <row r="318" spans="1:7" ht="12.75" hidden="1">
      <c r="A318" s="3">
        <f t="shared" si="30"/>
        <v>299</v>
      </c>
      <c r="B318" s="17">
        <f t="shared" si="31"/>
        <v>0</v>
      </c>
      <c r="C318" s="22">
        <f t="shared" si="32"/>
        <v>0</v>
      </c>
      <c r="D318" s="22">
        <f t="shared" si="33"/>
        <v>0</v>
      </c>
      <c r="E318" s="17">
        <f t="shared" si="34"/>
        <v>0</v>
      </c>
      <c r="F318" s="17">
        <f t="shared" si="28"/>
        <v>0</v>
      </c>
      <c r="G318" s="23">
        <f t="shared" si="29"/>
        <v>0</v>
      </c>
    </row>
    <row r="319" spans="1:7" ht="12.75" hidden="1">
      <c r="A319" s="3">
        <f t="shared" si="30"/>
        <v>300</v>
      </c>
      <c r="B319" s="17">
        <f t="shared" si="31"/>
        <v>0</v>
      </c>
      <c r="C319" s="22">
        <f t="shared" si="32"/>
        <v>0</v>
      </c>
      <c r="D319" s="22">
        <f t="shared" si="33"/>
        <v>0</v>
      </c>
      <c r="E319" s="17">
        <f t="shared" si="34"/>
        <v>0</v>
      </c>
      <c r="F319" s="17">
        <f t="shared" si="28"/>
        <v>0</v>
      </c>
      <c r="G319" s="23">
        <f t="shared" si="29"/>
        <v>0</v>
      </c>
    </row>
    <row r="320" spans="1:7" ht="12.75" hidden="1">
      <c r="A320" s="3">
        <f t="shared" si="30"/>
        <v>301</v>
      </c>
      <c r="B320" s="17">
        <f t="shared" si="31"/>
        <v>0</v>
      </c>
      <c r="C320" s="22">
        <f t="shared" si="32"/>
        <v>0</v>
      </c>
      <c r="D320" s="22">
        <f t="shared" si="33"/>
        <v>0</v>
      </c>
      <c r="E320" s="17">
        <f t="shared" si="34"/>
        <v>0</v>
      </c>
      <c r="F320" s="17">
        <f t="shared" si="28"/>
        <v>0</v>
      </c>
      <c r="G320" s="23">
        <f t="shared" si="29"/>
        <v>0</v>
      </c>
    </row>
    <row r="321" spans="1:7" ht="12.75" hidden="1">
      <c r="A321" s="3">
        <f t="shared" si="30"/>
        <v>302</v>
      </c>
      <c r="B321" s="17">
        <f t="shared" si="31"/>
        <v>0</v>
      </c>
      <c r="C321" s="22">
        <f t="shared" si="32"/>
        <v>0</v>
      </c>
      <c r="D321" s="22">
        <f t="shared" si="33"/>
        <v>0</v>
      </c>
      <c r="E321" s="17">
        <f t="shared" si="34"/>
        <v>0</v>
      </c>
      <c r="F321" s="17">
        <f t="shared" si="28"/>
        <v>0</v>
      </c>
      <c r="G321" s="23">
        <f t="shared" si="29"/>
        <v>0</v>
      </c>
    </row>
    <row r="322" spans="1:7" ht="12.75" hidden="1">
      <c r="A322" s="3">
        <f t="shared" si="30"/>
        <v>303</v>
      </c>
      <c r="B322" s="17">
        <f t="shared" si="31"/>
        <v>0</v>
      </c>
      <c r="C322" s="22">
        <f t="shared" si="32"/>
        <v>0</v>
      </c>
      <c r="D322" s="22">
        <f t="shared" si="33"/>
        <v>0</v>
      </c>
      <c r="E322" s="17">
        <f t="shared" si="34"/>
        <v>0</v>
      </c>
      <c r="F322" s="17">
        <f t="shared" si="28"/>
        <v>0</v>
      </c>
      <c r="G322" s="23">
        <f t="shared" si="29"/>
        <v>0</v>
      </c>
    </row>
    <row r="323" spans="1:7" ht="12.75" hidden="1">
      <c r="A323" s="3">
        <f t="shared" si="30"/>
        <v>304</v>
      </c>
      <c r="B323" s="17">
        <f t="shared" si="31"/>
        <v>0</v>
      </c>
      <c r="C323" s="22">
        <f t="shared" si="32"/>
        <v>0</v>
      </c>
      <c r="D323" s="22">
        <f t="shared" si="33"/>
        <v>0</v>
      </c>
      <c r="E323" s="17">
        <f t="shared" si="34"/>
        <v>0</v>
      </c>
      <c r="F323" s="17">
        <f t="shared" si="28"/>
        <v>0</v>
      </c>
      <c r="G323" s="23">
        <f t="shared" si="29"/>
        <v>0</v>
      </c>
    </row>
    <row r="324" spans="1:7" ht="12.75" hidden="1">
      <c r="A324" s="3">
        <f t="shared" si="30"/>
        <v>305</v>
      </c>
      <c r="B324" s="17">
        <f t="shared" si="31"/>
        <v>0</v>
      </c>
      <c r="C324" s="22">
        <f t="shared" si="32"/>
        <v>0</v>
      </c>
      <c r="D324" s="22">
        <f t="shared" si="33"/>
        <v>0</v>
      </c>
      <c r="E324" s="17">
        <f t="shared" si="34"/>
        <v>0</v>
      </c>
      <c r="F324" s="17">
        <f t="shared" si="28"/>
        <v>0</v>
      </c>
      <c r="G324" s="23">
        <f t="shared" si="29"/>
        <v>0</v>
      </c>
    </row>
    <row r="325" spans="1:7" ht="12.75" hidden="1">
      <c r="A325" s="3">
        <f t="shared" si="30"/>
        <v>306</v>
      </c>
      <c r="B325" s="17">
        <f t="shared" si="31"/>
        <v>0</v>
      </c>
      <c r="C325" s="22">
        <f t="shared" si="32"/>
        <v>0</v>
      </c>
      <c r="D325" s="22">
        <f t="shared" si="33"/>
        <v>0</v>
      </c>
      <c r="E325" s="17">
        <f t="shared" si="34"/>
        <v>0</v>
      </c>
      <c r="F325" s="17">
        <f t="shared" si="28"/>
        <v>0</v>
      </c>
      <c r="G325" s="23">
        <f t="shared" si="29"/>
        <v>0</v>
      </c>
    </row>
    <row r="326" spans="1:7" ht="12.75" hidden="1">
      <c r="A326" s="3">
        <f t="shared" si="30"/>
        <v>307</v>
      </c>
      <c r="B326" s="17">
        <f t="shared" si="31"/>
        <v>0</v>
      </c>
      <c r="C326" s="22">
        <f t="shared" si="32"/>
        <v>0</v>
      </c>
      <c r="D326" s="22">
        <f t="shared" si="33"/>
        <v>0</v>
      </c>
      <c r="E326" s="17">
        <f t="shared" si="34"/>
        <v>0</v>
      </c>
      <c r="F326" s="17">
        <f t="shared" si="28"/>
        <v>0</v>
      </c>
      <c r="G326" s="23">
        <f t="shared" si="29"/>
        <v>0</v>
      </c>
    </row>
    <row r="327" spans="1:7" ht="12.75" hidden="1">
      <c r="A327" s="3">
        <f t="shared" si="30"/>
        <v>308</v>
      </c>
      <c r="B327" s="17">
        <f t="shared" si="31"/>
        <v>0</v>
      </c>
      <c r="C327" s="22">
        <f t="shared" si="32"/>
        <v>0</v>
      </c>
      <c r="D327" s="22">
        <f t="shared" si="33"/>
        <v>0</v>
      </c>
      <c r="E327" s="17">
        <f t="shared" si="34"/>
        <v>0</v>
      </c>
      <c r="F327" s="17">
        <f t="shared" si="28"/>
        <v>0</v>
      </c>
      <c r="G327" s="23">
        <f t="shared" si="29"/>
        <v>0</v>
      </c>
    </row>
    <row r="328" spans="1:7" ht="12.75" hidden="1">
      <c r="A328" s="3">
        <f t="shared" si="30"/>
        <v>309</v>
      </c>
      <c r="B328" s="17">
        <f t="shared" si="31"/>
        <v>0</v>
      </c>
      <c r="C328" s="22">
        <f t="shared" si="32"/>
        <v>0</v>
      </c>
      <c r="D328" s="22">
        <f t="shared" si="33"/>
        <v>0</v>
      </c>
      <c r="E328" s="17">
        <f t="shared" si="34"/>
        <v>0</v>
      </c>
      <c r="F328" s="17">
        <f t="shared" si="28"/>
        <v>0</v>
      </c>
      <c r="G328" s="23">
        <f t="shared" si="29"/>
        <v>0</v>
      </c>
    </row>
    <row r="329" spans="1:7" ht="12.75" hidden="1">
      <c r="A329" s="3">
        <f t="shared" si="30"/>
        <v>310</v>
      </c>
      <c r="B329" s="17">
        <f t="shared" si="31"/>
        <v>0</v>
      </c>
      <c r="C329" s="22">
        <f t="shared" si="32"/>
        <v>0</v>
      </c>
      <c r="D329" s="22">
        <f t="shared" si="33"/>
        <v>0</v>
      </c>
      <c r="E329" s="17">
        <f t="shared" si="34"/>
        <v>0</v>
      </c>
      <c r="F329" s="17">
        <f t="shared" si="28"/>
        <v>0</v>
      </c>
      <c r="G329" s="23">
        <f t="shared" si="29"/>
        <v>0</v>
      </c>
    </row>
    <row r="330" spans="1:7" ht="12.75" hidden="1">
      <c r="A330" s="3">
        <f t="shared" si="30"/>
        <v>311</v>
      </c>
      <c r="B330" s="17">
        <f t="shared" si="31"/>
        <v>0</v>
      </c>
      <c r="C330" s="22">
        <f t="shared" si="32"/>
        <v>0</v>
      </c>
      <c r="D330" s="22">
        <f t="shared" si="33"/>
        <v>0</v>
      </c>
      <c r="E330" s="17">
        <f t="shared" si="34"/>
        <v>0</v>
      </c>
      <c r="F330" s="17">
        <f t="shared" si="28"/>
        <v>0</v>
      </c>
      <c r="G330" s="23">
        <f t="shared" si="29"/>
        <v>0</v>
      </c>
    </row>
    <row r="331" spans="1:7" ht="12.75" hidden="1">
      <c r="A331" s="3">
        <f t="shared" si="30"/>
        <v>312</v>
      </c>
      <c r="B331" s="17">
        <f t="shared" si="31"/>
        <v>0</v>
      </c>
      <c r="C331" s="22">
        <f t="shared" si="32"/>
        <v>0</v>
      </c>
      <c r="D331" s="22">
        <f t="shared" si="33"/>
        <v>0</v>
      </c>
      <c r="E331" s="17">
        <f t="shared" si="34"/>
        <v>0</v>
      </c>
      <c r="F331" s="17">
        <f t="shared" si="28"/>
        <v>0</v>
      </c>
      <c r="G331" s="23">
        <f t="shared" si="29"/>
        <v>0</v>
      </c>
    </row>
    <row r="332" spans="1:7" ht="12.75" hidden="1">
      <c r="A332" s="3">
        <f t="shared" si="30"/>
        <v>313</v>
      </c>
      <c r="B332" s="17">
        <f t="shared" si="31"/>
        <v>0</v>
      </c>
      <c r="C332" s="22">
        <f t="shared" si="32"/>
        <v>0</v>
      </c>
      <c r="D332" s="22">
        <f t="shared" si="33"/>
        <v>0</v>
      </c>
      <c r="E332" s="17">
        <f t="shared" si="34"/>
        <v>0</v>
      </c>
      <c r="F332" s="17">
        <f t="shared" si="28"/>
        <v>0</v>
      </c>
      <c r="G332" s="23">
        <f t="shared" si="29"/>
        <v>0</v>
      </c>
    </row>
    <row r="333" spans="1:7" ht="12.75" hidden="1">
      <c r="A333" s="3">
        <f t="shared" si="30"/>
        <v>314</v>
      </c>
      <c r="B333" s="17">
        <f t="shared" si="31"/>
        <v>0</v>
      </c>
      <c r="C333" s="22">
        <f t="shared" si="32"/>
        <v>0</v>
      </c>
      <c r="D333" s="22">
        <f t="shared" si="33"/>
        <v>0</v>
      </c>
      <c r="E333" s="17">
        <f t="shared" si="34"/>
        <v>0</v>
      </c>
      <c r="F333" s="17">
        <f t="shared" si="28"/>
        <v>0</v>
      </c>
      <c r="G333" s="23">
        <f t="shared" si="29"/>
        <v>0</v>
      </c>
    </row>
    <row r="334" spans="1:7" ht="12.75" hidden="1">
      <c r="A334" s="3">
        <f t="shared" si="30"/>
        <v>315</v>
      </c>
      <c r="B334" s="17">
        <f t="shared" si="31"/>
        <v>0</v>
      </c>
      <c r="C334" s="22">
        <f t="shared" si="32"/>
        <v>0</v>
      </c>
      <c r="D334" s="22">
        <f t="shared" si="33"/>
        <v>0</v>
      </c>
      <c r="E334" s="17">
        <f t="shared" si="34"/>
        <v>0</v>
      </c>
      <c r="F334" s="17">
        <f t="shared" si="28"/>
        <v>0</v>
      </c>
      <c r="G334" s="23">
        <f t="shared" si="29"/>
        <v>0</v>
      </c>
    </row>
    <row r="335" spans="1:7" ht="12.75" hidden="1">
      <c r="A335" s="3">
        <f t="shared" si="30"/>
        <v>316</v>
      </c>
      <c r="B335" s="17">
        <f t="shared" si="31"/>
        <v>0</v>
      </c>
      <c r="C335" s="22">
        <f t="shared" si="32"/>
        <v>0</v>
      </c>
      <c r="D335" s="22">
        <f t="shared" si="33"/>
        <v>0</v>
      </c>
      <c r="E335" s="17">
        <f t="shared" si="34"/>
        <v>0</v>
      </c>
      <c r="F335" s="17">
        <f t="shared" si="28"/>
        <v>0</v>
      </c>
      <c r="G335" s="23">
        <f t="shared" si="29"/>
        <v>0</v>
      </c>
    </row>
    <row r="336" spans="1:7" ht="12.75" hidden="1">
      <c r="A336" s="3">
        <f t="shared" si="30"/>
        <v>317</v>
      </c>
      <c r="B336" s="17">
        <f t="shared" si="31"/>
        <v>0</v>
      </c>
      <c r="C336" s="22">
        <f t="shared" si="32"/>
        <v>0</v>
      </c>
      <c r="D336" s="22">
        <f t="shared" si="33"/>
        <v>0</v>
      </c>
      <c r="E336" s="17">
        <f t="shared" si="34"/>
        <v>0</v>
      </c>
      <c r="F336" s="17">
        <f t="shared" si="28"/>
        <v>0</v>
      </c>
      <c r="G336" s="23">
        <f t="shared" si="29"/>
        <v>0</v>
      </c>
    </row>
    <row r="337" spans="1:7" ht="12.75" hidden="1">
      <c r="A337" s="3">
        <f t="shared" si="30"/>
        <v>318</v>
      </c>
      <c r="B337" s="17">
        <f t="shared" si="31"/>
        <v>0</v>
      </c>
      <c r="C337" s="22">
        <f t="shared" si="32"/>
        <v>0</v>
      </c>
      <c r="D337" s="22">
        <f t="shared" si="33"/>
        <v>0</v>
      </c>
      <c r="E337" s="17">
        <f t="shared" si="34"/>
        <v>0</v>
      </c>
      <c r="F337" s="17">
        <f t="shared" si="28"/>
        <v>0</v>
      </c>
      <c r="G337" s="23">
        <f t="shared" si="29"/>
        <v>0</v>
      </c>
    </row>
    <row r="338" spans="1:7" ht="12.75" hidden="1">
      <c r="A338" s="3">
        <f t="shared" si="30"/>
        <v>319</v>
      </c>
      <c r="B338" s="17">
        <f t="shared" si="31"/>
        <v>0</v>
      </c>
      <c r="C338" s="22">
        <f t="shared" si="32"/>
        <v>0</v>
      </c>
      <c r="D338" s="22">
        <f t="shared" si="33"/>
        <v>0</v>
      </c>
      <c r="E338" s="17">
        <f t="shared" si="34"/>
        <v>0</v>
      </c>
      <c r="F338" s="17">
        <f t="shared" si="28"/>
        <v>0</v>
      </c>
      <c r="G338" s="23">
        <f t="shared" si="29"/>
        <v>0</v>
      </c>
    </row>
    <row r="339" spans="1:7" ht="12.75" hidden="1">
      <c r="A339" s="3">
        <f t="shared" si="30"/>
        <v>320</v>
      </c>
      <c r="B339" s="17">
        <f t="shared" si="31"/>
        <v>0</v>
      </c>
      <c r="C339" s="22">
        <f t="shared" si="32"/>
        <v>0</v>
      </c>
      <c r="D339" s="22">
        <f t="shared" si="33"/>
        <v>0</v>
      </c>
      <c r="E339" s="17">
        <f t="shared" si="34"/>
        <v>0</v>
      </c>
      <c r="F339" s="17">
        <f t="shared" si="28"/>
        <v>0</v>
      </c>
      <c r="G339" s="23">
        <f t="shared" si="29"/>
        <v>0</v>
      </c>
    </row>
    <row r="340" spans="1:7" ht="12.75" hidden="1">
      <c r="A340" s="3">
        <f t="shared" si="30"/>
        <v>321</v>
      </c>
      <c r="B340" s="17">
        <f t="shared" si="31"/>
        <v>0</v>
      </c>
      <c r="C340" s="22">
        <f t="shared" si="32"/>
        <v>0</v>
      </c>
      <c r="D340" s="22">
        <f t="shared" si="33"/>
        <v>0</v>
      </c>
      <c r="E340" s="17">
        <f t="shared" si="34"/>
        <v>0</v>
      </c>
      <c r="F340" s="17">
        <f aca="true" t="shared" si="35" ref="F340:F379">IF(A340=$D$10,$D$2,0)</f>
        <v>0</v>
      </c>
      <c r="G340" s="23">
        <f aca="true" t="shared" si="36" ref="G340:G379">B340-F340</f>
        <v>0</v>
      </c>
    </row>
    <row r="341" spans="1:7" ht="12.75" hidden="1">
      <c r="A341" s="3">
        <f aca="true" t="shared" si="37" ref="A341:A379">A340+1</f>
        <v>322</v>
      </c>
      <c r="B341" s="17">
        <f aca="true" t="shared" si="38" ref="B341:B379">B340-F340</f>
        <v>0</v>
      </c>
      <c r="C341" s="22">
        <f aca="true" t="shared" si="39" ref="C341:C379">IF(D341=0,0,D341+$D$13)</f>
        <v>0</v>
      </c>
      <c r="D341" s="22">
        <f aca="true" t="shared" si="40" ref="D341:D379">E341+F341</f>
        <v>0</v>
      </c>
      <c r="E341" s="17">
        <f aca="true" t="shared" si="41" ref="E341:E379">IF(B341&gt;0,E340,0)</f>
        <v>0</v>
      </c>
      <c r="F341" s="17">
        <f t="shared" si="35"/>
        <v>0</v>
      </c>
      <c r="G341" s="23">
        <f t="shared" si="36"/>
        <v>0</v>
      </c>
    </row>
    <row r="342" spans="1:7" ht="12.75" hidden="1">
      <c r="A342" s="3">
        <f t="shared" si="37"/>
        <v>323</v>
      </c>
      <c r="B342" s="17">
        <f t="shared" si="38"/>
        <v>0</v>
      </c>
      <c r="C342" s="22">
        <f t="shared" si="39"/>
        <v>0</v>
      </c>
      <c r="D342" s="22">
        <f t="shared" si="40"/>
        <v>0</v>
      </c>
      <c r="E342" s="17">
        <f t="shared" si="41"/>
        <v>0</v>
      </c>
      <c r="F342" s="17">
        <f t="shared" si="35"/>
        <v>0</v>
      </c>
      <c r="G342" s="23">
        <f t="shared" si="36"/>
        <v>0</v>
      </c>
    </row>
    <row r="343" spans="1:7" ht="12.75" hidden="1">
      <c r="A343" s="3">
        <f t="shared" si="37"/>
        <v>324</v>
      </c>
      <c r="B343" s="17">
        <f t="shared" si="38"/>
        <v>0</v>
      </c>
      <c r="C343" s="22">
        <f t="shared" si="39"/>
        <v>0</v>
      </c>
      <c r="D343" s="22">
        <f t="shared" si="40"/>
        <v>0</v>
      </c>
      <c r="E343" s="17">
        <f t="shared" si="41"/>
        <v>0</v>
      </c>
      <c r="F343" s="17">
        <f t="shared" si="35"/>
        <v>0</v>
      </c>
      <c r="G343" s="23">
        <f t="shared" si="36"/>
        <v>0</v>
      </c>
    </row>
    <row r="344" spans="1:7" ht="12.75" hidden="1">
      <c r="A344" s="3">
        <f t="shared" si="37"/>
        <v>325</v>
      </c>
      <c r="B344" s="17">
        <f t="shared" si="38"/>
        <v>0</v>
      </c>
      <c r="C344" s="22">
        <f t="shared" si="39"/>
        <v>0</v>
      </c>
      <c r="D344" s="22">
        <f t="shared" si="40"/>
        <v>0</v>
      </c>
      <c r="E344" s="17">
        <f t="shared" si="41"/>
        <v>0</v>
      </c>
      <c r="F344" s="17">
        <f t="shared" si="35"/>
        <v>0</v>
      </c>
      <c r="G344" s="23">
        <f t="shared" si="36"/>
        <v>0</v>
      </c>
    </row>
    <row r="345" spans="1:7" ht="12.75" hidden="1">
      <c r="A345" s="3">
        <f t="shared" si="37"/>
        <v>326</v>
      </c>
      <c r="B345" s="17">
        <f t="shared" si="38"/>
        <v>0</v>
      </c>
      <c r="C345" s="22">
        <f t="shared" si="39"/>
        <v>0</v>
      </c>
      <c r="D345" s="22">
        <f t="shared" si="40"/>
        <v>0</v>
      </c>
      <c r="E345" s="17">
        <f t="shared" si="41"/>
        <v>0</v>
      </c>
      <c r="F345" s="17">
        <f t="shared" si="35"/>
        <v>0</v>
      </c>
      <c r="G345" s="23">
        <f t="shared" si="36"/>
        <v>0</v>
      </c>
    </row>
    <row r="346" spans="1:7" ht="12.75" hidden="1">
      <c r="A346" s="3">
        <f t="shared" si="37"/>
        <v>327</v>
      </c>
      <c r="B346" s="17">
        <f t="shared" si="38"/>
        <v>0</v>
      </c>
      <c r="C346" s="22">
        <f t="shared" si="39"/>
        <v>0</v>
      </c>
      <c r="D346" s="22">
        <f t="shared" si="40"/>
        <v>0</v>
      </c>
      <c r="E346" s="17">
        <f t="shared" si="41"/>
        <v>0</v>
      </c>
      <c r="F346" s="17">
        <f t="shared" si="35"/>
        <v>0</v>
      </c>
      <c r="G346" s="23">
        <f t="shared" si="36"/>
        <v>0</v>
      </c>
    </row>
    <row r="347" spans="1:7" ht="12.75" hidden="1">
      <c r="A347" s="3">
        <f t="shared" si="37"/>
        <v>328</v>
      </c>
      <c r="B347" s="17">
        <f t="shared" si="38"/>
        <v>0</v>
      </c>
      <c r="C347" s="22">
        <f t="shared" si="39"/>
        <v>0</v>
      </c>
      <c r="D347" s="22">
        <f t="shared" si="40"/>
        <v>0</v>
      </c>
      <c r="E347" s="17">
        <f t="shared" si="41"/>
        <v>0</v>
      </c>
      <c r="F347" s="17">
        <f t="shared" si="35"/>
        <v>0</v>
      </c>
      <c r="G347" s="23">
        <f t="shared" si="36"/>
        <v>0</v>
      </c>
    </row>
    <row r="348" spans="1:7" ht="12.75" hidden="1">
      <c r="A348" s="3">
        <f t="shared" si="37"/>
        <v>329</v>
      </c>
      <c r="B348" s="17">
        <f t="shared" si="38"/>
        <v>0</v>
      </c>
      <c r="C348" s="22">
        <f t="shared" si="39"/>
        <v>0</v>
      </c>
      <c r="D348" s="22">
        <f t="shared" si="40"/>
        <v>0</v>
      </c>
      <c r="E348" s="17">
        <f t="shared" si="41"/>
        <v>0</v>
      </c>
      <c r="F348" s="17">
        <f t="shared" si="35"/>
        <v>0</v>
      </c>
      <c r="G348" s="23">
        <f t="shared" si="36"/>
        <v>0</v>
      </c>
    </row>
    <row r="349" spans="1:7" ht="12.75" hidden="1">
      <c r="A349" s="3">
        <f t="shared" si="37"/>
        <v>330</v>
      </c>
      <c r="B349" s="17">
        <f t="shared" si="38"/>
        <v>0</v>
      </c>
      <c r="C349" s="22">
        <f t="shared" si="39"/>
        <v>0</v>
      </c>
      <c r="D349" s="22">
        <f t="shared" si="40"/>
        <v>0</v>
      </c>
      <c r="E349" s="17">
        <f t="shared" si="41"/>
        <v>0</v>
      </c>
      <c r="F349" s="17">
        <f t="shared" si="35"/>
        <v>0</v>
      </c>
      <c r="G349" s="23">
        <f t="shared" si="36"/>
        <v>0</v>
      </c>
    </row>
    <row r="350" spans="1:7" ht="12.75" hidden="1">
      <c r="A350" s="3">
        <f t="shared" si="37"/>
        <v>331</v>
      </c>
      <c r="B350" s="17">
        <f t="shared" si="38"/>
        <v>0</v>
      </c>
      <c r="C350" s="22">
        <f t="shared" si="39"/>
        <v>0</v>
      </c>
      <c r="D350" s="22">
        <f t="shared" si="40"/>
        <v>0</v>
      </c>
      <c r="E350" s="17">
        <f t="shared" si="41"/>
        <v>0</v>
      </c>
      <c r="F350" s="17">
        <f t="shared" si="35"/>
        <v>0</v>
      </c>
      <c r="G350" s="23">
        <f t="shared" si="36"/>
        <v>0</v>
      </c>
    </row>
    <row r="351" spans="1:7" ht="12.75" hidden="1">
      <c r="A351" s="3">
        <f t="shared" si="37"/>
        <v>332</v>
      </c>
      <c r="B351" s="17">
        <f t="shared" si="38"/>
        <v>0</v>
      </c>
      <c r="C351" s="22">
        <f t="shared" si="39"/>
        <v>0</v>
      </c>
      <c r="D351" s="22">
        <f t="shared" si="40"/>
        <v>0</v>
      </c>
      <c r="E351" s="17">
        <f t="shared" si="41"/>
        <v>0</v>
      </c>
      <c r="F351" s="17">
        <f t="shared" si="35"/>
        <v>0</v>
      </c>
      <c r="G351" s="23">
        <f t="shared" si="36"/>
        <v>0</v>
      </c>
    </row>
    <row r="352" spans="1:7" ht="12.75" hidden="1">
      <c r="A352" s="3">
        <f t="shared" si="37"/>
        <v>333</v>
      </c>
      <c r="B352" s="17">
        <f t="shared" si="38"/>
        <v>0</v>
      </c>
      <c r="C352" s="22">
        <f t="shared" si="39"/>
        <v>0</v>
      </c>
      <c r="D352" s="22">
        <f t="shared" si="40"/>
        <v>0</v>
      </c>
      <c r="E352" s="17">
        <f t="shared" si="41"/>
        <v>0</v>
      </c>
      <c r="F352" s="17">
        <f t="shared" si="35"/>
        <v>0</v>
      </c>
      <c r="G352" s="23">
        <f t="shared" si="36"/>
        <v>0</v>
      </c>
    </row>
    <row r="353" spans="1:7" ht="12.75" hidden="1">
      <c r="A353" s="3">
        <f t="shared" si="37"/>
        <v>334</v>
      </c>
      <c r="B353" s="17">
        <f t="shared" si="38"/>
        <v>0</v>
      </c>
      <c r="C353" s="22">
        <f t="shared" si="39"/>
        <v>0</v>
      </c>
      <c r="D353" s="22">
        <f t="shared" si="40"/>
        <v>0</v>
      </c>
      <c r="E353" s="17">
        <f t="shared" si="41"/>
        <v>0</v>
      </c>
      <c r="F353" s="17">
        <f t="shared" si="35"/>
        <v>0</v>
      </c>
      <c r="G353" s="23">
        <f t="shared" si="36"/>
        <v>0</v>
      </c>
    </row>
    <row r="354" spans="1:7" ht="12.75" hidden="1">
      <c r="A354" s="3">
        <f t="shared" si="37"/>
        <v>335</v>
      </c>
      <c r="B354" s="17">
        <f t="shared" si="38"/>
        <v>0</v>
      </c>
      <c r="C354" s="22">
        <f t="shared" si="39"/>
        <v>0</v>
      </c>
      <c r="D354" s="22">
        <f t="shared" si="40"/>
        <v>0</v>
      </c>
      <c r="E354" s="17">
        <f t="shared" si="41"/>
        <v>0</v>
      </c>
      <c r="F354" s="17">
        <f t="shared" si="35"/>
        <v>0</v>
      </c>
      <c r="G354" s="23">
        <f t="shared" si="36"/>
        <v>0</v>
      </c>
    </row>
    <row r="355" spans="1:7" ht="12.75" hidden="1">
      <c r="A355" s="3">
        <f t="shared" si="37"/>
        <v>336</v>
      </c>
      <c r="B355" s="17">
        <f t="shared" si="38"/>
        <v>0</v>
      </c>
      <c r="C355" s="22">
        <f t="shared" si="39"/>
        <v>0</v>
      </c>
      <c r="D355" s="22">
        <f t="shared" si="40"/>
        <v>0</v>
      </c>
      <c r="E355" s="17">
        <f t="shared" si="41"/>
        <v>0</v>
      </c>
      <c r="F355" s="17">
        <f t="shared" si="35"/>
        <v>0</v>
      </c>
      <c r="G355" s="23">
        <f t="shared" si="36"/>
        <v>0</v>
      </c>
    </row>
    <row r="356" spans="1:7" ht="12.75" hidden="1">
      <c r="A356" s="3">
        <f t="shared" si="37"/>
        <v>337</v>
      </c>
      <c r="B356" s="17">
        <f t="shared" si="38"/>
        <v>0</v>
      </c>
      <c r="C356" s="22">
        <f t="shared" si="39"/>
        <v>0</v>
      </c>
      <c r="D356" s="22">
        <f t="shared" si="40"/>
        <v>0</v>
      </c>
      <c r="E356" s="17">
        <f t="shared" si="41"/>
        <v>0</v>
      </c>
      <c r="F356" s="17">
        <f t="shared" si="35"/>
        <v>0</v>
      </c>
      <c r="G356" s="23">
        <f t="shared" si="36"/>
        <v>0</v>
      </c>
    </row>
    <row r="357" spans="1:7" ht="12.75" hidden="1">
      <c r="A357" s="3">
        <f t="shared" si="37"/>
        <v>338</v>
      </c>
      <c r="B357" s="17">
        <f t="shared" si="38"/>
        <v>0</v>
      </c>
      <c r="C357" s="22">
        <f t="shared" si="39"/>
        <v>0</v>
      </c>
      <c r="D357" s="22">
        <f t="shared" si="40"/>
        <v>0</v>
      </c>
      <c r="E357" s="17">
        <f t="shared" si="41"/>
        <v>0</v>
      </c>
      <c r="F357" s="17">
        <f t="shared" si="35"/>
        <v>0</v>
      </c>
      <c r="G357" s="23">
        <f t="shared" si="36"/>
        <v>0</v>
      </c>
    </row>
    <row r="358" spans="1:7" ht="12.75" hidden="1">
      <c r="A358" s="3">
        <f t="shared" si="37"/>
        <v>339</v>
      </c>
      <c r="B358" s="17">
        <f t="shared" si="38"/>
        <v>0</v>
      </c>
      <c r="C358" s="22">
        <f t="shared" si="39"/>
        <v>0</v>
      </c>
      <c r="D358" s="22">
        <f t="shared" si="40"/>
        <v>0</v>
      </c>
      <c r="E358" s="17">
        <f t="shared" si="41"/>
        <v>0</v>
      </c>
      <c r="F358" s="17">
        <f t="shared" si="35"/>
        <v>0</v>
      </c>
      <c r="G358" s="23">
        <f t="shared" si="36"/>
        <v>0</v>
      </c>
    </row>
    <row r="359" spans="1:7" ht="12.75" hidden="1">
      <c r="A359" s="3">
        <f t="shared" si="37"/>
        <v>340</v>
      </c>
      <c r="B359" s="17">
        <f t="shared" si="38"/>
        <v>0</v>
      </c>
      <c r="C359" s="22">
        <f t="shared" si="39"/>
        <v>0</v>
      </c>
      <c r="D359" s="22">
        <f t="shared" si="40"/>
        <v>0</v>
      </c>
      <c r="E359" s="17">
        <f t="shared" si="41"/>
        <v>0</v>
      </c>
      <c r="F359" s="17">
        <f t="shared" si="35"/>
        <v>0</v>
      </c>
      <c r="G359" s="23">
        <f t="shared" si="36"/>
        <v>0</v>
      </c>
    </row>
    <row r="360" spans="1:7" ht="12.75" hidden="1">
      <c r="A360" s="3">
        <f t="shared" si="37"/>
        <v>341</v>
      </c>
      <c r="B360" s="17">
        <f t="shared" si="38"/>
        <v>0</v>
      </c>
      <c r="C360" s="22">
        <f t="shared" si="39"/>
        <v>0</v>
      </c>
      <c r="D360" s="22">
        <f t="shared" si="40"/>
        <v>0</v>
      </c>
      <c r="E360" s="17">
        <f t="shared" si="41"/>
        <v>0</v>
      </c>
      <c r="F360" s="17">
        <f t="shared" si="35"/>
        <v>0</v>
      </c>
      <c r="G360" s="23">
        <f t="shared" si="36"/>
        <v>0</v>
      </c>
    </row>
    <row r="361" spans="1:7" ht="12.75" hidden="1">
      <c r="A361" s="3">
        <f t="shared" si="37"/>
        <v>342</v>
      </c>
      <c r="B361" s="17">
        <f t="shared" si="38"/>
        <v>0</v>
      </c>
      <c r="C361" s="22">
        <f t="shared" si="39"/>
        <v>0</v>
      </c>
      <c r="D361" s="22">
        <f t="shared" si="40"/>
        <v>0</v>
      </c>
      <c r="E361" s="17">
        <f t="shared" si="41"/>
        <v>0</v>
      </c>
      <c r="F361" s="17">
        <f t="shared" si="35"/>
        <v>0</v>
      </c>
      <c r="G361" s="23">
        <f t="shared" si="36"/>
        <v>0</v>
      </c>
    </row>
    <row r="362" spans="1:7" ht="12.75" hidden="1">
      <c r="A362" s="3">
        <f t="shared" si="37"/>
        <v>343</v>
      </c>
      <c r="B362" s="17">
        <f t="shared" si="38"/>
        <v>0</v>
      </c>
      <c r="C362" s="22">
        <f t="shared" si="39"/>
        <v>0</v>
      </c>
      <c r="D362" s="22">
        <f t="shared" si="40"/>
        <v>0</v>
      </c>
      <c r="E362" s="17">
        <f t="shared" si="41"/>
        <v>0</v>
      </c>
      <c r="F362" s="17">
        <f t="shared" si="35"/>
        <v>0</v>
      </c>
      <c r="G362" s="23">
        <f t="shared" si="36"/>
        <v>0</v>
      </c>
    </row>
    <row r="363" spans="1:7" ht="12.75" hidden="1">
      <c r="A363" s="3">
        <f t="shared" si="37"/>
        <v>344</v>
      </c>
      <c r="B363" s="17">
        <f t="shared" si="38"/>
        <v>0</v>
      </c>
      <c r="C363" s="22">
        <f t="shared" si="39"/>
        <v>0</v>
      </c>
      <c r="D363" s="22">
        <f t="shared" si="40"/>
        <v>0</v>
      </c>
      <c r="E363" s="17">
        <f t="shared" si="41"/>
        <v>0</v>
      </c>
      <c r="F363" s="17">
        <f t="shared" si="35"/>
        <v>0</v>
      </c>
      <c r="G363" s="23">
        <f t="shared" si="36"/>
        <v>0</v>
      </c>
    </row>
    <row r="364" spans="1:7" ht="12.75" hidden="1">
      <c r="A364" s="3">
        <f t="shared" si="37"/>
        <v>345</v>
      </c>
      <c r="B364" s="17">
        <f t="shared" si="38"/>
        <v>0</v>
      </c>
      <c r="C364" s="22">
        <f t="shared" si="39"/>
        <v>0</v>
      </c>
      <c r="D364" s="22">
        <f t="shared" si="40"/>
        <v>0</v>
      </c>
      <c r="E364" s="17">
        <f t="shared" si="41"/>
        <v>0</v>
      </c>
      <c r="F364" s="17">
        <f t="shared" si="35"/>
        <v>0</v>
      </c>
      <c r="G364" s="23">
        <f t="shared" si="36"/>
        <v>0</v>
      </c>
    </row>
    <row r="365" spans="1:7" ht="12.75" hidden="1">
      <c r="A365" s="3">
        <f t="shared" si="37"/>
        <v>346</v>
      </c>
      <c r="B365" s="17">
        <f t="shared" si="38"/>
        <v>0</v>
      </c>
      <c r="C365" s="22">
        <f t="shared" si="39"/>
        <v>0</v>
      </c>
      <c r="D365" s="22">
        <f t="shared" si="40"/>
        <v>0</v>
      </c>
      <c r="E365" s="17">
        <f t="shared" si="41"/>
        <v>0</v>
      </c>
      <c r="F365" s="17">
        <f t="shared" si="35"/>
        <v>0</v>
      </c>
      <c r="G365" s="23">
        <f t="shared" si="36"/>
        <v>0</v>
      </c>
    </row>
    <row r="366" spans="1:7" ht="12.75" hidden="1">
      <c r="A366" s="3">
        <f t="shared" si="37"/>
        <v>347</v>
      </c>
      <c r="B366" s="17">
        <f t="shared" si="38"/>
        <v>0</v>
      </c>
      <c r="C366" s="22">
        <f t="shared" si="39"/>
        <v>0</v>
      </c>
      <c r="D366" s="22">
        <f t="shared" si="40"/>
        <v>0</v>
      </c>
      <c r="E366" s="17">
        <f t="shared" si="41"/>
        <v>0</v>
      </c>
      <c r="F366" s="17">
        <f t="shared" si="35"/>
        <v>0</v>
      </c>
      <c r="G366" s="23">
        <f t="shared" si="36"/>
        <v>0</v>
      </c>
    </row>
    <row r="367" spans="1:7" ht="12.75" hidden="1">
      <c r="A367" s="3">
        <f t="shared" si="37"/>
        <v>348</v>
      </c>
      <c r="B367" s="17">
        <f t="shared" si="38"/>
        <v>0</v>
      </c>
      <c r="C367" s="22">
        <f t="shared" si="39"/>
        <v>0</v>
      </c>
      <c r="D367" s="22">
        <f t="shared" si="40"/>
        <v>0</v>
      </c>
      <c r="E367" s="17">
        <f t="shared" si="41"/>
        <v>0</v>
      </c>
      <c r="F367" s="17">
        <f t="shared" si="35"/>
        <v>0</v>
      </c>
      <c r="G367" s="23">
        <f t="shared" si="36"/>
        <v>0</v>
      </c>
    </row>
    <row r="368" spans="1:7" ht="12.75" hidden="1">
      <c r="A368" s="3">
        <f t="shared" si="37"/>
        <v>349</v>
      </c>
      <c r="B368" s="17">
        <f t="shared" si="38"/>
        <v>0</v>
      </c>
      <c r="C368" s="22">
        <f t="shared" si="39"/>
        <v>0</v>
      </c>
      <c r="D368" s="22">
        <f t="shared" si="40"/>
        <v>0</v>
      </c>
      <c r="E368" s="17">
        <f t="shared" si="41"/>
        <v>0</v>
      </c>
      <c r="F368" s="17">
        <f t="shared" si="35"/>
        <v>0</v>
      </c>
      <c r="G368" s="23">
        <f t="shared" si="36"/>
        <v>0</v>
      </c>
    </row>
    <row r="369" spans="1:7" ht="12.75" hidden="1">
      <c r="A369" s="3">
        <f t="shared" si="37"/>
        <v>350</v>
      </c>
      <c r="B369" s="17">
        <f t="shared" si="38"/>
        <v>0</v>
      </c>
      <c r="C369" s="22">
        <f t="shared" si="39"/>
        <v>0</v>
      </c>
      <c r="D369" s="22">
        <f t="shared" si="40"/>
        <v>0</v>
      </c>
      <c r="E369" s="17">
        <f t="shared" si="41"/>
        <v>0</v>
      </c>
      <c r="F369" s="17">
        <f t="shared" si="35"/>
        <v>0</v>
      </c>
      <c r="G369" s="23">
        <f t="shared" si="36"/>
        <v>0</v>
      </c>
    </row>
    <row r="370" spans="1:7" ht="12.75" hidden="1">
      <c r="A370" s="3">
        <f t="shared" si="37"/>
        <v>351</v>
      </c>
      <c r="B370" s="17">
        <f t="shared" si="38"/>
        <v>0</v>
      </c>
      <c r="C370" s="22">
        <f t="shared" si="39"/>
        <v>0</v>
      </c>
      <c r="D370" s="22">
        <f t="shared" si="40"/>
        <v>0</v>
      </c>
      <c r="E370" s="17">
        <f t="shared" si="41"/>
        <v>0</v>
      </c>
      <c r="F370" s="17">
        <f t="shared" si="35"/>
        <v>0</v>
      </c>
      <c r="G370" s="23">
        <f t="shared" si="36"/>
        <v>0</v>
      </c>
    </row>
    <row r="371" spans="1:7" ht="12.75" hidden="1">
      <c r="A371" s="3">
        <f t="shared" si="37"/>
        <v>352</v>
      </c>
      <c r="B371" s="17">
        <f t="shared" si="38"/>
        <v>0</v>
      </c>
      <c r="C371" s="22">
        <f t="shared" si="39"/>
        <v>0</v>
      </c>
      <c r="D371" s="22">
        <f t="shared" si="40"/>
        <v>0</v>
      </c>
      <c r="E371" s="17">
        <f t="shared" si="41"/>
        <v>0</v>
      </c>
      <c r="F371" s="17">
        <f t="shared" si="35"/>
        <v>0</v>
      </c>
      <c r="G371" s="23">
        <f t="shared" si="36"/>
        <v>0</v>
      </c>
    </row>
    <row r="372" spans="1:7" ht="12.75" hidden="1">
      <c r="A372" s="3">
        <f t="shared" si="37"/>
        <v>353</v>
      </c>
      <c r="B372" s="17">
        <f t="shared" si="38"/>
        <v>0</v>
      </c>
      <c r="C372" s="22">
        <f t="shared" si="39"/>
        <v>0</v>
      </c>
      <c r="D372" s="22">
        <f t="shared" si="40"/>
        <v>0</v>
      </c>
      <c r="E372" s="17">
        <f t="shared" si="41"/>
        <v>0</v>
      </c>
      <c r="F372" s="17">
        <f t="shared" si="35"/>
        <v>0</v>
      </c>
      <c r="G372" s="23">
        <f t="shared" si="36"/>
        <v>0</v>
      </c>
    </row>
    <row r="373" spans="1:7" ht="12.75" hidden="1">
      <c r="A373" s="3">
        <f t="shared" si="37"/>
        <v>354</v>
      </c>
      <c r="B373" s="17">
        <f t="shared" si="38"/>
        <v>0</v>
      </c>
      <c r="C373" s="22">
        <f t="shared" si="39"/>
        <v>0</v>
      </c>
      <c r="D373" s="22">
        <f t="shared" si="40"/>
        <v>0</v>
      </c>
      <c r="E373" s="17">
        <f t="shared" si="41"/>
        <v>0</v>
      </c>
      <c r="F373" s="17">
        <f t="shared" si="35"/>
        <v>0</v>
      </c>
      <c r="G373" s="23">
        <f t="shared" si="36"/>
        <v>0</v>
      </c>
    </row>
    <row r="374" spans="1:7" ht="12.75" hidden="1">
      <c r="A374" s="3">
        <f t="shared" si="37"/>
        <v>355</v>
      </c>
      <c r="B374" s="17">
        <f t="shared" si="38"/>
        <v>0</v>
      </c>
      <c r="C374" s="22">
        <f t="shared" si="39"/>
        <v>0</v>
      </c>
      <c r="D374" s="22">
        <f t="shared" si="40"/>
        <v>0</v>
      </c>
      <c r="E374" s="17">
        <f t="shared" si="41"/>
        <v>0</v>
      </c>
      <c r="F374" s="17">
        <f t="shared" si="35"/>
        <v>0</v>
      </c>
      <c r="G374" s="23">
        <f t="shared" si="36"/>
        <v>0</v>
      </c>
    </row>
    <row r="375" spans="1:7" ht="12.75" hidden="1">
      <c r="A375" s="3">
        <f t="shared" si="37"/>
        <v>356</v>
      </c>
      <c r="B375" s="17">
        <f t="shared" si="38"/>
        <v>0</v>
      </c>
      <c r="C375" s="22">
        <f t="shared" si="39"/>
        <v>0</v>
      </c>
      <c r="D375" s="22">
        <f t="shared" si="40"/>
        <v>0</v>
      </c>
      <c r="E375" s="17">
        <f t="shared" si="41"/>
        <v>0</v>
      </c>
      <c r="F375" s="17">
        <f t="shared" si="35"/>
        <v>0</v>
      </c>
      <c r="G375" s="23">
        <f t="shared" si="36"/>
        <v>0</v>
      </c>
    </row>
    <row r="376" spans="1:7" ht="12.75" hidden="1">
      <c r="A376" s="3">
        <f t="shared" si="37"/>
        <v>357</v>
      </c>
      <c r="B376" s="17">
        <f t="shared" si="38"/>
        <v>0</v>
      </c>
      <c r="C376" s="22">
        <f t="shared" si="39"/>
        <v>0</v>
      </c>
      <c r="D376" s="22">
        <f t="shared" si="40"/>
        <v>0</v>
      </c>
      <c r="E376" s="17">
        <f t="shared" si="41"/>
        <v>0</v>
      </c>
      <c r="F376" s="17">
        <f t="shared" si="35"/>
        <v>0</v>
      </c>
      <c r="G376" s="23">
        <f t="shared" si="36"/>
        <v>0</v>
      </c>
    </row>
    <row r="377" spans="1:7" ht="12.75" hidden="1">
      <c r="A377" s="3">
        <f t="shared" si="37"/>
        <v>358</v>
      </c>
      <c r="B377" s="17">
        <f t="shared" si="38"/>
        <v>0</v>
      </c>
      <c r="C377" s="22">
        <f t="shared" si="39"/>
        <v>0</v>
      </c>
      <c r="D377" s="22">
        <f t="shared" si="40"/>
        <v>0</v>
      </c>
      <c r="E377" s="17">
        <f t="shared" si="41"/>
        <v>0</v>
      </c>
      <c r="F377" s="17">
        <f t="shared" si="35"/>
        <v>0</v>
      </c>
      <c r="G377" s="23">
        <f t="shared" si="36"/>
        <v>0</v>
      </c>
    </row>
    <row r="378" spans="1:7" ht="12.75" hidden="1">
      <c r="A378" s="3">
        <f t="shared" si="37"/>
        <v>359</v>
      </c>
      <c r="B378" s="17">
        <f t="shared" si="38"/>
        <v>0</v>
      </c>
      <c r="C378" s="22">
        <f t="shared" si="39"/>
        <v>0</v>
      </c>
      <c r="D378" s="22">
        <f t="shared" si="40"/>
        <v>0</v>
      </c>
      <c r="E378" s="17">
        <f t="shared" si="41"/>
        <v>0</v>
      </c>
      <c r="F378" s="17">
        <f t="shared" si="35"/>
        <v>0</v>
      </c>
      <c r="G378" s="23">
        <f t="shared" si="36"/>
        <v>0</v>
      </c>
    </row>
    <row r="379" spans="1:7" ht="13.5" hidden="1" thickBot="1">
      <c r="A379" s="3">
        <f t="shared" si="37"/>
        <v>360</v>
      </c>
      <c r="B379" s="17">
        <f t="shared" si="38"/>
        <v>0</v>
      </c>
      <c r="C379" s="22">
        <f t="shared" si="39"/>
        <v>0</v>
      </c>
      <c r="D379" s="22">
        <f t="shared" si="40"/>
        <v>0</v>
      </c>
      <c r="E379" s="17">
        <f t="shared" si="41"/>
        <v>0</v>
      </c>
      <c r="F379" s="17">
        <f t="shared" si="35"/>
        <v>0</v>
      </c>
      <c r="G379" s="23">
        <f t="shared" si="36"/>
        <v>0</v>
      </c>
    </row>
    <row r="380" spans="1:7" ht="13.5" thickBot="1">
      <c r="A380" s="24" t="s">
        <v>14</v>
      </c>
      <c r="B380" s="31"/>
      <c r="C380" s="25">
        <f>SUM(C20:C379)</f>
        <v>14454124.1</v>
      </c>
      <c r="D380" s="25">
        <f>SUM(D20:D379)</f>
        <v>14454124.1</v>
      </c>
      <c r="E380" s="25">
        <f>SUM(E20:E379)</f>
        <v>3335567.0999999987</v>
      </c>
      <c r="F380" s="25">
        <f>SUM(F20:F379)</f>
        <v>11118557</v>
      </c>
      <c r="G380" s="32"/>
    </row>
    <row r="381" ht="12.75">
      <c r="A381" s="4"/>
    </row>
  </sheetData>
  <sheetProtection/>
  <mergeCells count="17">
    <mergeCell ref="A7:C7"/>
    <mergeCell ref="A8:C8"/>
    <mergeCell ref="A9:C9"/>
    <mergeCell ref="A16:D16"/>
    <mergeCell ref="A13:C13"/>
    <mergeCell ref="A15:C15"/>
    <mergeCell ref="A14:D14"/>
    <mergeCell ref="E12:G12"/>
    <mergeCell ref="E15:G15"/>
    <mergeCell ref="A1:G1"/>
    <mergeCell ref="A2:C2"/>
    <mergeCell ref="A4:C4"/>
    <mergeCell ref="A5:C5"/>
    <mergeCell ref="A6:C6"/>
    <mergeCell ref="A11:C11"/>
    <mergeCell ref="A12:C12"/>
    <mergeCell ref="A10:C10"/>
  </mergeCells>
  <printOptions/>
  <pageMargins left="0.5905511811023623" right="0.3937007874015748" top="0.3937007874015748" bottom="0.3937007874015748" header="0.5118110236220472" footer="0.5118110236220472"/>
  <pageSetup horizontalDpi="360" verticalDpi="360" orientation="portrait" paperSize="9"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N23"/>
  <sheetViews>
    <sheetView zoomScalePageLayoutView="0" workbookViewId="0" topLeftCell="A10">
      <selection activeCell="A2" sqref="A2:N2"/>
    </sheetView>
  </sheetViews>
  <sheetFormatPr defaultColWidth="9.140625" defaultRowHeight="12.75"/>
  <cols>
    <col min="1" max="1" width="21.7109375" style="0" customWidth="1"/>
    <col min="2" max="2" width="7.7109375" style="0" customWidth="1"/>
    <col min="3" max="3" width="3.421875" style="0" customWidth="1"/>
    <col min="4" max="4" width="10.421875" style="0" bestFit="1" customWidth="1"/>
    <col min="5" max="5" width="6.140625" style="0" customWidth="1"/>
    <col min="6" max="6" width="3.00390625" style="0" customWidth="1"/>
    <col min="7" max="7" width="18.28125" style="0" customWidth="1"/>
    <col min="8" max="9" width="2.7109375" style="0" customWidth="1"/>
    <col min="10" max="10" width="26.7109375" style="0" bestFit="1" customWidth="1"/>
    <col min="11" max="11" width="3.8515625" style="0" bestFit="1" customWidth="1"/>
    <col min="12" max="12" width="9.28125" style="0" bestFit="1" customWidth="1"/>
    <col min="13" max="13" width="6.28125" style="0" customWidth="1"/>
    <col min="14" max="14" width="2.7109375" style="0" customWidth="1"/>
  </cols>
  <sheetData>
    <row r="1" spans="1:14" ht="78.75" customHeight="1">
      <c r="A1" s="403" t="s">
        <v>89</v>
      </c>
      <c r="B1" s="404"/>
      <c r="C1" s="404"/>
      <c r="D1" s="404"/>
      <c r="E1" s="404"/>
      <c r="F1" s="404"/>
      <c r="G1" s="404"/>
      <c r="H1" s="404"/>
      <c r="I1" s="404"/>
      <c r="J1" s="404"/>
      <c r="K1" s="404"/>
      <c r="L1" s="404"/>
      <c r="M1" s="404"/>
      <c r="N1" s="404"/>
    </row>
    <row r="2" spans="1:14" ht="21" customHeight="1">
      <c r="A2" s="403" t="s">
        <v>49</v>
      </c>
      <c r="B2" s="403"/>
      <c r="C2" s="403"/>
      <c r="D2" s="403"/>
      <c r="E2" s="403"/>
      <c r="F2" s="403"/>
      <c r="G2" s="403"/>
      <c r="H2" s="403"/>
      <c r="I2" s="403"/>
      <c r="J2" s="403"/>
      <c r="K2" s="403"/>
      <c r="L2" s="403"/>
      <c r="M2" s="403"/>
      <c r="N2" s="403"/>
    </row>
    <row r="3" spans="1:14" ht="27.75" customHeight="1">
      <c r="A3" s="86" t="s">
        <v>47</v>
      </c>
      <c r="B3" s="43" t="s">
        <v>24</v>
      </c>
      <c r="C3" s="43"/>
      <c r="D3" s="420" t="s">
        <v>48</v>
      </c>
      <c r="E3" s="420"/>
      <c r="F3" s="420"/>
      <c r="G3" s="420"/>
      <c r="H3" s="420"/>
      <c r="I3" s="420"/>
      <c r="J3" s="420"/>
      <c r="K3" s="83"/>
      <c r="L3" s="83"/>
      <c r="M3" s="83"/>
      <c r="N3" s="83"/>
    </row>
    <row r="4" spans="1:14" ht="33" customHeight="1">
      <c r="A4" s="86" t="s">
        <v>47</v>
      </c>
      <c r="B4" s="43" t="s">
        <v>24</v>
      </c>
      <c r="C4" s="43"/>
      <c r="D4" s="425">
        <f>'Effektiv rente stående lån 2.2'!D2</f>
        <v>11118557</v>
      </c>
      <c r="E4" s="426"/>
      <c r="F4" s="426"/>
      <c r="G4" s="87" t="str">
        <f>CONCATENATE("* ",'Effektiv rente stående lån 2.2'!D11*100,"%")</f>
        <v>* 1,25%</v>
      </c>
      <c r="H4" s="83"/>
      <c r="I4" s="83"/>
      <c r="J4" s="83"/>
      <c r="K4" s="83"/>
      <c r="L4" s="83"/>
      <c r="M4" s="83"/>
      <c r="N4" s="83"/>
    </row>
    <row r="5" spans="1:14" ht="33.75" customHeight="1">
      <c r="A5" s="86" t="s">
        <v>47</v>
      </c>
      <c r="B5" s="43" t="s">
        <v>24</v>
      </c>
      <c r="C5" s="43"/>
      <c r="D5" s="427">
        <f>'Effektiv rente stående lån 2.2'!D12*-1</f>
        <v>138981.9625</v>
      </c>
      <c r="E5" s="427"/>
      <c r="F5" s="427"/>
      <c r="G5" s="82"/>
      <c r="H5" s="83"/>
      <c r="I5" s="83"/>
      <c r="J5" s="83"/>
      <c r="K5" s="83"/>
      <c r="L5" s="83"/>
      <c r="M5" s="83"/>
      <c r="N5" s="83"/>
    </row>
    <row r="6" spans="1:14" ht="33.75" customHeight="1">
      <c r="A6" s="428" t="s">
        <v>50</v>
      </c>
      <c r="B6" s="428"/>
      <c r="C6" s="428"/>
      <c r="D6" s="428"/>
      <c r="E6" s="428"/>
      <c r="F6" s="428"/>
      <c r="G6" s="428"/>
      <c r="H6" s="428"/>
      <c r="I6" s="428"/>
      <c r="J6" s="428"/>
      <c r="K6" s="428"/>
      <c r="L6" s="428"/>
      <c r="M6" s="428"/>
      <c r="N6" s="428"/>
    </row>
    <row r="7" spans="1:14" ht="27.75" customHeight="1" thickBot="1">
      <c r="A7" s="409" t="s">
        <v>29</v>
      </c>
      <c r="B7" s="385" t="s">
        <v>24</v>
      </c>
      <c r="C7" s="70"/>
      <c r="D7" s="38" t="s">
        <v>19</v>
      </c>
      <c r="E7" s="39" t="s">
        <v>20</v>
      </c>
      <c r="F7" s="387" t="s">
        <v>21</v>
      </c>
      <c r="G7" s="401" t="str">
        <f>IF('Effektiv rente stående lån 2.2'!D13=0,"b","b + Gebyr")</f>
        <v>b</v>
      </c>
      <c r="H7" s="430" t="s">
        <v>30</v>
      </c>
      <c r="I7" s="431" t="s">
        <v>33</v>
      </c>
      <c r="J7" s="429" t="s">
        <v>32</v>
      </c>
      <c r="K7" s="421" t="s">
        <v>21</v>
      </c>
      <c r="L7" s="423" t="s">
        <v>31</v>
      </c>
      <c r="M7" s="432" t="s">
        <v>20</v>
      </c>
      <c r="N7" s="431" t="s">
        <v>34</v>
      </c>
    </row>
    <row r="8" spans="1:14" ht="21" customHeight="1">
      <c r="A8" s="409"/>
      <c r="B8" s="385"/>
      <c r="C8" s="70"/>
      <c r="D8" s="386" t="s">
        <v>23</v>
      </c>
      <c r="E8" s="386"/>
      <c r="F8" s="387"/>
      <c r="G8" s="401"/>
      <c r="H8" s="430"/>
      <c r="I8" s="431"/>
      <c r="J8" s="430"/>
      <c r="K8" s="421"/>
      <c r="L8" s="423"/>
      <c r="M8" s="432"/>
      <c r="N8" s="431"/>
    </row>
    <row r="9" spans="1:13" ht="21" customHeight="1">
      <c r="A9" s="422" t="s">
        <v>25</v>
      </c>
      <c r="B9" s="422"/>
      <c r="C9" s="422"/>
      <c r="D9" s="422"/>
      <c r="E9" s="422"/>
      <c r="F9" s="422"/>
      <c r="G9" s="422"/>
      <c r="H9" s="422"/>
      <c r="I9" s="422"/>
      <c r="J9" s="422"/>
      <c r="K9" s="422"/>
      <c r="L9" s="422"/>
      <c r="M9" s="422"/>
    </row>
    <row r="10" spans="1:14" ht="27.75" thickBot="1">
      <c r="A10" s="400">
        <f>'Effektiv rente stående lån 2.2'!D6</f>
        <v>10600000.29</v>
      </c>
      <c r="B10" s="385" t="s">
        <v>24</v>
      </c>
      <c r="C10" s="70"/>
      <c r="D10" s="38" t="str">
        <f>D7</f>
        <v>1-(1+ r)</v>
      </c>
      <c r="E10" s="41">
        <f>'Effektiv rente stående lån 2.2'!D10*-1</f>
        <v>-24</v>
      </c>
      <c r="F10" s="411" t="str">
        <f>F7</f>
        <v>*</v>
      </c>
      <c r="G10" s="392">
        <f>('Effektiv rente stående lån 2.2'!D12-'Effektiv rente stående lån 2.2'!D13)*-1</f>
        <v>138981.9625</v>
      </c>
      <c r="H10" s="430" t="s">
        <v>30</v>
      </c>
      <c r="I10" s="431" t="str">
        <f>I7</f>
        <v>(</v>
      </c>
      <c r="J10" s="429">
        <f>'Effektiv rente stående lån 2.2'!D2</f>
        <v>11118557</v>
      </c>
      <c r="K10" s="421" t="s">
        <v>21</v>
      </c>
      <c r="L10" s="423" t="str">
        <f>L7</f>
        <v>(1+r)</v>
      </c>
      <c r="M10" s="424">
        <f>E10</f>
        <v>-24</v>
      </c>
      <c r="N10" s="431" t="str">
        <f>N7</f>
        <v>)</v>
      </c>
    </row>
    <row r="11" spans="1:14" ht="27">
      <c r="A11" s="400"/>
      <c r="B11" s="385"/>
      <c r="C11" s="70"/>
      <c r="D11" s="386" t="str">
        <f>D8</f>
        <v>r</v>
      </c>
      <c r="E11" s="386"/>
      <c r="F11" s="412"/>
      <c r="G11" s="392"/>
      <c r="H11" s="430"/>
      <c r="I11" s="431"/>
      <c r="J11" s="430"/>
      <c r="K11" s="421"/>
      <c r="L11" s="423"/>
      <c r="M11" s="424"/>
      <c r="N11" s="431"/>
    </row>
    <row r="12" spans="1:13" ht="18">
      <c r="A12" s="396" t="s">
        <v>27</v>
      </c>
      <c r="B12" s="396"/>
      <c r="C12" s="396"/>
      <c r="D12" s="396"/>
      <c r="E12" s="396"/>
      <c r="F12" s="396"/>
      <c r="G12" s="396"/>
      <c r="H12" s="396"/>
      <c r="I12" s="396"/>
      <c r="J12" s="396"/>
      <c r="K12" s="396"/>
      <c r="L12" s="396"/>
      <c r="M12" s="396"/>
    </row>
    <row r="13" spans="1:4" ht="27">
      <c r="A13" s="42" t="s">
        <v>23</v>
      </c>
      <c r="B13" s="43" t="s">
        <v>24</v>
      </c>
      <c r="C13" s="43"/>
      <c r="D13" s="44">
        <f>RATE('Effektiv rente stående lån 2.2'!D10,'Effektiv rente stående lån 2.2'!D12-'Effektiv rente stående lån 2.2'!D13,'Effektiv rente stående lån 2.2'!D6,'Effektiv rente stående lån 2.2'!D3)</f>
        <v>0.01482363629409773</v>
      </c>
    </row>
    <row r="14" spans="1:13" ht="18">
      <c r="A14" s="396" t="s">
        <v>28</v>
      </c>
      <c r="B14" s="396"/>
      <c r="C14" s="396"/>
      <c r="D14" s="396"/>
      <c r="E14" s="396"/>
      <c r="F14" s="396"/>
      <c r="G14" s="396"/>
      <c r="H14" s="396"/>
      <c r="I14" s="396"/>
      <c r="J14" s="396"/>
      <c r="K14" s="396"/>
      <c r="L14" s="396"/>
      <c r="M14" s="396"/>
    </row>
    <row r="15" spans="1:5" ht="28.5" thickBot="1">
      <c r="A15" s="57" t="str">
        <f>A13</f>
        <v>r</v>
      </c>
      <c r="B15" s="58" t="str">
        <f>B13</f>
        <v>=</v>
      </c>
      <c r="C15" s="58"/>
      <c r="D15" s="75">
        <f>D13</f>
        <v>0.01482363629409773</v>
      </c>
      <c r="E15" s="76"/>
    </row>
    <row r="16" ht="13.5" thickTop="1"/>
    <row r="17" spans="1:10" ht="18">
      <c r="A17" s="65" t="str">
        <f>IF('Effektiv rente stående lån 2.2'!D9=1," ",CONCATENATE("Da terminerne på lånet er ",'Effektiv rente stående lån 2.2'!D9," gange pr. år skal følgende beregning foretages:"))</f>
        <v>Da terminerne på lånet er 4 gange pr. år skal følgende beregning foretages:</v>
      </c>
      <c r="B17" s="64"/>
      <c r="C17" s="64"/>
      <c r="D17" s="64"/>
      <c r="E17" s="64"/>
      <c r="F17" s="64"/>
      <c r="G17" s="64"/>
      <c r="H17" s="71"/>
      <c r="I17" s="71"/>
      <c r="J17" s="71"/>
    </row>
    <row r="18" spans="1:5" ht="24" customHeight="1">
      <c r="A18" s="46" t="str">
        <f>IF('Effektiv rente stående lån 2.2'!$D$9=1,"","(1+r)")</f>
        <v>(1+r)</v>
      </c>
      <c r="B18" s="53">
        <f>IF('Effektiv rente stående lån 2.2'!D9=1,"",'Effektiv rente stående lån 2.2'!D9)</f>
        <v>4</v>
      </c>
      <c r="C18" s="46" t="str">
        <f>IF('Effektiv rente stående lån 2.2'!$D$9=1,"","-1")</f>
        <v>-1</v>
      </c>
      <c r="D18" s="396" t="str">
        <f>IF('Effektiv rente stående lån 2.2'!$D$9=1,"",CONCATENATE("="," Årlig rente"))</f>
        <v>= Årlig rente</v>
      </c>
      <c r="E18" s="396"/>
    </row>
    <row r="19" spans="1:7" ht="18">
      <c r="A19" s="73" t="str">
        <f>IF('Effektiv rente stående lån 2.2'!$D$9=1,"","Ved at indsætte fås:")</f>
        <v>Ved at indsætte fås:</v>
      </c>
      <c r="B19" s="62"/>
      <c r="C19" s="62"/>
      <c r="D19" s="62"/>
      <c r="E19" s="62"/>
      <c r="F19" s="62"/>
      <c r="G19" s="62"/>
    </row>
    <row r="20" spans="1:5" ht="22.5" customHeight="1">
      <c r="A20" s="47" t="str">
        <f>IF('Effektiv rente stående lån 2.2'!D9=1,"",CONCATENATE("(1+",ROUND(D13,4),")"))</f>
        <v>(1+0,0148)</v>
      </c>
      <c r="B20" s="72">
        <f>B18</f>
        <v>4</v>
      </c>
      <c r="C20" s="46" t="str">
        <f>IF('Effektiv rente stående lån 2.2'!$D$9=1,"","-1")</f>
        <v>-1</v>
      </c>
      <c r="D20" s="396" t="str">
        <f>D18</f>
        <v>= Årlig rente</v>
      </c>
      <c r="E20" s="396"/>
    </row>
    <row r="21" spans="1:5" ht="27.75" customHeight="1">
      <c r="A21" s="419">
        <f>IF('Effektiv rente stående lån 2.2'!D9=1,"",'Effektiv rente stående lån 2.2'!D15)</f>
        <v>0.06062606401482107</v>
      </c>
      <c r="B21" s="419"/>
      <c r="C21" s="419"/>
      <c r="D21" s="418" t="str">
        <f>D20</f>
        <v>= Årlig rente</v>
      </c>
      <c r="E21" s="418"/>
    </row>
    <row r="22" spans="1:13" ht="18">
      <c r="A22" s="396" t="str">
        <f>IF('Effektiv rente stående lån 2.2'!D9=1,"","Eller udtrykt i procent:")</f>
        <v>Eller udtrykt i procent:</v>
      </c>
      <c r="B22" s="396"/>
      <c r="C22" s="396"/>
      <c r="D22" s="396"/>
      <c r="E22" s="396"/>
      <c r="F22" s="396"/>
      <c r="G22" s="396"/>
      <c r="H22" s="396"/>
      <c r="I22" s="396"/>
      <c r="J22" s="396"/>
      <c r="K22" s="396"/>
      <c r="L22" s="396"/>
      <c r="M22" s="396"/>
    </row>
    <row r="23" spans="1:5" ht="24" customHeight="1">
      <c r="A23" s="394" t="str">
        <f>IF('Effektiv rente stående lån 2.2'!$D$9=1,"",CONCATENATE("Årlig rente = ",ROUND('Effektiv rente stående lån 2.2'!D15*100,2),"%"))</f>
        <v>Årlig rente = 6,06%</v>
      </c>
      <c r="B23" s="394"/>
      <c r="C23" s="394"/>
      <c r="D23" s="394"/>
      <c r="E23" s="394"/>
    </row>
  </sheetData>
  <sheetProtection/>
  <mergeCells count="39">
    <mergeCell ref="D20:E20"/>
    <mergeCell ref="D18:E18"/>
    <mergeCell ref="A12:M12"/>
    <mergeCell ref="A14:M14"/>
    <mergeCell ref="A1:N1"/>
    <mergeCell ref="I7:I8"/>
    <mergeCell ref="I10:I11"/>
    <mergeCell ref="M7:M8"/>
    <mergeCell ref="H10:H11"/>
    <mergeCell ref="K10:K11"/>
    <mergeCell ref="N7:N8"/>
    <mergeCell ref="N10:N11"/>
    <mergeCell ref="J7:J8"/>
    <mergeCell ref="A2:N2"/>
    <mergeCell ref="H7:H8"/>
    <mergeCell ref="A7:A8"/>
    <mergeCell ref="B7:B8"/>
    <mergeCell ref="L7:L8"/>
    <mergeCell ref="D11:E11"/>
    <mergeCell ref="M10:M11"/>
    <mergeCell ref="F10:F11"/>
    <mergeCell ref="G10:G11"/>
    <mergeCell ref="D4:F4"/>
    <mergeCell ref="D5:F5"/>
    <mergeCell ref="D8:E8"/>
    <mergeCell ref="F7:F8"/>
    <mergeCell ref="G7:G8"/>
    <mergeCell ref="A6:N6"/>
    <mergeCell ref="J10:J11"/>
    <mergeCell ref="A23:E23"/>
    <mergeCell ref="D21:E21"/>
    <mergeCell ref="A21:C21"/>
    <mergeCell ref="A22:M22"/>
    <mergeCell ref="D3:J3"/>
    <mergeCell ref="B10:B11"/>
    <mergeCell ref="A10:A11"/>
    <mergeCell ref="K7:K8"/>
    <mergeCell ref="A9:M9"/>
    <mergeCell ref="L10:L11"/>
  </mergeCells>
  <printOptions/>
  <pageMargins left="0.1968503937007874" right="0.1968503937007874" top="0.984251968503937" bottom="0.984251968503937" header="0" footer="0"/>
  <pageSetup fitToHeight="1" fitToWidth="1" horizontalDpi="600" verticalDpi="600" orientation="portrait" paperSize="9" scale="81" r:id="rId1"/>
  <ignoredErrors>
    <ignoredError sqref="M10 C20"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zoomScale="150" zoomScaleNormal="150" zoomScalePageLayoutView="0" workbookViewId="0" topLeftCell="A7">
      <selection activeCell="A1" sqref="A1"/>
    </sheetView>
  </sheetViews>
  <sheetFormatPr defaultColWidth="9.140625" defaultRowHeight="12.75"/>
  <cols>
    <col min="1" max="1" width="14.7109375" style="0" customWidth="1"/>
    <col min="2" max="2" width="47.28125" style="0" hidden="1" customWidth="1"/>
    <col min="3" max="3" width="33.8515625" style="0" customWidth="1"/>
    <col min="4" max="4" width="34.140625" style="0" customWidth="1"/>
  </cols>
  <sheetData>
    <row r="1" spans="1:4" ht="17.25" customHeight="1" hidden="1" thickBot="1">
      <c r="A1" s="92" t="s">
        <v>55</v>
      </c>
      <c r="B1" s="93"/>
      <c r="C1" s="94" t="s">
        <v>56</v>
      </c>
      <c r="D1" s="94" t="s">
        <v>57</v>
      </c>
    </row>
    <row r="2" spans="1:4" ht="20.25" hidden="1">
      <c r="A2" s="95" t="s">
        <v>58</v>
      </c>
      <c r="B2" s="96" t="s">
        <v>59</v>
      </c>
      <c r="C2" s="97">
        <v>4</v>
      </c>
      <c r="D2" s="98"/>
    </row>
    <row r="3" spans="1:4" ht="20.25" hidden="1">
      <c r="A3" s="95" t="s">
        <v>60</v>
      </c>
      <c r="B3" s="96" t="s">
        <v>61</v>
      </c>
      <c r="C3" s="111">
        <v>0.015</v>
      </c>
      <c r="D3" s="99"/>
    </row>
    <row r="4" spans="1:4" ht="20.25" hidden="1">
      <c r="A4" s="95" t="s">
        <v>62</v>
      </c>
      <c r="B4" s="96" t="s">
        <v>63</v>
      </c>
      <c r="C4" s="100">
        <v>100</v>
      </c>
      <c r="D4" s="101"/>
    </row>
    <row r="5" spans="1:4" ht="20.25" hidden="1">
      <c r="A5" s="95" t="s">
        <v>64</v>
      </c>
      <c r="B5" s="96" t="s">
        <v>65</v>
      </c>
      <c r="C5" s="100">
        <v>0</v>
      </c>
      <c r="D5" s="101"/>
    </row>
    <row r="6" spans="1:4" ht="20.25" hidden="1">
      <c r="A6" s="95" t="s">
        <v>9</v>
      </c>
      <c r="B6" s="96" t="s">
        <v>66</v>
      </c>
      <c r="C6" s="100">
        <v>0</v>
      </c>
      <c r="D6" s="101">
        <f>FV(C3,C2,C5,C4)</f>
        <v>-106.13635506249994</v>
      </c>
    </row>
    <row r="7" spans="1:4" ht="20.25" customHeight="1">
      <c r="A7" s="433" t="s">
        <v>136</v>
      </c>
      <c r="B7" s="434"/>
      <c r="C7" s="434"/>
      <c r="D7" s="435"/>
    </row>
    <row r="8" spans="1:4" ht="53.25" customHeight="1" thickBot="1">
      <c r="A8" s="436"/>
      <c r="B8" s="437"/>
      <c r="C8" s="437"/>
      <c r="D8" s="438"/>
    </row>
    <row r="9" spans="1:4" ht="21" thickBot="1">
      <c r="A9" s="116" t="s">
        <v>69</v>
      </c>
      <c r="B9" s="117"/>
      <c r="C9" s="122"/>
      <c r="D9" s="118"/>
    </row>
    <row r="10" spans="1:4" ht="18" customHeight="1" thickBot="1">
      <c r="A10" s="119" t="s">
        <v>67</v>
      </c>
      <c r="B10" s="96"/>
      <c r="C10" s="120" t="s">
        <v>56</v>
      </c>
      <c r="D10" s="121" t="s">
        <v>57</v>
      </c>
    </row>
    <row r="11" spans="1:4" ht="20.25">
      <c r="A11" s="95" t="s">
        <v>58</v>
      </c>
      <c r="B11" s="96" t="str">
        <f>B2</f>
        <v>antal terminer, f.eks år</v>
      </c>
      <c r="C11" s="103">
        <v>24</v>
      </c>
      <c r="D11" s="104"/>
    </row>
    <row r="12" spans="1:4" ht="20.25">
      <c r="A12" s="95" t="s">
        <v>60</v>
      </c>
      <c r="B12" s="96" t="str">
        <f>B3</f>
        <v>renten</v>
      </c>
      <c r="C12" s="111">
        <v>0.015</v>
      </c>
      <c r="D12" s="105"/>
    </row>
    <row r="13" spans="1:4" ht="20.25">
      <c r="A13" s="95" t="s">
        <v>62</v>
      </c>
      <c r="B13" s="96" t="str">
        <f>B4</f>
        <v>Present value, nutidsværdi</v>
      </c>
      <c r="C13" s="100"/>
      <c r="D13" s="106">
        <f>PV(C12,C11,C14,C15)</f>
        <v>-10683279.36759291</v>
      </c>
    </row>
    <row r="14" spans="1:4" ht="20.25">
      <c r="A14" s="95" t="s">
        <v>64</v>
      </c>
      <c r="B14" s="96" t="str">
        <f>B5</f>
        <v>Betaling pr. termin, ydelsen</v>
      </c>
      <c r="C14" s="100">
        <f>'Effektiv rente annuitetslån 2.2'!D21</f>
        <v>533353.1285164612</v>
      </c>
      <c r="D14" s="106"/>
    </row>
    <row r="15" spans="1:4" ht="21" thickBot="1">
      <c r="A15" s="107" t="s">
        <v>9</v>
      </c>
      <c r="B15" s="108" t="str">
        <f>B6</f>
        <v>Future value</v>
      </c>
      <c r="C15" s="102">
        <v>0</v>
      </c>
      <c r="D15" s="109"/>
    </row>
    <row r="16" spans="1:4" s="1" customFormat="1" ht="21" thickBot="1">
      <c r="A16" s="112" t="s">
        <v>71</v>
      </c>
      <c r="B16" s="113"/>
      <c r="C16" s="114"/>
      <c r="D16" s="115">
        <f>'Effektiv rente annuitetslån 2.2'!D5+'Lommeregneren TI-83 2.3'!D13</f>
        <v>-83279.3675929103</v>
      </c>
    </row>
    <row r="17" spans="1:4" s="1" customFormat="1" ht="21" thickBot="1">
      <c r="A17" s="116" t="s">
        <v>70</v>
      </c>
      <c r="B17" s="117"/>
      <c r="C17" s="122"/>
      <c r="D17" s="118"/>
    </row>
    <row r="18" spans="1:4" ht="18.75" customHeight="1" thickBot="1">
      <c r="A18" s="119" t="s">
        <v>68</v>
      </c>
      <c r="B18" s="96"/>
      <c r="C18" s="120" t="s">
        <v>56</v>
      </c>
      <c r="D18" s="121" t="s">
        <v>57</v>
      </c>
    </row>
    <row r="19" spans="1:4" ht="20.25">
      <c r="A19" s="95" t="s">
        <v>58</v>
      </c>
      <c r="B19" s="96" t="str">
        <f>B11</f>
        <v>antal terminer, f.eks år</v>
      </c>
      <c r="C19" s="103">
        <v>24</v>
      </c>
      <c r="D19" s="104"/>
    </row>
    <row r="20" spans="1:4" ht="20.25">
      <c r="A20" s="95" t="s">
        <v>60</v>
      </c>
      <c r="B20" s="96" t="str">
        <f>B12</f>
        <v>renten</v>
      </c>
      <c r="C20" s="111">
        <v>0.015</v>
      </c>
      <c r="D20" s="105"/>
    </row>
    <row r="21" spans="1:4" ht="20.25">
      <c r="A21" s="95" t="s">
        <v>62</v>
      </c>
      <c r="B21" s="96" t="str">
        <f>B13</f>
        <v>Present value, nutidsværdi</v>
      </c>
      <c r="C21" s="100"/>
      <c r="D21" s="106">
        <f>PV(C20,C19,C22,C23)</f>
        <v>-10561783.990502974</v>
      </c>
    </row>
    <row r="22" spans="1:4" ht="20.25">
      <c r="A22" s="95" t="s">
        <v>64</v>
      </c>
      <c r="B22" s="96" t="str">
        <f>B14</f>
        <v>Betaling pr. termin, ydelsen</v>
      </c>
      <c r="C22" s="100">
        <f>'Effektiv rente stående lån 2.2'!C20</f>
        <v>138981.9625</v>
      </c>
      <c r="D22" s="106"/>
    </row>
    <row r="23" spans="1:4" ht="21" thickBot="1">
      <c r="A23" s="107" t="s">
        <v>9</v>
      </c>
      <c r="B23" s="108" t="str">
        <f>B15</f>
        <v>Future value</v>
      </c>
      <c r="C23" s="102">
        <f>'Effektiv rente stående lån 2.2'!F43</f>
        <v>11118557</v>
      </c>
      <c r="D23" s="109"/>
    </row>
    <row r="24" spans="1:4" ht="21" customHeight="1" thickBot="1">
      <c r="A24" s="123" t="str">
        <f>A16</f>
        <v>kapitalværdi af "investeringen"</v>
      </c>
      <c r="B24" s="124"/>
      <c r="C24" s="124"/>
      <c r="D24" s="125">
        <f>'Effektiv rente stående lån 2.2'!D6+'Lommeregneren TI-83 2.3'!D21</f>
        <v>38216.29949702509</v>
      </c>
    </row>
    <row r="25" spans="1:4" ht="18" customHeight="1">
      <c r="A25" s="439" t="s">
        <v>137</v>
      </c>
      <c r="B25" s="440"/>
      <c r="C25" s="440"/>
      <c r="D25" s="441"/>
    </row>
    <row r="26" spans="1:4" ht="18" customHeight="1">
      <c r="A26" s="442"/>
      <c r="B26" s="443"/>
      <c r="C26" s="443"/>
      <c r="D26" s="444"/>
    </row>
    <row r="27" spans="1:4" ht="18" customHeight="1">
      <c r="A27" s="442"/>
      <c r="B27" s="443"/>
      <c r="C27" s="443"/>
      <c r="D27" s="444"/>
    </row>
    <row r="28" spans="1:4" ht="18" customHeight="1" thickBot="1">
      <c r="A28" s="445"/>
      <c r="B28" s="446"/>
      <c r="C28" s="446"/>
      <c r="D28" s="447"/>
    </row>
    <row r="29" spans="1:4" ht="18">
      <c r="A29" s="110"/>
      <c r="B29" s="110"/>
      <c r="C29" s="110"/>
      <c r="D29" s="110"/>
    </row>
    <row r="30" spans="1:4" ht="18">
      <c r="A30" s="110"/>
      <c r="B30" s="110"/>
      <c r="C30" s="110"/>
      <c r="D30" s="110"/>
    </row>
  </sheetData>
  <sheetProtection/>
  <mergeCells count="2">
    <mergeCell ref="A7:D8"/>
    <mergeCell ref="A25:D28"/>
  </mergeCells>
  <printOptions/>
  <pageMargins left="0.75" right="0.75" top="1" bottom="1" header="0" footer="0"/>
  <pageSetup fitToHeight="1" fitToWidth="1" horizontalDpi="200" verticalDpi="200" orientation="landscape" paperSize="9" scale="99" r:id="rId1"/>
</worksheet>
</file>

<file path=xl/worksheets/sheet9.xml><?xml version="1.0" encoding="utf-8"?>
<worksheet xmlns="http://schemas.openxmlformats.org/spreadsheetml/2006/main" xmlns:r="http://schemas.openxmlformats.org/officeDocument/2006/relationships">
  <dimension ref="A1:J32"/>
  <sheetViews>
    <sheetView zoomScale="140" zoomScaleNormal="140" zoomScalePageLayoutView="0" workbookViewId="0" topLeftCell="A1">
      <selection activeCell="A1" sqref="A1"/>
    </sheetView>
  </sheetViews>
  <sheetFormatPr defaultColWidth="9.140625" defaultRowHeight="12.75"/>
  <sheetData>
    <row r="1" ht="20.25">
      <c r="A1" s="309" t="s">
        <v>289</v>
      </c>
    </row>
    <row r="2" spans="1:10" ht="12.75">
      <c r="A2" s="448" t="s">
        <v>290</v>
      </c>
      <c r="B2" s="449"/>
      <c r="C2" s="449"/>
      <c r="D2" s="449"/>
      <c r="E2" s="449"/>
      <c r="F2" s="449"/>
      <c r="G2" s="449"/>
      <c r="H2" s="449"/>
      <c r="I2" s="449"/>
      <c r="J2" s="449"/>
    </row>
    <row r="3" spans="1:10" ht="12.75">
      <c r="A3" s="449"/>
      <c r="B3" s="449"/>
      <c r="C3" s="449"/>
      <c r="D3" s="449"/>
      <c r="E3" s="449"/>
      <c r="F3" s="449"/>
      <c r="G3" s="449"/>
      <c r="H3" s="449"/>
      <c r="I3" s="449"/>
      <c r="J3" s="449"/>
    </row>
    <row r="4" spans="1:10" ht="12.75">
      <c r="A4" s="449"/>
      <c r="B4" s="449"/>
      <c r="C4" s="449"/>
      <c r="D4" s="449"/>
      <c r="E4" s="449"/>
      <c r="F4" s="449"/>
      <c r="G4" s="449"/>
      <c r="H4" s="449"/>
      <c r="I4" s="449"/>
      <c r="J4" s="449"/>
    </row>
    <row r="5" spans="1:10" ht="12.75">
      <c r="A5" s="449"/>
      <c r="B5" s="449"/>
      <c r="C5" s="449"/>
      <c r="D5" s="449"/>
      <c r="E5" s="449"/>
      <c r="F5" s="449"/>
      <c r="G5" s="449"/>
      <c r="H5" s="449"/>
      <c r="I5" s="449"/>
      <c r="J5" s="449"/>
    </row>
    <row r="6" spans="1:10" ht="12.75">
      <c r="A6" s="449"/>
      <c r="B6" s="449"/>
      <c r="C6" s="449"/>
      <c r="D6" s="449"/>
      <c r="E6" s="449"/>
      <c r="F6" s="449"/>
      <c r="G6" s="449"/>
      <c r="H6" s="449"/>
      <c r="I6" s="449"/>
      <c r="J6" s="449"/>
    </row>
    <row r="7" spans="1:10" ht="12.75">
      <c r="A7" s="449"/>
      <c r="B7" s="449"/>
      <c r="C7" s="449"/>
      <c r="D7" s="449"/>
      <c r="E7" s="449"/>
      <c r="F7" s="449"/>
      <c r="G7" s="449"/>
      <c r="H7" s="449"/>
      <c r="I7" s="449"/>
      <c r="J7" s="449"/>
    </row>
    <row r="8" spans="1:10" ht="12.75">
      <c r="A8" s="449"/>
      <c r="B8" s="449"/>
      <c r="C8" s="449"/>
      <c r="D8" s="449"/>
      <c r="E8" s="449"/>
      <c r="F8" s="449"/>
      <c r="G8" s="449"/>
      <c r="H8" s="449"/>
      <c r="I8" s="449"/>
      <c r="J8" s="449"/>
    </row>
    <row r="9" spans="1:10" ht="12.75">
      <c r="A9" s="449"/>
      <c r="B9" s="449"/>
      <c r="C9" s="449"/>
      <c r="D9" s="449"/>
      <c r="E9" s="449"/>
      <c r="F9" s="449"/>
      <c r="G9" s="449"/>
      <c r="H9" s="449"/>
      <c r="I9" s="449"/>
      <c r="J9" s="449"/>
    </row>
    <row r="10" spans="1:10" ht="12.75">
      <c r="A10" s="449"/>
      <c r="B10" s="449"/>
      <c r="C10" s="449"/>
      <c r="D10" s="449"/>
      <c r="E10" s="449"/>
      <c r="F10" s="449"/>
      <c r="G10" s="449"/>
      <c r="H10" s="449"/>
      <c r="I10" s="449"/>
      <c r="J10" s="449"/>
    </row>
    <row r="11" spans="1:10" ht="12.75">
      <c r="A11" s="449"/>
      <c r="B11" s="449"/>
      <c r="C11" s="449"/>
      <c r="D11" s="449"/>
      <c r="E11" s="449"/>
      <c r="F11" s="449"/>
      <c r="G11" s="449"/>
      <c r="H11" s="449"/>
      <c r="I11" s="449"/>
      <c r="J11" s="449"/>
    </row>
    <row r="12" spans="1:10" ht="12.75">
      <c r="A12" s="449"/>
      <c r="B12" s="449"/>
      <c r="C12" s="449"/>
      <c r="D12" s="449"/>
      <c r="E12" s="449"/>
      <c r="F12" s="449"/>
      <c r="G12" s="449"/>
      <c r="H12" s="449"/>
      <c r="I12" s="449"/>
      <c r="J12" s="449"/>
    </row>
    <row r="13" spans="1:10" ht="12.75">
      <c r="A13" s="449"/>
      <c r="B13" s="449"/>
      <c r="C13" s="449"/>
      <c r="D13" s="449"/>
      <c r="E13" s="449"/>
      <c r="F13" s="449"/>
      <c r="G13" s="449"/>
      <c r="H13" s="449"/>
      <c r="I13" s="449"/>
      <c r="J13" s="449"/>
    </row>
    <row r="14" spans="1:10" ht="12.75">
      <c r="A14" s="449"/>
      <c r="B14" s="449"/>
      <c r="C14" s="449"/>
      <c r="D14" s="449"/>
      <c r="E14" s="449"/>
      <c r="F14" s="449"/>
      <c r="G14" s="449"/>
      <c r="H14" s="449"/>
      <c r="I14" s="449"/>
      <c r="J14" s="449"/>
    </row>
    <row r="15" spans="1:10" ht="12.75">
      <c r="A15" s="449"/>
      <c r="B15" s="449"/>
      <c r="C15" s="449"/>
      <c r="D15" s="449"/>
      <c r="E15" s="449"/>
      <c r="F15" s="449"/>
      <c r="G15" s="449"/>
      <c r="H15" s="449"/>
      <c r="I15" s="449"/>
      <c r="J15" s="449"/>
    </row>
    <row r="16" spans="1:10" ht="12.75">
      <c r="A16" s="449"/>
      <c r="B16" s="449"/>
      <c r="C16" s="449"/>
      <c r="D16" s="449"/>
      <c r="E16" s="449"/>
      <c r="F16" s="449"/>
      <c r="G16" s="449"/>
      <c r="H16" s="449"/>
      <c r="I16" s="449"/>
      <c r="J16" s="449"/>
    </row>
    <row r="17" ht="20.25">
      <c r="A17" s="309" t="s">
        <v>289</v>
      </c>
    </row>
    <row r="18" spans="1:10" ht="12.75">
      <c r="A18" s="448" t="s">
        <v>291</v>
      </c>
      <c r="B18" s="449"/>
      <c r="C18" s="449"/>
      <c r="D18" s="449"/>
      <c r="E18" s="449"/>
      <c r="F18" s="449"/>
      <c r="G18" s="449"/>
      <c r="H18" s="449"/>
      <c r="I18" s="449"/>
      <c r="J18" s="449"/>
    </row>
    <row r="19" spans="1:10" ht="12.75">
      <c r="A19" s="449"/>
      <c r="B19" s="449"/>
      <c r="C19" s="449"/>
      <c r="D19" s="449"/>
      <c r="E19" s="449"/>
      <c r="F19" s="449"/>
      <c r="G19" s="449"/>
      <c r="H19" s="449"/>
      <c r="I19" s="449"/>
      <c r="J19" s="449"/>
    </row>
    <row r="20" spans="1:10" ht="12.75">
      <c r="A20" s="449"/>
      <c r="B20" s="449"/>
      <c r="C20" s="449"/>
      <c r="D20" s="449"/>
      <c r="E20" s="449"/>
      <c r="F20" s="449"/>
      <c r="G20" s="449"/>
      <c r="H20" s="449"/>
      <c r="I20" s="449"/>
      <c r="J20" s="449"/>
    </row>
    <row r="21" spans="1:10" ht="12.75">
      <c r="A21" s="449"/>
      <c r="B21" s="449"/>
      <c r="C21" s="449"/>
      <c r="D21" s="449"/>
      <c r="E21" s="449"/>
      <c r="F21" s="449"/>
      <c r="G21" s="449"/>
      <c r="H21" s="449"/>
      <c r="I21" s="449"/>
      <c r="J21" s="449"/>
    </row>
    <row r="22" spans="1:10" ht="12.75">
      <c r="A22" s="449"/>
      <c r="B22" s="449"/>
      <c r="C22" s="449"/>
      <c r="D22" s="449"/>
      <c r="E22" s="449"/>
      <c r="F22" s="449"/>
      <c r="G22" s="449"/>
      <c r="H22" s="449"/>
      <c r="I22" s="449"/>
      <c r="J22" s="449"/>
    </row>
    <row r="23" spans="1:10" ht="12.75">
      <c r="A23" s="449"/>
      <c r="B23" s="449"/>
      <c r="C23" s="449"/>
      <c r="D23" s="449"/>
      <c r="E23" s="449"/>
      <c r="F23" s="449"/>
      <c r="G23" s="449"/>
      <c r="H23" s="449"/>
      <c r="I23" s="449"/>
      <c r="J23" s="449"/>
    </row>
    <row r="24" spans="1:10" ht="12.75">
      <c r="A24" s="449"/>
      <c r="B24" s="449"/>
      <c r="C24" s="449"/>
      <c r="D24" s="449"/>
      <c r="E24" s="449"/>
      <c r="F24" s="449"/>
      <c r="G24" s="449"/>
      <c r="H24" s="449"/>
      <c r="I24" s="449"/>
      <c r="J24" s="449"/>
    </row>
    <row r="25" spans="1:10" ht="12.75">
      <c r="A25" s="449"/>
      <c r="B25" s="449"/>
      <c r="C25" s="449"/>
      <c r="D25" s="449"/>
      <c r="E25" s="449"/>
      <c r="F25" s="449"/>
      <c r="G25" s="449"/>
      <c r="H25" s="449"/>
      <c r="I25" s="449"/>
      <c r="J25" s="449"/>
    </row>
    <row r="26" spans="1:10" ht="12.75">
      <c r="A26" s="449"/>
      <c r="B26" s="449"/>
      <c r="C26" s="449"/>
      <c r="D26" s="449"/>
      <c r="E26" s="449"/>
      <c r="F26" s="449"/>
      <c r="G26" s="449"/>
      <c r="H26" s="449"/>
      <c r="I26" s="449"/>
      <c r="J26" s="449"/>
    </row>
    <row r="27" spans="1:10" ht="12.75">
      <c r="A27" s="449"/>
      <c r="B27" s="449"/>
      <c r="C27" s="449"/>
      <c r="D27" s="449"/>
      <c r="E27" s="449"/>
      <c r="F27" s="449"/>
      <c r="G27" s="449"/>
      <c r="H27" s="449"/>
      <c r="I27" s="449"/>
      <c r="J27" s="449"/>
    </row>
    <row r="28" spans="1:10" ht="11.25" customHeight="1">
      <c r="A28" s="449"/>
      <c r="B28" s="449"/>
      <c r="C28" s="449"/>
      <c r="D28" s="449"/>
      <c r="E28" s="449"/>
      <c r="F28" s="449"/>
      <c r="G28" s="449"/>
      <c r="H28" s="449"/>
      <c r="I28" s="449"/>
      <c r="J28" s="449"/>
    </row>
    <row r="29" spans="1:10" ht="12.75" hidden="1">
      <c r="A29" s="449"/>
      <c r="B29" s="449"/>
      <c r="C29" s="449"/>
      <c r="D29" s="449"/>
      <c r="E29" s="449"/>
      <c r="F29" s="449"/>
      <c r="G29" s="449"/>
      <c r="H29" s="449"/>
      <c r="I29" s="449"/>
      <c r="J29" s="449"/>
    </row>
    <row r="30" spans="1:10" ht="12.75" hidden="1">
      <c r="A30" s="449"/>
      <c r="B30" s="449"/>
      <c r="C30" s="449"/>
      <c r="D30" s="449"/>
      <c r="E30" s="449"/>
      <c r="F30" s="449"/>
      <c r="G30" s="449"/>
      <c r="H30" s="449"/>
      <c r="I30" s="449"/>
      <c r="J30" s="449"/>
    </row>
    <row r="31" spans="1:10" ht="12.75" hidden="1">
      <c r="A31" s="449"/>
      <c r="B31" s="449"/>
      <c r="C31" s="449"/>
      <c r="D31" s="449"/>
      <c r="E31" s="449"/>
      <c r="F31" s="449"/>
      <c r="G31" s="449"/>
      <c r="H31" s="449"/>
      <c r="I31" s="449"/>
      <c r="J31" s="449"/>
    </row>
    <row r="32" spans="1:10" ht="12.75" hidden="1">
      <c r="A32" s="449"/>
      <c r="B32" s="449"/>
      <c r="C32" s="449"/>
      <c r="D32" s="449"/>
      <c r="E32" s="449"/>
      <c r="F32" s="449"/>
      <c r="G32" s="449"/>
      <c r="H32" s="449"/>
      <c r="I32" s="449"/>
      <c r="J32" s="449"/>
    </row>
  </sheetData>
  <sheetProtection/>
  <mergeCells count="2">
    <mergeCell ref="A2:J16"/>
    <mergeCell ref="A18:J3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BR-consult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Jesper Brygger</dc:creator>
  <cp:keywords/>
  <dc:description/>
  <cp:lastModifiedBy>Jesper Brygger</cp:lastModifiedBy>
  <cp:lastPrinted>2007-12-29T20:21:42Z</cp:lastPrinted>
  <dcterms:created xsi:type="dcterms:W3CDTF">2000-09-09T22:47:26Z</dcterms:created>
  <dcterms:modified xsi:type="dcterms:W3CDTF">2011-11-30T19:06:37Z</dcterms:modified>
  <cp:category/>
  <cp:version/>
  <cp:contentType/>
  <cp:contentStatus/>
</cp:coreProperties>
</file>